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ink/ink75.xml" ContentType="application/inkml+xml"/>
  <Override PartName="/xl/ink/ink76.xml" ContentType="application/inkml+xml"/>
  <Override PartName="/xl/ink/ink77.xml" ContentType="application/inkml+xml"/>
  <Override PartName="/xl/ink/ink78.xml" ContentType="application/inkml+xml"/>
  <Override PartName="/xl/ink/ink79.xml" ContentType="application/inkml+xml"/>
  <Override PartName="/xl/ink/ink80.xml" ContentType="application/inkml+xml"/>
  <Override PartName="/xl/ink/ink81.xml" ContentType="application/inkml+xml"/>
  <Override PartName="/xl/ink/ink82.xml" ContentType="application/inkml+xml"/>
  <Override PartName="/xl/ink/ink83.xml" ContentType="application/inkml+xml"/>
  <Override PartName="/xl/ink/ink84.xml" ContentType="application/inkml+xml"/>
  <Override PartName="/xl/ink/ink85.xml" ContentType="application/inkml+xml"/>
  <Override PartName="/xl/ink/ink86.xml" ContentType="application/inkml+xml"/>
  <Override PartName="/xl/ink/ink87.xml" ContentType="application/inkml+xml"/>
  <Override PartName="/xl/ink/ink88.xml" ContentType="application/inkml+xml"/>
  <Override PartName="/xl/ink/ink89.xml" ContentType="application/inkml+xml"/>
  <Override PartName="/xl/ink/ink90.xml" ContentType="application/inkml+xml"/>
  <Override PartName="/xl/ink/ink91.xml" ContentType="application/inkml+xml"/>
  <Override PartName="/xl/ink/ink92.xml" ContentType="application/inkml+xml"/>
  <Override PartName="/xl/ink/ink93.xml" ContentType="application/inkml+xml"/>
  <Override PartName="/xl/ink/ink94.xml" ContentType="application/inkml+xml"/>
  <Override PartName="/xl/ink/ink95.xml" ContentType="application/inkml+xml"/>
  <Override PartName="/xl/ink/ink96.xml" ContentType="application/inkml+xml"/>
  <Override PartName="/xl/ink/ink97.xml" ContentType="application/inkml+xml"/>
  <Override PartName="/xl/ink/ink98.xml" ContentType="application/inkml+xml"/>
  <Override PartName="/xl/ink/ink99.xml" ContentType="application/inkml+xml"/>
  <Override PartName="/xl/ink/ink100.xml" ContentType="application/inkml+xml"/>
  <Override PartName="/xl/ink/ink101.xml" ContentType="application/inkml+xml"/>
  <Override PartName="/xl/ink/ink102.xml" ContentType="application/inkml+xml"/>
  <Override PartName="/xl/ink/ink103.xml" ContentType="application/inkml+xml"/>
  <Override PartName="/xl/ink/ink104.xml" ContentType="application/inkml+xml"/>
  <Override PartName="/xl/ink/ink105.xml" ContentType="application/inkml+xml"/>
  <Override PartName="/xl/ink/ink106.xml" ContentType="application/inkml+xml"/>
  <Override PartName="/xl/ink/ink107.xml" ContentType="application/inkml+xml"/>
  <Override PartName="/xl/ink/ink108.xml" ContentType="application/inkml+xml"/>
  <Override PartName="/xl/ink/ink109.xml" ContentType="application/inkml+xml"/>
  <Override PartName="/xl/ink/ink110.xml" ContentType="application/inkml+xml"/>
  <Override PartName="/xl/ink/ink111.xml" ContentType="application/inkml+xml"/>
  <Override PartName="/xl/ink/ink112.xml" ContentType="application/inkml+xml"/>
  <Override PartName="/xl/ink/ink113.xml" ContentType="application/inkml+xml"/>
  <Override PartName="/xl/ink/ink114.xml" ContentType="application/inkml+xml"/>
  <Override PartName="/xl/ink/ink115.xml" ContentType="application/inkml+xml"/>
  <Override PartName="/xl/ink/ink116.xml" ContentType="application/inkml+xml"/>
  <Override PartName="/xl/ink/ink117.xml" ContentType="application/inkml+xml"/>
  <Override PartName="/xl/ink/ink118.xml" ContentType="application/inkml+xml"/>
  <Override PartName="/xl/ink/ink119.xml" ContentType="application/inkml+xml"/>
  <Override PartName="/xl/ink/ink120.xml" ContentType="application/inkml+xml"/>
  <Override PartName="/xl/ink/ink121.xml" ContentType="application/inkml+xml"/>
  <Override PartName="/xl/ink/ink122.xml" ContentType="application/inkml+xml"/>
  <Override PartName="/xl/ink/ink123.xml" ContentType="application/inkml+xml"/>
  <Override PartName="/xl/ink/ink124.xml" ContentType="application/inkml+xml"/>
  <Override PartName="/xl/ink/ink125.xml" ContentType="application/inkml+xml"/>
  <Override PartName="/xl/ink/ink126.xml" ContentType="application/inkml+xml"/>
  <Override PartName="/xl/ink/ink127.xml" ContentType="application/inkml+xml"/>
  <Override PartName="/xl/ink/ink128.xml" ContentType="application/inkml+xml"/>
  <Override PartName="/xl/ink/ink129.xml" ContentType="application/inkml+xml"/>
  <Override PartName="/xl/ink/ink130.xml" ContentType="application/inkml+xml"/>
  <Override PartName="/xl/ink/ink131.xml" ContentType="application/inkml+xml"/>
  <Override PartName="/xl/ink/ink132.xml" ContentType="application/inkml+xml"/>
  <Override PartName="/xl/ink/ink133.xml" ContentType="application/inkml+xml"/>
  <Override PartName="/xl/ink/ink134.xml" ContentType="application/inkml+xml"/>
  <Override PartName="/xl/ink/ink135.xml" ContentType="application/inkml+xml"/>
  <Override PartName="/xl/ink/ink136.xml" ContentType="application/inkml+xml"/>
  <Override PartName="/xl/ink/ink137.xml" ContentType="application/inkml+xml"/>
  <Override PartName="/xl/ink/ink138.xml" ContentType="application/inkml+xml"/>
  <Override PartName="/xl/ink/ink139.xml" ContentType="application/inkml+xml"/>
  <Override PartName="/xl/ink/ink140.xml" ContentType="application/inkml+xml"/>
  <Override PartName="/xl/ink/ink141.xml" ContentType="application/inkml+xml"/>
  <Override PartName="/xl/ink/ink142.xml" ContentType="application/inkml+xml"/>
  <Override PartName="/xl/ink/ink143.xml" ContentType="application/inkml+xml"/>
  <Override PartName="/xl/ink/ink144.xml" ContentType="application/inkml+xml"/>
  <Override PartName="/xl/ink/ink145.xml" ContentType="application/inkml+xml"/>
  <Override PartName="/xl/ink/ink146.xml" ContentType="application/inkml+xml"/>
  <Override PartName="/xl/ink/ink147.xml" ContentType="application/inkml+xml"/>
  <Override PartName="/xl/ink/ink148.xml" ContentType="application/inkml+xml"/>
  <Override PartName="/xl/ink/ink149.xml" ContentType="application/inkml+xml"/>
  <Override PartName="/xl/ink/ink150.xml" ContentType="application/inkml+xml"/>
  <Override PartName="/xl/ink/ink151.xml" ContentType="application/inkml+xml"/>
  <Override PartName="/xl/ink/ink152.xml" ContentType="application/inkml+xml"/>
  <Override PartName="/xl/ink/ink153.xml" ContentType="application/inkml+xml"/>
  <Override PartName="/xl/ink/ink154.xml" ContentType="application/inkml+xml"/>
  <Override PartName="/xl/ink/ink155.xml" ContentType="application/inkml+xml"/>
  <Override PartName="/xl/ink/ink156.xml" ContentType="application/inkml+xml"/>
  <Override PartName="/xl/ink/ink157.xml" ContentType="application/inkml+xml"/>
  <Override PartName="/xl/ink/ink158.xml" ContentType="application/inkml+xml"/>
  <Override PartName="/xl/ink/ink159.xml" ContentType="application/inkml+xml"/>
  <Override PartName="/xl/ink/ink160.xml" ContentType="application/inkml+xml"/>
  <Override PartName="/xl/ink/ink161.xml" ContentType="application/inkml+xml"/>
  <Override PartName="/xl/ink/ink162.xml" ContentType="application/inkml+xml"/>
  <Override PartName="/xl/ink/ink163.xml" ContentType="application/inkml+xml"/>
  <Override PartName="/xl/ink/ink164.xml" ContentType="application/inkml+xml"/>
  <Override PartName="/xl/ink/ink165.xml" ContentType="application/inkml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verijssel.sharepoint.com/sites/PROJ-RBMOVAanbestedingVechtdal-ZHOvanaf2027/Gedeelde documenten/NVI/NvI-5b/"/>
    </mc:Choice>
  </mc:AlternateContent>
  <xr:revisionPtr revIDLastSave="5378" documentId="11_63413D1CB5D9BC0C1EB98223FA2CE455BDF52E39" xr6:coauthVersionLast="47" xr6:coauthVersionMax="47" xr10:uidLastSave="{3DCDFC2D-9EF8-478F-8DD1-4906A071C00C}"/>
  <bookViews>
    <workbookView xWindow="57480" yWindow="-120" windowWidth="29040" windowHeight="17520" firstSheet="1" activeTab="1" xr2:uid="{EAD0A402-3D50-4581-BC09-083D90EE040F}"/>
  </bookViews>
  <sheets>
    <sheet name="C Kostenopgave Materieel" sheetId="14" state="hidden" r:id="rId1"/>
    <sheet name="Legenda" sheetId="53" r:id="rId2"/>
    <sheet name="FEO" sheetId="1" r:id="rId3"/>
    <sheet name="A.01" sheetId="15" r:id="rId4"/>
    <sheet name="A.02" sheetId="31" r:id="rId5"/>
    <sheet name="A.03" sheetId="74" r:id="rId6"/>
    <sheet name="A.04" sheetId="56" r:id="rId7"/>
    <sheet name="B.01" sheetId="57" r:id="rId8"/>
    <sheet name="B.03" sheetId="58" r:id="rId9"/>
    <sheet name="D.01" sheetId="59" r:id="rId10"/>
    <sheet name="D.02" sheetId="68" r:id="rId11"/>
    <sheet name="E.01" sheetId="32" r:id="rId12"/>
    <sheet name="E.02" sheetId="34" r:id="rId13"/>
    <sheet name="F.01" sheetId="52" r:id="rId14"/>
    <sheet name="F.02" sheetId="39" r:id="rId15"/>
    <sheet name="F.03" sheetId="63" r:id="rId16"/>
    <sheet name="F.10" sheetId="50" r:id="rId17"/>
    <sheet name="L.01 DRK AL-HA" sheetId="54" r:id="rId18"/>
    <sheet name="L.02 DRK ZW-EM" sheetId="70" r:id="rId19"/>
    <sheet name="Subsidieverlening Al-Ha" sheetId="66" r:id="rId20"/>
    <sheet name="Subsidieverlening Zw-Em" sheetId="75" r:id="rId21"/>
  </sheets>
  <definedNames>
    <definedName name="_xlnm._FilterDatabase" localSheetId="1" hidden="1">Legenda!$B$15:$E$15</definedName>
    <definedName name="_xlnm.Print_Area" localSheetId="2">FEO!$A$1:$AC$169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64" i="54" l="1"/>
  <c r="Q63" i="54"/>
  <c r="Q62" i="54"/>
  <c r="Q65" i="54"/>
  <c r="M65" i="54"/>
  <c r="M64" i="54"/>
  <c r="M63" i="54"/>
  <c r="M62" i="54"/>
  <c r="I64" i="54"/>
  <c r="I63" i="54"/>
  <c r="I65" i="54"/>
  <c r="I62" i="54"/>
  <c r="Q148" i="70"/>
  <c r="Q147" i="70"/>
  <c r="Q146" i="70"/>
  <c r="Q145" i="70"/>
  <c r="Q144" i="70"/>
  <c r="Q143" i="70"/>
  <c r="Q142" i="70"/>
  <c r="Q149" i="70"/>
  <c r="M149" i="70"/>
  <c r="M148" i="70"/>
  <c r="M147" i="70"/>
  <c r="M146" i="70"/>
  <c r="M145" i="70"/>
  <c r="M144" i="70"/>
  <c r="M143" i="70"/>
  <c r="M142" i="70"/>
  <c r="I149" i="70"/>
  <c r="I148" i="70"/>
  <c r="I147" i="70"/>
  <c r="I146" i="70"/>
  <c r="I145" i="70"/>
  <c r="I144" i="70"/>
  <c r="I143" i="70"/>
  <c r="I142" i="70"/>
  <c r="S149" i="70" l="1"/>
  <c r="R149" i="70"/>
  <c r="P149" i="70"/>
  <c r="O149" i="70"/>
  <c r="N149" i="70"/>
  <c r="L149" i="70"/>
  <c r="K149" i="70"/>
  <c r="J149" i="70"/>
  <c r="H149" i="70"/>
  <c r="G149" i="70"/>
  <c r="F149" i="70"/>
  <c r="F148" i="70"/>
  <c r="F147" i="70"/>
  <c r="F146" i="70"/>
  <c r="F145" i="70"/>
  <c r="F144" i="70"/>
  <c r="F143" i="70"/>
  <c r="F142" i="70"/>
  <c r="D149" i="70"/>
  <c r="D148" i="70"/>
  <c r="D147" i="70"/>
  <c r="D146" i="70"/>
  <c r="D145" i="70"/>
  <c r="D144" i="70"/>
  <c r="D143" i="70"/>
  <c r="D142" i="70"/>
  <c r="F128" i="70"/>
  <c r="G128" i="70"/>
  <c r="B155" i="70"/>
  <c r="B154" i="70"/>
  <c r="B153" i="70"/>
  <c r="B152" i="70"/>
  <c r="B151" i="70"/>
  <c r="B150" i="70"/>
  <c r="B149" i="70"/>
  <c r="B148" i="70"/>
  <c r="B147" i="70"/>
  <c r="B146" i="70"/>
  <c r="B145" i="70"/>
  <c r="B144" i="70"/>
  <c r="B143" i="70"/>
  <c r="B142" i="70"/>
  <c r="B141" i="70"/>
  <c r="S155" i="70"/>
  <c r="S154" i="70"/>
  <c r="S152" i="70"/>
  <c r="S151" i="70"/>
  <c r="S148" i="70"/>
  <c r="S147" i="70"/>
  <c r="S146" i="70"/>
  <c r="S145" i="70"/>
  <c r="S144" i="70"/>
  <c r="S143" i="70"/>
  <c r="S142" i="70"/>
  <c r="R155" i="70"/>
  <c r="R154" i="70"/>
  <c r="R152" i="70"/>
  <c r="R151" i="70"/>
  <c r="R148" i="70"/>
  <c r="R147" i="70"/>
  <c r="R146" i="70"/>
  <c r="R145" i="70"/>
  <c r="R144" i="70"/>
  <c r="R143" i="70"/>
  <c r="R142" i="70"/>
  <c r="Q155" i="70"/>
  <c r="Q154" i="70"/>
  <c r="Q152" i="70"/>
  <c r="Q151" i="70"/>
  <c r="P155" i="70"/>
  <c r="P154" i="70"/>
  <c r="P152" i="70"/>
  <c r="P151" i="70"/>
  <c r="P148" i="70"/>
  <c r="P147" i="70"/>
  <c r="P146" i="70"/>
  <c r="P145" i="70"/>
  <c r="P144" i="70"/>
  <c r="P143" i="70"/>
  <c r="P142" i="70"/>
  <c r="O155" i="70"/>
  <c r="O154" i="70"/>
  <c r="O152" i="70"/>
  <c r="O151" i="70"/>
  <c r="O148" i="70"/>
  <c r="O147" i="70"/>
  <c r="O146" i="70"/>
  <c r="O145" i="70"/>
  <c r="O144" i="70"/>
  <c r="O143" i="70"/>
  <c r="O142" i="70"/>
  <c r="N155" i="70"/>
  <c r="N154" i="70"/>
  <c r="N152" i="70"/>
  <c r="N151" i="70"/>
  <c r="N148" i="70"/>
  <c r="N147" i="70"/>
  <c r="N146" i="70"/>
  <c r="N145" i="70"/>
  <c r="N144" i="70"/>
  <c r="N143" i="70"/>
  <c r="N142" i="70"/>
  <c r="M155" i="70"/>
  <c r="M154" i="70"/>
  <c r="M152" i="70"/>
  <c r="M151" i="70"/>
  <c r="L155" i="70"/>
  <c r="L154" i="70"/>
  <c r="L152" i="70"/>
  <c r="L151" i="70"/>
  <c r="L148" i="70"/>
  <c r="L147" i="70"/>
  <c r="L146" i="70"/>
  <c r="L145" i="70"/>
  <c r="L144" i="70"/>
  <c r="L143" i="70"/>
  <c r="L142" i="70"/>
  <c r="K155" i="70"/>
  <c r="K154" i="70"/>
  <c r="K152" i="70"/>
  <c r="K151" i="70"/>
  <c r="K148" i="70"/>
  <c r="K147" i="70"/>
  <c r="K146" i="70"/>
  <c r="K145" i="70"/>
  <c r="K144" i="70"/>
  <c r="K143" i="70"/>
  <c r="K142" i="70"/>
  <c r="J155" i="70"/>
  <c r="J154" i="70"/>
  <c r="J152" i="70"/>
  <c r="J151" i="70"/>
  <c r="J148" i="70"/>
  <c r="J147" i="70"/>
  <c r="J146" i="70"/>
  <c r="J145" i="70"/>
  <c r="J144" i="70"/>
  <c r="J143" i="70"/>
  <c r="J142" i="70"/>
  <c r="J141" i="70"/>
  <c r="I155" i="70"/>
  <c r="I154" i="70"/>
  <c r="I152" i="70"/>
  <c r="I151" i="70"/>
  <c r="H155" i="70"/>
  <c r="H154" i="70"/>
  <c r="H152" i="70"/>
  <c r="H151" i="70"/>
  <c r="H148" i="70"/>
  <c r="H147" i="70"/>
  <c r="H146" i="70"/>
  <c r="H145" i="70"/>
  <c r="H144" i="70"/>
  <c r="H143" i="70"/>
  <c r="H142" i="70"/>
  <c r="F155" i="70"/>
  <c r="F154" i="70"/>
  <c r="F152" i="70"/>
  <c r="F151" i="70"/>
  <c r="G154" i="70"/>
  <c r="G151" i="70"/>
  <c r="G148" i="70"/>
  <c r="G147" i="70"/>
  <c r="G146" i="70"/>
  <c r="G145" i="70"/>
  <c r="G144" i="70"/>
  <c r="G143" i="70"/>
  <c r="G142" i="70"/>
  <c r="G155" i="70"/>
  <c r="G152" i="70"/>
  <c r="T153" i="70"/>
  <c r="T141" i="70"/>
  <c r="Q129" i="70"/>
  <c r="S153" i="70" s="1"/>
  <c r="N129" i="70"/>
  <c r="P150" i="70" s="1"/>
  <c r="E129" i="70"/>
  <c r="M141" i="70" s="1"/>
  <c r="S49" i="70"/>
  <c r="R49" i="70"/>
  <c r="Q49" i="70"/>
  <c r="P49" i="70"/>
  <c r="O49" i="70"/>
  <c r="N49" i="70"/>
  <c r="M49" i="70"/>
  <c r="L49" i="70"/>
  <c r="K49" i="70"/>
  <c r="J49" i="70"/>
  <c r="I49" i="70"/>
  <c r="H49" i="70"/>
  <c r="G49" i="70"/>
  <c r="F49" i="70"/>
  <c r="E49" i="70"/>
  <c r="R84" i="70"/>
  <c r="Q84" i="70"/>
  <c r="P84" i="70"/>
  <c r="O84" i="70"/>
  <c r="N84" i="70"/>
  <c r="M84" i="70"/>
  <c r="L84" i="70"/>
  <c r="K84" i="70"/>
  <c r="J84" i="70"/>
  <c r="I84" i="70"/>
  <c r="H84" i="70"/>
  <c r="G84" i="70"/>
  <c r="F84" i="70"/>
  <c r="S119" i="70"/>
  <c r="R119" i="70"/>
  <c r="Q119" i="70"/>
  <c r="P119" i="70"/>
  <c r="O119" i="70"/>
  <c r="N119" i="70"/>
  <c r="M119" i="70"/>
  <c r="L119" i="70"/>
  <c r="K119" i="70"/>
  <c r="J119" i="70"/>
  <c r="I119" i="70"/>
  <c r="H119" i="70"/>
  <c r="G119" i="70"/>
  <c r="F119" i="70"/>
  <c r="S128" i="70"/>
  <c r="R128" i="70"/>
  <c r="Q128" i="70"/>
  <c r="P128" i="70"/>
  <c r="O128" i="70"/>
  <c r="N128" i="70"/>
  <c r="M128" i="70"/>
  <c r="L128" i="70"/>
  <c r="K128" i="70"/>
  <c r="J128" i="70"/>
  <c r="I128" i="70"/>
  <c r="H128" i="70"/>
  <c r="E128" i="70"/>
  <c r="S93" i="70"/>
  <c r="R93" i="70"/>
  <c r="Q93" i="70"/>
  <c r="P93" i="70"/>
  <c r="O93" i="70"/>
  <c r="N93" i="70"/>
  <c r="M93" i="70"/>
  <c r="L93" i="70"/>
  <c r="K93" i="70"/>
  <c r="J93" i="70"/>
  <c r="I93" i="70"/>
  <c r="H93" i="70"/>
  <c r="G93" i="70"/>
  <c r="F93" i="70"/>
  <c r="E93" i="70"/>
  <c r="S58" i="70"/>
  <c r="R58" i="70"/>
  <c r="Q58" i="70"/>
  <c r="P58" i="70"/>
  <c r="O58" i="70"/>
  <c r="N58" i="70"/>
  <c r="M58" i="70"/>
  <c r="L58" i="70"/>
  <c r="K58" i="70"/>
  <c r="J58" i="70"/>
  <c r="I58" i="70"/>
  <c r="H58" i="70"/>
  <c r="G58" i="70"/>
  <c r="F58" i="70"/>
  <c r="E58" i="70"/>
  <c r="U29" i="70" a="1"/>
  <c r="U29" i="70" s="1"/>
  <c r="U30" i="70" a="1"/>
  <c r="U30" i="70" s="1"/>
  <c r="U31" i="70" a="1"/>
  <c r="U31" i="70" s="1"/>
  <c r="U32" i="70" a="1"/>
  <c r="U32" i="70" s="1"/>
  <c r="U33" i="70" a="1"/>
  <c r="U33" i="70" s="1"/>
  <c r="U34" i="70" a="1"/>
  <c r="U34" i="70" s="1"/>
  <c r="U35" i="70" a="1"/>
  <c r="U35" i="70" s="1"/>
  <c r="U36" i="70" a="1"/>
  <c r="U36" i="70" s="1"/>
  <c r="U37" i="70" a="1"/>
  <c r="U37" i="70" s="1"/>
  <c r="U66" i="70" a="1"/>
  <c r="U66" i="70" s="1"/>
  <c r="U67" i="70" a="1"/>
  <c r="U67" i="70" s="1"/>
  <c r="U68" i="70" a="1"/>
  <c r="U68" i="70" s="1"/>
  <c r="U69" i="70" a="1"/>
  <c r="U69" i="70" s="1"/>
  <c r="U70" i="70" a="1"/>
  <c r="U70" i="70" s="1"/>
  <c r="U71" i="70" a="1"/>
  <c r="U71" i="70" s="1"/>
  <c r="U72" i="70" a="1"/>
  <c r="U72" i="70" s="1"/>
  <c r="U73" i="70" a="1"/>
  <c r="U73" i="70" s="1"/>
  <c r="U74" i="70" a="1"/>
  <c r="U74" i="70" s="1"/>
  <c r="U99" i="70" a="1"/>
  <c r="U99" i="70" s="1"/>
  <c r="U100" i="70" a="1"/>
  <c r="U100" i="70" s="1"/>
  <c r="U101" i="70" a="1"/>
  <c r="U101" i="70" s="1"/>
  <c r="U102" i="70" a="1"/>
  <c r="U102" i="70" s="1"/>
  <c r="U103" i="70" a="1"/>
  <c r="U103" i="70" s="1"/>
  <c r="U104" i="70" a="1"/>
  <c r="U104" i="70" s="1"/>
  <c r="U105" i="70" a="1"/>
  <c r="U105" i="70" s="1"/>
  <c r="U106" i="70" a="1"/>
  <c r="U106" i="70" s="1"/>
  <c r="U107" i="70" a="1"/>
  <c r="U107" i="70" s="1"/>
  <c r="H54" i="54"/>
  <c r="G54" i="54"/>
  <c r="F54" i="54"/>
  <c r="Y28" i="54"/>
  <c r="Y29" i="54"/>
  <c r="Y30" i="54"/>
  <c r="Q31" i="54" a="1"/>
  <c r="Q31" i="54" s="1"/>
  <c r="R31" i="54" s="1"/>
  <c r="AA31" i="54" s="1"/>
  <c r="Q30" i="54" a="1"/>
  <c r="Q30" i="54" s="1"/>
  <c r="R30" i="54" s="1"/>
  <c r="AA30" i="54" s="1"/>
  <c r="Q29" i="54"/>
  <c r="R29" i="54" s="1"/>
  <c r="AA29" i="54" s="1"/>
  <c r="Q29" i="54" a="1"/>
  <c r="Q28" i="54" a="1"/>
  <c r="Q28" i="54" s="1"/>
  <c r="R28" i="54" s="1"/>
  <c r="AA28" i="54" s="1"/>
  <c r="P28" i="54"/>
  <c r="P29" i="54"/>
  <c r="P30" i="54"/>
  <c r="P31" i="54"/>
  <c r="Y31" i="54" s="1"/>
  <c r="Q34" i="54" a="1"/>
  <c r="Q34" i="54" s="1"/>
  <c r="Q33" i="54" a="1"/>
  <c r="Q33" i="54" s="1"/>
  <c r="Q32" i="54" a="1"/>
  <c r="Q32" i="54" s="1"/>
  <c r="Q27" i="54" a="1"/>
  <c r="Q27" i="54" s="1"/>
  <c r="Q26" i="54" a="1"/>
  <c r="Q26" i="54" s="1"/>
  <c r="Q25" i="54" a="1"/>
  <c r="Q25" i="54" s="1"/>
  <c r="Q24" i="54" a="1"/>
  <c r="Q24" i="54" s="1"/>
  <c r="Q23" i="54" a="1"/>
  <c r="Q23" i="54" s="1"/>
  <c r="Q22" i="54" a="1"/>
  <c r="Q22" i="54" s="1"/>
  <c r="Q21" i="54" a="1"/>
  <c r="Q21" i="54" s="1"/>
  <c r="Q20" i="54" a="1"/>
  <c r="Q20" i="54" s="1"/>
  <c r="G3" i="66"/>
  <c r="G3" i="75"/>
  <c r="AA2" i="1"/>
  <c r="W2" i="54"/>
  <c r="M52" i="54"/>
  <c r="P25" i="54" s="1"/>
  <c r="J52" i="54"/>
  <c r="E52" i="54"/>
  <c r="P27" i="54" s="1"/>
  <c r="T61" i="54"/>
  <c r="T69" i="54"/>
  <c r="T66" i="54"/>
  <c r="S71" i="54"/>
  <c r="S70" i="54"/>
  <c r="S68" i="54"/>
  <c r="S67" i="54"/>
  <c r="S65" i="54"/>
  <c r="S64" i="54"/>
  <c r="S63" i="54"/>
  <c r="R71" i="54"/>
  <c r="R70" i="54"/>
  <c r="R68" i="54"/>
  <c r="R67" i="54"/>
  <c r="R65" i="54"/>
  <c r="R64" i="54"/>
  <c r="R63" i="54"/>
  <c r="Q71" i="54"/>
  <c r="Q70" i="54"/>
  <c r="Q68" i="54"/>
  <c r="Q67" i="54"/>
  <c r="P71" i="54"/>
  <c r="P70" i="54"/>
  <c r="P68" i="54"/>
  <c r="P67" i="54"/>
  <c r="P65" i="54"/>
  <c r="P64" i="54"/>
  <c r="P63" i="54"/>
  <c r="O71" i="54"/>
  <c r="O70" i="54"/>
  <c r="O68" i="54"/>
  <c r="O67" i="54"/>
  <c r="O65" i="54"/>
  <c r="O64" i="54"/>
  <c r="O63" i="54"/>
  <c r="N71" i="54"/>
  <c r="N70" i="54"/>
  <c r="N68" i="54"/>
  <c r="N67" i="54"/>
  <c r="N65" i="54"/>
  <c r="N64" i="54"/>
  <c r="N63" i="54"/>
  <c r="M71" i="54"/>
  <c r="M70" i="54"/>
  <c r="M68" i="54"/>
  <c r="M67" i="54"/>
  <c r="L71" i="54"/>
  <c r="L70" i="54"/>
  <c r="L68" i="54"/>
  <c r="L67" i="54"/>
  <c r="L65" i="54"/>
  <c r="L64" i="54"/>
  <c r="L63" i="54"/>
  <c r="K71" i="54"/>
  <c r="K70" i="54"/>
  <c r="K68" i="54"/>
  <c r="K67" i="54"/>
  <c r="K65" i="54"/>
  <c r="K64" i="54"/>
  <c r="K63" i="54"/>
  <c r="J71" i="54"/>
  <c r="J70" i="54"/>
  <c r="J68" i="54"/>
  <c r="J67" i="54"/>
  <c r="J65" i="54"/>
  <c r="J64" i="54"/>
  <c r="J63" i="54"/>
  <c r="I71" i="54"/>
  <c r="I70" i="54"/>
  <c r="I68" i="54"/>
  <c r="I67" i="54"/>
  <c r="H71" i="54"/>
  <c r="H70" i="54"/>
  <c r="H68" i="54"/>
  <c r="H67" i="54"/>
  <c r="H65" i="54"/>
  <c r="H64" i="54"/>
  <c r="H63" i="54"/>
  <c r="G71" i="54"/>
  <c r="G70" i="54"/>
  <c r="G68" i="54"/>
  <c r="G67" i="54"/>
  <c r="G65" i="54"/>
  <c r="G64" i="54"/>
  <c r="G63" i="54"/>
  <c r="F68" i="54"/>
  <c r="F67" i="54"/>
  <c r="F65" i="54"/>
  <c r="F64" i="54"/>
  <c r="F63" i="54"/>
  <c r="F70" i="54"/>
  <c r="F71" i="54"/>
  <c r="B71" i="54"/>
  <c r="B70" i="54"/>
  <c r="B69" i="54"/>
  <c r="B68" i="54"/>
  <c r="B67" i="54"/>
  <c r="B66" i="54"/>
  <c r="B65" i="54"/>
  <c r="B64" i="54"/>
  <c r="B63" i="54"/>
  <c r="B62" i="54"/>
  <c r="B61" i="54"/>
  <c r="E51" i="54"/>
  <c r="M51" i="54"/>
  <c r="O51" i="54"/>
  <c r="N51" i="54"/>
  <c r="L51" i="54"/>
  <c r="K51" i="54"/>
  <c r="I51" i="54"/>
  <c r="H51" i="54"/>
  <c r="G51" i="54"/>
  <c r="F51" i="54"/>
  <c r="K42" i="54"/>
  <c r="L42" i="54"/>
  <c r="M42" i="54"/>
  <c r="N42" i="54"/>
  <c r="O42" i="54"/>
  <c r="F42" i="54"/>
  <c r="G42" i="54"/>
  <c r="H42" i="54"/>
  <c r="I42" i="54"/>
  <c r="M153" i="70" l="1"/>
  <c r="N153" i="70"/>
  <c r="F153" i="70"/>
  <c r="L141" i="70"/>
  <c r="S141" i="70"/>
  <c r="I141" i="70"/>
  <c r="J150" i="70"/>
  <c r="S150" i="70"/>
  <c r="H153" i="70"/>
  <c r="L150" i="70"/>
  <c r="O153" i="70"/>
  <c r="R153" i="70"/>
  <c r="H150" i="70"/>
  <c r="K153" i="70"/>
  <c r="O150" i="70"/>
  <c r="I153" i="70"/>
  <c r="M150" i="70"/>
  <c r="P153" i="70"/>
  <c r="Q150" i="70"/>
  <c r="H141" i="70"/>
  <c r="O141" i="70"/>
  <c r="G141" i="70"/>
  <c r="I150" i="70"/>
  <c r="K141" i="70"/>
  <c r="K150" i="70"/>
  <c r="R141" i="70"/>
  <c r="R150" i="70"/>
  <c r="Q141" i="70"/>
  <c r="G150" i="70"/>
  <c r="F141" i="70"/>
  <c r="F150" i="70"/>
  <c r="J153" i="70"/>
  <c r="L153" i="70"/>
  <c r="N141" i="70"/>
  <c r="N150" i="70"/>
  <c r="P141" i="70"/>
  <c r="Q153" i="70"/>
  <c r="T38" i="70"/>
  <c r="T106" i="70"/>
  <c r="T62" i="70"/>
  <c r="T78" i="70"/>
  <c r="T34" i="70"/>
  <c r="T94" i="70"/>
  <c r="T110" i="70"/>
  <c r="T66" i="70"/>
  <c r="T82" i="70"/>
  <c r="T45" i="70"/>
  <c r="T98" i="70"/>
  <c r="T114" i="70"/>
  <c r="T70" i="70"/>
  <c r="T26" i="70"/>
  <c r="T42" i="70"/>
  <c r="T102" i="70"/>
  <c r="T118" i="70"/>
  <c r="T74" i="70"/>
  <c r="T30" i="70"/>
  <c r="T46" i="70"/>
  <c r="T95" i="70"/>
  <c r="T99" i="70"/>
  <c r="T103" i="70"/>
  <c r="T107" i="70"/>
  <c r="T111" i="70"/>
  <c r="T115" i="70"/>
  <c r="T59" i="70"/>
  <c r="T63" i="70"/>
  <c r="T67" i="70"/>
  <c r="T71" i="70"/>
  <c r="T75" i="70"/>
  <c r="T79" i="70"/>
  <c r="T83" i="70"/>
  <c r="T27" i="70"/>
  <c r="T31" i="70"/>
  <c r="T35" i="70"/>
  <c r="T39" i="70"/>
  <c r="T43" i="70"/>
  <c r="T47" i="70"/>
  <c r="T96" i="70"/>
  <c r="T100" i="70"/>
  <c r="T104" i="70"/>
  <c r="T108" i="70"/>
  <c r="T112" i="70"/>
  <c r="T116" i="70"/>
  <c r="T60" i="70"/>
  <c r="T64" i="70"/>
  <c r="T68" i="70"/>
  <c r="T72" i="70"/>
  <c r="T76" i="70"/>
  <c r="T80" i="70"/>
  <c r="T24" i="70"/>
  <c r="T28" i="70"/>
  <c r="T32" i="70"/>
  <c r="T36" i="70"/>
  <c r="T40" i="70"/>
  <c r="T44" i="70"/>
  <c r="T48" i="70"/>
  <c r="T97" i="70"/>
  <c r="T101" i="70"/>
  <c r="T105" i="70"/>
  <c r="T109" i="70"/>
  <c r="T113" i="70"/>
  <c r="T117" i="70"/>
  <c r="T61" i="70"/>
  <c r="T65" i="70"/>
  <c r="T69" i="70"/>
  <c r="T73" i="70"/>
  <c r="T77" i="70"/>
  <c r="T81" i="70"/>
  <c r="T25" i="70"/>
  <c r="T29" i="70"/>
  <c r="T33" i="70"/>
  <c r="T37" i="70"/>
  <c r="T41" i="70"/>
  <c r="Y25" i="54"/>
  <c r="R25" i="54"/>
  <c r="AA25" i="54" s="1"/>
  <c r="R27" i="54"/>
  <c r="AA27" i="54" s="1"/>
  <c r="Y27" i="54"/>
  <c r="P24" i="54"/>
  <c r="P21" i="54"/>
  <c r="P33" i="54"/>
  <c r="P22" i="54"/>
  <c r="P26" i="54"/>
  <c r="P34" i="54"/>
  <c r="P20" i="54"/>
  <c r="P32" i="54"/>
  <c r="P23" i="54"/>
  <c r="R32" i="54" l="1"/>
  <c r="AA32" i="54" s="1"/>
  <c r="Y32" i="54"/>
  <c r="R20" i="54"/>
  <c r="AA20" i="54" s="1"/>
  <c r="Y20" i="54"/>
  <c r="Y34" i="54"/>
  <c r="R34" i="54"/>
  <c r="AA34" i="54" s="1"/>
  <c r="Y22" i="54"/>
  <c r="R22" i="54"/>
  <c r="AA22" i="54" s="1"/>
  <c r="Y33" i="54"/>
  <c r="R33" i="54"/>
  <c r="AA33" i="54" s="1"/>
  <c r="Y21" i="54"/>
  <c r="R21" i="54"/>
  <c r="AA21" i="54" s="1"/>
  <c r="R23" i="54"/>
  <c r="AA23" i="54" s="1"/>
  <c r="Y23" i="54"/>
  <c r="Y26" i="54"/>
  <c r="R26" i="54"/>
  <c r="AA26" i="54" s="1"/>
  <c r="R24" i="54"/>
  <c r="AA24" i="54" s="1"/>
  <c r="Y24" i="54"/>
  <c r="S69" i="54"/>
  <c r="R69" i="54"/>
  <c r="Q69" i="54"/>
  <c r="P69" i="54"/>
  <c r="O69" i="54"/>
  <c r="N69" i="54"/>
  <c r="M69" i="54"/>
  <c r="L69" i="54"/>
  <c r="K69" i="54"/>
  <c r="J69" i="54"/>
  <c r="I69" i="54"/>
  <c r="H69" i="54"/>
  <c r="G69" i="54"/>
  <c r="S66" i="54"/>
  <c r="O66" i="54"/>
  <c r="K66" i="54"/>
  <c r="G66" i="54"/>
  <c r="H66" i="54"/>
  <c r="R66" i="54"/>
  <c r="N66" i="54"/>
  <c r="J66" i="54"/>
  <c r="Q66" i="54"/>
  <c r="M66" i="54"/>
  <c r="I66" i="54"/>
  <c r="P66" i="54"/>
  <c r="L66" i="54"/>
  <c r="N62" i="54"/>
  <c r="J62" i="54"/>
  <c r="R62" i="54"/>
  <c r="O62" i="54"/>
  <c r="K62" i="54"/>
  <c r="G62" i="54"/>
  <c r="S62" i="54"/>
  <c r="P62" i="54"/>
  <c r="L62" i="54"/>
  <c r="H62" i="54"/>
  <c r="F62" i="54"/>
  <c r="M61" i="54" l="1"/>
  <c r="P61" i="54"/>
  <c r="N61" i="54"/>
  <c r="J61" i="54"/>
  <c r="F61" i="54"/>
  <c r="Q61" i="54"/>
  <c r="L61" i="54"/>
  <c r="H61" i="54"/>
  <c r="R61" i="54"/>
  <c r="O61" i="54"/>
  <c r="K61" i="54"/>
  <c r="I61" i="54"/>
  <c r="G61" i="54"/>
  <c r="S61" i="54"/>
  <c r="O53" i="50" l="1"/>
  <c r="N53" i="50"/>
  <c r="M53" i="50"/>
  <c r="L53" i="50"/>
  <c r="K53" i="50"/>
  <c r="J53" i="50"/>
  <c r="I53" i="50"/>
  <c r="H53" i="50"/>
  <c r="G53" i="50"/>
  <c r="F53" i="50"/>
  <c r="E53" i="50"/>
  <c r="D53" i="50"/>
  <c r="C53" i="50"/>
  <c r="O52" i="50"/>
  <c r="N52" i="50"/>
  <c r="M52" i="50"/>
  <c r="L52" i="50"/>
  <c r="K52" i="50"/>
  <c r="J52" i="50"/>
  <c r="I52" i="50"/>
  <c r="H52" i="50"/>
  <c r="G52" i="50"/>
  <c r="F52" i="50"/>
  <c r="E52" i="50"/>
  <c r="D52" i="50"/>
  <c r="C52" i="50"/>
  <c r="O51" i="50"/>
  <c r="N51" i="50"/>
  <c r="M51" i="50"/>
  <c r="L51" i="50"/>
  <c r="K51" i="50"/>
  <c r="J51" i="50"/>
  <c r="I51" i="50"/>
  <c r="H51" i="50"/>
  <c r="G51" i="50"/>
  <c r="F51" i="50"/>
  <c r="E51" i="50"/>
  <c r="D51" i="50"/>
  <c r="C51" i="50"/>
  <c r="O50" i="50"/>
  <c r="N50" i="50"/>
  <c r="M50" i="50"/>
  <c r="L50" i="50"/>
  <c r="K50" i="50"/>
  <c r="J50" i="50"/>
  <c r="I50" i="50"/>
  <c r="H50" i="50"/>
  <c r="G50" i="50"/>
  <c r="F50" i="50"/>
  <c r="E50" i="50"/>
  <c r="D50" i="50"/>
  <c r="C50" i="50"/>
  <c r="O49" i="50"/>
  <c r="N49" i="50"/>
  <c r="M49" i="50"/>
  <c r="L49" i="50"/>
  <c r="K49" i="50"/>
  <c r="J49" i="50"/>
  <c r="I49" i="50"/>
  <c r="H49" i="50"/>
  <c r="G49" i="50"/>
  <c r="F49" i="50"/>
  <c r="E49" i="50"/>
  <c r="D49" i="50"/>
  <c r="C49" i="50"/>
  <c r="O48" i="50"/>
  <c r="N48" i="50"/>
  <c r="M48" i="50"/>
  <c r="L48" i="50"/>
  <c r="K48" i="50"/>
  <c r="J48" i="50"/>
  <c r="I48" i="50"/>
  <c r="H48" i="50"/>
  <c r="G48" i="50"/>
  <c r="F48" i="50"/>
  <c r="E48" i="50"/>
  <c r="D48" i="50"/>
  <c r="C48" i="50"/>
  <c r="O47" i="50"/>
  <c r="N47" i="50"/>
  <c r="M47" i="50"/>
  <c r="L47" i="50"/>
  <c r="K47" i="50"/>
  <c r="J47" i="50"/>
  <c r="I47" i="50"/>
  <c r="H47" i="50"/>
  <c r="G47" i="50"/>
  <c r="F47" i="50"/>
  <c r="E47" i="50"/>
  <c r="D47" i="50"/>
  <c r="C47" i="50"/>
  <c r="O46" i="50"/>
  <c r="N46" i="50"/>
  <c r="M46" i="50"/>
  <c r="L46" i="50"/>
  <c r="K46" i="50"/>
  <c r="J46" i="50"/>
  <c r="I46" i="50"/>
  <c r="H46" i="50"/>
  <c r="G46" i="50"/>
  <c r="F46" i="50"/>
  <c r="E46" i="50"/>
  <c r="D46" i="50"/>
  <c r="C46" i="50"/>
  <c r="O45" i="50"/>
  <c r="N45" i="50"/>
  <c r="M45" i="50"/>
  <c r="L45" i="50"/>
  <c r="K45" i="50"/>
  <c r="J45" i="50"/>
  <c r="I45" i="50"/>
  <c r="H45" i="50"/>
  <c r="G45" i="50"/>
  <c r="F45" i="50"/>
  <c r="E45" i="50"/>
  <c r="D45" i="50"/>
  <c r="C45" i="50"/>
  <c r="O44" i="50"/>
  <c r="N44" i="50"/>
  <c r="M44" i="50"/>
  <c r="L44" i="50"/>
  <c r="K44" i="50"/>
  <c r="J44" i="50"/>
  <c r="I44" i="50"/>
  <c r="H44" i="50"/>
  <c r="G44" i="50"/>
  <c r="F44" i="50"/>
  <c r="E44" i="50"/>
  <c r="D44" i="50"/>
  <c r="C44" i="50"/>
  <c r="O43" i="50"/>
  <c r="N43" i="50"/>
  <c r="M43" i="50"/>
  <c r="L43" i="50"/>
  <c r="K43" i="50"/>
  <c r="J43" i="50"/>
  <c r="I43" i="50"/>
  <c r="H43" i="50"/>
  <c r="G43" i="50"/>
  <c r="F43" i="50"/>
  <c r="E43" i="50"/>
  <c r="D43" i="50"/>
  <c r="C43" i="50"/>
  <c r="O42" i="50"/>
  <c r="N42" i="50"/>
  <c r="M42" i="50"/>
  <c r="L42" i="50"/>
  <c r="K42" i="50"/>
  <c r="J42" i="50"/>
  <c r="I42" i="50"/>
  <c r="H42" i="50"/>
  <c r="G42" i="50"/>
  <c r="F42" i="50"/>
  <c r="E42" i="50"/>
  <c r="D42" i="50"/>
  <c r="C42" i="50"/>
  <c r="O41" i="50"/>
  <c r="N41" i="50"/>
  <c r="M41" i="50"/>
  <c r="L41" i="50"/>
  <c r="K41" i="50"/>
  <c r="J41" i="50"/>
  <c r="I41" i="50"/>
  <c r="H41" i="50"/>
  <c r="G41" i="50"/>
  <c r="F41" i="50"/>
  <c r="E41" i="50"/>
  <c r="D41" i="50"/>
  <c r="C41" i="50"/>
  <c r="O40" i="50"/>
  <c r="N40" i="50"/>
  <c r="M40" i="50"/>
  <c r="L40" i="50"/>
  <c r="K40" i="50"/>
  <c r="J40" i="50"/>
  <c r="I40" i="50"/>
  <c r="H40" i="50"/>
  <c r="G40" i="50"/>
  <c r="F40" i="50"/>
  <c r="E40" i="50"/>
  <c r="D40" i="50"/>
  <c r="C40" i="50"/>
  <c r="O39" i="50"/>
  <c r="N39" i="50"/>
  <c r="M39" i="50"/>
  <c r="L39" i="50"/>
  <c r="K39" i="50"/>
  <c r="J39" i="50"/>
  <c r="I39" i="50"/>
  <c r="H39" i="50"/>
  <c r="G39" i="50"/>
  <c r="F39" i="50"/>
  <c r="E39" i="50"/>
  <c r="D39" i="50"/>
  <c r="C39" i="50"/>
  <c r="O38" i="50"/>
  <c r="N38" i="50"/>
  <c r="M38" i="50"/>
  <c r="L38" i="50"/>
  <c r="K38" i="50"/>
  <c r="J38" i="50"/>
  <c r="I38" i="50"/>
  <c r="H38" i="50"/>
  <c r="G38" i="50"/>
  <c r="F38" i="50"/>
  <c r="E38" i="50"/>
  <c r="D38" i="50"/>
  <c r="C38" i="50"/>
  <c r="O54" i="63"/>
  <c r="N54" i="63"/>
  <c r="M54" i="63"/>
  <c r="L54" i="63"/>
  <c r="K54" i="63"/>
  <c r="J54" i="63"/>
  <c r="I54" i="63"/>
  <c r="H54" i="63"/>
  <c r="G54" i="63"/>
  <c r="F54" i="63"/>
  <c r="E54" i="63"/>
  <c r="D54" i="63"/>
  <c r="C54" i="63"/>
  <c r="O53" i="63"/>
  <c r="N53" i="63"/>
  <c r="M53" i="63"/>
  <c r="L53" i="63"/>
  <c r="K53" i="63"/>
  <c r="J53" i="63"/>
  <c r="I53" i="63"/>
  <c r="H53" i="63"/>
  <c r="G53" i="63"/>
  <c r="F53" i="63"/>
  <c r="E53" i="63"/>
  <c r="D53" i="63"/>
  <c r="C53" i="63"/>
  <c r="O52" i="63"/>
  <c r="N52" i="63"/>
  <c r="M52" i="63"/>
  <c r="L52" i="63"/>
  <c r="K52" i="63"/>
  <c r="J52" i="63"/>
  <c r="I52" i="63"/>
  <c r="H52" i="63"/>
  <c r="G52" i="63"/>
  <c r="F52" i="63"/>
  <c r="E52" i="63"/>
  <c r="D52" i="63"/>
  <c r="C52" i="63"/>
  <c r="O51" i="63"/>
  <c r="N51" i="63"/>
  <c r="M51" i="63"/>
  <c r="L51" i="63"/>
  <c r="K51" i="63"/>
  <c r="J51" i="63"/>
  <c r="I51" i="63"/>
  <c r="H51" i="63"/>
  <c r="G51" i="63"/>
  <c r="F51" i="63"/>
  <c r="E51" i="63"/>
  <c r="D51" i="63"/>
  <c r="C51" i="63"/>
  <c r="O50" i="63"/>
  <c r="N50" i="63"/>
  <c r="M50" i="63"/>
  <c r="L50" i="63"/>
  <c r="K50" i="63"/>
  <c r="J50" i="63"/>
  <c r="I50" i="63"/>
  <c r="H50" i="63"/>
  <c r="G50" i="63"/>
  <c r="F50" i="63"/>
  <c r="E50" i="63"/>
  <c r="D50" i="63"/>
  <c r="C50" i="63"/>
  <c r="O49" i="63"/>
  <c r="N49" i="63"/>
  <c r="M49" i="63"/>
  <c r="L49" i="63"/>
  <c r="K49" i="63"/>
  <c r="J49" i="63"/>
  <c r="I49" i="63"/>
  <c r="H49" i="63"/>
  <c r="G49" i="63"/>
  <c r="F49" i="63"/>
  <c r="E49" i="63"/>
  <c r="D49" i="63"/>
  <c r="C49" i="63"/>
  <c r="O48" i="63"/>
  <c r="N48" i="63"/>
  <c r="M48" i="63"/>
  <c r="L48" i="63"/>
  <c r="K48" i="63"/>
  <c r="J48" i="63"/>
  <c r="I48" i="63"/>
  <c r="H48" i="63"/>
  <c r="G48" i="63"/>
  <c r="F48" i="63"/>
  <c r="E48" i="63"/>
  <c r="D48" i="63"/>
  <c r="C48" i="63"/>
  <c r="O47" i="63"/>
  <c r="N47" i="63"/>
  <c r="M47" i="63"/>
  <c r="L47" i="63"/>
  <c r="K47" i="63"/>
  <c r="J47" i="63"/>
  <c r="I47" i="63"/>
  <c r="H47" i="63"/>
  <c r="G47" i="63"/>
  <c r="F47" i="63"/>
  <c r="E47" i="63"/>
  <c r="D47" i="63"/>
  <c r="C47" i="63"/>
  <c r="O46" i="63"/>
  <c r="N46" i="63"/>
  <c r="M46" i="63"/>
  <c r="L46" i="63"/>
  <c r="K46" i="63"/>
  <c r="J46" i="63"/>
  <c r="I46" i="63"/>
  <c r="H46" i="63"/>
  <c r="G46" i="63"/>
  <c r="F46" i="63"/>
  <c r="E46" i="63"/>
  <c r="D46" i="63"/>
  <c r="C46" i="63"/>
  <c r="O45" i="63"/>
  <c r="N45" i="63"/>
  <c r="M45" i="63"/>
  <c r="L45" i="63"/>
  <c r="K45" i="63"/>
  <c r="J45" i="63"/>
  <c r="I45" i="63"/>
  <c r="H45" i="63"/>
  <c r="G45" i="63"/>
  <c r="F45" i="63"/>
  <c r="E45" i="63"/>
  <c r="D45" i="63"/>
  <c r="C45" i="63"/>
  <c r="O44" i="63"/>
  <c r="N44" i="63"/>
  <c r="M44" i="63"/>
  <c r="L44" i="63"/>
  <c r="K44" i="63"/>
  <c r="J44" i="63"/>
  <c r="I44" i="63"/>
  <c r="H44" i="63"/>
  <c r="G44" i="63"/>
  <c r="F44" i="63"/>
  <c r="E44" i="63"/>
  <c r="D44" i="63"/>
  <c r="C44" i="63"/>
  <c r="O43" i="63"/>
  <c r="N43" i="63"/>
  <c r="M43" i="63"/>
  <c r="L43" i="63"/>
  <c r="K43" i="63"/>
  <c r="J43" i="63"/>
  <c r="I43" i="63"/>
  <c r="H43" i="63"/>
  <c r="G43" i="63"/>
  <c r="F43" i="63"/>
  <c r="E43" i="63"/>
  <c r="D43" i="63"/>
  <c r="C43" i="63"/>
  <c r="O42" i="63"/>
  <c r="N42" i="63"/>
  <c r="M42" i="63"/>
  <c r="L42" i="63"/>
  <c r="K42" i="63"/>
  <c r="J42" i="63"/>
  <c r="I42" i="63"/>
  <c r="H42" i="63"/>
  <c r="G42" i="63"/>
  <c r="F42" i="63"/>
  <c r="E42" i="63"/>
  <c r="D42" i="63"/>
  <c r="C42" i="63"/>
  <c r="O41" i="63"/>
  <c r="N41" i="63"/>
  <c r="M41" i="63"/>
  <c r="L41" i="63"/>
  <c r="K41" i="63"/>
  <c r="J41" i="63"/>
  <c r="I41" i="63"/>
  <c r="H41" i="63"/>
  <c r="G41" i="63"/>
  <c r="F41" i="63"/>
  <c r="E41" i="63"/>
  <c r="D41" i="63"/>
  <c r="C41" i="63"/>
  <c r="O40" i="63"/>
  <c r="N40" i="63"/>
  <c r="M40" i="63"/>
  <c r="L40" i="63"/>
  <c r="K40" i="63"/>
  <c r="J40" i="63"/>
  <c r="I40" i="63"/>
  <c r="H40" i="63"/>
  <c r="G40" i="63"/>
  <c r="F40" i="63"/>
  <c r="E40" i="63"/>
  <c r="D40" i="63"/>
  <c r="C40" i="63"/>
  <c r="O39" i="63"/>
  <c r="N39" i="63"/>
  <c r="M39" i="63"/>
  <c r="L39" i="63"/>
  <c r="K39" i="63"/>
  <c r="J39" i="63"/>
  <c r="I39" i="63"/>
  <c r="H39" i="63"/>
  <c r="G39" i="63"/>
  <c r="F39" i="63"/>
  <c r="E39" i="63"/>
  <c r="D39" i="63"/>
  <c r="C39" i="63"/>
  <c r="B39" i="63"/>
  <c r="B54" i="63"/>
  <c r="B53" i="63"/>
  <c r="B52" i="63"/>
  <c r="B51" i="63"/>
  <c r="B50" i="63"/>
  <c r="B49" i="63"/>
  <c r="B48" i="63"/>
  <c r="B47" i="63"/>
  <c r="B46" i="63"/>
  <c r="B45" i="63"/>
  <c r="B44" i="63"/>
  <c r="B43" i="63"/>
  <c r="B42" i="63"/>
  <c r="B41" i="63"/>
  <c r="B40" i="63"/>
  <c r="B39" i="39"/>
  <c r="O77" i="52"/>
  <c r="N77" i="52"/>
  <c r="M77" i="52"/>
  <c r="L77" i="52"/>
  <c r="K77" i="52"/>
  <c r="J77" i="52"/>
  <c r="I77" i="52"/>
  <c r="H77" i="52"/>
  <c r="G77" i="52"/>
  <c r="F77" i="52"/>
  <c r="E77" i="52"/>
  <c r="D77" i="52"/>
  <c r="C77" i="52"/>
  <c r="O76" i="52"/>
  <c r="N76" i="52"/>
  <c r="M76" i="52"/>
  <c r="L76" i="52"/>
  <c r="K76" i="52"/>
  <c r="J76" i="52"/>
  <c r="I76" i="52"/>
  <c r="H76" i="52"/>
  <c r="G76" i="52"/>
  <c r="F76" i="52"/>
  <c r="E76" i="52"/>
  <c r="D76" i="52"/>
  <c r="C76" i="52"/>
  <c r="O75" i="52"/>
  <c r="N75" i="52"/>
  <c r="M75" i="52"/>
  <c r="L75" i="52"/>
  <c r="K75" i="52"/>
  <c r="J75" i="52"/>
  <c r="I75" i="52"/>
  <c r="H75" i="52"/>
  <c r="G75" i="52"/>
  <c r="F75" i="52"/>
  <c r="E75" i="52"/>
  <c r="D75" i="52"/>
  <c r="C75" i="52"/>
  <c r="O74" i="52"/>
  <c r="N74" i="52"/>
  <c r="M74" i="52"/>
  <c r="L74" i="52"/>
  <c r="K74" i="52"/>
  <c r="J74" i="52"/>
  <c r="I74" i="52"/>
  <c r="H74" i="52"/>
  <c r="G74" i="52"/>
  <c r="F74" i="52"/>
  <c r="E74" i="52"/>
  <c r="D74" i="52"/>
  <c r="C74" i="52"/>
  <c r="O73" i="52"/>
  <c r="N73" i="52"/>
  <c r="M73" i="52"/>
  <c r="L73" i="52"/>
  <c r="K73" i="52"/>
  <c r="J73" i="52"/>
  <c r="I73" i="52"/>
  <c r="H73" i="52"/>
  <c r="G73" i="52"/>
  <c r="F73" i="52"/>
  <c r="E73" i="52"/>
  <c r="D73" i="52"/>
  <c r="C73" i="52"/>
  <c r="O72" i="52"/>
  <c r="N72" i="52"/>
  <c r="M72" i="52"/>
  <c r="L72" i="52"/>
  <c r="K72" i="52"/>
  <c r="J72" i="52"/>
  <c r="I72" i="52"/>
  <c r="H72" i="52"/>
  <c r="G72" i="52"/>
  <c r="F72" i="52"/>
  <c r="E72" i="52"/>
  <c r="D72" i="52"/>
  <c r="C72" i="52"/>
  <c r="O71" i="52"/>
  <c r="N71" i="52"/>
  <c r="M71" i="52"/>
  <c r="L71" i="52"/>
  <c r="K71" i="52"/>
  <c r="J71" i="52"/>
  <c r="I71" i="52"/>
  <c r="H71" i="52"/>
  <c r="G71" i="52"/>
  <c r="F71" i="52"/>
  <c r="E71" i="52"/>
  <c r="D71" i="52"/>
  <c r="C71" i="52"/>
  <c r="O70" i="52"/>
  <c r="N70" i="52"/>
  <c r="M70" i="52"/>
  <c r="L70" i="52"/>
  <c r="K70" i="52"/>
  <c r="J70" i="52"/>
  <c r="I70" i="52"/>
  <c r="H70" i="52"/>
  <c r="G70" i="52"/>
  <c r="F70" i="52"/>
  <c r="E70" i="52"/>
  <c r="D70" i="52"/>
  <c r="C70" i="52"/>
  <c r="O69" i="52"/>
  <c r="N69" i="52"/>
  <c r="M69" i="52"/>
  <c r="L69" i="52"/>
  <c r="K69" i="52"/>
  <c r="J69" i="52"/>
  <c r="I69" i="52"/>
  <c r="H69" i="52"/>
  <c r="G69" i="52"/>
  <c r="F69" i="52"/>
  <c r="E69" i="52"/>
  <c r="D69" i="52"/>
  <c r="C69" i="52"/>
  <c r="O68" i="52"/>
  <c r="N68" i="52"/>
  <c r="M68" i="52"/>
  <c r="L68" i="52"/>
  <c r="K68" i="52"/>
  <c r="J68" i="52"/>
  <c r="I68" i="52"/>
  <c r="H68" i="52"/>
  <c r="G68" i="52"/>
  <c r="F68" i="52"/>
  <c r="E68" i="52"/>
  <c r="D68" i="52"/>
  <c r="C68" i="52"/>
  <c r="O67" i="52"/>
  <c r="N67" i="52"/>
  <c r="M67" i="52"/>
  <c r="L67" i="52"/>
  <c r="K67" i="52"/>
  <c r="J67" i="52"/>
  <c r="I67" i="52"/>
  <c r="H67" i="52"/>
  <c r="G67" i="52"/>
  <c r="F67" i="52"/>
  <c r="E67" i="52"/>
  <c r="D67" i="52"/>
  <c r="C67" i="52"/>
  <c r="O66" i="52"/>
  <c r="N66" i="52"/>
  <c r="M66" i="52"/>
  <c r="L66" i="52"/>
  <c r="K66" i="52"/>
  <c r="J66" i="52"/>
  <c r="I66" i="52"/>
  <c r="H66" i="52"/>
  <c r="G66" i="52"/>
  <c r="F66" i="52"/>
  <c r="E66" i="52"/>
  <c r="D66" i="52"/>
  <c r="C66" i="52"/>
  <c r="O65" i="52"/>
  <c r="N65" i="52"/>
  <c r="M65" i="52"/>
  <c r="L65" i="52"/>
  <c r="K65" i="52"/>
  <c r="J65" i="52"/>
  <c r="I65" i="52"/>
  <c r="H65" i="52"/>
  <c r="G65" i="52"/>
  <c r="F65" i="52"/>
  <c r="E65" i="52"/>
  <c r="D65" i="52"/>
  <c r="C65" i="52"/>
  <c r="O64" i="52"/>
  <c r="N64" i="52"/>
  <c r="M64" i="52"/>
  <c r="L64" i="52"/>
  <c r="K64" i="52"/>
  <c r="J64" i="52"/>
  <c r="I64" i="52"/>
  <c r="H64" i="52"/>
  <c r="G64" i="52"/>
  <c r="F64" i="52"/>
  <c r="E64" i="52"/>
  <c r="D64" i="52"/>
  <c r="C64" i="52"/>
  <c r="O63" i="52"/>
  <c r="N63" i="52"/>
  <c r="M63" i="52"/>
  <c r="L63" i="52"/>
  <c r="K63" i="52"/>
  <c r="J63" i="52"/>
  <c r="I63" i="52"/>
  <c r="H63" i="52"/>
  <c r="G63" i="52"/>
  <c r="F63" i="52"/>
  <c r="E63" i="52"/>
  <c r="D63" i="52"/>
  <c r="C63" i="52"/>
  <c r="O62" i="52"/>
  <c r="N62" i="52"/>
  <c r="M62" i="52"/>
  <c r="L62" i="52"/>
  <c r="K62" i="52"/>
  <c r="J62" i="52"/>
  <c r="I62" i="52"/>
  <c r="H62" i="52"/>
  <c r="G62" i="52"/>
  <c r="F62" i="52"/>
  <c r="E62" i="52"/>
  <c r="D62" i="52"/>
  <c r="C62" i="52"/>
  <c r="B77" i="52"/>
  <c r="B76" i="52"/>
  <c r="B75" i="52"/>
  <c r="B74" i="52"/>
  <c r="B73" i="52"/>
  <c r="B72" i="52"/>
  <c r="B71" i="52"/>
  <c r="B70" i="52"/>
  <c r="B69" i="52"/>
  <c r="B68" i="52"/>
  <c r="B67" i="52"/>
  <c r="B66" i="52"/>
  <c r="B65" i="52"/>
  <c r="B64" i="52"/>
  <c r="B62" i="52"/>
  <c r="B63" i="52"/>
  <c r="O54" i="39"/>
  <c r="N54" i="39"/>
  <c r="M54" i="39"/>
  <c r="L54" i="39"/>
  <c r="K54" i="39"/>
  <c r="J54" i="39"/>
  <c r="I54" i="39"/>
  <c r="H54" i="39"/>
  <c r="G54" i="39"/>
  <c r="F54" i="39"/>
  <c r="E54" i="39"/>
  <c r="D54" i="39"/>
  <c r="C54" i="39"/>
  <c r="O53" i="39"/>
  <c r="N53" i="39"/>
  <c r="M53" i="39"/>
  <c r="L53" i="39"/>
  <c r="K53" i="39"/>
  <c r="J53" i="39"/>
  <c r="I53" i="39"/>
  <c r="H53" i="39"/>
  <c r="G53" i="39"/>
  <c r="F53" i="39"/>
  <c r="E53" i="39"/>
  <c r="D53" i="39"/>
  <c r="C53" i="39"/>
  <c r="O52" i="39"/>
  <c r="N52" i="39"/>
  <c r="M52" i="39"/>
  <c r="L52" i="39"/>
  <c r="K52" i="39"/>
  <c r="J52" i="39"/>
  <c r="I52" i="39"/>
  <c r="H52" i="39"/>
  <c r="G52" i="39"/>
  <c r="F52" i="39"/>
  <c r="E52" i="39"/>
  <c r="D52" i="39"/>
  <c r="C52" i="39"/>
  <c r="O51" i="39"/>
  <c r="N51" i="39"/>
  <c r="M51" i="39"/>
  <c r="L51" i="39"/>
  <c r="K51" i="39"/>
  <c r="J51" i="39"/>
  <c r="I51" i="39"/>
  <c r="H51" i="39"/>
  <c r="G51" i="39"/>
  <c r="F51" i="39"/>
  <c r="E51" i="39"/>
  <c r="D51" i="39"/>
  <c r="C51" i="39"/>
  <c r="O50" i="39"/>
  <c r="N50" i="39"/>
  <c r="M50" i="39"/>
  <c r="L50" i="39"/>
  <c r="K50" i="39"/>
  <c r="J50" i="39"/>
  <c r="I50" i="39"/>
  <c r="H50" i="39"/>
  <c r="G50" i="39"/>
  <c r="F50" i="39"/>
  <c r="E50" i="39"/>
  <c r="D50" i="39"/>
  <c r="C50" i="39"/>
  <c r="O49" i="39"/>
  <c r="N49" i="39"/>
  <c r="M49" i="39"/>
  <c r="L49" i="39"/>
  <c r="K49" i="39"/>
  <c r="J49" i="39"/>
  <c r="I49" i="39"/>
  <c r="H49" i="39"/>
  <c r="G49" i="39"/>
  <c r="F49" i="39"/>
  <c r="E49" i="39"/>
  <c r="D49" i="39"/>
  <c r="C49" i="39"/>
  <c r="O48" i="39"/>
  <c r="N48" i="39"/>
  <c r="M48" i="39"/>
  <c r="L48" i="39"/>
  <c r="K48" i="39"/>
  <c r="J48" i="39"/>
  <c r="I48" i="39"/>
  <c r="H48" i="39"/>
  <c r="G48" i="39"/>
  <c r="F48" i="39"/>
  <c r="E48" i="39"/>
  <c r="D48" i="39"/>
  <c r="C48" i="39"/>
  <c r="O47" i="39"/>
  <c r="N47" i="39"/>
  <c r="M47" i="39"/>
  <c r="L47" i="39"/>
  <c r="K47" i="39"/>
  <c r="J47" i="39"/>
  <c r="I47" i="39"/>
  <c r="H47" i="39"/>
  <c r="G47" i="39"/>
  <c r="F47" i="39"/>
  <c r="E47" i="39"/>
  <c r="D47" i="39"/>
  <c r="C47" i="39"/>
  <c r="O46" i="39"/>
  <c r="N46" i="39"/>
  <c r="M46" i="39"/>
  <c r="L46" i="39"/>
  <c r="K46" i="39"/>
  <c r="J46" i="39"/>
  <c r="I46" i="39"/>
  <c r="H46" i="39"/>
  <c r="G46" i="39"/>
  <c r="F46" i="39"/>
  <c r="E46" i="39"/>
  <c r="D46" i="39"/>
  <c r="C46" i="39"/>
  <c r="O45" i="39"/>
  <c r="N45" i="39"/>
  <c r="M45" i="39"/>
  <c r="L45" i="39"/>
  <c r="K45" i="39"/>
  <c r="J45" i="39"/>
  <c r="I45" i="39"/>
  <c r="H45" i="39"/>
  <c r="G45" i="39"/>
  <c r="F45" i="39"/>
  <c r="E45" i="39"/>
  <c r="D45" i="39"/>
  <c r="C45" i="39"/>
  <c r="O44" i="39"/>
  <c r="N44" i="39"/>
  <c r="M44" i="39"/>
  <c r="L44" i="39"/>
  <c r="K44" i="39"/>
  <c r="J44" i="39"/>
  <c r="I44" i="39"/>
  <c r="H44" i="39"/>
  <c r="G44" i="39"/>
  <c r="F44" i="39"/>
  <c r="E44" i="39"/>
  <c r="D44" i="39"/>
  <c r="C44" i="39"/>
  <c r="O43" i="39"/>
  <c r="N43" i="39"/>
  <c r="M43" i="39"/>
  <c r="L43" i="39"/>
  <c r="K43" i="39"/>
  <c r="J43" i="39"/>
  <c r="I43" i="39"/>
  <c r="H43" i="39"/>
  <c r="G43" i="39"/>
  <c r="F43" i="39"/>
  <c r="E43" i="39"/>
  <c r="D43" i="39"/>
  <c r="C43" i="39"/>
  <c r="O42" i="39"/>
  <c r="N42" i="39"/>
  <c r="M42" i="39"/>
  <c r="L42" i="39"/>
  <c r="K42" i="39"/>
  <c r="J42" i="39"/>
  <c r="I42" i="39"/>
  <c r="H42" i="39"/>
  <c r="G42" i="39"/>
  <c r="F42" i="39"/>
  <c r="E42" i="39"/>
  <c r="D42" i="39"/>
  <c r="C42" i="39"/>
  <c r="O41" i="39"/>
  <c r="N41" i="39"/>
  <c r="M41" i="39"/>
  <c r="L41" i="39"/>
  <c r="K41" i="39"/>
  <c r="J41" i="39"/>
  <c r="I41" i="39"/>
  <c r="H41" i="39"/>
  <c r="G41" i="39"/>
  <c r="F41" i="39"/>
  <c r="E41" i="39"/>
  <c r="D41" i="39"/>
  <c r="C41" i="39"/>
  <c r="O40" i="39"/>
  <c r="N40" i="39"/>
  <c r="M40" i="39"/>
  <c r="L40" i="39"/>
  <c r="K40" i="39"/>
  <c r="J40" i="39"/>
  <c r="I40" i="39"/>
  <c r="H40" i="39"/>
  <c r="G40" i="39"/>
  <c r="F40" i="39"/>
  <c r="E40" i="39"/>
  <c r="D40" i="39"/>
  <c r="C40" i="39"/>
  <c r="O39" i="39"/>
  <c r="N39" i="39"/>
  <c r="M39" i="39"/>
  <c r="L39" i="39"/>
  <c r="K39" i="39"/>
  <c r="J39" i="39"/>
  <c r="I39" i="39"/>
  <c r="H39" i="39"/>
  <c r="G39" i="39"/>
  <c r="F39" i="39"/>
  <c r="E39" i="39"/>
  <c r="D39" i="39"/>
  <c r="C39" i="39"/>
  <c r="B54" i="39"/>
  <c r="B53" i="39"/>
  <c r="B52" i="39"/>
  <c r="B51" i="39"/>
  <c r="B50" i="39"/>
  <c r="B49" i="39"/>
  <c r="B48" i="39"/>
  <c r="B47" i="39"/>
  <c r="B46" i="39"/>
  <c r="B45" i="39"/>
  <c r="B44" i="39"/>
  <c r="B43" i="39"/>
  <c r="B42" i="39"/>
  <c r="B41" i="39"/>
  <c r="B40" i="39"/>
  <c r="O32" i="50"/>
  <c r="N32" i="50"/>
  <c r="M32" i="50"/>
  <c r="L32" i="50"/>
  <c r="K32" i="50"/>
  <c r="J32" i="50"/>
  <c r="I32" i="50"/>
  <c r="H32" i="50"/>
  <c r="G32" i="50"/>
  <c r="F32" i="50"/>
  <c r="E32" i="50"/>
  <c r="D32" i="50"/>
  <c r="C32" i="50"/>
  <c r="B32" i="50"/>
  <c r="C33" i="63"/>
  <c r="D33" i="63"/>
  <c r="E33" i="63"/>
  <c r="F33" i="63"/>
  <c r="G33" i="63"/>
  <c r="H33" i="63"/>
  <c r="I33" i="63"/>
  <c r="J33" i="63"/>
  <c r="K33" i="63"/>
  <c r="L33" i="63"/>
  <c r="M33" i="63"/>
  <c r="N33" i="63"/>
  <c r="O33" i="63"/>
  <c r="B33" i="63"/>
  <c r="O33" i="39"/>
  <c r="N33" i="39"/>
  <c r="M33" i="39"/>
  <c r="L33" i="39"/>
  <c r="K33" i="39"/>
  <c r="J33" i="39"/>
  <c r="I33" i="39"/>
  <c r="H33" i="39"/>
  <c r="G33" i="39"/>
  <c r="F33" i="39"/>
  <c r="E33" i="39"/>
  <c r="D33" i="39"/>
  <c r="C33" i="39"/>
  <c r="B33" i="39"/>
  <c r="O37" i="52"/>
  <c r="N37" i="52"/>
  <c r="M37" i="52"/>
  <c r="L37" i="52"/>
  <c r="K37" i="52"/>
  <c r="J37" i="52"/>
  <c r="I37" i="52"/>
  <c r="H37" i="52"/>
  <c r="G37" i="52"/>
  <c r="F37" i="52"/>
  <c r="E37" i="52"/>
  <c r="D37" i="52"/>
  <c r="C37" i="52"/>
  <c r="B37" i="52"/>
  <c r="O32" i="58"/>
  <c r="N32" i="58"/>
  <c r="M32" i="58"/>
  <c r="L32" i="58"/>
  <c r="K32" i="58"/>
  <c r="J32" i="58"/>
  <c r="I32" i="58"/>
  <c r="H32" i="58"/>
  <c r="G32" i="58"/>
  <c r="F32" i="58"/>
  <c r="E32" i="58"/>
  <c r="D32" i="58"/>
  <c r="C32" i="58"/>
  <c r="O31" i="58"/>
  <c r="N31" i="58"/>
  <c r="M31" i="58"/>
  <c r="L31" i="58"/>
  <c r="K31" i="58"/>
  <c r="J31" i="58"/>
  <c r="I31" i="58"/>
  <c r="H31" i="58"/>
  <c r="G31" i="58"/>
  <c r="F31" i="58"/>
  <c r="E31" i="58"/>
  <c r="D31" i="58"/>
  <c r="C31" i="58"/>
  <c r="O30" i="58"/>
  <c r="N30" i="58"/>
  <c r="M30" i="58"/>
  <c r="L30" i="58"/>
  <c r="K30" i="58"/>
  <c r="J30" i="58"/>
  <c r="I30" i="58"/>
  <c r="H30" i="58"/>
  <c r="G30" i="58"/>
  <c r="F30" i="58"/>
  <c r="E30" i="58"/>
  <c r="D30" i="58"/>
  <c r="C30" i="58"/>
  <c r="O29" i="58"/>
  <c r="N29" i="58"/>
  <c r="M29" i="58"/>
  <c r="L29" i="58"/>
  <c r="K29" i="58"/>
  <c r="J29" i="58"/>
  <c r="I29" i="58"/>
  <c r="H29" i="58"/>
  <c r="G29" i="58"/>
  <c r="F29" i="58"/>
  <c r="E29" i="58"/>
  <c r="D29" i="58"/>
  <c r="C29" i="58"/>
  <c r="O28" i="58"/>
  <c r="N28" i="58"/>
  <c r="M28" i="58"/>
  <c r="L28" i="58"/>
  <c r="K28" i="58"/>
  <c r="J28" i="58"/>
  <c r="I28" i="58"/>
  <c r="H28" i="58"/>
  <c r="G28" i="58"/>
  <c r="F28" i="58"/>
  <c r="E28" i="58"/>
  <c r="D28" i="58"/>
  <c r="C28" i="58"/>
  <c r="O27" i="58"/>
  <c r="N27" i="58"/>
  <c r="M27" i="58"/>
  <c r="L27" i="58"/>
  <c r="K27" i="58"/>
  <c r="J27" i="58"/>
  <c r="I27" i="58"/>
  <c r="H27" i="58"/>
  <c r="G27" i="58"/>
  <c r="F27" i="58"/>
  <c r="E27" i="58"/>
  <c r="D27" i="58"/>
  <c r="C27" i="58"/>
  <c r="O26" i="58"/>
  <c r="N26" i="58"/>
  <c r="M26" i="58"/>
  <c r="L26" i="58"/>
  <c r="K26" i="58"/>
  <c r="J26" i="58"/>
  <c r="I26" i="58"/>
  <c r="H26" i="58"/>
  <c r="G26" i="58"/>
  <c r="F26" i="58"/>
  <c r="E26" i="58"/>
  <c r="D26" i="58"/>
  <c r="C26" i="58"/>
  <c r="O25" i="58"/>
  <c r="N25" i="58"/>
  <c r="M25" i="58"/>
  <c r="L25" i="58"/>
  <c r="K25" i="58"/>
  <c r="J25" i="58"/>
  <c r="I25" i="58"/>
  <c r="H25" i="58"/>
  <c r="G25" i="58"/>
  <c r="F25" i="58"/>
  <c r="E25" i="58"/>
  <c r="D25" i="58"/>
  <c r="C25" i="58"/>
  <c r="O24" i="58"/>
  <c r="N24" i="58"/>
  <c r="M24" i="58"/>
  <c r="L24" i="58"/>
  <c r="K24" i="58"/>
  <c r="J24" i="58"/>
  <c r="I24" i="58"/>
  <c r="H24" i="58"/>
  <c r="G24" i="58"/>
  <c r="F24" i="58"/>
  <c r="E24" i="58"/>
  <c r="D24" i="58"/>
  <c r="C24" i="58"/>
  <c r="O23" i="58"/>
  <c r="N23" i="58"/>
  <c r="M23" i="58"/>
  <c r="L23" i="58"/>
  <c r="K23" i="58"/>
  <c r="J23" i="58"/>
  <c r="I23" i="58"/>
  <c r="H23" i="58"/>
  <c r="G23" i="58"/>
  <c r="F23" i="58"/>
  <c r="E23" i="58"/>
  <c r="D23" i="58"/>
  <c r="C23" i="58"/>
  <c r="O22" i="58"/>
  <c r="N22" i="58"/>
  <c r="M22" i="58"/>
  <c r="L22" i="58"/>
  <c r="K22" i="58"/>
  <c r="J22" i="58"/>
  <c r="I22" i="58"/>
  <c r="H22" i="58"/>
  <c r="G22" i="58"/>
  <c r="F22" i="58"/>
  <c r="E22" i="58"/>
  <c r="D22" i="58"/>
  <c r="C22" i="58"/>
  <c r="O21" i="58"/>
  <c r="N21" i="58"/>
  <c r="M21" i="58"/>
  <c r="L21" i="58"/>
  <c r="K21" i="58"/>
  <c r="J21" i="58"/>
  <c r="I21" i="58"/>
  <c r="H21" i="58"/>
  <c r="G21" i="58"/>
  <c r="F21" i="58"/>
  <c r="E21" i="58"/>
  <c r="D21" i="58"/>
  <c r="C21" i="58"/>
  <c r="O20" i="58"/>
  <c r="N20" i="58"/>
  <c r="M20" i="58"/>
  <c r="L20" i="58"/>
  <c r="K20" i="58"/>
  <c r="J20" i="58"/>
  <c r="I20" i="58"/>
  <c r="H20" i="58"/>
  <c r="G20" i="58"/>
  <c r="F20" i="58"/>
  <c r="E20" i="58"/>
  <c r="D20" i="58"/>
  <c r="C20" i="58"/>
  <c r="O19" i="58"/>
  <c r="N19" i="58"/>
  <c r="M19" i="58"/>
  <c r="L19" i="58"/>
  <c r="K19" i="58"/>
  <c r="J19" i="58"/>
  <c r="I19" i="58"/>
  <c r="H19" i="58"/>
  <c r="G19" i="58"/>
  <c r="F19" i="58"/>
  <c r="E19" i="58"/>
  <c r="D19" i="58"/>
  <c r="C19" i="58"/>
  <c r="O18" i="58"/>
  <c r="N18" i="58"/>
  <c r="M18" i="58"/>
  <c r="L18" i="58"/>
  <c r="K18" i="58"/>
  <c r="J18" i="58"/>
  <c r="I18" i="58"/>
  <c r="H18" i="58"/>
  <c r="G18" i="58"/>
  <c r="F18" i="58"/>
  <c r="E18" i="58"/>
  <c r="D18" i="58"/>
  <c r="C18" i="58"/>
  <c r="O17" i="58"/>
  <c r="N17" i="58"/>
  <c r="M17" i="58"/>
  <c r="L17" i="58"/>
  <c r="K17" i="58"/>
  <c r="J17" i="58"/>
  <c r="I17" i="58"/>
  <c r="H17" i="58"/>
  <c r="G17" i="58"/>
  <c r="F17" i="58"/>
  <c r="E17" i="58"/>
  <c r="D17" i="58"/>
  <c r="C17" i="58"/>
  <c r="B32" i="58"/>
  <c r="B31" i="58"/>
  <c r="B30" i="58"/>
  <c r="B29" i="58"/>
  <c r="B28" i="58"/>
  <c r="B27" i="58"/>
  <c r="B26" i="58"/>
  <c r="B25" i="58"/>
  <c r="B24" i="58"/>
  <c r="B23" i="58"/>
  <c r="B22" i="58"/>
  <c r="B21" i="58"/>
  <c r="B20" i="58"/>
  <c r="B19" i="58"/>
  <c r="B18" i="58"/>
  <c r="H30" i="57"/>
  <c r="I30" i="57"/>
  <c r="J30" i="57"/>
  <c r="K30" i="57"/>
  <c r="L30" i="57"/>
  <c r="M30" i="57"/>
  <c r="N30" i="57"/>
  <c r="O30" i="57"/>
  <c r="P30" i="57"/>
  <c r="Q30" i="57"/>
  <c r="R30" i="57"/>
  <c r="S30" i="57"/>
  <c r="T30" i="57"/>
  <c r="U30" i="57"/>
  <c r="V30" i="57"/>
  <c r="W30" i="57"/>
  <c r="X30" i="57"/>
  <c r="Y30" i="57"/>
  <c r="Z30" i="57"/>
  <c r="AA30" i="57"/>
  <c r="AB30" i="57"/>
  <c r="AC30" i="57"/>
  <c r="AD30" i="57"/>
  <c r="AE30" i="57"/>
  <c r="AF30" i="57"/>
  <c r="AG30" i="57"/>
  <c r="AH30" i="57"/>
  <c r="AI30" i="57"/>
  <c r="AJ30" i="57"/>
  <c r="AK30" i="57"/>
  <c r="AL30" i="57"/>
  <c r="AM30" i="57"/>
  <c r="AN30" i="57"/>
  <c r="AO30" i="57"/>
  <c r="C30" i="57"/>
  <c r="D30" i="57"/>
  <c r="E30" i="57"/>
  <c r="E9" i="57" s="1"/>
  <c r="E29" i="57" s="1"/>
  <c r="F30" i="57"/>
  <c r="G30" i="57"/>
  <c r="B30" i="57"/>
  <c r="E51" i="57"/>
  <c r="F51" i="57"/>
  <c r="I51" i="57"/>
  <c r="J51" i="57"/>
  <c r="K51" i="57"/>
  <c r="N51" i="57"/>
  <c r="O51" i="57"/>
  <c r="P51" i="57"/>
  <c r="Q51" i="57"/>
  <c r="S51" i="57"/>
  <c r="T51" i="57"/>
  <c r="U51" i="57"/>
  <c r="V51" i="57"/>
  <c r="W51" i="57"/>
  <c r="X51" i="57"/>
  <c r="Y51" i="57"/>
  <c r="Z51" i="57"/>
  <c r="AA51" i="57"/>
  <c r="AB51" i="57"/>
  <c r="AC51" i="57"/>
  <c r="AD51" i="57"/>
  <c r="AE51" i="57"/>
  <c r="AF51" i="57"/>
  <c r="AG51" i="57"/>
  <c r="AH51" i="57"/>
  <c r="AI51" i="57"/>
  <c r="AJ51" i="57"/>
  <c r="AK51" i="57"/>
  <c r="AL51" i="57"/>
  <c r="AM51" i="57"/>
  <c r="AN51" i="57"/>
  <c r="AO51" i="57"/>
  <c r="R28" i="57"/>
  <c r="R27" i="57"/>
  <c r="M28" i="57"/>
  <c r="M27" i="57"/>
  <c r="H28" i="57"/>
  <c r="H27" i="57"/>
  <c r="D28" i="57"/>
  <c r="D27" i="57"/>
  <c r="R15" i="57"/>
  <c r="M15" i="57"/>
  <c r="H15" i="57"/>
  <c r="D15" i="57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L9" i="57"/>
  <c r="Q28" i="57"/>
  <c r="Q27" i="57"/>
  <c r="L28" i="57"/>
  <c r="L27" i="57"/>
  <c r="C28" i="57"/>
  <c r="C27" i="57"/>
  <c r="U111" i="70" l="1" a="1"/>
  <c r="U111" i="70" s="1"/>
  <c r="U110" i="70" a="1"/>
  <c r="U110" i="70" s="1"/>
  <c r="U76" i="70" a="1"/>
  <c r="U76" i="70" s="1"/>
  <c r="U75" i="70" a="1"/>
  <c r="U75" i="70" s="1"/>
  <c r="U65" i="70" a="1"/>
  <c r="U65" i="70" s="1"/>
  <c r="U64" i="70" a="1"/>
  <c r="U64" i="70" s="1"/>
  <c r="U41" i="70" a="1"/>
  <c r="U41" i="70" s="1"/>
  <c r="U40" i="70" a="1"/>
  <c r="U40" i="70" s="1"/>
  <c r="Q37" i="54" a="1"/>
  <c r="Q37" i="54" s="1"/>
  <c r="Q36" i="54" a="1"/>
  <c r="Q36" i="54" s="1"/>
  <c r="Q35" i="54" a="1"/>
  <c r="Q35" i="54" s="1"/>
  <c r="Q38" i="54" a="1"/>
  <c r="Q38" i="54" s="1"/>
  <c r="Q19" i="54" a="1"/>
  <c r="Q19" i="54" s="1"/>
  <c r="B29" i="1"/>
  <c r="B28" i="1"/>
  <c r="B27" i="1"/>
  <c r="B26" i="1"/>
  <c r="B25" i="1"/>
  <c r="B24" i="1"/>
  <c r="B23" i="1"/>
  <c r="B38" i="1"/>
  <c r="B60" i="1"/>
  <c r="B59" i="1"/>
  <c r="B58" i="1"/>
  <c r="B57" i="1"/>
  <c r="B56" i="1"/>
  <c r="B55" i="1"/>
  <c r="B53" i="1"/>
  <c r="B54" i="1"/>
  <c r="B160" i="1"/>
  <c r="B159" i="1"/>
  <c r="B157" i="1"/>
  <c r="B156" i="1"/>
  <c r="B155" i="1"/>
  <c r="B154" i="1"/>
  <c r="B153" i="1"/>
  <c r="A75" i="50"/>
  <c r="A74" i="50"/>
  <c r="A73" i="50"/>
  <c r="A72" i="50"/>
  <c r="A71" i="50"/>
  <c r="A70" i="50"/>
  <c r="A69" i="50"/>
  <c r="A68" i="50"/>
  <c r="A67" i="50"/>
  <c r="A66" i="50"/>
  <c r="A65" i="50"/>
  <c r="A64" i="50"/>
  <c r="A63" i="50"/>
  <c r="A62" i="50"/>
  <c r="A61" i="50"/>
  <c r="A60" i="50"/>
  <c r="A82" i="63"/>
  <c r="A81" i="63"/>
  <c r="A80" i="63"/>
  <c r="A79" i="63"/>
  <c r="A78" i="63"/>
  <c r="A77" i="63"/>
  <c r="A76" i="63"/>
  <c r="A75" i="63"/>
  <c r="A74" i="63"/>
  <c r="A73" i="63"/>
  <c r="A72" i="63"/>
  <c r="A71" i="63"/>
  <c r="A70" i="63"/>
  <c r="A69" i="63"/>
  <c r="A68" i="63"/>
  <c r="A67" i="63"/>
  <c r="A82" i="39"/>
  <c r="A81" i="39"/>
  <c r="A80" i="39"/>
  <c r="A79" i="39"/>
  <c r="A78" i="39"/>
  <c r="A77" i="39"/>
  <c r="A76" i="39"/>
  <c r="A75" i="39"/>
  <c r="A74" i="39"/>
  <c r="A73" i="39"/>
  <c r="A72" i="39"/>
  <c r="A71" i="39"/>
  <c r="A70" i="39"/>
  <c r="A69" i="39"/>
  <c r="A68" i="39"/>
  <c r="A67" i="39"/>
  <c r="B27" i="57"/>
  <c r="A76" i="57"/>
  <c r="A75" i="57"/>
  <c r="A74" i="57"/>
  <c r="A73" i="57"/>
  <c r="A72" i="57"/>
  <c r="A71" i="57"/>
  <c r="A70" i="57"/>
  <c r="A69" i="57"/>
  <c r="A68" i="57"/>
  <c r="A67" i="57"/>
  <c r="A66" i="57"/>
  <c r="A65" i="57"/>
  <c r="A64" i="57"/>
  <c r="A63" i="57"/>
  <c r="A62" i="57"/>
  <c r="A61" i="57"/>
  <c r="B136" i="75"/>
  <c r="A136" i="75"/>
  <c r="B135" i="75"/>
  <c r="A135" i="75"/>
  <c r="B134" i="75"/>
  <c r="A134" i="75"/>
  <c r="B133" i="75"/>
  <c r="A133" i="75"/>
  <c r="B128" i="75"/>
  <c r="A128" i="75"/>
  <c r="B127" i="75"/>
  <c r="A127" i="75"/>
  <c r="B126" i="75"/>
  <c r="A126" i="75"/>
  <c r="B125" i="75"/>
  <c r="A125" i="75"/>
  <c r="A119" i="75"/>
  <c r="A118" i="75"/>
  <c r="A117" i="75"/>
  <c r="A116" i="75"/>
  <c r="B119" i="75"/>
  <c r="B118" i="75"/>
  <c r="B117" i="75"/>
  <c r="B116" i="75"/>
  <c r="G136" i="75"/>
  <c r="F136" i="75"/>
  <c r="E136" i="75"/>
  <c r="G128" i="75"/>
  <c r="F128" i="75"/>
  <c r="E128" i="75"/>
  <c r="G77" i="75"/>
  <c r="F77" i="75"/>
  <c r="E77" i="75"/>
  <c r="F51" i="75"/>
  <c r="F52" i="75" s="1"/>
  <c r="B160" i="75"/>
  <c r="B159" i="75"/>
  <c r="B156" i="75"/>
  <c r="B155" i="75"/>
  <c r="B151" i="75"/>
  <c r="B150" i="75"/>
  <c r="G143" i="75"/>
  <c r="F143" i="75"/>
  <c r="E143" i="75"/>
  <c r="G114" i="75"/>
  <c r="F114" i="75"/>
  <c r="E114" i="75"/>
  <c r="G111" i="75"/>
  <c r="G119" i="75" s="1"/>
  <c r="F111" i="75"/>
  <c r="F119" i="75" s="1"/>
  <c r="E111" i="75"/>
  <c r="E119" i="75" s="1"/>
  <c r="G101" i="75"/>
  <c r="F101" i="75"/>
  <c r="E101" i="75"/>
  <c r="G82" i="75"/>
  <c r="F82" i="75"/>
  <c r="E82" i="75"/>
  <c r="G68" i="75"/>
  <c r="F68" i="75"/>
  <c r="E68" i="75"/>
  <c r="G6" i="75"/>
  <c r="F6" i="75"/>
  <c r="E6" i="75"/>
  <c r="G5" i="75"/>
  <c r="F5" i="75"/>
  <c r="E5" i="75"/>
  <c r="G121" i="66"/>
  <c r="F121" i="66"/>
  <c r="E121" i="66"/>
  <c r="G110" i="66"/>
  <c r="F110" i="66"/>
  <c r="E110" i="66"/>
  <c r="B115" i="66"/>
  <c r="B114" i="66"/>
  <c r="B113" i="66"/>
  <c r="B112" i="66"/>
  <c r="A115" i="66"/>
  <c r="A114" i="66"/>
  <c r="A113" i="66"/>
  <c r="A112" i="66"/>
  <c r="G73" i="66"/>
  <c r="F73" i="66"/>
  <c r="E73" i="66"/>
  <c r="B134" i="1"/>
  <c r="B133" i="1"/>
  <c r="B121" i="1"/>
  <c r="B120" i="1"/>
  <c r="AA64" i="1"/>
  <c r="AA63" i="1"/>
  <c r="AA61" i="1"/>
  <c r="AA56" i="1"/>
  <c r="AA54" i="1"/>
  <c r="AA29" i="1"/>
  <c r="AA27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B108" i="1"/>
  <c r="B107" i="1"/>
  <c r="B106" i="1"/>
  <c r="B105" i="1"/>
  <c r="B98" i="1"/>
  <c r="B97" i="1"/>
  <c r="B96" i="1"/>
  <c r="B95" i="1"/>
  <c r="B87" i="1"/>
  <c r="B8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G7" i="75" l="1"/>
  <c r="G99" i="75"/>
  <c r="G118" i="75" s="1"/>
  <c r="E99" i="75"/>
  <c r="E118" i="75" s="1"/>
  <c r="G52" i="75"/>
  <c r="F99" i="75"/>
  <c r="F118" i="75" s="1"/>
  <c r="E7" i="75"/>
  <c r="F7" i="75"/>
  <c r="E52" i="75"/>
  <c r="A77" i="52"/>
  <c r="A54" i="39"/>
  <c r="A54" i="63"/>
  <c r="A53" i="50"/>
  <c r="A52" i="50"/>
  <c r="A51" i="50"/>
  <c r="A50" i="50"/>
  <c r="A49" i="50"/>
  <c r="A48" i="50"/>
  <c r="A47" i="50"/>
  <c r="A46" i="50"/>
  <c r="A45" i="50"/>
  <c r="A44" i="50"/>
  <c r="A43" i="50"/>
  <c r="A42" i="50"/>
  <c r="A41" i="50"/>
  <c r="A40" i="50"/>
  <c r="A39" i="50"/>
  <c r="A38" i="50"/>
  <c r="A53" i="63"/>
  <c r="A52" i="63"/>
  <c r="A51" i="63"/>
  <c r="A50" i="63"/>
  <c r="A49" i="63"/>
  <c r="A48" i="63"/>
  <c r="A47" i="63"/>
  <c r="A46" i="63"/>
  <c r="A45" i="63"/>
  <c r="A44" i="63"/>
  <c r="A43" i="63"/>
  <c r="A42" i="63"/>
  <c r="A41" i="63"/>
  <c r="A40" i="63"/>
  <c r="A39" i="63"/>
  <c r="A53" i="39"/>
  <c r="A52" i="39"/>
  <c r="A51" i="39"/>
  <c r="A50" i="39"/>
  <c r="A49" i="39"/>
  <c r="A48" i="39"/>
  <c r="A47" i="39"/>
  <c r="A46" i="39"/>
  <c r="A45" i="39"/>
  <c r="A44" i="39"/>
  <c r="A43" i="39"/>
  <c r="A42" i="39"/>
  <c r="A41" i="39"/>
  <c r="A40" i="39"/>
  <c r="A39" i="39"/>
  <c r="A76" i="52"/>
  <c r="A75" i="52"/>
  <c r="A74" i="52"/>
  <c r="A73" i="52"/>
  <c r="A72" i="52"/>
  <c r="A71" i="52"/>
  <c r="A70" i="52"/>
  <c r="A69" i="52"/>
  <c r="A68" i="52"/>
  <c r="A67" i="52"/>
  <c r="A66" i="52"/>
  <c r="A65" i="52"/>
  <c r="A64" i="52"/>
  <c r="A63" i="52"/>
  <c r="A62" i="52"/>
  <c r="Q8" i="74"/>
  <c r="B8" i="74"/>
  <c r="P8" i="74"/>
  <c r="O8" i="74"/>
  <c r="N8" i="74"/>
  <c r="M8" i="74"/>
  <c r="L8" i="74"/>
  <c r="K8" i="74"/>
  <c r="J8" i="74"/>
  <c r="I8" i="74"/>
  <c r="H8" i="74"/>
  <c r="G8" i="74"/>
  <c r="F8" i="74"/>
  <c r="E8" i="74"/>
  <c r="D8" i="74"/>
  <c r="C8" i="74"/>
  <c r="P10" i="74"/>
  <c r="O10" i="74"/>
  <c r="N10" i="74"/>
  <c r="M10" i="74"/>
  <c r="L10" i="74"/>
  <c r="K10" i="74"/>
  <c r="J10" i="74"/>
  <c r="I10" i="74"/>
  <c r="H10" i="74"/>
  <c r="G10" i="74"/>
  <c r="F10" i="74"/>
  <c r="E10" i="74"/>
  <c r="D10" i="74"/>
  <c r="C10" i="74"/>
  <c r="Q4" i="74"/>
  <c r="P4" i="74"/>
  <c r="O4" i="74"/>
  <c r="N4" i="74"/>
  <c r="M4" i="74"/>
  <c r="L4" i="74"/>
  <c r="K4" i="74"/>
  <c r="J4" i="74"/>
  <c r="I4" i="74"/>
  <c r="H4" i="74"/>
  <c r="G4" i="74"/>
  <c r="F4" i="74"/>
  <c r="E4" i="74"/>
  <c r="D4" i="74"/>
  <c r="C4" i="74"/>
  <c r="B4" i="74"/>
  <c r="U2" i="74"/>
  <c r="T2" i="74"/>
  <c r="B14" i="1"/>
  <c r="B15" i="1"/>
  <c r="E135" i="75" l="1"/>
  <c r="E127" i="75"/>
  <c r="G127" i="75"/>
  <c r="G135" i="75"/>
  <c r="F127" i="75"/>
  <c r="F135" i="75"/>
  <c r="AA55" i="1"/>
  <c r="Q10" i="74"/>
  <c r="B10" i="74"/>
  <c r="J9" i="74"/>
  <c r="J11" i="74" s="1"/>
  <c r="O14" i="1" s="1"/>
  <c r="C9" i="74"/>
  <c r="C11" i="74" s="1"/>
  <c r="H14" i="1" s="1"/>
  <c r="K9" i="74"/>
  <c r="K11" i="74" s="1"/>
  <c r="P14" i="1" s="1"/>
  <c r="B9" i="74"/>
  <c r="D9" i="74"/>
  <c r="D11" i="74" s="1"/>
  <c r="I14" i="1" s="1"/>
  <c r="L9" i="74"/>
  <c r="L11" i="74" s="1"/>
  <c r="Q14" i="1" s="1"/>
  <c r="E9" i="74"/>
  <c r="E11" i="74" s="1"/>
  <c r="J14" i="1" s="1"/>
  <c r="M9" i="74"/>
  <c r="M11" i="74" s="1"/>
  <c r="R14" i="1" s="1"/>
  <c r="F9" i="74"/>
  <c r="F11" i="74" s="1"/>
  <c r="K14" i="1" s="1"/>
  <c r="N9" i="74"/>
  <c r="N11" i="74" s="1"/>
  <c r="S14" i="1" s="1"/>
  <c r="G9" i="74"/>
  <c r="G11" i="74" s="1"/>
  <c r="L14" i="1" s="1"/>
  <c r="O9" i="74"/>
  <c r="O11" i="74" s="1"/>
  <c r="T14" i="1" s="1"/>
  <c r="H9" i="74"/>
  <c r="H11" i="74" s="1"/>
  <c r="M14" i="1" s="1"/>
  <c r="P9" i="74"/>
  <c r="P11" i="74" s="1"/>
  <c r="U14" i="1" s="1"/>
  <c r="I9" i="74"/>
  <c r="I11" i="74" s="1"/>
  <c r="N14" i="1" s="1"/>
  <c r="Q9" i="74"/>
  <c r="Q11" i="74" s="1"/>
  <c r="V14" i="1" s="1"/>
  <c r="R128" i="1" l="1"/>
  <c r="J128" i="1"/>
  <c r="H128" i="1"/>
  <c r="G128" i="1"/>
  <c r="S128" i="1"/>
  <c r="V128" i="1"/>
  <c r="M128" i="1"/>
  <c r="L128" i="1"/>
  <c r="I128" i="1"/>
  <c r="N128" i="1"/>
  <c r="T128" i="1"/>
  <c r="O128" i="1"/>
  <c r="Q128" i="1"/>
  <c r="U128" i="1"/>
  <c r="P128" i="1"/>
  <c r="K128" i="1"/>
  <c r="B11" i="74"/>
  <c r="G14" i="1" s="1"/>
  <c r="AA14" i="1" l="1"/>
  <c r="AD14" i="1"/>
  <c r="G107" i="66"/>
  <c r="G115" i="66" s="1"/>
  <c r="F107" i="66"/>
  <c r="F115" i="66" s="1"/>
  <c r="E107" i="66"/>
  <c r="E115" i="66" s="1"/>
  <c r="G97" i="66"/>
  <c r="F97" i="66"/>
  <c r="E97" i="66"/>
  <c r="M141" i="1"/>
  <c r="N141" i="1"/>
  <c r="O141" i="1"/>
  <c r="P141" i="1"/>
  <c r="Q141" i="1"/>
  <c r="R141" i="1"/>
  <c r="S141" i="1"/>
  <c r="T141" i="1"/>
  <c r="U141" i="1"/>
  <c r="V141" i="1"/>
  <c r="AA146" i="1"/>
  <c r="AA145" i="1"/>
  <c r="AA144" i="1"/>
  <c r="AA143" i="1"/>
  <c r="U82" i="70" a="1"/>
  <c r="U82" i="70" s="1"/>
  <c r="U81" i="70" a="1"/>
  <c r="U81" i="70" s="1"/>
  <c r="E119" i="70"/>
  <c r="U118" i="70" a="1"/>
  <c r="U118" i="70" s="1"/>
  <c r="U117" i="70" a="1"/>
  <c r="U117" i="70" s="1"/>
  <c r="U116" i="70" a="1"/>
  <c r="U116" i="70" s="1"/>
  <c r="U115" i="70" a="1"/>
  <c r="U115" i="70" s="1"/>
  <c r="U114" i="70" a="1"/>
  <c r="U114" i="70" s="1"/>
  <c r="U113" i="70" a="1"/>
  <c r="U113" i="70" s="1"/>
  <c r="U112" i="70" a="1"/>
  <c r="U112" i="70" s="1"/>
  <c r="U109" i="70" a="1"/>
  <c r="U109" i="70" s="1"/>
  <c r="U108" i="70" a="1"/>
  <c r="U108" i="70" s="1"/>
  <c r="U98" i="70" a="1"/>
  <c r="U98" i="70" s="1"/>
  <c r="U97" i="70" a="1"/>
  <c r="U97" i="70" s="1"/>
  <c r="U96" i="70" a="1"/>
  <c r="U96" i="70" s="1"/>
  <c r="U95" i="70" a="1"/>
  <c r="U95" i="70" s="1"/>
  <c r="U94" i="70" a="1"/>
  <c r="U94" i="70" s="1"/>
  <c r="S84" i="70"/>
  <c r="E84" i="70"/>
  <c r="U83" i="70" a="1"/>
  <c r="U83" i="70" s="1"/>
  <c r="U80" i="70" a="1"/>
  <c r="U80" i="70" s="1"/>
  <c r="U79" i="70" a="1"/>
  <c r="U79" i="70" s="1"/>
  <c r="U78" i="70" a="1"/>
  <c r="U78" i="70" s="1"/>
  <c r="U77" i="70" a="1"/>
  <c r="U77" i="70" s="1"/>
  <c r="U63" i="70" a="1"/>
  <c r="U63" i="70" s="1"/>
  <c r="U62" i="70" a="1"/>
  <c r="U62" i="70" s="1"/>
  <c r="U61" i="70" a="1"/>
  <c r="U61" i="70" s="1"/>
  <c r="U60" i="70" a="1"/>
  <c r="U60" i="70" s="1"/>
  <c r="U59" i="70" a="1"/>
  <c r="U59" i="70" s="1"/>
  <c r="U39" i="70" a="1"/>
  <c r="U39" i="70" s="1"/>
  <c r="L133" i="70" l="1"/>
  <c r="H133" i="70"/>
  <c r="P120" i="70"/>
  <c r="K120" i="70"/>
  <c r="G120" i="70"/>
  <c r="L120" i="70"/>
  <c r="K133" i="70"/>
  <c r="G133" i="70"/>
  <c r="O120" i="70"/>
  <c r="J120" i="70"/>
  <c r="F120" i="70"/>
  <c r="R120" i="70"/>
  <c r="R133" i="70"/>
  <c r="O133" i="70"/>
  <c r="J133" i="70"/>
  <c r="F133" i="70"/>
  <c r="S120" i="70"/>
  <c r="M120" i="70"/>
  <c r="I120" i="70"/>
  <c r="I133" i="70"/>
  <c r="H120" i="70"/>
  <c r="K132" i="70"/>
  <c r="G132" i="70"/>
  <c r="O85" i="70"/>
  <c r="J85" i="70"/>
  <c r="F85" i="70"/>
  <c r="R132" i="70"/>
  <c r="K85" i="70"/>
  <c r="J132" i="70"/>
  <c r="F132" i="70"/>
  <c r="M85" i="70"/>
  <c r="I85" i="70"/>
  <c r="O132" i="70"/>
  <c r="L132" i="70"/>
  <c r="G85" i="70"/>
  <c r="I132" i="70"/>
  <c r="R85" i="70"/>
  <c r="L85" i="70"/>
  <c r="H85" i="70"/>
  <c r="H132" i="70"/>
  <c r="P85" i="70"/>
  <c r="Q132" i="70"/>
  <c r="P132" i="70"/>
  <c r="S132" i="70"/>
  <c r="N132" i="70"/>
  <c r="E132" i="70"/>
  <c r="M132" i="70"/>
  <c r="M133" i="70"/>
  <c r="N133" i="70"/>
  <c r="S133" i="70"/>
  <c r="Q133" i="70"/>
  <c r="E133" i="70"/>
  <c r="P133" i="70"/>
  <c r="B84" i="1"/>
  <c r="B10" i="58"/>
  <c r="M44" i="1"/>
  <c r="N44" i="1"/>
  <c r="O44" i="1"/>
  <c r="P44" i="1"/>
  <c r="Q44" i="1"/>
  <c r="R44" i="1"/>
  <c r="S44" i="1"/>
  <c r="T44" i="1"/>
  <c r="U44" i="1"/>
  <c r="V44" i="1"/>
  <c r="M60" i="1"/>
  <c r="N60" i="1"/>
  <c r="O60" i="1"/>
  <c r="P60" i="1"/>
  <c r="Q60" i="1"/>
  <c r="R60" i="1"/>
  <c r="S60" i="1"/>
  <c r="U60" i="1"/>
  <c r="V60" i="1"/>
  <c r="H7" i="34"/>
  <c r="M45" i="1" s="1"/>
  <c r="I7" i="34"/>
  <c r="N45" i="1" s="1"/>
  <c r="J7" i="34"/>
  <c r="O45" i="1" s="1"/>
  <c r="K7" i="34"/>
  <c r="P45" i="1" s="1"/>
  <c r="L7" i="34"/>
  <c r="Q45" i="1" s="1"/>
  <c r="M7" i="34"/>
  <c r="R45" i="1" s="1"/>
  <c r="N7" i="34"/>
  <c r="S45" i="1" s="1"/>
  <c r="O7" i="34"/>
  <c r="T45" i="1" s="1"/>
  <c r="P7" i="34"/>
  <c r="U45" i="1" s="1"/>
  <c r="Q7" i="34"/>
  <c r="V45" i="1" s="1"/>
  <c r="P4" i="34"/>
  <c r="Q4" i="34"/>
  <c r="C4" i="34"/>
  <c r="D4" i="34"/>
  <c r="E4" i="34"/>
  <c r="F4" i="34"/>
  <c r="G4" i="34"/>
  <c r="H4" i="34"/>
  <c r="I4" i="34"/>
  <c r="J4" i="34"/>
  <c r="K4" i="34"/>
  <c r="L4" i="34"/>
  <c r="M4" i="34"/>
  <c r="N4" i="34"/>
  <c r="O4" i="34"/>
  <c r="B4" i="34"/>
  <c r="H7" i="32"/>
  <c r="I7" i="32"/>
  <c r="J7" i="32"/>
  <c r="K7" i="32"/>
  <c r="L7" i="32"/>
  <c r="M7" i="32"/>
  <c r="N7" i="32"/>
  <c r="O7" i="32"/>
  <c r="P7" i="32"/>
  <c r="Q7" i="32"/>
  <c r="Q4" i="32"/>
  <c r="C4" i="32"/>
  <c r="D4" i="32"/>
  <c r="E4" i="32"/>
  <c r="F4" i="32"/>
  <c r="G4" i="32"/>
  <c r="H4" i="32"/>
  <c r="I4" i="32"/>
  <c r="J4" i="32"/>
  <c r="K4" i="32"/>
  <c r="L4" i="32"/>
  <c r="M4" i="32"/>
  <c r="N4" i="32"/>
  <c r="O4" i="32"/>
  <c r="P4" i="32"/>
  <c r="B4" i="32"/>
  <c r="R91" i="68"/>
  <c r="R140" i="68" s="1"/>
  <c r="Q91" i="68"/>
  <c r="Q140" i="68" s="1"/>
  <c r="P91" i="68"/>
  <c r="P140" i="68" s="1"/>
  <c r="O91" i="68"/>
  <c r="O140" i="68" s="1"/>
  <c r="N91" i="68"/>
  <c r="N140" i="68" s="1"/>
  <c r="M91" i="68"/>
  <c r="M140" i="68" s="1"/>
  <c r="L91" i="68"/>
  <c r="L140" i="68" s="1"/>
  <c r="K91" i="68"/>
  <c r="K140" i="68" s="1"/>
  <c r="J91" i="68"/>
  <c r="J140" i="68" s="1"/>
  <c r="I91" i="68"/>
  <c r="I140" i="68" s="1"/>
  <c r="H91" i="68"/>
  <c r="H140" i="68" s="1"/>
  <c r="G91" i="68"/>
  <c r="G140" i="68" s="1"/>
  <c r="F91" i="68"/>
  <c r="F140" i="68" s="1"/>
  <c r="E91" i="68"/>
  <c r="E140" i="68" s="1"/>
  <c r="D91" i="68"/>
  <c r="D140" i="68" s="1"/>
  <c r="C91" i="68"/>
  <c r="C140" i="68" s="1"/>
  <c r="R59" i="68"/>
  <c r="Q59" i="68"/>
  <c r="P59" i="68"/>
  <c r="O59" i="68"/>
  <c r="N59" i="68"/>
  <c r="M59" i="68"/>
  <c r="L59" i="68"/>
  <c r="K59" i="68"/>
  <c r="J59" i="68"/>
  <c r="I59" i="68"/>
  <c r="H59" i="68"/>
  <c r="G59" i="68"/>
  <c r="F59" i="68"/>
  <c r="E59" i="68"/>
  <c r="D59" i="68"/>
  <c r="C59" i="68"/>
  <c r="R58" i="68"/>
  <c r="Q58" i="68"/>
  <c r="P58" i="68"/>
  <c r="O58" i="68"/>
  <c r="N58" i="68"/>
  <c r="M58" i="68"/>
  <c r="L58" i="68"/>
  <c r="K58" i="68"/>
  <c r="J58" i="68"/>
  <c r="I58" i="68"/>
  <c r="H58" i="68"/>
  <c r="G58" i="68"/>
  <c r="F58" i="68"/>
  <c r="E58" i="68"/>
  <c r="D58" i="68"/>
  <c r="C58" i="68"/>
  <c r="R10" i="68"/>
  <c r="Q10" i="68"/>
  <c r="P10" i="68"/>
  <c r="P146" i="68" s="1"/>
  <c r="O10" i="68"/>
  <c r="O146" i="68" s="1"/>
  <c r="N10" i="68"/>
  <c r="M10" i="68"/>
  <c r="M56" i="68" s="1"/>
  <c r="L10" i="68"/>
  <c r="L56" i="68" s="1"/>
  <c r="K10" i="68"/>
  <c r="K16" i="68" s="1"/>
  <c r="J10" i="68"/>
  <c r="J47" i="68" s="1"/>
  <c r="I10" i="68"/>
  <c r="I56" i="68" s="1"/>
  <c r="H10" i="68"/>
  <c r="G10" i="68"/>
  <c r="G56" i="68" s="1"/>
  <c r="F10" i="68"/>
  <c r="F47" i="68" s="1"/>
  <c r="E10" i="68"/>
  <c r="E56" i="68" s="1"/>
  <c r="D10" i="68"/>
  <c r="C10" i="68"/>
  <c r="C36" i="68" s="1"/>
  <c r="R2" i="68"/>
  <c r="Q2" i="68"/>
  <c r="R91" i="59"/>
  <c r="Q91" i="59"/>
  <c r="Q140" i="59" s="1"/>
  <c r="P91" i="59"/>
  <c r="O91" i="59"/>
  <c r="O140" i="59" s="1"/>
  <c r="N91" i="59"/>
  <c r="N140" i="59" s="1"/>
  <c r="M91" i="59"/>
  <c r="M140" i="59" s="1"/>
  <c r="L91" i="59"/>
  <c r="K91" i="59"/>
  <c r="K140" i="59" s="1"/>
  <c r="J91" i="59"/>
  <c r="J140" i="59" s="1"/>
  <c r="I91" i="59"/>
  <c r="I140" i="59" s="1"/>
  <c r="L140" i="59"/>
  <c r="P140" i="59"/>
  <c r="R140" i="59"/>
  <c r="Q10" i="59"/>
  <c r="R10" i="59"/>
  <c r="R146" i="59" s="1"/>
  <c r="D10" i="59"/>
  <c r="D16" i="59" s="1"/>
  <c r="E10" i="59"/>
  <c r="F10" i="59"/>
  <c r="F16" i="59" s="1"/>
  <c r="G10" i="59"/>
  <c r="G95" i="59" s="1"/>
  <c r="H10" i="59"/>
  <c r="H16" i="59" s="1"/>
  <c r="I10" i="59"/>
  <c r="J10" i="59"/>
  <c r="K10" i="59"/>
  <c r="K136" i="59" s="1"/>
  <c r="L10" i="59"/>
  <c r="L16" i="59" s="1"/>
  <c r="M10" i="59"/>
  <c r="N10" i="59"/>
  <c r="N16" i="59" s="1"/>
  <c r="O10" i="59"/>
  <c r="O95" i="59" s="1"/>
  <c r="P10" i="59"/>
  <c r="P16" i="59" s="1"/>
  <c r="C10" i="59"/>
  <c r="C146" i="59" s="1"/>
  <c r="A32" i="58"/>
  <c r="A31" i="58"/>
  <c r="A30" i="58"/>
  <c r="A29" i="58"/>
  <c r="A28" i="58"/>
  <c r="A27" i="58"/>
  <c r="A26" i="58"/>
  <c r="A25" i="58"/>
  <c r="A24" i="58"/>
  <c r="A23" i="58"/>
  <c r="A22" i="58"/>
  <c r="A21" i="58"/>
  <c r="A20" i="58"/>
  <c r="A19" i="58"/>
  <c r="A18" i="58"/>
  <c r="A17" i="58"/>
  <c r="A51" i="57"/>
  <c r="A50" i="57"/>
  <c r="A49" i="57"/>
  <c r="A48" i="57"/>
  <c r="A47" i="57"/>
  <c r="A46" i="57"/>
  <c r="A45" i="57"/>
  <c r="A44" i="57"/>
  <c r="A43" i="57"/>
  <c r="A42" i="57"/>
  <c r="A41" i="57"/>
  <c r="A40" i="57"/>
  <c r="A39" i="57"/>
  <c r="A38" i="57"/>
  <c r="A37" i="57"/>
  <c r="A36" i="57"/>
  <c r="E158" i="70" l="1"/>
  <c r="E159" i="70"/>
  <c r="T159" i="70"/>
  <c r="J159" i="70"/>
  <c r="M159" i="70"/>
  <c r="S159" i="70"/>
  <c r="L159" i="70"/>
  <c r="I159" i="70"/>
  <c r="K159" i="70"/>
  <c r="F159" i="70"/>
  <c r="P159" i="70"/>
  <c r="R159" i="70"/>
  <c r="N159" i="70"/>
  <c r="O159" i="70"/>
  <c r="H159" i="70"/>
  <c r="Q159" i="70"/>
  <c r="T158" i="70"/>
  <c r="O158" i="70"/>
  <c r="P158" i="70"/>
  <c r="N158" i="70"/>
  <c r="R158" i="70"/>
  <c r="Q158" i="70"/>
  <c r="M158" i="70"/>
  <c r="J158" i="70"/>
  <c r="I158" i="70"/>
  <c r="H158" i="70"/>
  <c r="S158" i="70"/>
  <c r="F158" i="70"/>
  <c r="K158" i="70"/>
  <c r="L158" i="70"/>
  <c r="E23" i="75"/>
  <c r="E56" i="75" s="1"/>
  <c r="E24" i="75"/>
  <c r="E57" i="75" s="1"/>
  <c r="H36" i="59"/>
  <c r="H71" i="59"/>
  <c r="P71" i="59"/>
  <c r="D56" i="59"/>
  <c r="L83" i="59"/>
  <c r="P36" i="59"/>
  <c r="L56" i="59"/>
  <c r="P95" i="59"/>
  <c r="K114" i="59"/>
  <c r="K16" i="59"/>
  <c r="G68" i="59"/>
  <c r="K76" i="59"/>
  <c r="O87" i="59"/>
  <c r="D136" i="59"/>
  <c r="P42" i="1"/>
  <c r="V42" i="1"/>
  <c r="R42" i="1"/>
  <c r="N42" i="1"/>
  <c r="O24" i="59"/>
  <c r="G146" i="59"/>
  <c r="G87" i="59"/>
  <c r="O146" i="59"/>
  <c r="G24" i="59"/>
  <c r="K47" i="59"/>
  <c r="O68" i="59"/>
  <c r="D83" i="59"/>
  <c r="H95" i="59"/>
  <c r="L136" i="59"/>
  <c r="S42" i="1"/>
  <c r="O42" i="1"/>
  <c r="R16" i="59"/>
  <c r="G16" i="59"/>
  <c r="H24" i="59"/>
  <c r="P24" i="59"/>
  <c r="K36" i="59"/>
  <c r="D47" i="59"/>
  <c r="L47" i="59"/>
  <c r="G56" i="59"/>
  <c r="O56" i="59"/>
  <c r="H68" i="59"/>
  <c r="P68" i="59"/>
  <c r="K71" i="59"/>
  <c r="D76" i="59"/>
  <c r="L76" i="59"/>
  <c r="G83" i="59"/>
  <c r="O83" i="59"/>
  <c r="H87" i="59"/>
  <c r="P87" i="59"/>
  <c r="K95" i="59"/>
  <c r="D114" i="59"/>
  <c r="L114" i="59"/>
  <c r="G136" i="59"/>
  <c r="O136" i="59"/>
  <c r="H146" i="59"/>
  <c r="P146" i="59"/>
  <c r="U42" i="1"/>
  <c r="Q42" i="1"/>
  <c r="M42" i="1"/>
  <c r="O16" i="59"/>
  <c r="K24" i="59"/>
  <c r="D36" i="59"/>
  <c r="L36" i="59"/>
  <c r="G47" i="59"/>
  <c r="O47" i="59"/>
  <c r="H56" i="59"/>
  <c r="P56" i="59"/>
  <c r="K68" i="59"/>
  <c r="D71" i="59"/>
  <c r="L71" i="59"/>
  <c r="G76" i="59"/>
  <c r="O76" i="59"/>
  <c r="H83" i="59"/>
  <c r="P83" i="59"/>
  <c r="K87" i="59"/>
  <c r="D95" i="59"/>
  <c r="L95" i="59"/>
  <c r="G114" i="59"/>
  <c r="O114" i="59"/>
  <c r="H136" i="59"/>
  <c r="P136" i="59"/>
  <c r="K146" i="59"/>
  <c r="D24" i="59"/>
  <c r="L24" i="59"/>
  <c r="G36" i="59"/>
  <c r="O36" i="59"/>
  <c r="H47" i="59"/>
  <c r="P47" i="59"/>
  <c r="K56" i="59"/>
  <c r="D68" i="59"/>
  <c r="L68" i="59"/>
  <c r="G71" i="59"/>
  <c r="O71" i="59"/>
  <c r="H76" i="59"/>
  <c r="P76" i="59"/>
  <c r="K83" i="59"/>
  <c r="D87" i="59"/>
  <c r="L87" i="59"/>
  <c r="H114" i="59"/>
  <c r="P114" i="59"/>
  <c r="D146" i="59"/>
  <c r="L146" i="59"/>
  <c r="N146" i="59"/>
  <c r="N136" i="59"/>
  <c r="N114" i="59"/>
  <c r="N95" i="59"/>
  <c r="N87" i="59"/>
  <c r="N83" i="59"/>
  <c r="N76" i="59"/>
  <c r="N71" i="59"/>
  <c r="N68" i="59"/>
  <c r="N56" i="59"/>
  <c r="N47" i="59"/>
  <c r="N36" i="59"/>
  <c r="N24" i="59"/>
  <c r="J146" i="59"/>
  <c r="J136" i="59"/>
  <c r="J114" i="59"/>
  <c r="J95" i="59"/>
  <c r="J87" i="59"/>
  <c r="J83" i="59"/>
  <c r="J76" i="59"/>
  <c r="J71" i="59"/>
  <c r="J68" i="59"/>
  <c r="J56" i="59"/>
  <c r="J47" i="59"/>
  <c r="J36" i="59"/>
  <c r="J24" i="59"/>
  <c r="F146" i="59"/>
  <c r="F136" i="59"/>
  <c r="F114" i="59"/>
  <c r="F95" i="59"/>
  <c r="F87" i="59"/>
  <c r="F83" i="59"/>
  <c r="F76" i="59"/>
  <c r="F71" i="59"/>
  <c r="F68" i="59"/>
  <c r="F56" i="59"/>
  <c r="F47" i="59"/>
  <c r="F36" i="59"/>
  <c r="F24" i="59"/>
  <c r="Q146" i="59"/>
  <c r="Q136" i="59"/>
  <c r="Q114" i="59"/>
  <c r="Q95" i="59"/>
  <c r="Q87" i="59"/>
  <c r="Q83" i="59"/>
  <c r="Q76" i="59"/>
  <c r="Q71" i="59"/>
  <c r="Q68" i="59"/>
  <c r="Q56" i="59"/>
  <c r="Q47" i="59"/>
  <c r="Q36" i="59"/>
  <c r="Q24" i="59"/>
  <c r="Q16" i="59"/>
  <c r="C24" i="59"/>
  <c r="C36" i="59"/>
  <c r="C47" i="59"/>
  <c r="C56" i="59"/>
  <c r="C68" i="59"/>
  <c r="C71" i="59"/>
  <c r="C76" i="59"/>
  <c r="C83" i="59"/>
  <c r="C87" i="59"/>
  <c r="C95" i="59"/>
  <c r="C114" i="59"/>
  <c r="C136" i="59"/>
  <c r="T42" i="1"/>
  <c r="M146" i="59"/>
  <c r="M136" i="59"/>
  <c r="M114" i="59"/>
  <c r="M95" i="59"/>
  <c r="M87" i="59"/>
  <c r="M83" i="59"/>
  <c r="M76" i="59"/>
  <c r="M71" i="59"/>
  <c r="M68" i="59"/>
  <c r="M56" i="59"/>
  <c r="M47" i="59"/>
  <c r="M36" i="59"/>
  <c r="M24" i="59"/>
  <c r="M16" i="59"/>
  <c r="I146" i="59"/>
  <c r="I136" i="59"/>
  <c r="I114" i="59"/>
  <c r="I95" i="59"/>
  <c r="I87" i="59"/>
  <c r="I83" i="59"/>
  <c r="I76" i="59"/>
  <c r="I71" i="59"/>
  <c r="I68" i="59"/>
  <c r="I56" i="59"/>
  <c r="I47" i="59"/>
  <c r="I36" i="59"/>
  <c r="I24" i="59"/>
  <c r="I16" i="59"/>
  <c r="E146" i="59"/>
  <c r="E136" i="59"/>
  <c r="E114" i="59"/>
  <c r="E95" i="59"/>
  <c r="E87" i="59"/>
  <c r="E83" i="59"/>
  <c r="E76" i="59"/>
  <c r="E71" i="59"/>
  <c r="E68" i="59"/>
  <c r="E56" i="59"/>
  <c r="E47" i="59"/>
  <c r="E36" i="59"/>
  <c r="E24" i="59"/>
  <c r="E16" i="59"/>
  <c r="J16" i="59"/>
  <c r="D47" i="68"/>
  <c r="D56" i="68"/>
  <c r="H146" i="68"/>
  <c r="H56" i="68"/>
  <c r="R24" i="59"/>
  <c r="R36" i="59"/>
  <c r="R47" i="59"/>
  <c r="R56" i="59"/>
  <c r="R68" i="59"/>
  <c r="R71" i="59"/>
  <c r="R76" i="59"/>
  <c r="R83" i="59"/>
  <c r="R87" i="59"/>
  <c r="R95" i="59"/>
  <c r="R114" i="59"/>
  <c r="R136" i="59"/>
  <c r="N146" i="68"/>
  <c r="N136" i="68"/>
  <c r="N114" i="68"/>
  <c r="N95" i="68"/>
  <c r="N87" i="68"/>
  <c r="N83" i="68"/>
  <c r="N76" i="68"/>
  <c r="N71" i="68"/>
  <c r="N68" i="68"/>
  <c r="N56" i="68"/>
  <c r="R146" i="68"/>
  <c r="R136" i="68"/>
  <c r="R114" i="68"/>
  <c r="R95" i="68"/>
  <c r="R87" i="68"/>
  <c r="R83" i="68"/>
  <c r="R76" i="68"/>
  <c r="R71" i="68"/>
  <c r="R68" i="68"/>
  <c r="R56" i="68"/>
  <c r="R47" i="68"/>
  <c r="F16" i="68"/>
  <c r="J16" i="68"/>
  <c r="R16" i="68"/>
  <c r="N24" i="68"/>
  <c r="R24" i="68"/>
  <c r="F36" i="68"/>
  <c r="J36" i="68"/>
  <c r="N36" i="68"/>
  <c r="R36" i="68"/>
  <c r="N47" i="68"/>
  <c r="C56" i="68"/>
  <c r="C68" i="68"/>
  <c r="K68" i="68"/>
  <c r="C71" i="68"/>
  <c r="K71" i="68"/>
  <c r="C76" i="68"/>
  <c r="K76" i="68"/>
  <c r="C83" i="68"/>
  <c r="K83" i="68"/>
  <c r="C87" i="68"/>
  <c r="K87" i="68"/>
  <c r="C95" i="68"/>
  <c r="K95" i="68"/>
  <c r="C114" i="68"/>
  <c r="K114" i="68"/>
  <c r="C136" i="68"/>
  <c r="K136" i="68"/>
  <c r="C146" i="68"/>
  <c r="K146" i="68"/>
  <c r="N16" i="68"/>
  <c r="C16" i="68"/>
  <c r="C24" i="68"/>
  <c r="O24" i="68"/>
  <c r="K36" i="68"/>
  <c r="C47" i="68"/>
  <c r="G47" i="68"/>
  <c r="K47" i="68"/>
  <c r="O47" i="68"/>
  <c r="O56" i="68"/>
  <c r="D68" i="68"/>
  <c r="L68" i="68"/>
  <c r="D71" i="68"/>
  <c r="L71" i="68"/>
  <c r="D76" i="68"/>
  <c r="L76" i="68"/>
  <c r="D83" i="68"/>
  <c r="L83" i="68"/>
  <c r="D87" i="68"/>
  <c r="L87" i="68"/>
  <c r="D95" i="68"/>
  <c r="L95" i="68"/>
  <c r="D114" i="68"/>
  <c r="L114" i="68"/>
  <c r="D136" i="68"/>
  <c r="L136" i="68"/>
  <c r="D146" i="68"/>
  <c r="L146" i="68"/>
  <c r="J146" i="68"/>
  <c r="J136" i="68"/>
  <c r="J114" i="68"/>
  <c r="J95" i="68"/>
  <c r="J87" i="68"/>
  <c r="J83" i="68"/>
  <c r="J76" i="68"/>
  <c r="J71" i="68"/>
  <c r="J68" i="68"/>
  <c r="J56" i="68"/>
  <c r="J24" i="68"/>
  <c r="G16" i="68"/>
  <c r="O16" i="68"/>
  <c r="G24" i="68"/>
  <c r="K24" i="68"/>
  <c r="G36" i="68"/>
  <c r="O36" i="68"/>
  <c r="D16" i="68"/>
  <c r="H16" i="68"/>
  <c r="L16" i="68"/>
  <c r="P16" i="68"/>
  <c r="D24" i="68"/>
  <c r="H24" i="68"/>
  <c r="L24" i="68"/>
  <c r="P24" i="68"/>
  <c r="D36" i="68"/>
  <c r="H36" i="68"/>
  <c r="L36" i="68"/>
  <c r="P36" i="68"/>
  <c r="H47" i="68"/>
  <c r="L47" i="68"/>
  <c r="P47" i="68"/>
  <c r="K56" i="68"/>
  <c r="P56" i="68"/>
  <c r="G68" i="68"/>
  <c r="O68" i="68"/>
  <c r="G71" i="68"/>
  <c r="O71" i="68"/>
  <c r="G76" i="68"/>
  <c r="O76" i="68"/>
  <c r="G83" i="68"/>
  <c r="O83" i="68"/>
  <c r="G87" i="68"/>
  <c r="O87" i="68"/>
  <c r="G95" i="68"/>
  <c r="O95" i="68"/>
  <c r="G114" i="68"/>
  <c r="O114" i="68"/>
  <c r="G136" i="68"/>
  <c r="O136" i="68"/>
  <c r="G146" i="68"/>
  <c r="F146" i="68"/>
  <c r="F136" i="68"/>
  <c r="F114" i="68"/>
  <c r="F95" i="68"/>
  <c r="F87" i="68"/>
  <c r="F83" i="68"/>
  <c r="F76" i="68"/>
  <c r="F71" i="68"/>
  <c r="F68" i="68"/>
  <c r="F56" i="68"/>
  <c r="F24" i="68"/>
  <c r="E146" i="68"/>
  <c r="E136" i="68"/>
  <c r="E114" i="68"/>
  <c r="E95" i="68"/>
  <c r="E87" i="68"/>
  <c r="E83" i="68"/>
  <c r="E76" i="68"/>
  <c r="E71" i="68"/>
  <c r="E68" i="68"/>
  <c r="I146" i="68"/>
  <c r="I136" i="68"/>
  <c r="I114" i="68"/>
  <c r="I95" i="68"/>
  <c r="I87" i="68"/>
  <c r="I83" i="68"/>
  <c r="I76" i="68"/>
  <c r="I71" i="68"/>
  <c r="I68" i="68"/>
  <c r="M146" i="68"/>
  <c r="M136" i="68"/>
  <c r="M114" i="68"/>
  <c r="M95" i="68"/>
  <c r="M87" i="68"/>
  <c r="M83" i="68"/>
  <c r="M76" i="68"/>
  <c r="M71" i="68"/>
  <c r="M68" i="68"/>
  <c r="Q146" i="68"/>
  <c r="Q136" i="68"/>
  <c r="Q114" i="68"/>
  <c r="Q95" i="68"/>
  <c r="Q87" i="68"/>
  <c r="Q83" i="68"/>
  <c r="Q76" i="68"/>
  <c r="Q71" i="68"/>
  <c r="Q68" i="68"/>
  <c r="E16" i="68"/>
  <c r="I16" i="68"/>
  <c r="M16" i="68"/>
  <c r="Q16" i="68"/>
  <c r="E24" i="68"/>
  <c r="I24" i="68"/>
  <c r="M24" i="68"/>
  <c r="Q24" i="68"/>
  <c r="E36" i="68"/>
  <c r="I36" i="68"/>
  <c r="M36" i="68"/>
  <c r="Q36" i="68"/>
  <c r="E47" i="68"/>
  <c r="I47" i="68"/>
  <c r="M47" i="68"/>
  <c r="Q47" i="68"/>
  <c r="Q56" i="68"/>
  <c r="H68" i="68"/>
  <c r="P68" i="68"/>
  <c r="H71" i="68"/>
  <c r="P71" i="68"/>
  <c r="H76" i="68"/>
  <c r="P76" i="68"/>
  <c r="H83" i="68"/>
  <c r="P83" i="68"/>
  <c r="H87" i="68"/>
  <c r="P87" i="68"/>
  <c r="H95" i="68"/>
  <c r="P95" i="68"/>
  <c r="H114" i="68"/>
  <c r="P114" i="68"/>
  <c r="H136" i="68"/>
  <c r="P136" i="68"/>
  <c r="G28" i="57" l="1"/>
  <c r="G27" i="57"/>
  <c r="B28" i="57"/>
  <c r="C4" i="56"/>
  <c r="D4" i="56"/>
  <c r="E4" i="56"/>
  <c r="F4" i="56"/>
  <c r="G4" i="56"/>
  <c r="H4" i="56"/>
  <c r="I4" i="56"/>
  <c r="J4" i="56"/>
  <c r="K4" i="56"/>
  <c r="L4" i="56"/>
  <c r="M4" i="56"/>
  <c r="N4" i="56"/>
  <c r="O4" i="56"/>
  <c r="P4" i="56"/>
  <c r="Q4" i="56"/>
  <c r="B4" i="56"/>
  <c r="C4" i="31"/>
  <c r="D4" i="31"/>
  <c r="E4" i="31"/>
  <c r="F4" i="31"/>
  <c r="G4" i="31"/>
  <c r="H4" i="31"/>
  <c r="I4" i="31"/>
  <c r="J4" i="31"/>
  <c r="K4" i="31"/>
  <c r="L4" i="31"/>
  <c r="M4" i="31"/>
  <c r="N4" i="31"/>
  <c r="O4" i="31"/>
  <c r="P4" i="31"/>
  <c r="Q4" i="31"/>
  <c r="B4" i="31"/>
  <c r="C4" i="15"/>
  <c r="D4" i="15"/>
  <c r="E4" i="15"/>
  <c r="F4" i="15"/>
  <c r="G4" i="15"/>
  <c r="H4" i="15"/>
  <c r="I4" i="15"/>
  <c r="J4" i="15"/>
  <c r="K4" i="15"/>
  <c r="L4" i="15"/>
  <c r="M4" i="15"/>
  <c r="N4" i="15"/>
  <c r="O4" i="15"/>
  <c r="P4" i="15"/>
  <c r="Q4" i="15"/>
  <c r="B4" i="15"/>
  <c r="U48" i="70" a="1"/>
  <c r="U48" i="70" s="1"/>
  <c r="U47" i="70" a="1"/>
  <c r="U47" i="70" s="1"/>
  <c r="U46" i="70" a="1"/>
  <c r="U46" i="70" s="1"/>
  <c r="U45" i="70" a="1"/>
  <c r="U45" i="70" s="1"/>
  <c r="U44" i="70" a="1"/>
  <c r="U44" i="70" s="1"/>
  <c r="U43" i="70" a="1"/>
  <c r="U43" i="70" s="1"/>
  <c r="U42" i="70" a="1"/>
  <c r="U42" i="70" s="1"/>
  <c r="U38" i="70" a="1"/>
  <c r="U38" i="70" s="1"/>
  <c r="U28" i="70" a="1"/>
  <c r="U28" i="70" s="1"/>
  <c r="U27" i="70" a="1"/>
  <c r="U27" i="70" s="1"/>
  <c r="U26" i="70" a="1"/>
  <c r="U26" i="70" s="1"/>
  <c r="U25" i="70" a="1"/>
  <c r="U25" i="70" s="1"/>
  <c r="U24" i="70" a="1"/>
  <c r="U24" i="70" s="1"/>
  <c r="AB2" i="70"/>
  <c r="AA2" i="70"/>
  <c r="C16" i="59"/>
  <c r="B46" i="1"/>
  <c r="B45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B37" i="1"/>
  <c r="L44" i="1"/>
  <c r="L60" i="1"/>
  <c r="AA6" i="1"/>
  <c r="AA7" i="1"/>
  <c r="H8" i="56"/>
  <c r="I8" i="56"/>
  <c r="J8" i="56"/>
  <c r="K8" i="56"/>
  <c r="L8" i="56"/>
  <c r="M8" i="56"/>
  <c r="N8" i="56"/>
  <c r="O8" i="56"/>
  <c r="P8" i="56"/>
  <c r="Q8" i="56"/>
  <c r="H9" i="56"/>
  <c r="I9" i="56"/>
  <c r="J9" i="56"/>
  <c r="K9" i="56"/>
  <c r="L9" i="56"/>
  <c r="M9" i="56"/>
  <c r="N9" i="56"/>
  <c r="O9" i="56"/>
  <c r="P9" i="56"/>
  <c r="Q9" i="56"/>
  <c r="N11" i="56"/>
  <c r="S15" i="1" s="1"/>
  <c r="H10" i="56"/>
  <c r="H11" i="56" s="1"/>
  <c r="M15" i="1" s="1"/>
  <c r="I10" i="56"/>
  <c r="J10" i="56"/>
  <c r="J11" i="56" s="1"/>
  <c r="O15" i="1" s="1"/>
  <c r="K10" i="56"/>
  <c r="L10" i="56"/>
  <c r="M10" i="56"/>
  <c r="N10" i="56"/>
  <c r="O10" i="56"/>
  <c r="P10" i="56"/>
  <c r="Q10" i="56"/>
  <c r="M11" i="56"/>
  <c r="R15" i="1" s="1"/>
  <c r="M8" i="1"/>
  <c r="N8" i="1"/>
  <c r="O8" i="1"/>
  <c r="P8" i="1"/>
  <c r="Q8" i="1"/>
  <c r="R8" i="1"/>
  <c r="S8" i="1"/>
  <c r="T8" i="1"/>
  <c r="U8" i="1"/>
  <c r="V8" i="1"/>
  <c r="G10" i="56"/>
  <c r="F10" i="56"/>
  <c r="E10" i="56"/>
  <c r="D10" i="56"/>
  <c r="C10" i="56"/>
  <c r="B10" i="56"/>
  <c r="G9" i="56"/>
  <c r="F9" i="56"/>
  <c r="E9" i="56"/>
  <c r="D9" i="56"/>
  <c r="D11" i="56" s="1"/>
  <c r="C9" i="56"/>
  <c r="B9" i="56"/>
  <c r="G8" i="56"/>
  <c r="F8" i="56"/>
  <c r="E8" i="56"/>
  <c r="D8" i="56"/>
  <c r="C8" i="56"/>
  <c r="B8" i="56"/>
  <c r="B52" i="1"/>
  <c r="K50" i="70" l="1"/>
  <c r="F50" i="70"/>
  <c r="J50" i="70"/>
  <c r="E50" i="70"/>
  <c r="I50" i="70"/>
  <c r="O50" i="70"/>
  <c r="T50" i="70"/>
  <c r="H50" i="70"/>
  <c r="S50" i="70"/>
  <c r="G50" i="70"/>
  <c r="R50" i="70"/>
  <c r="Q50" i="70"/>
  <c r="P50" i="70"/>
  <c r="M50" i="70"/>
  <c r="L50" i="70"/>
  <c r="N50" i="70"/>
  <c r="R131" i="70"/>
  <c r="O131" i="70"/>
  <c r="I134" i="70"/>
  <c r="J131" i="70"/>
  <c r="F131" i="70"/>
  <c r="F134" i="70"/>
  <c r="G131" i="70"/>
  <c r="R134" i="70"/>
  <c r="D154" i="70" s="1"/>
  <c r="O134" i="70"/>
  <c r="D151" i="70" s="1"/>
  <c r="L134" i="70"/>
  <c r="H134" i="70"/>
  <c r="I131" i="70"/>
  <c r="K131" i="70"/>
  <c r="K134" i="70"/>
  <c r="G134" i="70"/>
  <c r="L131" i="70"/>
  <c r="H131" i="70"/>
  <c r="J134" i="70"/>
  <c r="S130" i="70"/>
  <c r="N130" i="70"/>
  <c r="H130" i="70"/>
  <c r="O130" i="70"/>
  <c r="G130" i="70"/>
  <c r="I130" i="70"/>
  <c r="Q130" i="70"/>
  <c r="R130" i="70"/>
  <c r="J130" i="70"/>
  <c r="L130" i="70"/>
  <c r="F130" i="70"/>
  <c r="K130" i="70"/>
  <c r="P130" i="70"/>
  <c r="M131" i="70"/>
  <c r="E131" i="70"/>
  <c r="N131" i="70"/>
  <c r="P131" i="70"/>
  <c r="S131" i="70"/>
  <c r="Q131" i="70"/>
  <c r="S134" i="70"/>
  <c r="D155" i="70" s="1"/>
  <c r="M134" i="70"/>
  <c r="E134" i="70"/>
  <c r="D141" i="70" s="1"/>
  <c r="P134" i="70"/>
  <c r="D152" i="70" s="1"/>
  <c r="N134" i="70"/>
  <c r="D150" i="70" s="1"/>
  <c r="Q134" i="70"/>
  <c r="D153" i="70" s="1"/>
  <c r="P11" i="56"/>
  <c r="U15" i="1" s="1"/>
  <c r="L11" i="56"/>
  <c r="Q15" i="1" s="1"/>
  <c r="B11" i="56"/>
  <c r="F11" i="56"/>
  <c r="Q11" i="56"/>
  <c r="V15" i="1" s="1"/>
  <c r="I11" i="56"/>
  <c r="N15" i="1" s="1"/>
  <c r="C11" i="56"/>
  <c r="G11" i="56"/>
  <c r="L15" i="1" s="1"/>
  <c r="E11" i="56"/>
  <c r="O11" i="56"/>
  <c r="T15" i="1" s="1"/>
  <c r="K11" i="56"/>
  <c r="P15" i="1" s="1"/>
  <c r="G64" i="66"/>
  <c r="F64" i="66"/>
  <c r="E64" i="66"/>
  <c r="B22" i="1"/>
  <c r="B21" i="1"/>
  <c r="B13" i="1"/>
  <c r="G78" i="66"/>
  <c r="F78" i="66"/>
  <c r="E78" i="66"/>
  <c r="B118" i="1"/>
  <c r="B138" i="66"/>
  <c r="B137" i="66"/>
  <c r="B134" i="66"/>
  <c r="B133" i="66"/>
  <c r="B129" i="66"/>
  <c r="B128" i="66"/>
  <c r="G95" i="66"/>
  <c r="G114" i="66" s="1"/>
  <c r="E95" i="66"/>
  <c r="E114" i="66" s="1"/>
  <c r="F95" i="66"/>
  <c r="F114" i="66" s="1"/>
  <c r="G6" i="66"/>
  <c r="F6" i="66"/>
  <c r="E6" i="66"/>
  <c r="G5" i="66"/>
  <c r="F5" i="66"/>
  <c r="E5" i="66"/>
  <c r="E157" i="70" l="1"/>
  <c r="E156" i="70"/>
  <c r="G84" i="1" s="1"/>
  <c r="R156" i="70"/>
  <c r="N156" i="70"/>
  <c r="J156" i="70"/>
  <c r="T156" i="70"/>
  <c r="P156" i="70"/>
  <c r="L156" i="70"/>
  <c r="H156" i="70"/>
  <c r="S156" i="70"/>
  <c r="O156" i="70"/>
  <c r="K156" i="70"/>
  <c r="F156" i="70"/>
  <c r="Q156" i="70"/>
  <c r="M156" i="70"/>
  <c r="I156" i="70"/>
  <c r="T157" i="70"/>
  <c r="M157" i="70"/>
  <c r="I157" i="70"/>
  <c r="R157" i="70"/>
  <c r="S157" i="70"/>
  <c r="P157" i="70"/>
  <c r="N157" i="70"/>
  <c r="H157" i="70"/>
  <c r="O157" i="70"/>
  <c r="K157" i="70"/>
  <c r="J157" i="70"/>
  <c r="F157" i="70"/>
  <c r="L157" i="70"/>
  <c r="Q157" i="70"/>
  <c r="E22" i="75"/>
  <c r="M130" i="70"/>
  <c r="S85" i="70"/>
  <c r="E7" i="66"/>
  <c r="G7" i="66"/>
  <c r="F7" i="66"/>
  <c r="Q120" i="70" l="1"/>
  <c r="Q85" i="70"/>
  <c r="N120" i="70"/>
  <c r="N85" i="70"/>
  <c r="AC76" i="70"/>
  <c r="AC65" i="70"/>
  <c r="AC110" i="70"/>
  <c r="AC75" i="70"/>
  <c r="AC64" i="70"/>
  <c r="AC111" i="70"/>
  <c r="E55" i="75"/>
  <c r="E58" i="75" s="1"/>
  <c r="E25" i="75"/>
  <c r="G153" i="70"/>
  <c r="G156" i="70" s="1"/>
  <c r="E120" i="70"/>
  <c r="E121" i="70" s="1"/>
  <c r="E85" i="70"/>
  <c r="E130" i="70"/>
  <c r="AC60" i="70"/>
  <c r="AC80" i="70"/>
  <c r="AC83" i="70"/>
  <c r="AC79" i="70"/>
  <c r="AC61" i="70"/>
  <c r="AC78" i="70"/>
  <c r="AC77" i="70"/>
  <c r="AC63" i="70"/>
  <c r="AC62" i="70"/>
  <c r="C79" i="68"/>
  <c r="C139" i="68" s="1"/>
  <c r="E76" i="75" s="1"/>
  <c r="V94" i="70"/>
  <c r="AE94" i="70" s="1"/>
  <c r="AC109" i="70"/>
  <c r="AC108" i="70"/>
  <c r="AC39" i="70"/>
  <c r="AC38" i="70"/>
  <c r="AC26" i="70"/>
  <c r="AC28" i="70"/>
  <c r="AC48" i="70"/>
  <c r="G159" i="70" l="1"/>
  <c r="G24" i="75" s="1"/>
  <c r="G57" i="75" s="1"/>
  <c r="G158" i="70"/>
  <c r="G23" i="75" s="1"/>
  <c r="G56" i="75" s="1"/>
  <c r="G157" i="70"/>
  <c r="G22" i="75" s="1"/>
  <c r="AC72" i="70"/>
  <c r="V72" i="70"/>
  <c r="AE72" i="70" s="1"/>
  <c r="AC36" i="70"/>
  <c r="V36" i="70"/>
  <c r="AE36" i="70" s="1"/>
  <c r="AC107" i="70"/>
  <c r="V107" i="70"/>
  <c r="AE107" i="70" s="1"/>
  <c r="AC104" i="70"/>
  <c r="V104" i="70"/>
  <c r="AE104" i="70" s="1"/>
  <c r="AC99" i="70"/>
  <c r="V99" i="70"/>
  <c r="AE99" i="70" s="1"/>
  <c r="AC71" i="70"/>
  <c r="V71" i="70"/>
  <c r="AE71" i="70" s="1"/>
  <c r="AC67" i="70"/>
  <c r="V67" i="70"/>
  <c r="AE67" i="70" s="1"/>
  <c r="V35" i="70"/>
  <c r="AE35" i="70" s="1"/>
  <c r="AC35" i="70"/>
  <c r="V31" i="70"/>
  <c r="AE31" i="70" s="1"/>
  <c r="AC31" i="70"/>
  <c r="AC100" i="70"/>
  <c r="V100" i="70"/>
  <c r="AE100" i="70" s="1"/>
  <c r="AC68" i="70"/>
  <c r="V68" i="70"/>
  <c r="AE68" i="70" s="1"/>
  <c r="AC102" i="70"/>
  <c r="V102" i="70"/>
  <c r="AE102" i="70" s="1"/>
  <c r="AC103" i="70"/>
  <c r="V103" i="70"/>
  <c r="AE103" i="70" s="1"/>
  <c r="AC74" i="70"/>
  <c r="V74" i="70"/>
  <c r="AE74" i="70" s="1"/>
  <c r="AC70" i="70"/>
  <c r="V70" i="70"/>
  <c r="AE70" i="70" s="1"/>
  <c r="AC66" i="70"/>
  <c r="V66" i="70"/>
  <c r="AE66" i="70" s="1"/>
  <c r="AC34" i="70"/>
  <c r="V34" i="70"/>
  <c r="AE34" i="70" s="1"/>
  <c r="AC30" i="70"/>
  <c r="V30" i="70"/>
  <c r="AE30" i="70" s="1"/>
  <c r="AC105" i="70"/>
  <c r="V105" i="70"/>
  <c r="AE105" i="70" s="1"/>
  <c r="AC32" i="70"/>
  <c r="V32" i="70"/>
  <c r="AE32" i="70" s="1"/>
  <c r="AC106" i="70"/>
  <c r="V106" i="70"/>
  <c r="AE106" i="70" s="1"/>
  <c r="AC101" i="70"/>
  <c r="V101" i="70"/>
  <c r="AE101" i="70" s="1"/>
  <c r="AC73" i="70"/>
  <c r="V73" i="70"/>
  <c r="AE73" i="70" s="1"/>
  <c r="AC69" i="70"/>
  <c r="V69" i="70"/>
  <c r="AE69" i="70" s="1"/>
  <c r="AC37" i="70"/>
  <c r="V37" i="70"/>
  <c r="AE37" i="70" s="1"/>
  <c r="V33" i="70"/>
  <c r="AE33" i="70" s="1"/>
  <c r="AC33" i="70"/>
  <c r="AC29" i="70"/>
  <c r="V29" i="70"/>
  <c r="AE29" i="70" s="1"/>
  <c r="AC40" i="70"/>
  <c r="V40" i="70"/>
  <c r="AE40" i="70" s="1"/>
  <c r="V65" i="70"/>
  <c r="AE65" i="70" s="1"/>
  <c r="V75" i="70"/>
  <c r="AE75" i="70" s="1"/>
  <c r="V76" i="70"/>
  <c r="AE76" i="70" s="1"/>
  <c r="AC41" i="70"/>
  <c r="V41" i="70"/>
  <c r="AE41" i="70" s="1"/>
  <c r="V64" i="70"/>
  <c r="AE64" i="70" s="1"/>
  <c r="V111" i="70"/>
  <c r="AE111" i="70" s="1"/>
  <c r="V110" i="70"/>
  <c r="AE110" i="70" s="1"/>
  <c r="F24" i="75"/>
  <c r="F57" i="75" s="1"/>
  <c r="F23" i="75"/>
  <c r="F56" i="75" s="1"/>
  <c r="F22" i="75"/>
  <c r="AC115" i="70"/>
  <c r="V115" i="70"/>
  <c r="AE115" i="70" s="1"/>
  <c r="AC95" i="70"/>
  <c r="V95" i="70"/>
  <c r="AE95" i="70" s="1"/>
  <c r="AC113" i="70"/>
  <c r="V113" i="70"/>
  <c r="AE113" i="70" s="1"/>
  <c r="AC116" i="70"/>
  <c r="V116" i="70"/>
  <c r="AE116" i="70" s="1"/>
  <c r="AC96" i="70"/>
  <c r="V96" i="70"/>
  <c r="AE96" i="70" s="1"/>
  <c r="V109" i="70"/>
  <c r="AE109" i="70" s="1"/>
  <c r="AC117" i="70"/>
  <c r="V117" i="70"/>
  <c r="AC98" i="70"/>
  <c r="V98" i="70"/>
  <c r="AE98" i="70" s="1"/>
  <c r="AC112" i="70"/>
  <c r="V112" i="70"/>
  <c r="AE112" i="70" s="1"/>
  <c r="AC118" i="70"/>
  <c r="V118" i="70"/>
  <c r="AE118" i="70" s="1"/>
  <c r="V108" i="70"/>
  <c r="AE108" i="70" s="1"/>
  <c r="AC114" i="70"/>
  <c r="V114" i="70"/>
  <c r="AE114" i="70" s="1"/>
  <c r="AC97" i="70"/>
  <c r="V97" i="70"/>
  <c r="AE97" i="70" s="1"/>
  <c r="R84" i="1"/>
  <c r="X122" i="70" a="1"/>
  <c r="X122" i="70" s="1"/>
  <c r="Y121" i="70" a="1"/>
  <c r="Y121" i="70" s="1"/>
  <c r="Y122" i="70" a="1"/>
  <c r="Y122" i="70" s="1"/>
  <c r="X121" i="70" a="1"/>
  <c r="X121" i="70" s="1"/>
  <c r="Z122" i="70" a="1"/>
  <c r="Z122" i="70" s="1"/>
  <c r="Y123" i="70" a="1"/>
  <c r="Y123" i="70" s="1"/>
  <c r="X123" i="70" a="1"/>
  <c r="X123" i="70" s="1"/>
  <c r="AB123" i="70" a="1"/>
  <c r="AB123" i="70" s="1"/>
  <c r="AA122" i="70" a="1"/>
  <c r="AA122" i="70" s="1"/>
  <c r="AA123" i="70" a="1"/>
  <c r="AA123" i="70" s="1"/>
  <c r="AB122" i="70" a="1"/>
  <c r="AB122" i="70" s="1"/>
  <c r="Z121" i="70" a="1"/>
  <c r="Z121" i="70" s="1"/>
  <c r="Z123" i="70" a="1"/>
  <c r="Z123" i="70" s="1"/>
  <c r="AB121" i="70" a="1"/>
  <c r="AB121" i="70" s="1"/>
  <c r="AA121" i="70" a="1"/>
  <c r="AA121" i="70" s="1"/>
  <c r="AB88" i="70" a="1"/>
  <c r="AB88" i="70" s="1"/>
  <c r="Z87" i="70" a="1"/>
  <c r="Z87" i="70" s="1"/>
  <c r="Y86" i="70" a="1"/>
  <c r="Y86" i="70" s="1"/>
  <c r="AA88" i="70" a="1"/>
  <c r="AA88" i="70" s="1"/>
  <c r="Y87" i="70" a="1"/>
  <c r="Y87" i="70" s="1"/>
  <c r="AA86" i="70" a="1"/>
  <c r="AA86" i="70" s="1"/>
  <c r="AB87" i="70" a="1"/>
  <c r="AB87" i="70" s="1"/>
  <c r="AA87" i="70" a="1"/>
  <c r="AA87" i="70" s="1"/>
  <c r="Z88" i="70" a="1"/>
  <c r="Z88" i="70" s="1"/>
  <c r="X87" i="70" a="1"/>
  <c r="X87" i="70" s="1"/>
  <c r="X88" i="70" a="1"/>
  <c r="X88" i="70" s="1"/>
  <c r="Y88" i="70" a="1"/>
  <c r="Y88" i="70" s="1"/>
  <c r="AB86" i="70" a="1"/>
  <c r="AB86" i="70" s="1"/>
  <c r="Z86" i="70" a="1"/>
  <c r="Z86" i="70" s="1"/>
  <c r="X86" i="70" a="1"/>
  <c r="X86" i="70" s="1"/>
  <c r="AC94" i="70"/>
  <c r="AB120" i="70"/>
  <c r="AA120" i="70"/>
  <c r="X120" i="70"/>
  <c r="Z120" i="70"/>
  <c r="Y120" i="70"/>
  <c r="AC59" i="70"/>
  <c r="AA85" i="70"/>
  <c r="Z85" i="70"/>
  <c r="Y85" i="70"/>
  <c r="X85" i="70"/>
  <c r="AB85" i="70"/>
  <c r="AC24" i="70"/>
  <c r="AB53" i="70" a="1"/>
  <c r="AB53" i="70" s="1"/>
  <c r="X52" i="70" a="1"/>
  <c r="X52" i="70" s="1"/>
  <c r="X50" i="70"/>
  <c r="Y50" i="70"/>
  <c r="AB52" i="70" a="1"/>
  <c r="AB52" i="70" s="1"/>
  <c r="Z52" i="70" a="1"/>
  <c r="Z52" i="70" s="1"/>
  <c r="X51" i="70" a="1"/>
  <c r="X51" i="70" s="1"/>
  <c r="X53" i="70" a="1"/>
  <c r="X53" i="70" s="1"/>
  <c r="AB51" i="70" a="1"/>
  <c r="AB51" i="70" s="1"/>
  <c r="AA50" i="70"/>
  <c r="Z53" i="70" a="1"/>
  <c r="Z53" i="70" s="1"/>
  <c r="AA53" i="70" a="1"/>
  <c r="AA53" i="70" s="1"/>
  <c r="Z51" i="70" a="1"/>
  <c r="Z51" i="70" s="1"/>
  <c r="AA52" i="70" a="1"/>
  <c r="AA52" i="70" s="1"/>
  <c r="Y53" i="70" a="1"/>
  <c r="Y53" i="70" s="1"/>
  <c r="AB50" i="70"/>
  <c r="Z50" i="70"/>
  <c r="AA51" i="70" a="1"/>
  <c r="AA51" i="70" s="1"/>
  <c r="Y52" i="70" a="1"/>
  <c r="Y52" i="70" s="1"/>
  <c r="Y51" i="70" a="1"/>
  <c r="Y51" i="70" s="1"/>
  <c r="T130" i="70"/>
  <c r="V42" i="70"/>
  <c r="AE42" i="70" s="1"/>
  <c r="AC42" i="70"/>
  <c r="V46" i="70"/>
  <c r="AE46" i="70" s="1"/>
  <c r="AC46" i="70"/>
  <c r="C32" i="68"/>
  <c r="C137" i="68" s="1"/>
  <c r="E74" i="75" s="1"/>
  <c r="C29" i="68"/>
  <c r="C30" i="68" s="1"/>
  <c r="V43" i="70"/>
  <c r="AE43" i="70" s="1"/>
  <c r="AC43" i="70"/>
  <c r="V27" i="70"/>
  <c r="AE27" i="70" s="1"/>
  <c r="AC27" i="70"/>
  <c r="V44" i="70"/>
  <c r="AE44" i="70" s="1"/>
  <c r="AC44" i="70"/>
  <c r="V81" i="70"/>
  <c r="AE81" i="70" s="1"/>
  <c r="AC81" i="70"/>
  <c r="V45" i="70"/>
  <c r="AE45" i="70" s="1"/>
  <c r="AC45" i="70"/>
  <c r="V47" i="70"/>
  <c r="AE47" i="70" s="1"/>
  <c r="AC47" i="70"/>
  <c r="AC82" i="70"/>
  <c r="V82" i="70"/>
  <c r="AE82" i="70" s="1"/>
  <c r="V25" i="70"/>
  <c r="AE25" i="70" s="1"/>
  <c r="AC25" i="70"/>
  <c r="M79" i="68"/>
  <c r="M139" i="68" s="1"/>
  <c r="T119" i="70"/>
  <c r="V39" i="70"/>
  <c r="AE39" i="70" s="1"/>
  <c r="V60" i="70"/>
  <c r="AE60" i="70" s="1"/>
  <c r="V80" i="70"/>
  <c r="AE80" i="70" s="1"/>
  <c r="V78" i="70"/>
  <c r="AE78" i="70" s="1"/>
  <c r="V62" i="70"/>
  <c r="AE62" i="70" s="1"/>
  <c r="V59" i="70"/>
  <c r="AE59" i="70" s="1"/>
  <c r="T84" i="70"/>
  <c r="V79" i="70"/>
  <c r="AE79" i="70" s="1"/>
  <c r="V83" i="70"/>
  <c r="AE83" i="70" s="1"/>
  <c r="V63" i="70"/>
  <c r="AE63" i="70" s="1"/>
  <c r="V77" i="70"/>
  <c r="AE77" i="70" s="1"/>
  <c r="V61" i="70"/>
  <c r="AE61" i="70" s="1"/>
  <c r="V26" i="70"/>
  <c r="AE26" i="70" s="1"/>
  <c r="V24" i="70"/>
  <c r="AE24" i="70" s="1"/>
  <c r="V28" i="70"/>
  <c r="AE28" i="70" s="1"/>
  <c r="V38" i="70"/>
  <c r="AE38" i="70" s="1"/>
  <c r="V48" i="70"/>
  <c r="AE48" i="70" s="1"/>
  <c r="Q84" i="1" l="1"/>
  <c r="G55" i="75"/>
  <c r="G58" i="75" s="1"/>
  <c r="G25" i="75"/>
  <c r="F55" i="75"/>
  <c r="F58" i="75" s="1"/>
  <c r="F25" i="75"/>
  <c r="Z131" i="70"/>
  <c r="M122" i="68" s="1"/>
  <c r="AE85" i="70"/>
  <c r="N79" i="68"/>
  <c r="N139" i="68" s="1"/>
  <c r="V120" i="70"/>
  <c r="AE117" i="70"/>
  <c r="AE120" i="70" s="1"/>
  <c r="AE50" i="70"/>
  <c r="Y131" i="70"/>
  <c r="R121" i="68" s="1"/>
  <c r="AC86" i="70"/>
  <c r="Z130" i="70"/>
  <c r="M117" i="68" s="1"/>
  <c r="AB131" i="70"/>
  <c r="Q124" i="68" s="1"/>
  <c r="Y130" i="70"/>
  <c r="O116" i="68" s="1"/>
  <c r="AA132" i="70"/>
  <c r="AA130" i="70"/>
  <c r="AA131" i="70"/>
  <c r="X131" i="70"/>
  <c r="X132" i="70"/>
  <c r="AB130" i="70"/>
  <c r="I84" i="1"/>
  <c r="Y132" i="70"/>
  <c r="X130" i="70"/>
  <c r="AC123" i="70"/>
  <c r="Z132" i="70"/>
  <c r="AB132" i="70"/>
  <c r="AC121" i="70"/>
  <c r="AC88" i="70"/>
  <c r="AC87" i="70"/>
  <c r="AC122" i="70"/>
  <c r="E79" i="68"/>
  <c r="E139" i="68" s="1"/>
  <c r="G76" i="75" s="1"/>
  <c r="AC52" i="70"/>
  <c r="O79" i="68"/>
  <c r="O139" i="68" s="1"/>
  <c r="AC53" i="70"/>
  <c r="AC51" i="70"/>
  <c r="V85" i="70"/>
  <c r="S84" i="1"/>
  <c r="V50" i="70"/>
  <c r="J84" i="1"/>
  <c r="F79" i="68"/>
  <c r="F139" i="68" s="1"/>
  <c r="N32" i="68"/>
  <c r="N137" i="68" s="1"/>
  <c r="N29" i="68"/>
  <c r="N30" i="68" s="1"/>
  <c r="P84" i="1"/>
  <c r="L79" i="68"/>
  <c r="L139" i="68" s="1"/>
  <c r="O84" i="1"/>
  <c r="K79" i="68"/>
  <c r="K139" i="68" s="1"/>
  <c r="U84" i="1"/>
  <c r="Q79" i="68"/>
  <c r="Q139" i="68" s="1"/>
  <c r="M32" i="68"/>
  <c r="M137" i="68" s="1"/>
  <c r="M29" i="68"/>
  <c r="M30" i="68" s="1"/>
  <c r="T84" i="1"/>
  <c r="P79" i="68"/>
  <c r="P139" i="68" s="1"/>
  <c r="K84" i="1"/>
  <c r="G79" i="68"/>
  <c r="G139" i="68" s="1"/>
  <c r="E32" i="68"/>
  <c r="E137" i="68" s="1"/>
  <c r="G74" i="75" s="1"/>
  <c r="L84" i="1"/>
  <c r="H79" i="68"/>
  <c r="H139" i="68" s="1"/>
  <c r="H84" i="1"/>
  <c r="D79" i="68"/>
  <c r="D139" i="68" s="1"/>
  <c r="F76" i="75" s="1"/>
  <c r="V84" i="1"/>
  <c r="R79" i="68"/>
  <c r="R139" i="68" s="1"/>
  <c r="M84" i="1"/>
  <c r="I79" i="68"/>
  <c r="I139" i="68" s="1"/>
  <c r="O32" i="68"/>
  <c r="O137" i="68" s="1"/>
  <c r="O29" i="68"/>
  <c r="O30" i="68" s="1"/>
  <c r="N84" i="1"/>
  <c r="J79" i="68"/>
  <c r="J139" i="68" s="1"/>
  <c r="C43" i="68"/>
  <c r="C147" i="68" s="1"/>
  <c r="C149" i="68" s="1"/>
  <c r="G38" i="1" s="1"/>
  <c r="C41" i="68"/>
  <c r="AC120" i="70"/>
  <c r="AC85" i="70"/>
  <c r="AC50" i="70"/>
  <c r="O62" i="63"/>
  <c r="N62" i="63"/>
  <c r="M62" i="63"/>
  <c r="L62" i="63"/>
  <c r="K62" i="63"/>
  <c r="J62" i="63"/>
  <c r="I62" i="63"/>
  <c r="H62" i="63"/>
  <c r="G62" i="63"/>
  <c r="F62" i="63"/>
  <c r="E62" i="63"/>
  <c r="D62" i="63"/>
  <c r="O61" i="63"/>
  <c r="N61" i="63"/>
  <c r="M61" i="63"/>
  <c r="L61" i="63"/>
  <c r="K61" i="63"/>
  <c r="J61" i="63"/>
  <c r="I61" i="63"/>
  <c r="H61" i="63"/>
  <c r="G61" i="63"/>
  <c r="F61" i="63"/>
  <c r="E61" i="63"/>
  <c r="D61" i="63"/>
  <c r="C61" i="63"/>
  <c r="B62" i="63"/>
  <c r="C61" i="39"/>
  <c r="D61" i="39"/>
  <c r="E61" i="39"/>
  <c r="F61" i="39"/>
  <c r="G61" i="39"/>
  <c r="H61" i="39"/>
  <c r="I61" i="39"/>
  <c r="J61" i="39"/>
  <c r="K61" i="39"/>
  <c r="L61" i="39"/>
  <c r="M61" i="39"/>
  <c r="N61" i="39"/>
  <c r="O61" i="39"/>
  <c r="D62" i="39"/>
  <c r="E62" i="39"/>
  <c r="F62" i="39"/>
  <c r="G62" i="39"/>
  <c r="H62" i="39"/>
  <c r="I62" i="39"/>
  <c r="J62" i="39"/>
  <c r="K62" i="39"/>
  <c r="L62" i="39"/>
  <c r="M62" i="39"/>
  <c r="N62" i="39"/>
  <c r="O62" i="39"/>
  <c r="B62" i="39"/>
  <c r="O32" i="63"/>
  <c r="N32" i="63"/>
  <c r="M32" i="63"/>
  <c r="L32" i="63"/>
  <c r="K32" i="63"/>
  <c r="J32" i="63"/>
  <c r="I32" i="63"/>
  <c r="H32" i="63"/>
  <c r="G32" i="63"/>
  <c r="F32" i="63"/>
  <c r="E32" i="63"/>
  <c r="D32" i="63"/>
  <c r="C32" i="63"/>
  <c r="B32" i="63"/>
  <c r="O28" i="63"/>
  <c r="N28" i="63"/>
  <c r="M28" i="63"/>
  <c r="L28" i="63"/>
  <c r="K28" i="63"/>
  <c r="J28" i="63"/>
  <c r="I28" i="63"/>
  <c r="H28" i="63"/>
  <c r="G28" i="63"/>
  <c r="F28" i="63"/>
  <c r="E28" i="63"/>
  <c r="D28" i="63"/>
  <c r="C28" i="63"/>
  <c r="B28" i="63"/>
  <c r="O24" i="63"/>
  <c r="N24" i="63"/>
  <c r="M24" i="63"/>
  <c r="L24" i="63"/>
  <c r="K24" i="63"/>
  <c r="J24" i="63"/>
  <c r="I24" i="63"/>
  <c r="I29" i="63" s="1"/>
  <c r="H24" i="63"/>
  <c r="H29" i="63" s="1"/>
  <c r="G24" i="63"/>
  <c r="F24" i="63"/>
  <c r="E24" i="63"/>
  <c r="D24" i="63"/>
  <c r="C24" i="63"/>
  <c r="B24" i="63"/>
  <c r="O2" i="63"/>
  <c r="N2" i="63"/>
  <c r="C56" i="52"/>
  <c r="C57" i="52" s="1"/>
  <c r="D56" i="52"/>
  <c r="D57" i="52" s="1"/>
  <c r="E56" i="52"/>
  <c r="E57" i="52" s="1"/>
  <c r="F56" i="52"/>
  <c r="F57" i="52" s="1"/>
  <c r="G56" i="52"/>
  <c r="G57" i="52" s="1"/>
  <c r="H56" i="52"/>
  <c r="H57" i="52" s="1"/>
  <c r="I56" i="52"/>
  <c r="I57" i="52" s="1"/>
  <c r="J56" i="52"/>
  <c r="J57" i="52" s="1"/>
  <c r="K56" i="52"/>
  <c r="K57" i="52" s="1"/>
  <c r="L56" i="52"/>
  <c r="L57" i="52" s="1"/>
  <c r="M56" i="52"/>
  <c r="M57" i="52" s="1"/>
  <c r="N56" i="52"/>
  <c r="N57" i="52" s="1"/>
  <c r="O56" i="52"/>
  <c r="O57" i="52" s="1"/>
  <c r="B56" i="52"/>
  <c r="B57" i="52" s="1"/>
  <c r="C32" i="39"/>
  <c r="D32" i="39"/>
  <c r="E32" i="39"/>
  <c r="F32" i="39"/>
  <c r="G32" i="39"/>
  <c r="H32" i="39"/>
  <c r="I32" i="39"/>
  <c r="J32" i="39"/>
  <c r="K32" i="39"/>
  <c r="L32" i="39"/>
  <c r="M32" i="39"/>
  <c r="N32" i="39"/>
  <c r="O32" i="39"/>
  <c r="B32" i="39"/>
  <c r="O32" i="52"/>
  <c r="N32" i="52"/>
  <c r="M32" i="52"/>
  <c r="L32" i="52"/>
  <c r="K32" i="52"/>
  <c r="J32" i="52"/>
  <c r="I32" i="52"/>
  <c r="H32" i="52"/>
  <c r="G32" i="52"/>
  <c r="F32" i="52"/>
  <c r="E32" i="52"/>
  <c r="D32" i="52"/>
  <c r="C32" i="52"/>
  <c r="C36" i="52"/>
  <c r="D36" i="52"/>
  <c r="E36" i="52"/>
  <c r="F36" i="52"/>
  <c r="G36" i="52"/>
  <c r="H36" i="52"/>
  <c r="I36" i="52"/>
  <c r="J36" i="52"/>
  <c r="K36" i="52"/>
  <c r="L36" i="52"/>
  <c r="M36" i="52"/>
  <c r="N36" i="52"/>
  <c r="O36" i="52"/>
  <c r="B36" i="52"/>
  <c r="C25" i="57"/>
  <c r="D25" i="57"/>
  <c r="E25" i="57"/>
  <c r="F25" i="57"/>
  <c r="G25" i="57"/>
  <c r="H25" i="57"/>
  <c r="I25" i="57"/>
  <c r="J25" i="57"/>
  <c r="K25" i="57"/>
  <c r="L25" i="57"/>
  <c r="M25" i="57"/>
  <c r="N25" i="57"/>
  <c r="O25" i="57"/>
  <c r="P25" i="57"/>
  <c r="Q25" i="57"/>
  <c r="R25" i="57"/>
  <c r="S25" i="57"/>
  <c r="T25" i="57"/>
  <c r="U25" i="57"/>
  <c r="V25" i="57"/>
  <c r="W25" i="57"/>
  <c r="X25" i="57"/>
  <c r="Y25" i="57"/>
  <c r="Z25" i="57"/>
  <c r="AA25" i="57"/>
  <c r="AB25" i="57"/>
  <c r="AC25" i="57"/>
  <c r="AD25" i="57"/>
  <c r="AE25" i="57"/>
  <c r="AF25" i="57"/>
  <c r="AG25" i="57"/>
  <c r="AH25" i="57"/>
  <c r="AI25" i="57"/>
  <c r="AJ25" i="57"/>
  <c r="AK25" i="57"/>
  <c r="AL25" i="57"/>
  <c r="AM25" i="57"/>
  <c r="AN25" i="57"/>
  <c r="AO25" i="57"/>
  <c r="B25" i="57"/>
  <c r="B146" i="1"/>
  <c r="B145" i="1"/>
  <c r="B32" i="52"/>
  <c r="C28" i="39"/>
  <c r="D28" i="39"/>
  <c r="E28" i="39"/>
  <c r="F28" i="39"/>
  <c r="G28" i="39"/>
  <c r="H28" i="39"/>
  <c r="I28" i="39"/>
  <c r="J28" i="39"/>
  <c r="K28" i="39"/>
  <c r="L28" i="39"/>
  <c r="M28" i="39"/>
  <c r="N28" i="39"/>
  <c r="O28" i="39"/>
  <c r="B28" i="39"/>
  <c r="C24" i="39"/>
  <c r="D24" i="39"/>
  <c r="E24" i="39"/>
  <c r="F24" i="39"/>
  <c r="G24" i="39"/>
  <c r="H24" i="39"/>
  <c r="I24" i="39"/>
  <c r="J24" i="39"/>
  <c r="K24" i="39"/>
  <c r="L24" i="39"/>
  <c r="M24" i="39"/>
  <c r="N24" i="39"/>
  <c r="O24" i="39"/>
  <c r="B24" i="39"/>
  <c r="C28" i="52"/>
  <c r="D28" i="52"/>
  <c r="E28" i="52"/>
  <c r="F28" i="52"/>
  <c r="G28" i="52"/>
  <c r="H28" i="52"/>
  <c r="I28" i="52"/>
  <c r="J28" i="52"/>
  <c r="K28" i="52"/>
  <c r="L28" i="52"/>
  <c r="M28" i="52"/>
  <c r="N28" i="52"/>
  <c r="O28" i="52"/>
  <c r="B28" i="52"/>
  <c r="Q41" i="54" a="1"/>
  <c r="Q41" i="54" s="1"/>
  <c r="Q40" i="54" a="1"/>
  <c r="Q40" i="54" s="1"/>
  <c r="Q39" i="54" a="1"/>
  <c r="Q39" i="54" s="1"/>
  <c r="Q18" i="54" a="1"/>
  <c r="Q18" i="54" s="1"/>
  <c r="Q17" i="54" a="1"/>
  <c r="Q17" i="54" s="1"/>
  <c r="J42" i="54"/>
  <c r="E42" i="54"/>
  <c r="I53" i="54" l="1"/>
  <c r="H53" i="54"/>
  <c r="G53" i="54"/>
  <c r="K54" i="54"/>
  <c r="D67" i="54" s="1"/>
  <c r="H43" i="54"/>
  <c r="D63" i="54"/>
  <c r="F43" i="54"/>
  <c r="D64" i="54"/>
  <c r="F53" i="54"/>
  <c r="D62" i="54"/>
  <c r="K53" i="54"/>
  <c r="K43" i="54"/>
  <c r="N54" i="54"/>
  <c r="D70" i="54" s="1"/>
  <c r="G43" i="54"/>
  <c r="N43" i="54"/>
  <c r="N53" i="54"/>
  <c r="O122" i="68"/>
  <c r="P122" i="68"/>
  <c r="N122" i="68"/>
  <c r="I122" i="68"/>
  <c r="J122" i="68"/>
  <c r="R122" i="68"/>
  <c r="Q122" i="68"/>
  <c r="K122" i="68"/>
  <c r="L122" i="68"/>
  <c r="I117" i="68"/>
  <c r="K117" i="68"/>
  <c r="O117" i="68"/>
  <c r="K121" i="68"/>
  <c r="L121" i="68"/>
  <c r="O121" i="68"/>
  <c r="P121" i="68"/>
  <c r="P117" i="68"/>
  <c r="I121" i="68"/>
  <c r="M121" i="68"/>
  <c r="Q121" i="68"/>
  <c r="J121" i="68"/>
  <c r="N121" i="68"/>
  <c r="AE133" i="70"/>
  <c r="U87" i="1" s="1"/>
  <c r="AB133" i="70"/>
  <c r="K124" i="68"/>
  <c r="L124" i="68"/>
  <c r="L117" i="68"/>
  <c r="Q117" i="68"/>
  <c r="P124" i="68"/>
  <c r="AA84" i="1"/>
  <c r="Q116" i="68"/>
  <c r="Y133" i="70"/>
  <c r="X133" i="70"/>
  <c r="AA133" i="70"/>
  <c r="U130" i="70"/>
  <c r="O124" i="68"/>
  <c r="R117" i="68"/>
  <c r="Z133" i="70"/>
  <c r="K116" i="68"/>
  <c r="L116" i="68"/>
  <c r="P116" i="68"/>
  <c r="M116" i="68"/>
  <c r="I124" i="68"/>
  <c r="M124" i="68"/>
  <c r="J116" i="68"/>
  <c r="N116" i="68"/>
  <c r="R116" i="68"/>
  <c r="J124" i="68"/>
  <c r="N124" i="68"/>
  <c r="R124" i="68"/>
  <c r="J117" i="68"/>
  <c r="N117" i="68"/>
  <c r="I116" i="68"/>
  <c r="R127" i="68"/>
  <c r="Q127" i="68"/>
  <c r="P127" i="68"/>
  <c r="O127" i="68"/>
  <c r="N127" i="68"/>
  <c r="M127" i="68"/>
  <c r="L127" i="68"/>
  <c r="K127" i="68"/>
  <c r="J127" i="68"/>
  <c r="I127" i="68"/>
  <c r="R119" i="68"/>
  <c r="Q119" i="68"/>
  <c r="P119" i="68"/>
  <c r="O119" i="68"/>
  <c r="N119" i="68"/>
  <c r="M119" i="68"/>
  <c r="L119" i="68"/>
  <c r="K119" i="68"/>
  <c r="J119" i="68"/>
  <c r="I119" i="68"/>
  <c r="N123" i="68"/>
  <c r="J123" i="68"/>
  <c r="I123" i="68"/>
  <c r="R123" i="68"/>
  <c r="Q123" i="68"/>
  <c r="P123" i="68"/>
  <c r="O123" i="68"/>
  <c r="M123" i="68"/>
  <c r="L123" i="68"/>
  <c r="K123" i="68"/>
  <c r="R118" i="68"/>
  <c r="P118" i="68"/>
  <c r="O118" i="68"/>
  <c r="N118" i="68"/>
  <c r="M118" i="68"/>
  <c r="L118" i="68"/>
  <c r="K118" i="68"/>
  <c r="J118" i="68"/>
  <c r="I118" i="68"/>
  <c r="Q118" i="68"/>
  <c r="R129" i="68"/>
  <c r="Q129" i="68"/>
  <c r="P129" i="68"/>
  <c r="O129" i="68"/>
  <c r="N129" i="68"/>
  <c r="M129" i="68"/>
  <c r="L129" i="68"/>
  <c r="K129" i="68"/>
  <c r="J129" i="68"/>
  <c r="I129" i="68"/>
  <c r="R126" i="68"/>
  <c r="Q126" i="68"/>
  <c r="P126" i="68"/>
  <c r="O126" i="68"/>
  <c r="N126" i="68"/>
  <c r="M126" i="68"/>
  <c r="L126" i="68"/>
  <c r="K126" i="68"/>
  <c r="J126" i="68"/>
  <c r="I126" i="68"/>
  <c r="M128" i="68"/>
  <c r="L128" i="68"/>
  <c r="K128" i="68"/>
  <c r="P128" i="68"/>
  <c r="R128" i="68"/>
  <c r="Q128" i="68"/>
  <c r="O128" i="68"/>
  <c r="N128" i="68"/>
  <c r="J128" i="68"/>
  <c r="I128" i="68"/>
  <c r="O120" i="68"/>
  <c r="K120" i="68"/>
  <c r="P120" i="68"/>
  <c r="L120" i="68"/>
  <c r="Q120" i="68"/>
  <c r="M120" i="68"/>
  <c r="I120" i="68"/>
  <c r="R120" i="68"/>
  <c r="N120" i="68"/>
  <c r="J120" i="68"/>
  <c r="AC131" i="70"/>
  <c r="AC130" i="70"/>
  <c r="R115" i="68"/>
  <c r="N115" i="68"/>
  <c r="J115" i="68"/>
  <c r="O115" i="68"/>
  <c r="K115" i="68"/>
  <c r="P115" i="68"/>
  <c r="L115" i="68"/>
  <c r="Q115" i="68"/>
  <c r="M115" i="68"/>
  <c r="I115" i="68"/>
  <c r="P125" i="68"/>
  <c r="L125" i="68"/>
  <c r="Q125" i="68"/>
  <c r="M125" i="68"/>
  <c r="I125" i="68"/>
  <c r="R125" i="68"/>
  <c r="N125" i="68"/>
  <c r="J125" i="68"/>
  <c r="O125" i="68"/>
  <c r="K125" i="68"/>
  <c r="E29" i="68"/>
  <c r="E30" i="68" s="1"/>
  <c r="AC132" i="70"/>
  <c r="G32" i="68"/>
  <c r="G137" i="68" s="1"/>
  <c r="G29" i="68"/>
  <c r="G30" i="68" s="1"/>
  <c r="O43" i="68"/>
  <c r="O147" i="68" s="1"/>
  <c r="O149" i="68" s="1"/>
  <c r="S38" i="1" s="1"/>
  <c r="O41" i="68"/>
  <c r="J32" i="68"/>
  <c r="J137" i="68" s="1"/>
  <c r="J29" i="68"/>
  <c r="J30" i="68" s="1"/>
  <c r="I32" i="68"/>
  <c r="I137" i="68" s="1"/>
  <c r="I29" i="68"/>
  <c r="I30" i="68" s="1"/>
  <c r="M43" i="68"/>
  <c r="M147" i="68" s="1"/>
  <c r="M149" i="68" s="1"/>
  <c r="Q38" i="1" s="1"/>
  <c r="M41" i="68"/>
  <c r="E43" i="68"/>
  <c r="E147" i="68" s="1"/>
  <c r="E149" i="68" s="1"/>
  <c r="I38" i="1" s="1"/>
  <c r="E41" i="68"/>
  <c r="P32" i="68"/>
  <c r="P137" i="68" s="1"/>
  <c r="P29" i="68"/>
  <c r="P30" i="68" s="1"/>
  <c r="R32" i="68"/>
  <c r="R137" i="68" s="1"/>
  <c r="R29" i="68"/>
  <c r="R30" i="68" s="1"/>
  <c r="F32" i="68"/>
  <c r="F137" i="68" s="1"/>
  <c r="F29" i="68"/>
  <c r="F30" i="68" s="1"/>
  <c r="L32" i="68"/>
  <c r="L137" i="68" s="1"/>
  <c r="L29" i="68"/>
  <c r="L30" i="68" s="1"/>
  <c r="H32" i="68"/>
  <c r="H137" i="68" s="1"/>
  <c r="H29" i="68"/>
  <c r="H30" i="68" s="1"/>
  <c r="Q32" i="68"/>
  <c r="Q137" i="68" s="1"/>
  <c r="Q29" i="68"/>
  <c r="Q30" i="68" s="1"/>
  <c r="D32" i="68"/>
  <c r="D137" i="68" s="1"/>
  <c r="F74" i="75" s="1"/>
  <c r="D29" i="68"/>
  <c r="D30" i="68" s="1"/>
  <c r="K32" i="68"/>
  <c r="K137" i="68" s="1"/>
  <c r="K29" i="68"/>
  <c r="K30" i="68" s="1"/>
  <c r="N43" i="68"/>
  <c r="N147" i="68" s="1"/>
  <c r="N149" i="68" s="1"/>
  <c r="R38" i="1" s="1"/>
  <c r="N41" i="68"/>
  <c r="F29" i="63"/>
  <c r="F34" i="63" s="1"/>
  <c r="N29" i="63"/>
  <c r="M29" i="63"/>
  <c r="M34" i="63" s="1"/>
  <c r="E29" i="63"/>
  <c r="E34" i="63" s="1"/>
  <c r="L29" i="63"/>
  <c r="L34" i="63" s="1"/>
  <c r="D29" i="63"/>
  <c r="D34" i="63" s="1"/>
  <c r="J29" i="63"/>
  <c r="B29" i="63"/>
  <c r="B34" i="63" s="1"/>
  <c r="C29" i="63"/>
  <c r="C34" i="63" s="1"/>
  <c r="G29" i="63"/>
  <c r="G34" i="63" s="1"/>
  <c r="K29" i="63"/>
  <c r="K34" i="63" s="1"/>
  <c r="O29" i="63"/>
  <c r="O34" i="63" s="1"/>
  <c r="H34" i="63"/>
  <c r="J34" i="63"/>
  <c r="N34" i="63"/>
  <c r="I34" i="63"/>
  <c r="J29" i="39"/>
  <c r="D33" i="52"/>
  <c r="H33" i="52"/>
  <c r="L33" i="52"/>
  <c r="F33" i="52"/>
  <c r="N33" i="52"/>
  <c r="G33" i="52"/>
  <c r="K33" i="52"/>
  <c r="O33" i="52"/>
  <c r="J33" i="52"/>
  <c r="E33" i="52"/>
  <c r="I33" i="52"/>
  <c r="M33" i="52"/>
  <c r="M29" i="39"/>
  <c r="I29" i="39"/>
  <c r="E29" i="39"/>
  <c r="N29" i="39"/>
  <c r="F29" i="39"/>
  <c r="O29" i="39"/>
  <c r="K29" i="39"/>
  <c r="G29" i="39"/>
  <c r="C29" i="39"/>
  <c r="B29" i="39"/>
  <c r="B34" i="39" s="1"/>
  <c r="L29" i="39"/>
  <c r="H29" i="39"/>
  <c r="D29" i="39"/>
  <c r="C33" i="52"/>
  <c r="L38" i="52"/>
  <c r="B33" i="52"/>
  <c r="L54" i="54"/>
  <c r="D68" i="54" s="1"/>
  <c r="O54" i="54"/>
  <c r="D71" i="54" s="1"/>
  <c r="J54" i="54"/>
  <c r="D66" i="54" s="1"/>
  <c r="E54" i="54"/>
  <c r="D61" i="54" s="1"/>
  <c r="M54" i="54"/>
  <c r="D69" i="54" s="1"/>
  <c r="I54" i="54"/>
  <c r="D65" i="54" s="1"/>
  <c r="J72" i="54" l="1"/>
  <c r="Q72" i="54"/>
  <c r="K72" i="54"/>
  <c r="M72" i="54"/>
  <c r="I72" i="54"/>
  <c r="O72" i="54"/>
  <c r="R72" i="54"/>
  <c r="L72" i="54"/>
  <c r="P72" i="54"/>
  <c r="N72" i="54"/>
  <c r="S72" i="54"/>
  <c r="G72" i="54"/>
  <c r="H72" i="54"/>
  <c r="P87" i="1"/>
  <c r="S87" i="1"/>
  <c r="T87" i="1"/>
  <c r="V87" i="1"/>
  <c r="Q87" i="1"/>
  <c r="M87" i="1"/>
  <c r="O87" i="1"/>
  <c r="N87" i="1"/>
  <c r="R87" i="1"/>
  <c r="AC133" i="70"/>
  <c r="Q60" i="68"/>
  <c r="K60" i="68"/>
  <c r="M60" i="68"/>
  <c r="O60" i="68"/>
  <c r="K61" i="68"/>
  <c r="O61" i="68"/>
  <c r="L60" i="68"/>
  <c r="L61" i="68"/>
  <c r="P61" i="68"/>
  <c r="I60" i="68"/>
  <c r="P60" i="68"/>
  <c r="I61" i="68"/>
  <c r="M61" i="68"/>
  <c r="Q61" i="68"/>
  <c r="J60" i="68"/>
  <c r="N60" i="68"/>
  <c r="R60" i="68"/>
  <c r="J61" i="68"/>
  <c r="N61" i="68"/>
  <c r="R61" i="68"/>
  <c r="K132" i="68"/>
  <c r="K141" i="68" s="1"/>
  <c r="K130" i="68"/>
  <c r="K57" i="68"/>
  <c r="L132" i="68"/>
  <c r="L141" i="68" s="1"/>
  <c r="L130" i="68"/>
  <c r="L57" i="68"/>
  <c r="P132" i="68"/>
  <c r="P141" i="68" s="1"/>
  <c r="P130" i="68"/>
  <c r="P57" i="68"/>
  <c r="M57" i="68"/>
  <c r="M132" i="68"/>
  <c r="M141" i="68" s="1"/>
  <c r="M130" i="68"/>
  <c r="Q132" i="68"/>
  <c r="Q141" i="68" s="1"/>
  <c r="Q130" i="68"/>
  <c r="Q57" i="68"/>
  <c r="O132" i="68"/>
  <c r="O141" i="68" s="1"/>
  <c r="O130" i="68"/>
  <c r="O57" i="68"/>
  <c r="R132" i="68"/>
  <c r="R141" i="68" s="1"/>
  <c r="R130" i="68"/>
  <c r="R57" i="68"/>
  <c r="N132" i="68"/>
  <c r="N141" i="68" s="1"/>
  <c r="N130" i="68"/>
  <c r="N57" i="68"/>
  <c r="I57" i="68"/>
  <c r="I132" i="68"/>
  <c r="I141" i="68" s="1"/>
  <c r="I130" i="68"/>
  <c r="J132" i="68"/>
  <c r="J141" i="68" s="1"/>
  <c r="J130" i="68"/>
  <c r="J57" i="68"/>
  <c r="R43" i="68"/>
  <c r="R147" i="68" s="1"/>
  <c r="R149" i="68" s="1"/>
  <c r="V38" i="1" s="1"/>
  <c r="R41" i="68"/>
  <c r="L43" i="68"/>
  <c r="L147" i="68" s="1"/>
  <c r="L149" i="68" s="1"/>
  <c r="P38" i="1" s="1"/>
  <c r="L41" i="68"/>
  <c r="K43" i="68"/>
  <c r="K147" i="68" s="1"/>
  <c r="K149" i="68" s="1"/>
  <c r="O38" i="1" s="1"/>
  <c r="K41" i="68"/>
  <c r="J43" i="68"/>
  <c r="J147" i="68" s="1"/>
  <c r="J149" i="68" s="1"/>
  <c r="N38" i="1" s="1"/>
  <c r="J41" i="68"/>
  <c r="Q43" i="68"/>
  <c r="Q147" i="68" s="1"/>
  <c r="Q149" i="68" s="1"/>
  <c r="U38" i="1" s="1"/>
  <c r="Q41" i="68"/>
  <c r="G43" i="68"/>
  <c r="G147" i="68" s="1"/>
  <c r="G149" i="68" s="1"/>
  <c r="K38" i="1" s="1"/>
  <c r="G41" i="68"/>
  <c r="D43" i="68"/>
  <c r="D147" i="68" s="1"/>
  <c r="D149" i="68" s="1"/>
  <c r="H38" i="1" s="1"/>
  <c r="D41" i="68"/>
  <c r="I43" i="68"/>
  <c r="I147" i="68" s="1"/>
  <c r="I149" i="68" s="1"/>
  <c r="M38" i="1" s="1"/>
  <c r="I41" i="68"/>
  <c r="F43" i="68"/>
  <c r="F147" i="68" s="1"/>
  <c r="F149" i="68" s="1"/>
  <c r="J38" i="1" s="1"/>
  <c r="F41" i="68"/>
  <c r="H43" i="68"/>
  <c r="H147" i="68" s="1"/>
  <c r="H149" i="68" s="1"/>
  <c r="L38" i="1" s="1"/>
  <c r="H41" i="68"/>
  <c r="P43" i="68"/>
  <c r="P147" i="68" s="1"/>
  <c r="P149" i="68" s="1"/>
  <c r="T38" i="1" s="1"/>
  <c r="P41" i="68"/>
  <c r="K67" i="63"/>
  <c r="D67" i="63"/>
  <c r="C67" i="63"/>
  <c r="E67" i="63"/>
  <c r="I67" i="63"/>
  <c r="N67" i="63"/>
  <c r="N68" i="63" s="1"/>
  <c r="F67" i="63"/>
  <c r="L67" i="63"/>
  <c r="O67" i="63"/>
  <c r="G67" i="63"/>
  <c r="M67" i="63"/>
  <c r="J67" i="63"/>
  <c r="B67" i="63"/>
  <c r="H67" i="63"/>
  <c r="H34" i="39"/>
  <c r="G34" i="39"/>
  <c r="N34" i="39"/>
  <c r="F34" i="39"/>
  <c r="L34" i="39"/>
  <c r="K34" i="39"/>
  <c r="E34" i="39"/>
  <c r="D34" i="39"/>
  <c r="M34" i="39"/>
  <c r="O34" i="39"/>
  <c r="I34" i="39"/>
  <c r="J34" i="39"/>
  <c r="H38" i="52"/>
  <c r="J38" i="52"/>
  <c r="E38" i="52"/>
  <c r="F38" i="52"/>
  <c r="G38" i="52"/>
  <c r="D38" i="52"/>
  <c r="M38" i="52"/>
  <c r="O38" i="52"/>
  <c r="N38" i="52"/>
  <c r="I38" i="52"/>
  <c r="K38" i="52"/>
  <c r="B38" i="52"/>
  <c r="C34" i="39"/>
  <c r="H91" i="59"/>
  <c r="H140" i="59" s="1"/>
  <c r="G91" i="59"/>
  <c r="G140" i="59" s="1"/>
  <c r="F91" i="59"/>
  <c r="F140" i="59" s="1"/>
  <c r="E91" i="59"/>
  <c r="E140" i="59" s="1"/>
  <c r="D91" i="59"/>
  <c r="D140" i="59" s="1"/>
  <c r="C91" i="59"/>
  <c r="C140" i="59" s="1"/>
  <c r="H68" i="63" l="1"/>
  <c r="H69" i="63" s="1"/>
  <c r="H70" i="63" s="1"/>
  <c r="H71" i="63" s="1"/>
  <c r="H72" i="63" s="1"/>
  <c r="H73" i="63" s="1"/>
  <c r="H74" i="63" s="1"/>
  <c r="H75" i="63" s="1"/>
  <c r="H76" i="63" s="1"/>
  <c r="H77" i="63" s="1"/>
  <c r="H78" i="63" s="1"/>
  <c r="H79" i="63" s="1"/>
  <c r="H80" i="63" s="1"/>
  <c r="H81" i="63" s="1"/>
  <c r="H82" i="63" s="1"/>
  <c r="M68" i="63"/>
  <c r="M69" i="63" s="1"/>
  <c r="M70" i="63" s="1"/>
  <c r="M71" i="63" s="1"/>
  <c r="M72" i="63" s="1"/>
  <c r="M73" i="63" s="1"/>
  <c r="M74" i="63" s="1"/>
  <c r="M75" i="63" s="1"/>
  <c r="M76" i="63" s="1"/>
  <c r="M77" i="63" s="1"/>
  <c r="M78" i="63" s="1"/>
  <c r="M79" i="63" s="1"/>
  <c r="M80" i="63" s="1"/>
  <c r="M81" i="63" s="1"/>
  <c r="M82" i="63" s="1"/>
  <c r="N69" i="63"/>
  <c r="N70" i="63" s="1"/>
  <c r="N71" i="63" s="1"/>
  <c r="N72" i="63" s="1"/>
  <c r="N73" i="63" s="1"/>
  <c r="N74" i="63" s="1"/>
  <c r="N75" i="63" s="1"/>
  <c r="N76" i="63" s="1"/>
  <c r="N77" i="63" s="1"/>
  <c r="N78" i="63" s="1"/>
  <c r="N79" i="63" s="1"/>
  <c r="N80" i="63" s="1"/>
  <c r="N81" i="63" s="1"/>
  <c r="N82" i="63" s="1"/>
  <c r="D68" i="63"/>
  <c r="D69" i="63" s="1"/>
  <c r="D70" i="63" s="1"/>
  <c r="D71" i="63" s="1"/>
  <c r="D72" i="63" s="1"/>
  <c r="D73" i="63" s="1"/>
  <c r="D74" i="63" s="1"/>
  <c r="D75" i="63" s="1"/>
  <c r="D76" i="63" s="1"/>
  <c r="D77" i="63" s="1"/>
  <c r="D78" i="63" s="1"/>
  <c r="D79" i="63" s="1"/>
  <c r="D80" i="63" s="1"/>
  <c r="D81" i="63" s="1"/>
  <c r="D82" i="63" s="1"/>
  <c r="F68" i="63"/>
  <c r="F69" i="63" s="1"/>
  <c r="F70" i="63" s="1"/>
  <c r="F71" i="63" s="1"/>
  <c r="F72" i="63" s="1"/>
  <c r="F73" i="63" s="1"/>
  <c r="F74" i="63" s="1"/>
  <c r="F75" i="63" s="1"/>
  <c r="F76" i="63" s="1"/>
  <c r="F77" i="63" s="1"/>
  <c r="F78" i="63" s="1"/>
  <c r="F79" i="63" s="1"/>
  <c r="F80" i="63" s="1"/>
  <c r="F81" i="63" s="1"/>
  <c r="F82" i="63" s="1"/>
  <c r="E68" i="63"/>
  <c r="E69" i="63" s="1"/>
  <c r="E70" i="63" s="1"/>
  <c r="E71" i="63" s="1"/>
  <c r="E72" i="63" s="1"/>
  <c r="E73" i="63" s="1"/>
  <c r="E74" i="63" s="1"/>
  <c r="E75" i="63" s="1"/>
  <c r="E76" i="63" s="1"/>
  <c r="E77" i="63" s="1"/>
  <c r="E78" i="63" s="1"/>
  <c r="E79" i="63" s="1"/>
  <c r="E80" i="63" s="1"/>
  <c r="E81" i="63" s="1"/>
  <c r="E82" i="63" s="1"/>
  <c r="C68" i="63"/>
  <c r="C69" i="63" s="1"/>
  <c r="C70" i="63" s="1"/>
  <c r="C71" i="63" s="1"/>
  <c r="C72" i="63" s="1"/>
  <c r="C73" i="63" s="1"/>
  <c r="C74" i="63" s="1"/>
  <c r="C75" i="63" s="1"/>
  <c r="C76" i="63" s="1"/>
  <c r="C77" i="63" s="1"/>
  <c r="C78" i="63" s="1"/>
  <c r="C79" i="63" s="1"/>
  <c r="C80" i="63" s="1"/>
  <c r="C81" i="63" s="1"/>
  <c r="C82" i="63" s="1"/>
  <c r="B68" i="63"/>
  <c r="B69" i="63" s="1"/>
  <c r="B70" i="63" s="1"/>
  <c r="B71" i="63" s="1"/>
  <c r="B72" i="63" s="1"/>
  <c r="B73" i="63" s="1"/>
  <c r="B74" i="63" s="1"/>
  <c r="B75" i="63" s="1"/>
  <c r="B76" i="63" s="1"/>
  <c r="B77" i="63" s="1"/>
  <c r="B78" i="63" s="1"/>
  <c r="B79" i="63" s="1"/>
  <c r="B80" i="63" s="1"/>
  <c r="B81" i="63" s="1"/>
  <c r="B82" i="63" s="1"/>
  <c r="L68" i="63"/>
  <c r="L69" i="63" s="1"/>
  <c r="L70" i="63" s="1"/>
  <c r="L71" i="63" s="1"/>
  <c r="L72" i="63" s="1"/>
  <c r="L73" i="63" s="1"/>
  <c r="L74" i="63" s="1"/>
  <c r="L75" i="63" s="1"/>
  <c r="L76" i="63" s="1"/>
  <c r="L77" i="63" s="1"/>
  <c r="L78" i="63" s="1"/>
  <c r="L79" i="63" s="1"/>
  <c r="L80" i="63" s="1"/>
  <c r="L81" i="63" s="1"/>
  <c r="L82" i="63" s="1"/>
  <c r="O68" i="63"/>
  <c r="O69" i="63" s="1"/>
  <c r="O70" i="63" s="1"/>
  <c r="O71" i="63" s="1"/>
  <c r="O72" i="63" s="1"/>
  <c r="O73" i="63" s="1"/>
  <c r="O74" i="63" s="1"/>
  <c r="O75" i="63" s="1"/>
  <c r="O76" i="63" s="1"/>
  <c r="O77" i="63" s="1"/>
  <c r="O78" i="63" s="1"/>
  <c r="O79" i="63" s="1"/>
  <c r="O80" i="63" s="1"/>
  <c r="O81" i="63" s="1"/>
  <c r="O82" i="63" s="1"/>
  <c r="K68" i="63"/>
  <c r="K69" i="63" s="1"/>
  <c r="K70" i="63" s="1"/>
  <c r="K71" i="63" s="1"/>
  <c r="K72" i="63" s="1"/>
  <c r="K73" i="63" s="1"/>
  <c r="K74" i="63" s="1"/>
  <c r="K75" i="63" s="1"/>
  <c r="K76" i="63" s="1"/>
  <c r="K77" i="63" s="1"/>
  <c r="K78" i="63" s="1"/>
  <c r="K79" i="63" s="1"/>
  <c r="K80" i="63" s="1"/>
  <c r="K81" i="63" s="1"/>
  <c r="K82" i="63" s="1"/>
  <c r="I68" i="63"/>
  <c r="I69" i="63" s="1"/>
  <c r="I70" i="63" s="1"/>
  <c r="I71" i="63" s="1"/>
  <c r="I72" i="63" s="1"/>
  <c r="I73" i="63" s="1"/>
  <c r="I74" i="63" s="1"/>
  <c r="I75" i="63" s="1"/>
  <c r="I76" i="63" s="1"/>
  <c r="I77" i="63" s="1"/>
  <c r="I78" i="63" s="1"/>
  <c r="I79" i="63" s="1"/>
  <c r="I80" i="63" s="1"/>
  <c r="I81" i="63" s="1"/>
  <c r="I82" i="63" s="1"/>
  <c r="J68" i="63"/>
  <c r="J69" i="63" s="1"/>
  <c r="J70" i="63" s="1"/>
  <c r="J71" i="63" s="1"/>
  <c r="J72" i="63" s="1"/>
  <c r="J73" i="63" s="1"/>
  <c r="J74" i="63" s="1"/>
  <c r="J75" i="63" s="1"/>
  <c r="J76" i="63" s="1"/>
  <c r="J77" i="63" s="1"/>
  <c r="J78" i="63" s="1"/>
  <c r="J79" i="63" s="1"/>
  <c r="J80" i="63" s="1"/>
  <c r="J81" i="63" s="1"/>
  <c r="J82" i="63" s="1"/>
  <c r="G68" i="63"/>
  <c r="G69" i="63" s="1"/>
  <c r="G70" i="63" s="1"/>
  <c r="G71" i="63" s="1"/>
  <c r="G72" i="63" s="1"/>
  <c r="G73" i="63" s="1"/>
  <c r="G74" i="63" s="1"/>
  <c r="G75" i="63" s="1"/>
  <c r="G76" i="63" s="1"/>
  <c r="G77" i="63" s="1"/>
  <c r="G78" i="63" s="1"/>
  <c r="G79" i="63" s="1"/>
  <c r="G80" i="63" s="1"/>
  <c r="G81" i="63" s="1"/>
  <c r="G82" i="63" s="1"/>
  <c r="AA38" i="1"/>
  <c r="J64" i="68"/>
  <c r="J138" i="68" s="1"/>
  <c r="J142" i="68" s="1"/>
  <c r="N121" i="1" s="1"/>
  <c r="J62" i="68"/>
  <c r="N64" i="68"/>
  <c r="N138" i="68" s="1"/>
  <c r="N142" i="68" s="1"/>
  <c r="N62" i="68"/>
  <c r="Q62" i="68"/>
  <c r="Q64" i="68"/>
  <c r="Q138" i="68" s="1"/>
  <c r="Q142" i="68" s="1"/>
  <c r="U121" i="1" s="1"/>
  <c r="K64" i="68"/>
  <c r="K138" i="68" s="1"/>
  <c r="K142" i="68" s="1"/>
  <c r="O121" i="1" s="1"/>
  <c r="K62" i="68"/>
  <c r="O64" i="68"/>
  <c r="O138" i="68" s="1"/>
  <c r="O142" i="68" s="1"/>
  <c r="O62" i="68"/>
  <c r="M64" i="68"/>
  <c r="M138" i="68" s="1"/>
  <c r="M142" i="68" s="1"/>
  <c r="M62" i="68"/>
  <c r="L64" i="68"/>
  <c r="L138" i="68" s="1"/>
  <c r="L142" i="68" s="1"/>
  <c r="P121" i="1" s="1"/>
  <c r="L62" i="68"/>
  <c r="I64" i="68"/>
  <c r="I138" i="68" s="1"/>
  <c r="I142" i="68" s="1"/>
  <c r="M121" i="1" s="1"/>
  <c r="I62" i="68"/>
  <c r="R62" i="68"/>
  <c r="R64" i="68"/>
  <c r="R138" i="68" s="1"/>
  <c r="R142" i="68" s="1"/>
  <c r="V121" i="1" s="1"/>
  <c r="P64" i="68"/>
  <c r="P138" i="68" s="1"/>
  <c r="P142" i="68" s="1"/>
  <c r="T121" i="1" s="1"/>
  <c r="P62" i="68"/>
  <c r="P52" i="1" a="1"/>
  <c r="P52" i="1" s="1"/>
  <c r="H52" i="1" a="1"/>
  <c r="H52" i="1" s="1"/>
  <c r="O52" i="1" a="1"/>
  <c r="O52" i="1" s="1"/>
  <c r="G52" i="1" a="1"/>
  <c r="G52" i="1" s="1"/>
  <c r="V52" i="1" a="1"/>
  <c r="V52" i="1" s="1"/>
  <c r="N52" i="1" a="1"/>
  <c r="N52" i="1" s="1"/>
  <c r="U52" i="1" a="1"/>
  <c r="U52" i="1" s="1"/>
  <c r="M52" i="1" a="1"/>
  <c r="M52" i="1" s="1"/>
  <c r="K52" i="1" a="1"/>
  <c r="K52" i="1" s="1"/>
  <c r="T52" i="1" a="1"/>
  <c r="T52" i="1" s="1"/>
  <c r="L52" i="1" a="1"/>
  <c r="L52" i="1" s="1"/>
  <c r="S52" i="1" a="1"/>
  <c r="S52" i="1" s="1"/>
  <c r="R52" i="1" a="1"/>
  <c r="R52" i="1" s="1"/>
  <c r="J52" i="1" a="1"/>
  <c r="J52" i="1" s="1"/>
  <c r="Q52" i="1" a="1"/>
  <c r="Q52" i="1" s="1"/>
  <c r="I52" i="1" a="1"/>
  <c r="I52" i="1" s="1"/>
  <c r="H56" i="63"/>
  <c r="H58" i="63" s="1"/>
  <c r="H59" i="63" s="1"/>
  <c r="B61" i="63"/>
  <c r="C62" i="63"/>
  <c r="B56" i="63"/>
  <c r="B58" i="63" s="1"/>
  <c r="B59" i="63" s="1"/>
  <c r="O56" i="63"/>
  <c r="O58" i="63" s="1"/>
  <c r="O59" i="63" s="1"/>
  <c r="L56" i="63"/>
  <c r="L58" i="63" s="1"/>
  <c r="L59" i="63" s="1"/>
  <c r="N56" i="63"/>
  <c r="N58" i="63" s="1"/>
  <c r="N59" i="63" s="1"/>
  <c r="E56" i="63"/>
  <c r="E58" i="63" s="1"/>
  <c r="E59" i="63" s="1"/>
  <c r="C56" i="63"/>
  <c r="C58" i="63" s="1"/>
  <c r="C59" i="63" s="1"/>
  <c r="J56" i="63"/>
  <c r="J58" i="63" s="1"/>
  <c r="J59" i="63" s="1"/>
  <c r="I56" i="63"/>
  <c r="I58" i="63" s="1"/>
  <c r="I59" i="63" s="1"/>
  <c r="D56" i="63"/>
  <c r="D58" i="63" s="1"/>
  <c r="D59" i="63" s="1"/>
  <c r="K56" i="63"/>
  <c r="K58" i="63" s="1"/>
  <c r="K59" i="63" s="1"/>
  <c r="M56" i="63"/>
  <c r="M58" i="63" s="1"/>
  <c r="M59" i="63" s="1"/>
  <c r="G56" i="63"/>
  <c r="G58" i="63" s="1"/>
  <c r="G59" i="63" s="1"/>
  <c r="F56" i="63"/>
  <c r="F58" i="63" s="1"/>
  <c r="F59" i="63" s="1"/>
  <c r="J155" i="1" l="1" a="1"/>
  <c r="J155" i="1" s="1"/>
  <c r="U155" i="1" a="1"/>
  <c r="U155" i="1" s="1"/>
  <c r="R155" i="1" a="1"/>
  <c r="R155" i="1" s="1"/>
  <c r="P155" i="1" a="1"/>
  <c r="P155" i="1" s="1"/>
  <c r="K155" i="1" a="1"/>
  <c r="K155" i="1" s="1"/>
  <c r="H155" i="1" a="1"/>
  <c r="H155" i="1" s="1"/>
  <c r="V155" i="1" a="1"/>
  <c r="V155" i="1" s="1"/>
  <c r="O155" i="1" a="1"/>
  <c r="O155" i="1" s="1"/>
  <c r="S155" i="1" a="1"/>
  <c r="S155" i="1" s="1"/>
  <c r="G155" i="1" a="1"/>
  <c r="G155" i="1" s="1"/>
  <c r="M155" i="1" a="1"/>
  <c r="M155" i="1" s="1"/>
  <c r="Q155" i="1" a="1"/>
  <c r="Q155" i="1" s="1"/>
  <c r="N155" i="1" a="1"/>
  <c r="N155" i="1" s="1"/>
  <c r="T155" i="1" a="1"/>
  <c r="T155" i="1" s="1"/>
  <c r="I155" i="1" a="1"/>
  <c r="I155" i="1" s="1"/>
  <c r="L155" i="1" a="1"/>
  <c r="L155" i="1" s="1"/>
  <c r="J151" i="68"/>
  <c r="AA52" i="1"/>
  <c r="AD52" i="1" s="1"/>
  <c r="R151" i="68"/>
  <c r="Q151" i="68"/>
  <c r="I151" i="68"/>
  <c r="L151" i="68"/>
  <c r="P151" i="68"/>
  <c r="Q121" i="1"/>
  <c r="M151" i="68"/>
  <c r="R121" i="1"/>
  <c r="N151" i="68"/>
  <c r="K151" i="68"/>
  <c r="S121" i="1"/>
  <c r="O151" i="68"/>
  <c r="B131" i="1" l="1"/>
  <c r="E69" i="54"/>
  <c r="E66" i="54"/>
  <c r="E61" i="54"/>
  <c r="E72" i="54" l="1"/>
  <c r="L43" i="54"/>
  <c r="I43" i="54"/>
  <c r="O43" i="54"/>
  <c r="L53" i="54" l="1"/>
  <c r="O53" i="54"/>
  <c r="M43" i="54"/>
  <c r="J43" i="54"/>
  <c r="V2" i="54"/>
  <c r="B69" i="1"/>
  <c r="B73" i="1"/>
  <c r="P38" i="54" l="1"/>
  <c r="P19" i="54"/>
  <c r="P41" i="54"/>
  <c r="Y41" i="54" s="1"/>
  <c r="P37" i="54"/>
  <c r="P18" i="54"/>
  <c r="Y18" i="54" s="1"/>
  <c r="P40" i="54"/>
  <c r="Y40" i="54" s="1"/>
  <c r="P36" i="54"/>
  <c r="P17" i="54"/>
  <c r="P39" i="54"/>
  <c r="Y39" i="54" s="1"/>
  <c r="P35" i="54"/>
  <c r="E43" i="54"/>
  <c r="M53" i="54"/>
  <c r="F69" i="54"/>
  <c r="T72" i="54"/>
  <c r="J53" i="54"/>
  <c r="F66" i="54"/>
  <c r="F72" i="54" s="1"/>
  <c r="E53" i="54"/>
  <c r="B83" i="1"/>
  <c r="R35" i="54" l="1"/>
  <c r="AA35" i="54" s="1"/>
  <c r="Y35" i="54"/>
  <c r="R37" i="54"/>
  <c r="AA37" i="54" s="1"/>
  <c r="Y37" i="54"/>
  <c r="R36" i="54"/>
  <c r="AA36" i="54" s="1"/>
  <c r="Y36" i="54"/>
  <c r="Y19" i="54"/>
  <c r="R19" i="54"/>
  <c r="AA19" i="54" s="1"/>
  <c r="Y38" i="54"/>
  <c r="R38" i="54"/>
  <c r="AA38" i="54" s="1"/>
  <c r="X45" i="54" a="1"/>
  <c r="X45" i="54" s="1"/>
  <c r="X52" i="54" s="1"/>
  <c r="U46" i="54" a="1"/>
  <c r="U46" i="54" s="1"/>
  <c r="U53" i="54" s="1"/>
  <c r="W44" i="54" a="1"/>
  <c r="W44" i="54" s="1"/>
  <c r="W51" i="54" s="1"/>
  <c r="V44" i="54" a="1"/>
  <c r="V44" i="54" s="1"/>
  <c r="V51" i="54" s="1"/>
  <c r="X44" i="54" a="1"/>
  <c r="X44" i="54" s="1"/>
  <c r="X51" i="54" s="1"/>
  <c r="U45" i="54" a="1"/>
  <c r="U45" i="54" s="1"/>
  <c r="U52" i="54" s="1"/>
  <c r="T46" i="54" a="1"/>
  <c r="T46" i="54" s="1"/>
  <c r="X46" i="54" a="1"/>
  <c r="X46" i="54" s="1"/>
  <c r="X53" i="54" s="1"/>
  <c r="W46" i="54" a="1"/>
  <c r="W46" i="54" s="1"/>
  <c r="W53" i="54" s="1"/>
  <c r="U44" i="54" a="1"/>
  <c r="U44" i="54" s="1"/>
  <c r="U51" i="54" s="1"/>
  <c r="W45" i="54" a="1"/>
  <c r="W45" i="54" s="1"/>
  <c r="W52" i="54" s="1"/>
  <c r="T45" i="54" a="1"/>
  <c r="T45" i="54" s="1"/>
  <c r="V46" i="54" a="1"/>
  <c r="V46" i="54" s="1"/>
  <c r="V53" i="54" s="1"/>
  <c r="T44" i="54" a="1"/>
  <c r="T44" i="54" s="1"/>
  <c r="V45" i="54" a="1"/>
  <c r="V45" i="54" s="1"/>
  <c r="V52" i="54" s="1"/>
  <c r="Y17" i="54"/>
  <c r="V43" i="54"/>
  <c r="U43" i="54"/>
  <c r="T43" i="54"/>
  <c r="W43" i="54"/>
  <c r="X43" i="54"/>
  <c r="P53" i="54"/>
  <c r="R41" i="54"/>
  <c r="AA41" i="54" s="1"/>
  <c r="R40" i="54"/>
  <c r="AA40" i="54" s="1"/>
  <c r="R18" i="54"/>
  <c r="AA18" i="54" s="1"/>
  <c r="R39" i="54"/>
  <c r="AA39" i="54" s="1"/>
  <c r="P42" i="54"/>
  <c r="R17" i="54"/>
  <c r="AA17" i="54" s="1"/>
  <c r="Q122" i="59" l="1"/>
  <c r="M122" i="59"/>
  <c r="I122" i="59"/>
  <c r="R122" i="59"/>
  <c r="N122" i="59"/>
  <c r="J122" i="59"/>
  <c r="K122" i="59"/>
  <c r="L122" i="59"/>
  <c r="O122" i="59"/>
  <c r="P122" i="59"/>
  <c r="R123" i="59"/>
  <c r="N123" i="59"/>
  <c r="J123" i="59"/>
  <c r="O123" i="59"/>
  <c r="K123" i="59"/>
  <c r="L123" i="59"/>
  <c r="M123" i="59"/>
  <c r="P123" i="59"/>
  <c r="Q123" i="59"/>
  <c r="I123" i="59"/>
  <c r="Q118" i="59"/>
  <c r="M118" i="59"/>
  <c r="I118" i="59"/>
  <c r="R118" i="59"/>
  <c r="N118" i="59"/>
  <c r="J118" i="59"/>
  <c r="O118" i="59"/>
  <c r="P118" i="59"/>
  <c r="K118" i="59"/>
  <c r="L118" i="59"/>
  <c r="P117" i="59"/>
  <c r="L117" i="59"/>
  <c r="Q117" i="59"/>
  <c r="M117" i="59"/>
  <c r="I117" i="59"/>
  <c r="N117" i="59"/>
  <c r="O117" i="59"/>
  <c r="R117" i="59"/>
  <c r="J117" i="59"/>
  <c r="K117" i="59"/>
  <c r="O116" i="59"/>
  <c r="K116" i="59"/>
  <c r="P116" i="59"/>
  <c r="L116" i="59"/>
  <c r="M116" i="59"/>
  <c r="N116" i="59"/>
  <c r="Q116" i="59"/>
  <c r="I116" i="59"/>
  <c r="R116" i="59"/>
  <c r="J116" i="59"/>
  <c r="P121" i="59"/>
  <c r="L121" i="59"/>
  <c r="Q121" i="59"/>
  <c r="M121" i="59"/>
  <c r="I121" i="59"/>
  <c r="R121" i="59"/>
  <c r="J121" i="59"/>
  <c r="K121" i="59"/>
  <c r="N121" i="59"/>
  <c r="O121" i="59"/>
  <c r="Q126" i="59"/>
  <c r="M126" i="59"/>
  <c r="I126" i="59"/>
  <c r="R126" i="59"/>
  <c r="N126" i="59"/>
  <c r="J126" i="59"/>
  <c r="O126" i="59"/>
  <c r="P126" i="59"/>
  <c r="K126" i="59"/>
  <c r="L126" i="59"/>
  <c r="P129" i="59"/>
  <c r="L129" i="59"/>
  <c r="R129" i="59"/>
  <c r="Q129" i="59"/>
  <c r="M129" i="59"/>
  <c r="I129" i="59"/>
  <c r="J129" i="59"/>
  <c r="K129" i="59"/>
  <c r="N129" i="59"/>
  <c r="O129" i="59"/>
  <c r="AA43" i="54"/>
  <c r="AA54" i="54" s="1"/>
  <c r="R127" i="59"/>
  <c r="N127" i="59"/>
  <c r="J127" i="59"/>
  <c r="O127" i="59"/>
  <c r="K127" i="59"/>
  <c r="P127" i="59"/>
  <c r="Q127" i="59"/>
  <c r="I127" i="59"/>
  <c r="L127" i="59"/>
  <c r="M127" i="59"/>
  <c r="O128" i="59"/>
  <c r="K128" i="59"/>
  <c r="P128" i="59"/>
  <c r="L128" i="59"/>
  <c r="Q128" i="59"/>
  <c r="I128" i="59"/>
  <c r="J128" i="59"/>
  <c r="R128" i="59"/>
  <c r="M128" i="59"/>
  <c r="N128" i="59"/>
  <c r="R119" i="59"/>
  <c r="N119" i="59"/>
  <c r="J119" i="59"/>
  <c r="O119" i="59"/>
  <c r="K119" i="59"/>
  <c r="P119" i="59"/>
  <c r="Q119" i="59"/>
  <c r="I119" i="59"/>
  <c r="L119" i="59"/>
  <c r="M119" i="59"/>
  <c r="O124" i="59"/>
  <c r="K124" i="59"/>
  <c r="P124" i="59"/>
  <c r="L124" i="59"/>
  <c r="M124" i="59"/>
  <c r="N124" i="59"/>
  <c r="Q124" i="59"/>
  <c r="I124" i="59"/>
  <c r="R124" i="59"/>
  <c r="J124" i="59"/>
  <c r="T53" i="54"/>
  <c r="Y53" i="54" s="1"/>
  <c r="Y46" i="54"/>
  <c r="X54" i="54"/>
  <c r="V54" i="54"/>
  <c r="W54" i="54"/>
  <c r="Y44" i="54"/>
  <c r="T51" i="54"/>
  <c r="T52" i="54"/>
  <c r="Y45" i="54"/>
  <c r="U54" i="54"/>
  <c r="R43" i="54"/>
  <c r="Q79" i="59"/>
  <c r="Q139" i="59" s="1"/>
  <c r="U83" i="1"/>
  <c r="U85" i="1" s="1"/>
  <c r="N79" i="59"/>
  <c r="N139" i="59" s="1"/>
  <c r="R83" i="1"/>
  <c r="R85" i="1" s="1"/>
  <c r="C79" i="59"/>
  <c r="C139" i="59" s="1"/>
  <c r="E72" i="66" s="1"/>
  <c r="L79" i="59"/>
  <c r="L139" i="59" s="1"/>
  <c r="P83" i="1"/>
  <c r="P85" i="1" s="1"/>
  <c r="H79" i="59"/>
  <c r="H139" i="59" s="1"/>
  <c r="E79" i="59"/>
  <c r="E139" i="59" s="1"/>
  <c r="P31" i="1"/>
  <c r="S31" i="1"/>
  <c r="O31" i="1"/>
  <c r="V31" i="1"/>
  <c r="N31" i="1"/>
  <c r="T31" i="1"/>
  <c r="U31" i="1"/>
  <c r="M31" i="1"/>
  <c r="R31" i="1"/>
  <c r="Q31" i="1"/>
  <c r="D79" i="59"/>
  <c r="D139" i="59" s="1"/>
  <c r="F79" i="59"/>
  <c r="F139" i="59" s="1"/>
  <c r="P79" i="59"/>
  <c r="P139" i="59" s="1"/>
  <c r="T83" i="1"/>
  <c r="T85" i="1" s="1"/>
  <c r="R79" i="59"/>
  <c r="R139" i="59" s="1"/>
  <c r="V83" i="1"/>
  <c r="V85" i="1" s="1"/>
  <c r="J79" i="59"/>
  <c r="J139" i="59" s="1"/>
  <c r="N83" i="1"/>
  <c r="N85" i="1" s="1"/>
  <c r="K79" i="59"/>
  <c r="K139" i="59" s="1"/>
  <c r="O83" i="1"/>
  <c r="O85" i="1" s="1"/>
  <c r="G79" i="59"/>
  <c r="G139" i="59" s="1"/>
  <c r="I79" i="59"/>
  <c r="I139" i="59" s="1"/>
  <c r="M83" i="1"/>
  <c r="M85" i="1" s="1"/>
  <c r="O79" i="59"/>
  <c r="O139" i="59" s="1"/>
  <c r="S83" i="1"/>
  <c r="S85" i="1" s="1"/>
  <c r="M79" i="59"/>
  <c r="M139" i="59" s="1"/>
  <c r="Q83" i="1"/>
  <c r="Q85" i="1" s="1"/>
  <c r="L83" i="1"/>
  <c r="L85" i="1" s="1"/>
  <c r="E22" i="66"/>
  <c r="G83" i="1"/>
  <c r="G22" i="66"/>
  <c r="I83" i="1"/>
  <c r="I85" i="1" s="1"/>
  <c r="J83" i="1"/>
  <c r="J85" i="1" s="1"/>
  <c r="F22" i="66"/>
  <c r="F47" i="66" s="1"/>
  <c r="F52" i="66" s="1"/>
  <c r="H83" i="1"/>
  <c r="H85" i="1" s="1"/>
  <c r="K83" i="1"/>
  <c r="K85" i="1" s="1"/>
  <c r="Y43" i="54"/>
  <c r="I59" i="59" l="1"/>
  <c r="V86" i="1"/>
  <c r="V88" i="1" s="1"/>
  <c r="T86" i="1"/>
  <c r="T88" i="1" s="1"/>
  <c r="R86" i="1"/>
  <c r="R88" i="1" s="1"/>
  <c r="P86" i="1"/>
  <c r="P88" i="1" s="1"/>
  <c r="S86" i="1"/>
  <c r="S88" i="1" s="1"/>
  <c r="N86" i="1"/>
  <c r="N88" i="1" s="1"/>
  <c r="O86" i="1"/>
  <c r="O88" i="1" s="1"/>
  <c r="U86" i="1"/>
  <c r="U88" i="1" s="1"/>
  <c r="Q86" i="1"/>
  <c r="Q88" i="1" s="1"/>
  <c r="M86" i="1"/>
  <c r="M88" i="1" s="1"/>
  <c r="Q58" i="59"/>
  <c r="F72" i="66"/>
  <c r="G72" i="66"/>
  <c r="AA23" i="1"/>
  <c r="AA28" i="1"/>
  <c r="AA26" i="1"/>
  <c r="AA24" i="1"/>
  <c r="AA25" i="1"/>
  <c r="AA83" i="1"/>
  <c r="G85" i="1"/>
  <c r="AA85" i="1" s="1"/>
  <c r="Q61" i="59"/>
  <c r="L58" i="59"/>
  <c r="R59" i="59"/>
  <c r="I61" i="59"/>
  <c r="O61" i="59"/>
  <c r="K60" i="59"/>
  <c r="J60" i="59"/>
  <c r="M61" i="59"/>
  <c r="N61" i="59"/>
  <c r="J58" i="59"/>
  <c r="P58" i="59"/>
  <c r="M59" i="59"/>
  <c r="N60" i="59"/>
  <c r="I60" i="59"/>
  <c r="J61" i="59"/>
  <c r="Y52" i="54"/>
  <c r="O120" i="59"/>
  <c r="K120" i="59"/>
  <c r="P120" i="59"/>
  <c r="L120" i="59"/>
  <c r="Q120" i="59"/>
  <c r="I120" i="59"/>
  <c r="R120" i="59"/>
  <c r="J120" i="59"/>
  <c r="M120" i="59"/>
  <c r="N120" i="59"/>
  <c r="P125" i="59"/>
  <c r="L125" i="59"/>
  <c r="R125" i="59"/>
  <c r="Q125" i="59"/>
  <c r="M125" i="59"/>
  <c r="I125" i="59"/>
  <c r="N125" i="59"/>
  <c r="O125" i="59"/>
  <c r="J125" i="59"/>
  <c r="K125" i="59"/>
  <c r="P61" i="59"/>
  <c r="R61" i="59"/>
  <c r="R58" i="59"/>
  <c r="N58" i="59"/>
  <c r="K58" i="59"/>
  <c r="K59" i="59"/>
  <c r="O59" i="59"/>
  <c r="Q59" i="59"/>
  <c r="L59" i="59"/>
  <c r="L60" i="59"/>
  <c r="P60" i="59"/>
  <c r="R60" i="59"/>
  <c r="M60" i="59"/>
  <c r="T54" i="54"/>
  <c r="R115" i="59"/>
  <c r="N115" i="59"/>
  <c r="J115" i="59"/>
  <c r="O115" i="59"/>
  <c r="K115" i="59"/>
  <c r="L115" i="59"/>
  <c r="M115" i="59"/>
  <c r="P115" i="59"/>
  <c r="Q115" i="59"/>
  <c r="I115" i="59"/>
  <c r="L61" i="59"/>
  <c r="K61" i="59"/>
  <c r="I58" i="59"/>
  <c r="M58" i="59"/>
  <c r="O58" i="59"/>
  <c r="J59" i="59"/>
  <c r="N59" i="59"/>
  <c r="P59" i="59"/>
  <c r="O60" i="59"/>
  <c r="Q60" i="59"/>
  <c r="I10" i="31"/>
  <c r="E10" i="31"/>
  <c r="D10" i="31"/>
  <c r="J10" i="31"/>
  <c r="L10" i="31"/>
  <c r="H10" i="31"/>
  <c r="O10" i="31"/>
  <c r="K10" i="31"/>
  <c r="M10" i="31"/>
  <c r="Y51" i="54"/>
  <c r="Q10" i="15"/>
  <c r="B10" i="31"/>
  <c r="L10" i="15"/>
  <c r="B10" i="15"/>
  <c r="F10" i="15"/>
  <c r="C32" i="59"/>
  <c r="C137" i="59" s="1"/>
  <c r="E70" i="66" s="1"/>
  <c r="C29" i="59"/>
  <c r="C30" i="59" s="1"/>
  <c r="N10" i="31"/>
  <c r="G32" i="59"/>
  <c r="G137" i="59" s="1"/>
  <c r="G29" i="59"/>
  <c r="G30" i="59" s="1"/>
  <c r="D10" i="15"/>
  <c r="G10" i="31"/>
  <c r="M10" i="15"/>
  <c r="I32" i="59"/>
  <c r="I137" i="59" s="1"/>
  <c r="I29" i="59"/>
  <c r="I30" i="59" s="1"/>
  <c r="P10" i="15"/>
  <c r="M32" i="59"/>
  <c r="M137" i="59" s="1"/>
  <c r="M29" i="59"/>
  <c r="M30" i="59" s="1"/>
  <c r="E32" i="59"/>
  <c r="E137" i="59" s="1"/>
  <c r="G70" i="66" s="1"/>
  <c r="E29" i="59"/>
  <c r="E30" i="59" s="1"/>
  <c r="N32" i="59"/>
  <c r="N137" i="59" s="1"/>
  <c r="N29" i="59"/>
  <c r="N30" i="59" s="1"/>
  <c r="N10" i="15"/>
  <c r="J10" i="15"/>
  <c r="O10" i="15"/>
  <c r="E10" i="15"/>
  <c r="C10" i="31"/>
  <c r="Q10" i="31"/>
  <c r="Q32" i="59"/>
  <c r="Q137" i="59" s="1"/>
  <c r="Q29" i="59"/>
  <c r="Q30" i="59" s="1"/>
  <c r="O32" i="59"/>
  <c r="O137" i="59" s="1"/>
  <c r="O29" i="59"/>
  <c r="O30" i="59" s="1"/>
  <c r="K32" i="59"/>
  <c r="K137" i="59" s="1"/>
  <c r="K29" i="59"/>
  <c r="K30" i="59" s="1"/>
  <c r="I10" i="15"/>
  <c r="P32" i="59"/>
  <c r="P137" i="59" s="1"/>
  <c r="P29" i="59"/>
  <c r="P30" i="59" s="1"/>
  <c r="F32" i="59"/>
  <c r="F137" i="59" s="1"/>
  <c r="F29" i="59"/>
  <c r="F30" i="59" s="1"/>
  <c r="G10" i="15"/>
  <c r="K10" i="15"/>
  <c r="P10" i="31"/>
  <c r="H10" i="15"/>
  <c r="D32" i="59"/>
  <c r="D137" i="59" s="1"/>
  <c r="F70" i="66" s="1"/>
  <c r="D29" i="59"/>
  <c r="D30" i="59" s="1"/>
  <c r="L32" i="59"/>
  <c r="L137" i="59" s="1"/>
  <c r="L29" i="59"/>
  <c r="L30" i="59" s="1"/>
  <c r="R32" i="59"/>
  <c r="R137" i="59" s="1"/>
  <c r="R29" i="59"/>
  <c r="R30" i="59" s="1"/>
  <c r="F10" i="31"/>
  <c r="J32" i="59"/>
  <c r="J137" i="59" s="1"/>
  <c r="J29" i="59"/>
  <c r="J30" i="59" s="1"/>
  <c r="C10" i="15"/>
  <c r="H32" i="59"/>
  <c r="H137" i="59" s="1"/>
  <c r="H29" i="59"/>
  <c r="H30" i="59" s="1"/>
  <c r="E47" i="66"/>
  <c r="E23" i="66"/>
  <c r="G47" i="66"/>
  <c r="G23" i="66"/>
  <c r="F23" i="66"/>
  <c r="B144" i="1"/>
  <c r="Y54" i="54" l="1"/>
  <c r="I57" i="59"/>
  <c r="I132" i="59"/>
  <c r="I141" i="59" s="1"/>
  <c r="I130" i="59"/>
  <c r="O130" i="59"/>
  <c r="O57" i="59"/>
  <c r="O132" i="59"/>
  <c r="O141" i="59" s="1"/>
  <c r="J57" i="59"/>
  <c r="J132" i="59"/>
  <c r="J141" i="59" s="1"/>
  <c r="J130" i="59"/>
  <c r="K130" i="59"/>
  <c r="K57" i="59"/>
  <c r="K132" i="59"/>
  <c r="K141" i="59" s="1"/>
  <c r="Q57" i="59"/>
  <c r="Q132" i="59"/>
  <c r="Q141" i="59" s="1"/>
  <c r="Q130" i="59"/>
  <c r="M57" i="59"/>
  <c r="M132" i="59"/>
  <c r="M141" i="59" s="1"/>
  <c r="M130" i="59"/>
  <c r="N57" i="59"/>
  <c r="N132" i="59"/>
  <c r="N141" i="59" s="1"/>
  <c r="N130" i="59"/>
  <c r="P130" i="59"/>
  <c r="P57" i="59"/>
  <c r="P132" i="59"/>
  <c r="P141" i="59" s="1"/>
  <c r="L130" i="59"/>
  <c r="L57" i="59"/>
  <c r="L132" i="59"/>
  <c r="L141" i="59" s="1"/>
  <c r="R57" i="59"/>
  <c r="R132" i="59"/>
  <c r="R141" i="59" s="1"/>
  <c r="R130" i="59"/>
  <c r="B9" i="15"/>
  <c r="B11" i="15" s="1"/>
  <c r="B8" i="15"/>
  <c r="F8" i="31"/>
  <c r="F9" i="31"/>
  <c r="F11" i="31" s="1"/>
  <c r="Q43" i="59"/>
  <c r="Q147" i="59" s="1"/>
  <c r="Q149" i="59" s="1"/>
  <c r="U37" i="1" s="1"/>
  <c r="U35" i="1" s="1"/>
  <c r="Q41" i="59"/>
  <c r="D9" i="15"/>
  <c r="D11" i="15" s="1"/>
  <c r="D8" i="15"/>
  <c r="H9" i="31"/>
  <c r="H11" i="31" s="1"/>
  <c r="M13" i="1" s="1"/>
  <c r="H8" i="31"/>
  <c r="K43" i="59"/>
  <c r="K147" i="59" s="1"/>
  <c r="K149" i="59" s="1"/>
  <c r="O37" i="1" s="1"/>
  <c r="O35" i="1" s="1"/>
  <c r="K41" i="59"/>
  <c r="E9" i="15"/>
  <c r="E11" i="15" s="1"/>
  <c r="E8" i="15"/>
  <c r="N9" i="15"/>
  <c r="N11" i="15" s="1"/>
  <c r="S12" i="1" s="1"/>
  <c r="N8" i="15"/>
  <c r="E43" i="59"/>
  <c r="E147" i="59" s="1"/>
  <c r="E41" i="59"/>
  <c r="L9" i="15"/>
  <c r="L11" i="15" s="1"/>
  <c r="Q12" i="1" s="1"/>
  <c r="L8" i="15"/>
  <c r="D8" i="31"/>
  <c r="D9" i="31"/>
  <c r="D11" i="31" s="1"/>
  <c r="L8" i="31"/>
  <c r="L9" i="31"/>
  <c r="L11" i="31" s="1"/>
  <c r="Q13" i="1" s="1"/>
  <c r="C8" i="15"/>
  <c r="C9" i="15"/>
  <c r="C11" i="15" s="1"/>
  <c r="L43" i="59"/>
  <c r="L147" i="59" s="1"/>
  <c r="L149" i="59" s="1"/>
  <c r="P37" i="1" s="1"/>
  <c r="P35" i="1" s="1"/>
  <c r="L41" i="59"/>
  <c r="P9" i="31"/>
  <c r="P11" i="31" s="1"/>
  <c r="U13" i="1" s="1"/>
  <c r="P8" i="31"/>
  <c r="F43" i="59"/>
  <c r="F147" i="59" s="1"/>
  <c r="F41" i="59"/>
  <c r="Q9" i="31"/>
  <c r="Q11" i="31" s="1"/>
  <c r="V13" i="1" s="1"/>
  <c r="Q8" i="31"/>
  <c r="M9" i="15"/>
  <c r="M11" i="15" s="1"/>
  <c r="R12" i="1" s="1"/>
  <c r="M8" i="15"/>
  <c r="C43" i="59"/>
  <c r="C147" i="59" s="1"/>
  <c r="C41" i="59"/>
  <c r="B8" i="31"/>
  <c r="B9" i="31"/>
  <c r="B11" i="31" s="1"/>
  <c r="I9" i="31"/>
  <c r="I11" i="31" s="1"/>
  <c r="N13" i="1" s="1"/>
  <c r="I8" i="31"/>
  <c r="J9" i="15"/>
  <c r="J11" i="15" s="1"/>
  <c r="O12" i="1" s="1"/>
  <c r="J8" i="15"/>
  <c r="R43" i="59"/>
  <c r="R147" i="59" s="1"/>
  <c r="R149" i="59" s="1"/>
  <c r="V37" i="1" s="1"/>
  <c r="V35" i="1" s="1"/>
  <c r="R41" i="59"/>
  <c r="I43" i="59"/>
  <c r="I147" i="59" s="1"/>
  <c r="I149" i="59" s="1"/>
  <c r="M37" i="1" s="1"/>
  <c r="M35" i="1" s="1"/>
  <c r="I41" i="59"/>
  <c r="O8" i="31"/>
  <c r="O9" i="31"/>
  <c r="O11" i="31" s="1"/>
  <c r="T13" i="1" s="1"/>
  <c r="K8" i="31"/>
  <c r="K9" i="31"/>
  <c r="K11" i="31" s="1"/>
  <c r="P13" i="1" s="1"/>
  <c r="G43" i="59"/>
  <c r="G147" i="59" s="1"/>
  <c r="G41" i="59"/>
  <c r="N8" i="31"/>
  <c r="N9" i="31"/>
  <c r="N11" i="31" s="1"/>
  <c r="S13" i="1" s="1"/>
  <c r="I8" i="15"/>
  <c r="I9" i="15"/>
  <c r="I11" i="15" s="1"/>
  <c r="N12" i="1" s="1"/>
  <c r="J8" i="31"/>
  <c r="J9" i="31"/>
  <c r="J11" i="31" s="1"/>
  <c r="O13" i="1" s="1"/>
  <c r="P43" i="59"/>
  <c r="P147" i="59" s="1"/>
  <c r="P149" i="59" s="1"/>
  <c r="T37" i="1" s="1"/>
  <c r="T35" i="1" s="1"/>
  <c r="P41" i="59"/>
  <c r="O43" i="59"/>
  <c r="O147" i="59" s="1"/>
  <c r="O149" i="59" s="1"/>
  <c r="S37" i="1" s="1"/>
  <c r="S35" i="1" s="1"/>
  <c r="O41" i="59"/>
  <c r="C9" i="31"/>
  <c r="C11" i="31" s="1"/>
  <c r="C8" i="31"/>
  <c r="O9" i="15"/>
  <c r="O11" i="15" s="1"/>
  <c r="T12" i="1" s="1"/>
  <c r="O8" i="15"/>
  <c r="M43" i="59"/>
  <c r="M147" i="59" s="1"/>
  <c r="M149" i="59" s="1"/>
  <c r="Q37" i="1" s="1"/>
  <c r="Q35" i="1" s="1"/>
  <c r="M41" i="59"/>
  <c r="G8" i="31"/>
  <c r="G9" i="31"/>
  <c r="G11" i="31" s="1"/>
  <c r="L13" i="1" s="1"/>
  <c r="Q8" i="15"/>
  <c r="Q9" i="15"/>
  <c r="Q11" i="15" s="1"/>
  <c r="V12" i="1" s="1"/>
  <c r="H8" i="15"/>
  <c r="H9" i="15"/>
  <c r="H11" i="15" s="1"/>
  <c r="M12" i="1" s="1"/>
  <c r="G8" i="15"/>
  <c r="G9" i="15"/>
  <c r="G11" i="15" s="1"/>
  <c r="L12" i="1" s="1"/>
  <c r="M8" i="31"/>
  <c r="M9" i="31"/>
  <c r="M11" i="31" s="1"/>
  <c r="R13" i="1" s="1"/>
  <c r="H43" i="59"/>
  <c r="H147" i="59" s="1"/>
  <c r="H41" i="59"/>
  <c r="J43" i="59"/>
  <c r="J147" i="59" s="1"/>
  <c r="J149" i="59" s="1"/>
  <c r="N37" i="1" s="1"/>
  <c r="N35" i="1" s="1"/>
  <c r="J41" i="59"/>
  <c r="E8" i="31"/>
  <c r="E9" i="31"/>
  <c r="E11" i="31" s="1"/>
  <c r="D43" i="59"/>
  <c r="D147" i="59" s="1"/>
  <c r="D41" i="59"/>
  <c r="K8" i="15"/>
  <c r="K9" i="15"/>
  <c r="K11" i="15" s="1"/>
  <c r="P12" i="1" s="1"/>
  <c r="N43" i="59"/>
  <c r="N147" i="59" s="1"/>
  <c r="N149" i="59" s="1"/>
  <c r="R37" i="1" s="1"/>
  <c r="R35" i="1" s="1"/>
  <c r="N41" i="59"/>
  <c r="P8" i="15"/>
  <c r="P9" i="15"/>
  <c r="P11" i="15" s="1"/>
  <c r="U12" i="1" s="1"/>
  <c r="F8" i="15"/>
  <c r="F9" i="15"/>
  <c r="F11" i="15" s="1"/>
  <c r="E52" i="66"/>
  <c r="E54" i="66" s="1"/>
  <c r="E49" i="66"/>
  <c r="G49" i="66"/>
  <c r="G52" i="66"/>
  <c r="G54" i="66" s="1"/>
  <c r="F54" i="66"/>
  <c r="F49" i="66"/>
  <c r="G44" i="1"/>
  <c r="B7" i="32"/>
  <c r="Z9" i="57"/>
  <c r="Z29" i="57" s="1"/>
  <c r="Y9" i="57"/>
  <c r="Y29" i="57" s="1"/>
  <c r="X9" i="57"/>
  <c r="X29" i="57" s="1"/>
  <c r="W9" i="57"/>
  <c r="W29" i="57" s="1"/>
  <c r="V9" i="57"/>
  <c r="V29" i="57" s="1"/>
  <c r="Z20" i="57"/>
  <c r="Z21" i="57" s="1"/>
  <c r="Z26" i="57" s="1"/>
  <c r="Y20" i="57"/>
  <c r="Y21" i="57" s="1"/>
  <c r="Y26" i="57" s="1"/>
  <c r="X20" i="57"/>
  <c r="X21" i="57" s="1"/>
  <c r="X26" i="57" s="1"/>
  <c r="W20" i="57"/>
  <c r="W21" i="57" s="1"/>
  <c r="W26" i="57" s="1"/>
  <c r="V20" i="57"/>
  <c r="V12" i="57"/>
  <c r="AE9" i="57"/>
  <c r="AE29" i="57" s="1"/>
  <c r="AD9" i="57"/>
  <c r="AD29" i="57" s="1"/>
  <c r="AC9" i="57"/>
  <c r="AC29" i="57" s="1"/>
  <c r="AB9" i="57"/>
  <c r="AB29" i="57" s="1"/>
  <c r="AA9" i="57"/>
  <c r="AA29" i="57" s="1"/>
  <c r="AE20" i="57"/>
  <c r="AE21" i="57" s="1"/>
  <c r="AE26" i="57" s="1"/>
  <c r="AD20" i="57"/>
  <c r="AD21" i="57" s="1"/>
  <c r="AD26" i="57" s="1"/>
  <c r="AC20" i="57"/>
  <c r="AC21" i="57" s="1"/>
  <c r="AC26" i="57" s="1"/>
  <c r="AB20" i="57"/>
  <c r="AB21" i="57" s="1"/>
  <c r="AB26" i="57" s="1"/>
  <c r="AA20" i="57"/>
  <c r="AA12" i="57"/>
  <c r="O2" i="50"/>
  <c r="N2" i="50"/>
  <c r="O2" i="39"/>
  <c r="N2" i="39"/>
  <c r="O2" i="52"/>
  <c r="N2" i="52"/>
  <c r="Q2" i="34"/>
  <c r="P2" i="34"/>
  <c r="Q2" i="32"/>
  <c r="P2" i="32"/>
  <c r="R2" i="59"/>
  <c r="Q2" i="59"/>
  <c r="O2" i="58"/>
  <c r="N2" i="58"/>
  <c r="AO2" i="57"/>
  <c r="AN2" i="57"/>
  <c r="U2" i="56"/>
  <c r="T2" i="56"/>
  <c r="U2" i="31"/>
  <c r="T2" i="31"/>
  <c r="U2" i="15"/>
  <c r="T2" i="15"/>
  <c r="B117" i="1"/>
  <c r="N64" i="59" l="1"/>
  <c r="N138" i="59" s="1"/>
  <c r="N142" i="59" s="1"/>
  <c r="R118" i="1" s="1"/>
  <c r="N62" i="59"/>
  <c r="O62" i="59"/>
  <c r="O64" i="59"/>
  <c r="O138" i="59" s="1"/>
  <c r="O142" i="59" s="1"/>
  <c r="S118" i="1" s="1"/>
  <c r="R62" i="59"/>
  <c r="R64" i="59"/>
  <c r="R138" i="59" s="1"/>
  <c r="R142" i="59" s="1"/>
  <c r="V118" i="1" s="1"/>
  <c r="Q62" i="59"/>
  <c r="Q64" i="59"/>
  <c r="Q138" i="59" s="1"/>
  <c r="Q142" i="59" s="1"/>
  <c r="U118" i="1" s="1"/>
  <c r="P62" i="59"/>
  <c r="P64" i="59"/>
  <c r="P138" i="59" s="1"/>
  <c r="P142" i="59" s="1"/>
  <c r="T118" i="1" s="1"/>
  <c r="L64" i="59"/>
  <c r="L138" i="59" s="1"/>
  <c r="L142" i="59" s="1"/>
  <c r="P118" i="1" s="1"/>
  <c r="L62" i="59"/>
  <c r="M64" i="59"/>
  <c r="M138" i="59" s="1"/>
  <c r="M142" i="59" s="1"/>
  <c r="Q118" i="1" s="1"/>
  <c r="M62" i="59"/>
  <c r="J64" i="59"/>
  <c r="J138" i="59" s="1"/>
  <c r="J142" i="59" s="1"/>
  <c r="N118" i="1" s="1"/>
  <c r="J62" i="59"/>
  <c r="K62" i="59"/>
  <c r="K64" i="59"/>
  <c r="K138" i="59" s="1"/>
  <c r="K142" i="59" s="1"/>
  <c r="O118" i="1" s="1"/>
  <c r="I62" i="59"/>
  <c r="I64" i="59"/>
  <c r="I138" i="59" s="1"/>
  <c r="I142" i="59" s="1"/>
  <c r="M118" i="1" s="1"/>
  <c r="Q10" i="1"/>
  <c r="L10" i="1"/>
  <c r="P10" i="1"/>
  <c r="S10" i="1"/>
  <c r="T10" i="1"/>
  <c r="N10" i="1"/>
  <c r="V10" i="1"/>
  <c r="M10" i="1"/>
  <c r="U10" i="1"/>
  <c r="O10" i="1"/>
  <c r="R10" i="1"/>
  <c r="AC31" i="57"/>
  <c r="AC41" i="57" s="1"/>
  <c r="Y31" i="57"/>
  <c r="Y39" i="57" s="1"/>
  <c r="AB31" i="57"/>
  <c r="AB41" i="57" s="1"/>
  <c r="AE31" i="57"/>
  <c r="AE38" i="57" s="1"/>
  <c r="AD31" i="57"/>
  <c r="AD41" i="57" s="1"/>
  <c r="X31" i="57"/>
  <c r="W31" i="57"/>
  <c r="Z31" i="57"/>
  <c r="V21" i="57"/>
  <c r="V26" i="57" s="1"/>
  <c r="AA21" i="57"/>
  <c r="AA26" i="57" s="1"/>
  <c r="AC39" i="57" l="1"/>
  <c r="AC36" i="57"/>
  <c r="AC61" i="57" s="1"/>
  <c r="N151" i="59"/>
  <c r="Y38" i="57"/>
  <c r="AA31" i="57"/>
  <c r="V31" i="57"/>
  <c r="AC37" i="57"/>
  <c r="AC62" i="57" s="1"/>
  <c r="AD40" i="57"/>
  <c r="Y37" i="57"/>
  <c r="AE36" i="57"/>
  <c r="AE61" i="57" s="1"/>
  <c r="AE39" i="57"/>
  <c r="AB36" i="57"/>
  <c r="AB61" i="57" s="1"/>
  <c r="AB38" i="57"/>
  <c r="Y41" i="57"/>
  <c r="M151" i="59"/>
  <c r="Y36" i="57"/>
  <c r="Y61" i="57" s="1"/>
  <c r="Y40" i="57"/>
  <c r="L151" i="59"/>
  <c r="I151" i="59"/>
  <c r="R151" i="59"/>
  <c r="AC40" i="57"/>
  <c r="AB39" i="57"/>
  <c r="AB37" i="57"/>
  <c r="AC38" i="57"/>
  <c r="AB40" i="57"/>
  <c r="P151" i="59"/>
  <c r="AE37" i="57"/>
  <c r="AE41" i="57"/>
  <c r="AE40" i="57"/>
  <c r="J151" i="59"/>
  <c r="Q151" i="59"/>
  <c r="K151" i="59"/>
  <c r="O151" i="59"/>
  <c r="AE48" i="57"/>
  <c r="AE43" i="57"/>
  <c r="AE45" i="57"/>
  <c r="AE49" i="57"/>
  <c r="AE50" i="57"/>
  <c r="AE42" i="57"/>
  <c r="AE47" i="57"/>
  <c r="AE44" i="57"/>
  <c r="AE46" i="57"/>
  <c r="AD36" i="57"/>
  <c r="AD61" i="57" s="1"/>
  <c r="AD49" i="57"/>
  <c r="AD47" i="57"/>
  <c r="AD45" i="57"/>
  <c r="AD43" i="57"/>
  <c r="AD48" i="57"/>
  <c r="AD42" i="57"/>
  <c r="AD46" i="57"/>
  <c r="AD44" i="57"/>
  <c r="AD50" i="57"/>
  <c r="AC48" i="57"/>
  <c r="AC43" i="57"/>
  <c r="AC47" i="57"/>
  <c r="AC46" i="57"/>
  <c r="AC44" i="57"/>
  <c r="AC49" i="57"/>
  <c r="AC50" i="57"/>
  <c r="AC42" i="57"/>
  <c r="AC45" i="57"/>
  <c r="AB50" i="57"/>
  <c r="AB46" i="57"/>
  <c r="AB42" i="57"/>
  <c r="AB47" i="57"/>
  <c r="AB45" i="57"/>
  <c r="AB43" i="57"/>
  <c r="AB49" i="57"/>
  <c r="AB48" i="57"/>
  <c r="AB44" i="57"/>
  <c r="AA48" i="57"/>
  <c r="AA49" i="57"/>
  <c r="AA50" i="57"/>
  <c r="AA42" i="57"/>
  <c r="AA43" i="57"/>
  <c r="AA44" i="57"/>
  <c r="AA45" i="57"/>
  <c r="AA46" i="57"/>
  <c r="AA47" i="57"/>
  <c r="Z46" i="57"/>
  <c r="Z49" i="57"/>
  <c r="Z45" i="57"/>
  <c r="Z42" i="57"/>
  <c r="Z47" i="57"/>
  <c r="Z50" i="57"/>
  <c r="Z44" i="57"/>
  <c r="Z43" i="57"/>
  <c r="Z48" i="57"/>
  <c r="Y48" i="57"/>
  <c r="Y47" i="57"/>
  <c r="Y44" i="57"/>
  <c r="Y46" i="57"/>
  <c r="Y43" i="57"/>
  <c r="Y45" i="57"/>
  <c r="Y50" i="57"/>
  <c r="Y42" i="57"/>
  <c r="Y49" i="57"/>
  <c r="X50" i="57"/>
  <c r="X46" i="57"/>
  <c r="X42" i="57"/>
  <c r="X47" i="57"/>
  <c r="X49" i="57"/>
  <c r="X45" i="57"/>
  <c r="X48" i="57"/>
  <c r="X44" i="57"/>
  <c r="X43" i="57"/>
  <c r="W48" i="57"/>
  <c r="W42" i="57"/>
  <c r="W49" i="57"/>
  <c r="W45" i="57"/>
  <c r="W50" i="57"/>
  <c r="W47" i="57"/>
  <c r="W44" i="57"/>
  <c r="W46" i="57"/>
  <c r="W43" i="57"/>
  <c r="V49" i="57"/>
  <c r="V45" i="57"/>
  <c r="V43" i="57"/>
  <c r="V48" i="57"/>
  <c r="V46" i="57"/>
  <c r="V50" i="57"/>
  <c r="V44" i="57"/>
  <c r="V42" i="57"/>
  <c r="V47" i="57"/>
  <c r="AD37" i="57"/>
  <c r="AD39" i="57"/>
  <c r="AD38" i="57"/>
  <c r="V36" i="57"/>
  <c r="V61" i="57" s="1"/>
  <c r="V40" i="57"/>
  <c r="V41" i="57"/>
  <c r="V39" i="57"/>
  <c r="V37" i="57"/>
  <c r="V38" i="57"/>
  <c r="W41" i="57"/>
  <c r="W40" i="57"/>
  <c r="W36" i="57"/>
  <c r="W61" i="57" s="1"/>
  <c r="W38" i="57"/>
  <c r="W37" i="57"/>
  <c r="W39" i="57"/>
  <c r="Z40" i="57"/>
  <c r="Z39" i="57"/>
  <c r="Z38" i="57"/>
  <c r="Z37" i="57"/>
  <c r="Z36" i="57"/>
  <c r="Z61" i="57" s="1"/>
  <c r="Z41" i="57"/>
  <c r="AA41" i="57"/>
  <c r="AA38" i="57"/>
  <c r="AA40" i="57"/>
  <c r="AA36" i="57"/>
  <c r="AA61" i="57" s="1"/>
  <c r="AA39" i="57"/>
  <c r="AA37" i="57"/>
  <c r="X41" i="57"/>
  <c r="X38" i="57"/>
  <c r="X37" i="57"/>
  <c r="X39" i="57"/>
  <c r="X36" i="57"/>
  <c r="X61" i="57" s="1"/>
  <c r="X40" i="57"/>
  <c r="I79" i="52"/>
  <c r="I81" i="52" s="1"/>
  <c r="I82" i="52" s="1"/>
  <c r="H149" i="59"/>
  <c r="L37" i="1" s="1"/>
  <c r="L35" i="1" s="1"/>
  <c r="G149" i="59"/>
  <c r="K37" i="1" s="1"/>
  <c r="F149" i="59"/>
  <c r="J37" i="1" s="1"/>
  <c r="E149" i="59"/>
  <c r="I37" i="1" s="1"/>
  <c r="D149" i="59"/>
  <c r="H37" i="1" s="1"/>
  <c r="C149" i="59"/>
  <c r="G37" i="1" s="1"/>
  <c r="Z62" i="57" l="1"/>
  <c r="AA62" i="57"/>
  <c r="AA63" i="57"/>
  <c r="AA64" i="57" s="1"/>
  <c r="AA65" i="57" s="1"/>
  <c r="AA66" i="57" s="1"/>
  <c r="AA67" i="57" s="1"/>
  <c r="AA68" i="57" s="1"/>
  <c r="AA69" i="57" s="1"/>
  <c r="AA70" i="57" s="1"/>
  <c r="AA71" i="57" s="1"/>
  <c r="AA72" i="57" s="1"/>
  <c r="AA73" i="57" s="1"/>
  <c r="AA74" i="57" s="1"/>
  <c r="AA75" i="57" s="1"/>
  <c r="AA76" i="57" s="1"/>
  <c r="AD62" i="57"/>
  <c r="AD63" i="57" s="1"/>
  <c r="AD64" i="57" s="1"/>
  <c r="AD65" i="57" s="1"/>
  <c r="AD66" i="57" s="1"/>
  <c r="AD67" i="57" s="1"/>
  <c r="AD68" i="57" s="1"/>
  <c r="AC63" i="57"/>
  <c r="AC64" i="57" s="1"/>
  <c r="AC65" i="57" s="1"/>
  <c r="AC66" i="57" s="1"/>
  <c r="AC67" i="57" s="1"/>
  <c r="AC68" i="57" s="1"/>
  <c r="AC69" i="57" s="1"/>
  <c r="AC70" i="57" s="1"/>
  <c r="AC71" i="57" s="1"/>
  <c r="AC72" i="57" s="1"/>
  <c r="AC73" i="57" s="1"/>
  <c r="AC74" i="57" s="1"/>
  <c r="AC75" i="57" s="1"/>
  <c r="AC76" i="57" s="1"/>
  <c r="Z63" i="57"/>
  <c r="Z64" i="57" s="1"/>
  <c r="Z65" i="57" s="1"/>
  <c r="Z66" i="57" s="1"/>
  <c r="Z67" i="57" s="1"/>
  <c r="Z68" i="57" s="1"/>
  <c r="Z69" i="57" s="1"/>
  <c r="Z70" i="57" s="1"/>
  <c r="Z71" i="57" s="1"/>
  <c r="Z72" i="57" s="1"/>
  <c r="Z73" i="57" s="1"/>
  <c r="Z74" i="57" s="1"/>
  <c r="Z75" i="57" s="1"/>
  <c r="Z76" i="57" s="1"/>
  <c r="V62" i="57"/>
  <c r="V63" i="57" s="1"/>
  <c r="V64" i="57" s="1"/>
  <c r="V65" i="57" s="1"/>
  <c r="V66" i="57" s="1"/>
  <c r="V67" i="57" s="1"/>
  <c r="V68" i="57" s="1"/>
  <c r="V69" i="57" s="1"/>
  <c r="V70" i="57" s="1"/>
  <c r="V71" i="57" s="1"/>
  <c r="V72" i="57" s="1"/>
  <c r="V73" i="57" s="1"/>
  <c r="V74" i="57" s="1"/>
  <c r="V75" i="57" s="1"/>
  <c r="V76" i="57" s="1"/>
  <c r="W62" i="57"/>
  <c r="W63" i="57" s="1"/>
  <c r="W64" i="57" s="1"/>
  <c r="W65" i="57" s="1"/>
  <c r="W66" i="57" s="1"/>
  <c r="W67" i="57" s="1"/>
  <c r="W68" i="57" s="1"/>
  <c r="W69" i="57" s="1"/>
  <c r="W70" i="57" s="1"/>
  <c r="W71" i="57" s="1"/>
  <c r="W72" i="57" s="1"/>
  <c r="W73" i="57" s="1"/>
  <c r="W74" i="57" s="1"/>
  <c r="W75" i="57" s="1"/>
  <c r="W76" i="57" s="1"/>
  <c r="Y62" i="57"/>
  <c r="Y63" i="57" s="1"/>
  <c r="Y64" i="57" s="1"/>
  <c r="Y65" i="57" s="1"/>
  <c r="Y66" i="57" s="1"/>
  <c r="Y67" i="57" s="1"/>
  <c r="Y68" i="57" s="1"/>
  <c r="Y69" i="57" s="1"/>
  <c r="Y70" i="57" s="1"/>
  <c r="Y71" i="57" s="1"/>
  <c r="Y72" i="57" s="1"/>
  <c r="Y73" i="57" s="1"/>
  <c r="Y74" i="57" s="1"/>
  <c r="Y75" i="57" s="1"/>
  <c r="Y76" i="57" s="1"/>
  <c r="AB62" i="57"/>
  <c r="AB63" i="57" s="1"/>
  <c r="AB64" i="57" s="1"/>
  <c r="AB65" i="57" s="1"/>
  <c r="AB66" i="57" s="1"/>
  <c r="AB67" i="57" s="1"/>
  <c r="AB68" i="57" s="1"/>
  <c r="AB69" i="57" s="1"/>
  <c r="AB70" i="57" s="1"/>
  <c r="AB71" i="57" s="1"/>
  <c r="AB72" i="57" s="1"/>
  <c r="AB73" i="57" s="1"/>
  <c r="AB74" i="57" s="1"/>
  <c r="AB75" i="57" s="1"/>
  <c r="AB76" i="57" s="1"/>
  <c r="AD69" i="57"/>
  <c r="AD70" i="57" s="1"/>
  <c r="AD71" i="57" s="1"/>
  <c r="AD72" i="57" s="1"/>
  <c r="AD73" i="57" s="1"/>
  <c r="AD74" i="57" s="1"/>
  <c r="AD75" i="57" s="1"/>
  <c r="AD76" i="57" s="1"/>
  <c r="X62" i="57"/>
  <c r="X63" i="57" s="1"/>
  <c r="X64" i="57" s="1"/>
  <c r="X65" i="57" s="1"/>
  <c r="X66" i="57" s="1"/>
  <c r="X67" i="57" s="1"/>
  <c r="X68" i="57" s="1"/>
  <c r="X69" i="57" s="1"/>
  <c r="X70" i="57" s="1"/>
  <c r="X71" i="57" s="1"/>
  <c r="X72" i="57" s="1"/>
  <c r="X73" i="57" s="1"/>
  <c r="X74" i="57" s="1"/>
  <c r="X75" i="57" s="1"/>
  <c r="X76" i="57" s="1"/>
  <c r="AE62" i="57"/>
  <c r="AE63" i="57" s="1"/>
  <c r="AE64" i="57" s="1"/>
  <c r="AE65" i="57" s="1"/>
  <c r="AE66" i="57" s="1"/>
  <c r="AE67" i="57" s="1"/>
  <c r="AE68" i="57" s="1"/>
  <c r="AE69" i="57" s="1"/>
  <c r="AE70" i="57" s="1"/>
  <c r="AE71" i="57" s="1"/>
  <c r="AE72" i="57" s="1"/>
  <c r="AE73" i="57" s="1"/>
  <c r="AE74" i="57" s="1"/>
  <c r="AE75" i="57" s="1"/>
  <c r="AE76" i="57" s="1"/>
  <c r="AA37" i="1"/>
  <c r="AB53" i="57"/>
  <c r="AB55" i="57" s="1"/>
  <c r="AB56" i="57" s="1"/>
  <c r="Y53" i="57"/>
  <c r="Y55" i="57" s="1"/>
  <c r="Y56" i="57" s="1"/>
  <c r="AC53" i="57"/>
  <c r="AC55" i="57" s="1"/>
  <c r="AC56" i="57" s="1"/>
  <c r="AE53" i="57"/>
  <c r="AE55" i="57" s="1"/>
  <c r="AE56" i="57" s="1"/>
  <c r="AD53" i="57"/>
  <c r="AD55" i="57" s="1"/>
  <c r="AD56" i="57" s="1"/>
  <c r="AA53" i="57"/>
  <c r="AA55" i="57" s="1"/>
  <c r="AA56" i="57" s="1"/>
  <c r="X53" i="57"/>
  <c r="X55" i="57" s="1"/>
  <c r="X56" i="57" s="1"/>
  <c r="Z53" i="57"/>
  <c r="Z55" i="57" s="1"/>
  <c r="Z56" i="57" s="1"/>
  <c r="W53" i="57"/>
  <c r="W55" i="57" s="1"/>
  <c r="W56" i="57" s="1"/>
  <c r="V53" i="57"/>
  <c r="V55" i="57" s="1"/>
  <c r="V56" i="57" s="1"/>
  <c r="O13" i="58"/>
  <c r="N13" i="58"/>
  <c r="M13" i="58"/>
  <c r="L13" i="58"/>
  <c r="K13" i="58"/>
  <c r="J13" i="58"/>
  <c r="I13" i="58"/>
  <c r="H13" i="58"/>
  <c r="G13" i="58"/>
  <c r="F13" i="58"/>
  <c r="E13" i="58"/>
  <c r="D13" i="58"/>
  <c r="C13" i="58"/>
  <c r="B13" i="58"/>
  <c r="O10" i="58"/>
  <c r="N10" i="58"/>
  <c r="M10" i="58"/>
  <c r="L10" i="58"/>
  <c r="K10" i="58"/>
  <c r="J10" i="58"/>
  <c r="I10" i="58"/>
  <c r="H10" i="58"/>
  <c r="G10" i="58"/>
  <c r="F10" i="58"/>
  <c r="E10" i="58"/>
  <c r="D10" i="58"/>
  <c r="C10" i="58"/>
  <c r="AO9" i="57"/>
  <c r="AO29" i="57" s="1"/>
  <c r="AN9" i="57"/>
  <c r="AN29" i="57" s="1"/>
  <c r="AM9" i="57"/>
  <c r="AM29" i="57" s="1"/>
  <c r="AL9" i="57"/>
  <c r="AL29" i="57" s="1"/>
  <c r="AK9" i="57"/>
  <c r="AK29" i="57" s="1"/>
  <c r="AJ9" i="57"/>
  <c r="AJ29" i="57" s="1"/>
  <c r="AI9" i="57"/>
  <c r="AI29" i="57" s="1"/>
  <c r="AH9" i="57"/>
  <c r="AH29" i="57" s="1"/>
  <c r="AG9" i="57"/>
  <c r="AG29" i="57" s="1"/>
  <c r="AF9" i="57"/>
  <c r="AF29" i="57" s="1"/>
  <c r="U9" i="57"/>
  <c r="U29" i="57" s="1"/>
  <c r="T9" i="57"/>
  <c r="T29" i="57" s="1"/>
  <c r="S9" i="57"/>
  <c r="S29" i="57" s="1"/>
  <c r="R9" i="57"/>
  <c r="R29" i="57" s="1"/>
  <c r="Q29" i="57"/>
  <c r="P9" i="57"/>
  <c r="P29" i="57" s="1"/>
  <c r="O9" i="57"/>
  <c r="O29" i="57" s="1"/>
  <c r="N9" i="57"/>
  <c r="N29" i="57" s="1"/>
  <c r="M9" i="57"/>
  <c r="M29" i="57" s="1"/>
  <c r="L29" i="57"/>
  <c r="K9" i="57"/>
  <c r="K29" i="57" s="1"/>
  <c r="J9" i="57"/>
  <c r="J29" i="57" s="1"/>
  <c r="I9" i="57"/>
  <c r="I29" i="57" s="1"/>
  <c r="H9" i="57"/>
  <c r="H29" i="57" s="1"/>
  <c r="G9" i="57"/>
  <c r="G29" i="57" s="1"/>
  <c r="F9" i="57"/>
  <c r="F29" i="57" s="1"/>
  <c r="D9" i="57"/>
  <c r="D29" i="57" s="1"/>
  <c r="B9" i="57"/>
  <c r="B29" i="57" s="1"/>
  <c r="AO20" i="57"/>
  <c r="AO21" i="57" s="1"/>
  <c r="AO26" i="57" s="1"/>
  <c r="AN20" i="57"/>
  <c r="AN21" i="57" s="1"/>
  <c r="AN26" i="57" s="1"/>
  <c r="AM20" i="57"/>
  <c r="AM21" i="57" s="1"/>
  <c r="AM26" i="57" s="1"/>
  <c r="AL20" i="57"/>
  <c r="AL21" i="57" s="1"/>
  <c r="AL26" i="57" s="1"/>
  <c r="AK20" i="57"/>
  <c r="AJ20" i="57"/>
  <c r="AJ21" i="57" s="1"/>
  <c r="AJ26" i="57" s="1"/>
  <c r="AI20" i="57"/>
  <c r="AI21" i="57" s="1"/>
  <c r="AI26" i="57" s="1"/>
  <c r="AH20" i="57"/>
  <c r="AH21" i="57" s="1"/>
  <c r="AH26" i="57" s="1"/>
  <c r="AG20" i="57"/>
  <c r="AG21" i="57" s="1"/>
  <c r="AG26" i="57" s="1"/>
  <c r="AF20" i="57"/>
  <c r="U20" i="57"/>
  <c r="U21" i="57" s="1"/>
  <c r="U26" i="57" s="1"/>
  <c r="T20" i="57"/>
  <c r="T21" i="57" s="1"/>
  <c r="T26" i="57" s="1"/>
  <c r="S20" i="57"/>
  <c r="S21" i="57" s="1"/>
  <c r="S26" i="57" s="1"/>
  <c r="R20" i="57"/>
  <c r="R21" i="57" s="1"/>
  <c r="R26" i="57" s="1"/>
  <c r="Q20" i="57"/>
  <c r="P20" i="57"/>
  <c r="P21" i="57" s="1"/>
  <c r="P26" i="57" s="1"/>
  <c r="O20" i="57"/>
  <c r="O21" i="57" s="1"/>
  <c r="O26" i="57" s="1"/>
  <c r="N20" i="57"/>
  <c r="N21" i="57" s="1"/>
  <c r="N26" i="57" s="1"/>
  <c r="M20" i="57"/>
  <c r="M21" i="57" s="1"/>
  <c r="M26" i="57" s="1"/>
  <c r="L20" i="57"/>
  <c r="K20" i="57"/>
  <c r="K21" i="57" s="1"/>
  <c r="K26" i="57" s="1"/>
  <c r="J20" i="57"/>
  <c r="J21" i="57" s="1"/>
  <c r="J26" i="57" s="1"/>
  <c r="I20" i="57"/>
  <c r="I21" i="57" s="1"/>
  <c r="I26" i="57" s="1"/>
  <c r="H20" i="57"/>
  <c r="H21" i="57" s="1"/>
  <c r="H26" i="57" s="1"/>
  <c r="G20" i="57"/>
  <c r="F20" i="57"/>
  <c r="F21" i="57" s="1"/>
  <c r="F26" i="57" s="1"/>
  <c r="E20" i="57"/>
  <c r="E21" i="57" s="1"/>
  <c r="E26" i="57" s="1"/>
  <c r="D20" i="57"/>
  <c r="D21" i="57" s="1"/>
  <c r="D26" i="57" s="1"/>
  <c r="C20" i="57"/>
  <c r="C21" i="57" s="1"/>
  <c r="C26" i="57" s="1"/>
  <c r="B20" i="57"/>
  <c r="AK12" i="57"/>
  <c r="AF12" i="57"/>
  <c r="Q12" i="57"/>
  <c r="L12" i="57"/>
  <c r="G12" i="57"/>
  <c r="B12" i="57"/>
  <c r="B20" i="1"/>
  <c r="K15" i="1"/>
  <c r="J15" i="1"/>
  <c r="I15" i="1"/>
  <c r="H15" i="1"/>
  <c r="G15" i="1"/>
  <c r="AA15" i="1" l="1"/>
  <c r="AO31" i="57"/>
  <c r="AO43" i="57" s="1"/>
  <c r="AD15" i="1"/>
  <c r="AO45" i="57"/>
  <c r="AG31" i="57"/>
  <c r="AG37" i="57" s="1"/>
  <c r="S31" i="57"/>
  <c r="S38" i="57" s="1"/>
  <c r="O31" i="57"/>
  <c r="O37" i="57" s="1"/>
  <c r="K31" i="57"/>
  <c r="K36" i="57" s="1"/>
  <c r="K61" i="57" s="1"/>
  <c r="C9" i="57"/>
  <c r="C29" i="57" s="1"/>
  <c r="C31" i="57" s="1"/>
  <c r="C51" i="57" s="1"/>
  <c r="D34" i="58"/>
  <c r="H34" i="58"/>
  <c r="L34" i="58"/>
  <c r="E34" i="58"/>
  <c r="I34" i="58"/>
  <c r="M34" i="58"/>
  <c r="C34" i="58"/>
  <c r="G34" i="58"/>
  <c r="K34" i="58"/>
  <c r="O34" i="58"/>
  <c r="F34" i="58"/>
  <c r="J34" i="58"/>
  <c r="N34" i="58"/>
  <c r="F14" i="58"/>
  <c r="C14" i="58"/>
  <c r="G14" i="58"/>
  <c r="K14" i="58"/>
  <c r="O14" i="58"/>
  <c r="D31" i="57"/>
  <c r="H31" i="57"/>
  <c r="P31" i="57"/>
  <c r="P39" i="57" s="1"/>
  <c r="T31" i="57"/>
  <c r="T41" i="57" s="1"/>
  <c r="AH31" i="57"/>
  <c r="AH39" i="57" s="1"/>
  <c r="AL31" i="57"/>
  <c r="AL38" i="57" s="1"/>
  <c r="F31" i="57"/>
  <c r="N31" i="57"/>
  <c r="AJ31" i="57"/>
  <c r="AN31" i="57"/>
  <c r="AO40" i="57"/>
  <c r="AO41" i="57"/>
  <c r="AO36" i="57"/>
  <c r="AO61" i="57" s="1"/>
  <c r="AO38" i="57"/>
  <c r="J31" i="57"/>
  <c r="R31" i="57"/>
  <c r="R51" i="57" s="1"/>
  <c r="E31" i="57"/>
  <c r="I31" i="57"/>
  <c r="M31" i="57"/>
  <c r="M51" i="57" s="1"/>
  <c r="U31" i="57"/>
  <c r="AI31" i="57"/>
  <c r="AM31" i="57"/>
  <c r="D14" i="58"/>
  <c r="H14" i="58"/>
  <c r="L14" i="58"/>
  <c r="J14" i="58"/>
  <c r="AK21" i="57"/>
  <c r="AK26" i="57" s="1"/>
  <c r="B14" i="58"/>
  <c r="B17" i="58" s="1"/>
  <c r="B21" i="57"/>
  <c r="B26" i="57" s="1"/>
  <c r="B31" i="57" s="1"/>
  <c r="B51" i="57" s="1"/>
  <c r="L21" i="57"/>
  <c r="G21" i="57"/>
  <c r="G26" i="57" s="1"/>
  <c r="Q21" i="57"/>
  <c r="Q26" i="57" s="1"/>
  <c r="Q31" i="57" s="1"/>
  <c r="AF21" i="57"/>
  <c r="AF26" i="57" s="1"/>
  <c r="E14" i="58"/>
  <c r="I14" i="58"/>
  <c r="M14" i="58"/>
  <c r="N14" i="58"/>
  <c r="H37" i="57" l="1"/>
  <c r="H51" i="57"/>
  <c r="D40" i="57"/>
  <c r="D51" i="57"/>
  <c r="AO49" i="57"/>
  <c r="AO42" i="57"/>
  <c r="AO48" i="57"/>
  <c r="AO44" i="57"/>
  <c r="AO39" i="57"/>
  <c r="AO37" i="57"/>
  <c r="AO62" i="57" s="1"/>
  <c r="AO63" i="57" s="1"/>
  <c r="AO46" i="57"/>
  <c r="AO47" i="57"/>
  <c r="AG38" i="57"/>
  <c r="H40" i="57"/>
  <c r="AF31" i="57"/>
  <c r="AF50" i="57" s="1"/>
  <c r="G31" i="57"/>
  <c r="G51" i="57" s="1"/>
  <c r="AK31" i="57"/>
  <c r="AO50" i="57"/>
  <c r="S40" i="57"/>
  <c r="S36" i="57"/>
  <c r="S61" i="57" s="1"/>
  <c r="S41" i="57"/>
  <c r="AL36" i="57"/>
  <c r="AL61" i="57" s="1"/>
  <c r="S39" i="57"/>
  <c r="AG40" i="57"/>
  <c r="S37" i="57"/>
  <c r="P36" i="57"/>
  <c r="P61" i="57" s="1"/>
  <c r="O36" i="57"/>
  <c r="O61" i="57" s="1"/>
  <c r="O62" i="57" s="1"/>
  <c r="K40" i="57"/>
  <c r="P40" i="57"/>
  <c r="P37" i="57"/>
  <c r="O38" i="57"/>
  <c r="O39" i="57"/>
  <c r="O41" i="57"/>
  <c r="K38" i="57"/>
  <c r="K41" i="57"/>
  <c r="T40" i="57"/>
  <c r="AH37" i="57"/>
  <c r="P38" i="57"/>
  <c r="AH40" i="57"/>
  <c r="P41" i="57"/>
  <c r="T38" i="57"/>
  <c r="K37" i="57"/>
  <c r="K62" i="57" s="1"/>
  <c r="K63" i="57" s="1"/>
  <c r="T36" i="57"/>
  <c r="T61" i="57" s="1"/>
  <c r="AG36" i="57"/>
  <c r="AG61" i="57" s="1"/>
  <c r="AG62" i="57" s="1"/>
  <c r="AG63" i="57" s="1"/>
  <c r="T39" i="57"/>
  <c r="T37" i="57"/>
  <c r="AG41" i="57"/>
  <c r="AH36" i="57"/>
  <c r="AH61" i="57" s="1"/>
  <c r="AG39" i="57"/>
  <c r="AH38" i="57"/>
  <c r="K39" i="57"/>
  <c r="D36" i="57"/>
  <c r="D61" i="57" s="1"/>
  <c r="AH41" i="57"/>
  <c r="L26" i="57"/>
  <c r="AN50" i="57"/>
  <c r="AN46" i="57"/>
  <c r="AN42" i="57"/>
  <c r="AN45" i="57"/>
  <c r="AN43" i="57"/>
  <c r="AN49" i="57"/>
  <c r="AN47" i="57"/>
  <c r="AN48" i="57"/>
  <c r="AN44" i="57"/>
  <c r="AM48" i="57"/>
  <c r="AM45" i="57"/>
  <c r="AM50" i="57"/>
  <c r="AM42" i="57"/>
  <c r="AM46" i="57"/>
  <c r="AM47" i="57"/>
  <c r="AM44" i="57"/>
  <c r="AM49" i="57"/>
  <c r="AM43" i="57"/>
  <c r="AL37" i="57"/>
  <c r="AL39" i="57"/>
  <c r="AL41" i="57"/>
  <c r="AL47" i="57"/>
  <c r="AL45" i="57"/>
  <c r="AL43" i="57"/>
  <c r="AL48" i="57"/>
  <c r="AL44" i="57"/>
  <c r="AL46" i="57"/>
  <c r="AL50" i="57"/>
  <c r="AL42" i="57"/>
  <c r="AL49" i="57"/>
  <c r="AL40" i="57"/>
  <c r="AK48" i="57"/>
  <c r="AK50" i="57"/>
  <c r="AK42" i="57"/>
  <c r="AJ50" i="57"/>
  <c r="AJ46" i="57"/>
  <c r="AJ42" i="57"/>
  <c r="AJ47" i="57"/>
  <c r="AJ43" i="57"/>
  <c r="AJ45" i="57"/>
  <c r="AJ48" i="57"/>
  <c r="AJ44" i="57"/>
  <c r="AJ49" i="57"/>
  <c r="AI48" i="57"/>
  <c r="AI49" i="57"/>
  <c r="AI45" i="57"/>
  <c r="AI50" i="57"/>
  <c r="AI42" i="57"/>
  <c r="AI43" i="57"/>
  <c r="AI44" i="57"/>
  <c r="AI46" i="57"/>
  <c r="AI47" i="57"/>
  <c r="AH50" i="57"/>
  <c r="AH44" i="57"/>
  <c r="AH46" i="57"/>
  <c r="AH49" i="57"/>
  <c r="AH47" i="57"/>
  <c r="AH43" i="57"/>
  <c r="AH48" i="57"/>
  <c r="AH45" i="57"/>
  <c r="AH42" i="57"/>
  <c r="AG48" i="57"/>
  <c r="AG47" i="57"/>
  <c r="AG46" i="57"/>
  <c r="AG45" i="57"/>
  <c r="AG44" i="57"/>
  <c r="AG43" i="57"/>
  <c r="AG50" i="57"/>
  <c r="AG42" i="57"/>
  <c r="AG49" i="57"/>
  <c r="U48" i="57"/>
  <c r="U43" i="57"/>
  <c r="U46" i="57"/>
  <c r="U49" i="57"/>
  <c r="U47" i="57"/>
  <c r="U44" i="57"/>
  <c r="U50" i="57"/>
  <c r="U42" i="57"/>
  <c r="U45" i="57"/>
  <c r="T50" i="57"/>
  <c r="T46" i="57"/>
  <c r="T47" i="57"/>
  <c r="T43" i="57"/>
  <c r="T48" i="57"/>
  <c r="T44" i="57"/>
  <c r="T49" i="57"/>
  <c r="T45" i="57"/>
  <c r="T42" i="57"/>
  <c r="S48" i="57"/>
  <c r="S49" i="57"/>
  <c r="S50" i="57"/>
  <c r="S42" i="57"/>
  <c r="S47" i="57"/>
  <c r="S43" i="57"/>
  <c r="S44" i="57"/>
  <c r="S45" i="57"/>
  <c r="S46" i="57"/>
  <c r="R49" i="57"/>
  <c r="R46" i="57"/>
  <c r="R50" i="57"/>
  <c r="R44" i="57"/>
  <c r="R42" i="57"/>
  <c r="R47" i="57"/>
  <c r="R48" i="57"/>
  <c r="R45" i="57"/>
  <c r="R43" i="57"/>
  <c r="Q47" i="57"/>
  <c r="Q46" i="57"/>
  <c r="Q45" i="57"/>
  <c r="Q43" i="57"/>
  <c r="Q44" i="57"/>
  <c r="Q50" i="57"/>
  <c r="Q42" i="57"/>
  <c r="Q49" i="57"/>
  <c r="Q48" i="57"/>
  <c r="P50" i="57"/>
  <c r="P46" i="57"/>
  <c r="P42" i="57"/>
  <c r="P45" i="57"/>
  <c r="P43" i="57"/>
  <c r="P49" i="57"/>
  <c r="P47" i="57"/>
  <c r="P44" i="57"/>
  <c r="P48" i="57"/>
  <c r="O48" i="57"/>
  <c r="O45" i="57"/>
  <c r="O50" i="57"/>
  <c r="O42" i="57"/>
  <c r="O47" i="57"/>
  <c r="O44" i="57"/>
  <c r="O49" i="57"/>
  <c r="O46" i="57"/>
  <c r="O43" i="57"/>
  <c r="O40" i="57"/>
  <c r="N49" i="57"/>
  <c r="N45" i="57"/>
  <c r="N43" i="57"/>
  <c r="N42" i="57"/>
  <c r="N46" i="57"/>
  <c r="N44" i="57"/>
  <c r="N50" i="57"/>
  <c r="N48" i="57"/>
  <c r="N47" i="57"/>
  <c r="M48" i="57"/>
  <c r="M43" i="57"/>
  <c r="M47" i="57"/>
  <c r="M46" i="57"/>
  <c r="M49" i="57"/>
  <c r="M44" i="57"/>
  <c r="M50" i="57"/>
  <c r="M42" i="57"/>
  <c r="M45" i="57"/>
  <c r="F50" i="57"/>
  <c r="F47" i="57"/>
  <c r="F43" i="57"/>
  <c r="F46" i="57"/>
  <c r="F44" i="57"/>
  <c r="F45" i="57"/>
  <c r="F42" i="57"/>
  <c r="F48" i="57"/>
  <c r="F49" i="57"/>
  <c r="E49" i="57"/>
  <c r="E50" i="57"/>
  <c r="E42" i="57"/>
  <c r="E43" i="57"/>
  <c r="E44" i="57"/>
  <c r="E47" i="57"/>
  <c r="E45" i="57"/>
  <c r="E46" i="57"/>
  <c r="E48" i="57"/>
  <c r="D39" i="57"/>
  <c r="D41" i="57"/>
  <c r="D50" i="57"/>
  <c r="D45" i="57"/>
  <c r="D43" i="57"/>
  <c r="D49" i="57"/>
  <c r="D46" i="57"/>
  <c r="D42" i="57"/>
  <c r="D44" i="57"/>
  <c r="D47" i="57"/>
  <c r="D48" i="57"/>
  <c r="D38" i="57"/>
  <c r="D37" i="57"/>
  <c r="K45" i="57"/>
  <c r="K44" i="57"/>
  <c r="K47" i="57"/>
  <c r="K43" i="57"/>
  <c r="K48" i="57"/>
  <c r="K46" i="57"/>
  <c r="K50" i="57"/>
  <c r="K42" i="57"/>
  <c r="K49" i="57"/>
  <c r="J44" i="57"/>
  <c r="J48" i="57"/>
  <c r="J47" i="57"/>
  <c r="J43" i="57"/>
  <c r="J46" i="57"/>
  <c r="J50" i="57"/>
  <c r="J42" i="57"/>
  <c r="J49" i="57"/>
  <c r="J45" i="57"/>
  <c r="I47" i="57"/>
  <c r="I43" i="57"/>
  <c r="I44" i="57"/>
  <c r="I49" i="57"/>
  <c r="I46" i="57"/>
  <c r="I48" i="57"/>
  <c r="I45" i="57"/>
  <c r="I50" i="57"/>
  <c r="I42" i="57"/>
  <c r="H48" i="57"/>
  <c r="H46" i="57"/>
  <c r="H42" i="57"/>
  <c r="H50" i="57"/>
  <c r="H44" i="57"/>
  <c r="H43" i="57"/>
  <c r="H49" i="57"/>
  <c r="H47" i="57"/>
  <c r="H45" i="57"/>
  <c r="H39" i="57"/>
  <c r="H38" i="57"/>
  <c r="H41" i="57"/>
  <c r="H36" i="57"/>
  <c r="H61" i="57" s="1"/>
  <c r="H62" i="57" s="1"/>
  <c r="C45" i="57"/>
  <c r="C46" i="57"/>
  <c r="C48" i="57"/>
  <c r="C43" i="57"/>
  <c r="C49" i="57"/>
  <c r="C50" i="57"/>
  <c r="C44" i="57"/>
  <c r="C47" i="57"/>
  <c r="C42" i="57"/>
  <c r="C39" i="57"/>
  <c r="C37" i="57"/>
  <c r="C41" i="57"/>
  <c r="C40" i="57"/>
  <c r="C36" i="57"/>
  <c r="C61" i="57" s="1"/>
  <c r="C38" i="57"/>
  <c r="N22" i="1"/>
  <c r="V22" i="1"/>
  <c r="T22" i="1"/>
  <c r="U22" i="1"/>
  <c r="R22" i="1"/>
  <c r="Q22" i="1"/>
  <c r="M22" i="1"/>
  <c r="P22" i="1"/>
  <c r="S22" i="1"/>
  <c r="O22" i="1"/>
  <c r="I22" i="1"/>
  <c r="K22" i="1"/>
  <c r="H22" i="1"/>
  <c r="L22" i="1"/>
  <c r="J22" i="1"/>
  <c r="G50" i="57"/>
  <c r="G46" i="57"/>
  <c r="G42" i="57"/>
  <c r="G45" i="57"/>
  <c r="G47" i="57"/>
  <c r="G43" i="57"/>
  <c r="G49" i="57"/>
  <c r="G48" i="57"/>
  <c r="G44" i="57"/>
  <c r="B50" i="57"/>
  <c r="B49" i="57"/>
  <c r="B48" i="57"/>
  <c r="B47" i="57"/>
  <c r="B46" i="57"/>
  <c r="B45" i="57"/>
  <c r="B44" i="57"/>
  <c r="B43" i="57"/>
  <c r="B42" i="57"/>
  <c r="R40" i="57"/>
  <c r="R39" i="57"/>
  <c r="R36" i="57"/>
  <c r="R61" i="57" s="1"/>
  <c r="R38" i="57"/>
  <c r="R37" i="57"/>
  <c r="R41" i="57"/>
  <c r="AJ37" i="57"/>
  <c r="AJ38" i="57"/>
  <c r="AJ40" i="57"/>
  <c r="AJ41" i="57"/>
  <c r="AJ39" i="57"/>
  <c r="AJ36" i="57"/>
  <c r="AJ61" i="57" s="1"/>
  <c r="AM41" i="57"/>
  <c r="AM40" i="57"/>
  <c r="AM36" i="57"/>
  <c r="AM61" i="57" s="1"/>
  <c r="AM38" i="57"/>
  <c r="AM37" i="57"/>
  <c r="AM39" i="57"/>
  <c r="I36" i="57"/>
  <c r="I61" i="57" s="1"/>
  <c r="I41" i="57"/>
  <c r="I37" i="57"/>
  <c r="I38" i="57"/>
  <c r="I40" i="57"/>
  <c r="I39" i="57"/>
  <c r="N36" i="57"/>
  <c r="N61" i="57" s="1"/>
  <c r="N39" i="57"/>
  <c r="N41" i="57"/>
  <c r="N40" i="57"/>
  <c r="N37" i="57"/>
  <c r="N38" i="57"/>
  <c r="U39" i="57"/>
  <c r="U41" i="57"/>
  <c r="U36" i="57"/>
  <c r="U61" i="57" s="1"/>
  <c r="U38" i="57"/>
  <c r="U40" i="57"/>
  <c r="U37" i="57"/>
  <c r="Q40" i="57"/>
  <c r="Q38" i="57"/>
  <c r="Q37" i="57"/>
  <c r="Q39" i="57"/>
  <c r="Q41" i="57"/>
  <c r="Q36" i="57"/>
  <c r="Q61" i="57" s="1"/>
  <c r="M41" i="57"/>
  <c r="M40" i="57"/>
  <c r="M37" i="57"/>
  <c r="M39" i="57"/>
  <c r="M36" i="57"/>
  <c r="M61" i="57" s="1"/>
  <c r="M38" i="57"/>
  <c r="J40" i="57"/>
  <c r="J39" i="57"/>
  <c r="J38" i="57"/>
  <c r="J37" i="57"/>
  <c r="J36" i="57"/>
  <c r="J61" i="57" s="1"/>
  <c r="J41" i="57"/>
  <c r="AK41" i="57"/>
  <c r="AI41" i="57"/>
  <c r="AI38" i="57"/>
  <c r="AI40" i="57"/>
  <c r="AI36" i="57"/>
  <c r="AI61" i="57" s="1"/>
  <c r="AI39" i="57"/>
  <c r="AI37" i="57"/>
  <c r="E41" i="57"/>
  <c r="E37" i="57"/>
  <c r="E39" i="57"/>
  <c r="E36" i="57"/>
  <c r="E61" i="57" s="1"/>
  <c r="E38" i="57"/>
  <c r="E40" i="57"/>
  <c r="AN41" i="57"/>
  <c r="AN38" i="57"/>
  <c r="AN37" i="57"/>
  <c r="AN39" i="57"/>
  <c r="AN36" i="57"/>
  <c r="AN61" i="57" s="1"/>
  <c r="AN40" i="57"/>
  <c r="F36" i="57"/>
  <c r="F61" i="57" s="1"/>
  <c r="F40" i="57"/>
  <c r="F41" i="57"/>
  <c r="F39" i="57"/>
  <c r="F38" i="57"/>
  <c r="F37" i="57"/>
  <c r="G41" i="57"/>
  <c r="G40" i="57"/>
  <c r="G38" i="57"/>
  <c r="G36" i="57"/>
  <c r="G61" i="57" s="1"/>
  <c r="G39" i="57"/>
  <c r="G37" i="57"/>
  <c r="B38" i="57"/>
  <c r="B39" i="57"/>
  <c r="B37" i="57"/>
  <c r="B40" i="57"/>
  <c r="B36" i="57"/>
  <c r="B61" i="57" s="1"/>
  <c r="B41" i="57"/>
  <c r="T62" i="57" l="1"/>
  <c r="AF48" i="57"/>
  <c r="AO64" i="57"/>
  <c r="AO65" i="57" s="1"/>
  <c r="AO66" i="57" s="1"/>
  <c r="AO67" i="57" s="1"/>
  <c r="AO68" i="57" s="1"/>
  <c r="AO69" i="57" s="1"/>
  <c r="AO70" i="57" s="1"/>
  <c r="AO71" i="57" s="1"/>
  <c r="AO72" i="57" s="1"/>
  <c r="AO73" i="57" s="1"/>
  <c r="AO74" i="57" s="1"/>
  <c r="AO75" i="57" s="1"/>
  <c r="AO76" i="57" s="1"/>
  <c r="AN62" i="57"/>
  <c r="G62" i="57"/>
  <c r="G63" i="57" s="1"/>
  <c r="G64" i="57" s="1"/>
  <c r="G65" i="57" s="1"/>
  <c r="G66" i="57" s="1"/>
  <c r="G67" i="57" s="1"/>
  <c r="G68" i="57" s="1"/>
  <c r="G69" i="57" s="1"/>
  <c r="G70" i="57" s="1"/>
  <c r="G71" i="57" s="1"/>
  <c r="G72" i="57" s="1"/>
  <c r="G73" i="57" s="1"/>
  <c r="G74" i="57" s="1"/>
  <c r="G75" i="57" s="1"/>
  <c r="G76" i="57" s="1"/>
  <c r="R62" i="57"/>
  <c r="R63" i="57" s="1"/>
  <c r="R64" i="57" s="1"/>
  <c r="R65" i="57" s="1"/>
  <c r="F62" i="57"/>
  <c r="F63" i="57" s="1"/>
  <c r="F64" i="57" s="1"/>
  <c r="F65" i="57" s="1"/>
  <c r="F66" i="57" s="1"/>
  <c r="F67" i="57" s="1"/>
  <c r="F68" i="57" s="1"/>
  <c r="F69" i="57" s="1"/>
  <c r="F70" i="57" s="1"/>
  <c r="F71" i="57" s="1"/>
  <c r="F72" i="57" s="1"/>
  <c r="F73" i="57" s="1"/>
  <c r="F74" i="57" s="1"/>
  <c r="F75" i="57" s="1"/>
  <c r="F76" i="57" s="1"/>
  <c r="AN63" i="57"/>
  <c r="AN64" i="57" s="1"/>
  <c r="AN65" i="57" s="1"/>
  <c r="AN66" i="57" s="1"/>
  <c r="AN67" i="57" s="1"/>
  <c r="AN68" i="57" s="1"/>
  <c r="AN69" i="57" s="1"/>
  <c r="AN70" i="57" s="1"/>
  <c r="AN71" i="57" s="1"/>
  <c r="AN72" i="57" s="1"/>
  <c r="AN73" i="57" s="1"/>
  <c r="AN74" i="57" s="1"/>
  <c r="AN75" i="57" s="1"/>
  <c r="AN76" i="57" s="1"/>
  <c r="AF36" i="57"/>
  <c r="AF61" i="57" s="1"/>
  <c r="AF49" i="57"/>
  <c r="U62" i="57"/>
  <c r="U63" i="57" s="1"/>
  <c r="U64" i="57" s="1"/>
  <c r="U65" i="57" s="1"/>
  <c r="U66" i="57" s="1"/>
  <c r="U67" i="57" s="1"/>
  <c r="U68" i="57" s="1"/>
  <c r="U69" i="57" s="1"/>
  <c r="U70" i="57" s="1"/>
  <c r="U71" i="57" s="1"/>
  <c r="U72" i="57" s="1"/>
  <c r="U73" i="57" s="1"/>
  <c r="U74" i="57" s="1"/>
  <c r="U75" i="57" s="1"/>
  <c r="U76" i="57" s="1"/>
  <c r="M62" i="57"/>
  <c r="M63" i="57" s="1"/>
  <c r="M64" i="57" s="1"/>
  <c r="M65" i="57" s="1"/>
  <c r="M66" i="57" s="1"/>
  <c r="M67" i="57" s="1"/>
  <c r="M68" i="57" s="1"/>
  <c r="M69" i="57" s="1"/>
  <c r="M70" i="57" s="1"/>
  <c r="M71" i="57" s="1"/>
  <c r="M72" i="57" s="1"/>
  <c r="M73" i="57" s="1"/>
  <c r="M74" i="57" s="1"/>
  <c r="M75" i="57" s="1"/>
  <c r="M76" i="57" s="1"/>
  <c r="AF41" i="57"/>
  <c r="AF43" i="57"/>
  <c r="N62" i="57"/>
  <c r="N63" i="57" s="1"/>
  <c r="N64" i="57" s="1"/>
  <c r="N65" i="57" s="1"/>
  <c r="N66" i="57" s="1"/>
  <c r="N67" i="57" s="1"/>
  <c r="N68" i="57" s="1"/>
  <c r="N69" i="57" s="1"/>
  <c r="N70" i="57" s="1"/>
  <c r="N71" i="57" s="1"/>
  <c r="N72" i="57" s="1"/>
  <c r="N73" i="57" s="1"/>
  <c r="N74" i="57" s="1"/>
  <c r="N75" i="57" s="1"/>
  <c r="N76" i="57" s="1"/>
  <c r="AF47" i="57"/>
  <c r="K64" i="57"/>
  <c r="K65" i="57" s="1"/>
  <c r="K66" i="57" s="1"/>
  <c r="K67" i="57" s="1"/>
  <c r="K68" i="57" s="1"/>
  <c r="K69" i="57" s="1"/>
  <c r="K70" i="57" s="1"/>
  <c r="K71" i="57" s="1"/>
  <c r="K72" i="57" s="1"/>
  <c r="K73" i="57" s="1"/>
  <c r="K74" i="57" s="1"/>
  <c r="K75" i="57" s="1"/>
  <c r="K76" i="57" s="1"/>
  <c r="AK36" i="57"/>
  <c r="AK61" i="57" s="1"/>
  <c r="AF40" i="57"/>
  <c r="AF45" i="57"/>
  <c r="AH62" i="57"/>
  <c r="AH63" i="57" s="1"/>
  <c r="AH64" i="57" s="1"/>
  <c r="AH65" i="57" s="1"/>
  <c r="AH66" i="57" s="1"/>
  <c r="AH67" i="57" s="1"/>
  <c r="AH68" i="57" s="1"/>
  <c r="AH69" i="57" s="1"/>
  <c r="AH70" i="57" s="1"/>
  <c r="AH71" i="57" s="1"/>
  <c r="AH72" i="57" s="1"/>
  <c r="AH73" i="57" s="1"/>
  <c r="AH74" i="57" s="1"/>
  <c r="AH75" i="57" s="1"/>
  <c r="AH76" i="57" s="1"/>
  <c r="AF39" i="57"/>
  <c r="AF42" i="57"/>
  <c r="AF37" i="57"/>
  <c r="AF46" i="57"/>
  <c r="AF38" i="57"/>
  <c r="AF44" i="57"/>
  <c r="AO53" i="57"/>
  <c r="AO55" i="57" s="1"/>
  <c r="AO56" i="57" s="1"/>
  <c r="J62" i="57"/>
  <c r="J63" i="57" s="1"/>
  <c r="J64" i="57" s="1"/>
  <c r="J65" i="57" s="1"/>
  <c r="J66" i="57" s="1"/>
  <c r="J67" i="57" s="1"/>
  <c r="J68" i="57" s="1"/>
  <c r="J69" i="57" s="1"/>
  <c r="J70" i="57" s="1"/>
  <c r="J71" i="57" s="1"/>
  <c r="J72" i="57" s="1"/>
  <c r="J73" i="57" s="1"/>
  <c r="J74" i="57" s="1"/>
  <c r="J75" i="57" s="1"/>
  <c r="J76" i="57" s="1"/>
  <c r="H63" i="57"/>
  <c r="H64" i="57" s="1"/>
  <c r="H65" i="57" s="1"/>
  <c r="H66" i="57" s="1"/>
  <c r="H67" i="57" s="1"/>
  <c r="H68" i="57" s="1"/>
  <c r="H69" i="57" s="1"/>
  <c r="H70" i="57" s="1"/>
  <c r="H71" i="57" s="1"/>
  <c r="H72" i="57" s="1"/>
  <c r="H73" i="57" s="1"/>
  <c r="H74" i="57" s="1"/>
  <c r="H75" i="57" s="1"/>
  <c r="H76" i="57" s="1"/>
  <c r="AI62" i="57"/>
  <c r="AI63" i="57" s="1"/>
  <c r="AI64" i="57" s="1"/>
  <c r="AI65" i="57" s="1"/>
  <c r="AI66" i="57" s="1"/>
  <c r="AI67" i="57" s="1"/>
  <c r="AI68" i="57" s="1"/>
  <c r="AI69" i="57" s="1"/>
  <c r="AI70" i="57" s="1"/>
  <c r="AI71" i="57" s="1"/>
  <c r="AI72" i="57" s="1"/>
  <c r="AI73" i="57" s="1"/>
  <c r="AI74" i="57" s="1"/>
  <c r="AI75" i="57" s="1"/>
  <c r="AI76" i="57" s="1"/>
  <c r="AK40" i="57"/>
  <c r="AM62" i="57"/>
  <c r="AM63" i="57" s="1"/>
  <c r="AM64" i="57" s="1"/>
  <c r="AM65" i="57" s="1"/>
  <c r="AM66" i="57" s="1"/>
  <c r="AM67" i="57" s="1"/>
  <c r="AM68" i="57" s="1"/>
  <c r="AM69" i="57" s="1"/>
  <c r="AM70" i="57" s="1"/>
  <c r="AM71" i="57" s="1"/>
  <c r="AM72" i="57" s="1"/>
  <c r="AM73" i="57" s="1"/>
  <c r="AM74" i="57" s="1"/>
  <c r="AM75" i="57" s="1"/>
  <c r="AM76" i="57" s="1"/>
  <c r="AK49" i="57"/>
  <c r="E62" i="57"/>
  <c r="E63" i="57" s="1"/>
  <c r="E64" i="57" s="1"/>
  <c r="E65" i="57" s="1"/>
  <c r="E66" i="57" s="1"/>
  <c r="E67" i="57" s="1"/>
  <c r="E68" i="57" s="1"/>
  <c r="E69" i="57" s="1"/>
  <c r="E70" i="57" s="1"/>
  <c r="E71" i="57" s="1"/>
  <c r="E72" i="57" s="1"/>
  <c r="E73" i="57" s="1"/>
  <c r="E74" i="57" s="1"/>
  <c r="E75" i="57" s="1"/>
  <c r="E76" i="57" s="1"/>
  <c r="AK44" i="57"/>
  <c r="L31" i="57"/>
  <c r="L51" i="57" s="1"/>
  <c r="AL62" i="57"/>
  <c r="AL63" i="57" s="1"/>
  <c r="AL64" i="57" s="1"/>
  <c r="AL65" i="57" s="1"/>
  <c r="AL66" i="57" s="1"/>
  <c r="AL67" i="57" s="1"/>
  <c r="AL68" i="57" s="1"/>
  <c r="AL69" i="57" s="1"/>
  <c r="AL70" i="57" s="1"/>
  <c r="AL71" i="57" s="1"/>
  <c r="AL72" i="57" s="1"/>
  <c r="AL73" i="57" s="1"/>
  <c r="AL74" i="57" s="1"/>
  <c r="AL75" i="57" s="1"/>
  <c r="AL76" i="57" s="1"/>
  <c r="AK39" i="57"/>
  <c r="AJ62" i="57"/>
  <c r="AJ63" i="57" s="1"/>
  <c r="AJ64" i="57" s="1"/>
  <c r="AJ65" i="57" s="1"/>
  <c r="AJ66" i="57" s="1"/>
  <c r="AJ67" i="57" s="1"/>
  <c r="AJ68" i="57" s="1"/>
  <c r="AJ69" i="57" s="1"/>
  <c r="AJ70" i="57" s="1"/>
  <c r="AJ71" i="57" s="1"/>
  <c r="AJ72" i="57" s="1"/>
  <c r="AJ73" i="57" s="1"/>
  <c r="AJ74" i="57" s="1"/>
  <c r="AJ75" i="57" s="1"/>
  <c r="AJ76" i="57" s="1"/>
  <c r="C62" i="57"/>
  <c r="C63" i="57" s="1"/>
  <c r="C64" i="57" s="1"/>
  <c r="C65" i="57" s="1"/>
  <c r="C66" i="57" s="1"/>
  <c r="C67" i="57" s="1"/>
  <c r="C68" i="57" s="1"/>
  <c r="C69" i="57" s="1"/>
  <c r="C70" i="57" s="1"/>
  <c r="C71" i="57" s="1"/>
  <c r="C72" i="57" s="1"/>
  <c r="C73" i="57" s="1"/>
  <c r="C74" i="57" s="1"/>
  <c r="C75" i="57" s="1"/>
  <c r="C76" i="57" s="1"/>
  <c r="AK47" i="57"/>
  <c r="D62" i="57"/>
  <c r="D63" i="57" s="1"/>
  <c r="D64" i="57" s="1"/>
  <c r="D65" i="57" s="1"/>
  <c r="D66" i="57" s="1"/>
  <c r="D67" i="57" s="1"/>
  <c r="D68" i="57" s="1"/>
  <c r="D69" i="57" s="1"/>
  <c r="D70" i="57" s="1"/>
  <c r="D71" i="57" s="1"/>
  <c r="D72" i="57" s="1"/>
  <c r="D73" i="57" s="1"/>
  <c r="D74" i="57" s="1"/>
  <c r="D75" i="57" s="1"/>
  <c r="D76" i="57" s="1"/>
  <c r="AG64" i="57"/>
  <c r="AG65" i="57" s="1"/>
  <c r="AG66" i="57" s="1"/>
  <c r="AG67" i="57" s="1"/>
  <c r="AG68" i="57" s="1"/>
  <c r="AG69" i="57" s="1"/>
  <c r="AG70" i="57" s="1"/>
  <c r="AG71" i="57" s="1"/>
  <c r="AG72" i="57" s="1"/>
  <c r="AG73" i="57" s="1"/>
  <c r="AG74" i="57" s="1"/>
  <c r="AG75" i="57" s="1"/>
  <c r="AG76" i="57" s="1"/>
  <c r="S62" i="57"/>
  <c r="S63" i="57" s="1"/>
  <c r="S64" i="57" s="1"/>
  <c r="S65" i="57" s="1"/>
  <c r="S66" i="57" s="1"/>
  <c r="S67" i="57" s="1"/>
  <c r="S68" i="57" s="1"/>
  <c r="S69" i="57" s="1"/>
  <c r="S70" i="57" s="1"/>
  <c r="S71" i="57" s="1"/>
  <c r="S72" i="57" s="1"/>
  <c r="S73" i="57" s="1"/>
  <c r="S74" i="57" s="1"/>
  <c r="S75" i="57" s="1"/>
  <c r="S76" i="57" s="1"/>
  <c r="R66" i="57"/>
  <c r="R67" i="57" s="1"/>
  <c r="R68" i="57" s="1"/>
  <c r="R69" i="57" s="1"/>
  <c r="R70" i="57" s="1"/>
  <c r="R71" i="57" s="1"/>
  <c r="R72" i="57" s="1"/>
  <c r="R73" i="57" s="1"/>
  <c r="R74" i="57" s="1"/>
  <c r="R75" i="57" s="1"/>
  <c r="R76" i="57" s="1"/>
  <c r="AK37" i="57"/>
  <c r="I62" i="57"/>
  <c r="I63" i="57" s="1"/>
  <c r="I64" i="57" s="1"/>
  <c r="I65" i="57" s="1"/>
  <c r="I66" i="57" s="1"/>
  <c r="I67" i="57" s="1"/>
  <c r="I68" i="57" s="1"/>
  <c r="I69" i="57" s="1"/>
  <c r="I70" i="57" s="1"/>
  <c r="I71" i="57" s="1"/>
  <c r="I72" i="57" s="1"/>
  <c r="I73" i="57" s="1"/>
  <c r="I74" i="57" s="1"/>
  <c r="I75" i="57" s="1"/>
  <c r="I76" i="57" s="1"/>
  <c r="AK43" i="57"/>
  <c r="T63" i="57"/>
  <c r="T64" i="57" s="1"/>
  <c r="T65" i="57" s="1"/>
  <c r="T66" i="57" s="1"/>
  <c r="T67" i="57" s="1"/>
  <c r="T68" i="57" s="1"/>
  <c r="T69" i="57" s="1"/>
  <c r="T70" i="57" s="1"/>
  <c r="T71" i="57" s="1"/>
  <c r="T72" i="57" s="1"/>
  <c r="T73" i="57" s="1"/>
  <c r="T74" i="57" s="1"/>
  <c r="T75" i="57" s="1"/>
  <c r="T76" i="57" s="1"/>
  <c r="O63" i="57"/>
  <c r="O64" i="57" s="1"/>
  <c r="O65" i="57" s="1"/>
  <c r="O66" i="57" s="1"/>
  <c r="O67" i="57" s="1"/>
  <c r="O68" i="57" s="1"/>
  <c r="O69" i="57" s="1"/>
  <c r="O70" i="57" s="1"/>
  <c r="O71" i="57" s="1"/>
  <c r="O72" i="57" s="1"/>
  <c r="O73" i="57" s="1"/>
  <c r="O74" i="57" s="1"/>
  <c r="O75" i="57" s="1"/>
  <c r="O76" i="57" s="1"/>
  <c r="AK46" i="57"/>
  <c r="AK38" i="57"/>
  <c r="Q62" i="57"/>
  <c r="Q63" i="57" s="1"/>
  <c r="Q64" i="57" s="1"/>
  <c r="Q65" i="57" s="1"/>
  <c r="Q66" i="57" s="1"/>
  <c r="Q67" i="57" s="1"/>
  <c r="Q68" i="57" s="1"/>
  <c r="Q69" i="57" s="1"/>
  <c r="Q70" i="57" s="1"/>
  <c r="Q71" i="57" s="1"/>
  <c r="Q72" i="57" s="1"/>
  <c r="Q73" i="57" s="1"/>
  <c r="Q74" i="57" s="1"/>
  <c r="Q75" i="57" s="1"/>
  <c r="Q76" i="57" s="1"/>
  <c r="AK45" i="57"/>
  <c r="P62" i="57"/>
  <c r="P63" i="57" s="1"/>
  <c r="P64" i="57" s="1"/>
  <c r="P65" i="57" s="1"/>
  <c r="P66" i="57" s="1"/>
  <c r="P67" i="57" s="1"/>
  <c r="P68" i="57" s="1"/>
  <c r="P69" i="57" s="1"/>
  <c r="P70" i="57" s="1"/>
  <c r="P71" i="57" s="1"/>
  <c r="P72" i="57" s="1"/>
  <c r="P73" i="57" s="1"/>
  <c r="P74" i="57" s="1"/>
  <c r="P75" i="57" s="1"/>
  <c r="P76" i="57" s="1"/>
  <c r="B62" i="57"/>
  <c r="B63" i="57" s="1"/>
  <c r="B64" i="57" s="1"/>
  <c r="B65" i="57" s="1"/>
  <c r="B66" i="57" s="1"/>
  <c r="B67" i="57" s="1"/>
  <c r="B68" i="57" s="1"/>
  <c r="B69" i="57" s="1"/>
  <c r="B70" i="57" s="1"/>
  <c r="B71" i="57" s="1"/>
  <c r="B72" i="57" s="1"/>
  <c r="B73" i="57" s="1"/>
  <c r="B74" i="57" s="1"/>
  <c r="B75" i="57" s="1"/>
  <c r="B76" i="57" s="1"/>
  <c r="C53" i="57"/>
  <c r="C55" i="57" s="1"/>
  <c r="C56" i="57" s="1"/>
  <c r="K53" i="57"/>
  <c r="K55" i="57" s="1"/>
  <c r="K56" i="57" s="1"/>
  <c r="P53" i="57"/>
  <c r="P55" i="57" s="1"/>
  <c r="P56" i="57" s="1"/>
  <c r="AG53" i="57"/>
  <c r="AG55" i="57" s="1"/>
  <c r="AG56" i="57" s="1"/>
  <c r="AL53" i="57"/>
  <c r="AL55" i="57" s="1"/>
  <c r="AL56" i="57" s="1"/>
  <c r="H53" i="57"/>
  <c r="H55" i="57" s="1"/>
  <c r="H56" i="57" s="1"/>
  <c r="S53" i="57"/>
  <c r="S55" i="57" s="1"/>
  <c r="S56" i="57" s="1"/>
  <c r="O53" i="57"/>
  <c r="O55" i="57" s="1"/>
  <c r="O56" i="57" s="1"/>
  <c r="T53" i="57"/>
  <c r="T55" i="57" s="1"/>
  <c r="T56" i="57" s="1"/>
  <c r="AH53" i="57"/>
  <c r="AH55" i="57" s="1"/>
  <c r="AH56" i="57" s="1"/>
  <c r="D53" i="57"/>
  <c r="D55" i="57" s="1"/>
  <c r="D56" i="57" s="1"/>
  <c r="B34" i="58"/>
  <c r="G22" i="1"/>
  <c r="AA22" i="1" s="1"/>
  <c r="M53" i="57"/>
  <c r="M55" i="57" s="1"/>
  <c r="M56" i="57" s="1"/>
  <c r="F53" i="57"/>
  <c r="F55" i="57" s="1"/>
  <c r="F56" i="57" s="1"/>
  <c r="I53" i="57"/>
  <c r="I55" i="57" s="1"/>
  <c r="I56" i="57" s="1"/>
  <c r="AM53" i="57"/>
  <c r="AM55" i="57" s="1"/>
  <c r="AM56" i="57" s="1"/>
  <c r="Q53" i="57"/>
  <c r="Q55" i="57" s="1"/>
  <c r="Q56" i="57" s="1"/>
  <c r="E53" i="57"/>
  <c r="E55" i="57" s="1"/>
  <c r="E56" i="57" s="1"/>
  <c r="AN53" i="57"/>
  <c r="AN55" i="57" s="1"/>
  <c r="AN56" i="57" s="1"/>
  <c r="J53" i="57"/>
  <c r="J55" i="57" s="1"/>
  <c r="J56" i="57" s="1"/>
  <c r="U53" i="57"/>
  <c r="U55" i="57" s="1"/>
  <c r="U56" i="57" s="1"/>
  <c r="N53" i="57"/>
  <c r="N55" i="57" s="1"/>
  <c r="N56" i="57" s="1"/>
  <c r="R53" i="57"/>
  <c r="R55" i="57" s="1"/>
  <c r="R56" i="57" s="1"/>
  <c r="AI53" i="57"/>
  <c r="AI55" i="57" s="1"/>
  <c r="AI56" i="57" s="1"/>
  <c r="AJ53" i="57"/>
  <c r="AJ55" i="57" s="1"/>
  <c r="AJ56" i="57" s="1"/>
  <c r="G53" i="57"/>
  <c r="G55" i="57" s="1"/>
  <c r="G56" i="57" s="1"/>
  <c r="B53" i="57"/>
  <c r="B55" i="57" s="1"/>
  <c r="B56" i="57" s="1"/>
  <c r="L48" i="57" l="1"/>
  <c r="L44" i="57"/>
  <c r="L40" i="57"/>
  <c r="K20" i="1" s="1"/>
  <c r="K72" i="1" s="1"/>
  <c r="L36" i="57"/>
  <c r="L45" i="57"/>
  <c r="L47" i="57"/>
  <c r="R20" i="1" s="1"/>
  <c r="R72" i="1" s="1"/>
  <c r="L43" i="57"/>
  <c r="N20" i="1" s="1"/>
  <c r="N72" i="1" s="1"/>
  <c r="L39" i="57"/>
  <c r="J20" i="1" s="1"/>
  <c r="J72" i="1" s="1"/>
  <c r="L37" i="57"/>
  <c r="L50" i="57"/>
  <c r="U20" i="1" s="1"/>
  <c r="U72" i="1" s="1"/>
  <c r="L46" i="57"/>
  <c r="Q20" i="1" s="1"/>
  <c r="Q72" i="1" s="1"/>
  <c r="L42" i="57"/>
  <c r="L38" i="57"/>
  <c r="L49" i="57"/>
  <c r="T20" i="1" s="1"/>
  <c r="T72" i="1" s="1"/>
  <c r="L41" i="57"/>
  <c r="L20" i="1" s="1"/>
  <c r="L72" i="1" s="1"/>
  <c r="AF62" i="57"/>
  <c r="AF63" i="57" s="1"/>
  <c r="AF64" i="57" s="1"/>
  <c r="AF65" i="57" s="1"/>
  <c r="AF66" i="57" s="1"/>
  <c r="AF67" i="57" s="1"/>
  <c r="AF68" i="57" s="1"/>
  <c r="AF69" i="57" s="1"/>
  <c r="AF70" i="57" s="1"/>
  <c r="AF71" i="57" s="1"/>
  <c r="AF72" i="57" s="1"/>
  <c r="AF73" i="57" s="1"/>
  <c r="AF74" i="57" s="1"/>
  <c r="AF75" i="57" s="1"/>
  <c r="AF76" i="57" s="1"/>
  <c r="AF53" i="57"/>
  <c r="AF55" i="57" s="1"/>
  <c r="AF56" i="57" s="1"/>
  <c r="AK62" i="57"/>
  <c r="AK63" i="57" s="1"/>
  <c r="AK64" i="57" s="1"/>
  <c r="AK65" i="57" s="1"/>
  <c r="AK66" i="57" s="1"/>
  <c r="AK67" i="57" s="1"/>
  <c r="AK68" i="57" s="1"/>
  <c r="AK69" i="57" s="1"/>
  <c r="AK70" i="57" s="1"/>
  <c r="AK71" i="57" s="1"/>
  <c r="AK72" i="57" s="1"/>
  <c r="AK73" i="57" s="1"/>
  <c r="AK74" i="57" s="1"/>
  <c r="AK75" i="57" s="1"/>
  <c r="AK76" i="57" s="1"/>
  <c r="AK53" i="57"/>
  <c r="AK55" i="57" s="1"/>
  <c r="AK56" i="57" s="1"/>
  <c r="I20" i="1"/>
  <c r="I72" i="1" s="1"/>
  <c r="S20" i="1"/>
  <c r="S72" i="1" s="1"/>
  <c r="P20" i="1"/>
  <c r="P72" i="1" s="1"/>
  <c r="V20" i="1"/>
  <c r="V72" i="1" s="1"/>
  <c r="H20" i="1"/>
  <c r="H72" i="1" s="1"/>
  <c r="O20" i="1"/>
  <c r="O72" i="1" s="1"/>
  <c r="M20" i="1"/>
  <c r="M72" i="1" s="1"/>
  <c r="L53" i="57" l="1"/>
  <c r="L55" i="57" s="1"/>
  <c r="L56" i="57" s="1"/>
  <c r="G20" i="1"/>
  <c r="G72" i="1" s="1"/>
  <c r="L61" i="57"/>
  <c r="C38" i="52"/>
  <c r="L62" i="57" l="1"/>
  <c r="L63" i="57" s="1"/>
  <c r="L64" i="57" s="1"/>
  <c r="L65" i="57" s="1"/>
  <c r="L66" i="57" s="1"/>
  <c r="L67" i="57" s="1"/>
  <c r="L68" i="57" s="1"/>
  <c r="L69" i="57" s="1"/>
  <c r="L70" i="57" s="1"/>
  <c r="L71" i="57" s="1"/>
  <c r="L72" i="57" s="1"/>
  <c r="L73" i="57" s="1"/>
  <c r="L74" i="57" s="1"/>
  <c r="L75" i="57" s="1"/>
  <c r="L76" i="57" s="1"/>
  <c r="AA20" i="1"/>
  <c r="AD20" i="1"/>
  <c r="N79" i="52"/>
  <c r="N81" i="52" s="1"/>
  <c r="N82" i="52" s="1"/>
  <c r="D79" i="52"/>
  <c r="D81" i="52" s="1"/>
  <c r="D82" i="52" s="1"/>
  <c r="E79" i="52"/>
  <c r="E81" i="52" s="1"/>
  <c r="E82" i="52" s="1"/>
  <c r="M79" i="52"/>
  <c r="M81" i="52" s="1"/>
  <c r="M82" i="52" s="1"/>
  <c r="J79" i="52"/>
  <c r="J81" i="52" s="1"/>
  <c r="J82" i="52" s="1"/>
  <c r="L79" i="52"/>
  <c r="L81" i="52" s="1"/>
  <c r="L82" i="52" s="1"/>
  <c r="P153" i="1" l="1" a="1"/>
  <c r="P153" i="1" s="1"/>
  <c r="I153" i="1" a="1"/>
  <c r="I153" i="1" s="1"/>
  <c r="U153" i="1" a="1"/>
  <c r="U153" i="1" s="1"/>
  <c r="Q153" i="1" a="1"/>
  <c r="Q153" i="1" s="1"/>
  <c r="M153" i="1" a="1"/>
  <c r="M153" i="1" s="1"/>
  <c r="H153" i="1" a="1"/>
  <c r="H153" i="1" s="1"/>
  <c r="K153" i="1" a="1"/>
  <c r="K153" i="1" s="1"/>
  <c r="R153" i="1" a="1"/>
  <c r="R153" i="1" s="1"/>
  <c r="T153" i="1" a="1"/>
  <c r="T153" i="1" s="1"/>
  <c r="O153" i="1" a="1"/>
  <c r="O153" i="1" s="1"/>
  <c r="J153" i="1" a="1"/>
  <c r="J153" i="1" s="1"/>
  <c r="G153" i="1" a="1"/>
  <c r="G153" i="1" s="1"/>
  <c r="S153" i="1" a="1"/>
  <c r="S153" i="1" s="1"/>
  <c r="N153" i="1" a="1"/>
  <c r="N153" i="1" s="1"/>
  <c r="L153" i="1" a="1"/>
  <c r="L153" i="1" s="1"/>
  <c r="V153" i="1" a="1"/>
  <c r="V153" i="1" s="1"/>
  <c r="S50" i="1" a="1"/>
  <c r="S50" i="1" s="1"/>
  <c r="K50" i="1" a="1"/>
  <c r="K50" i="1" s="1"/>
  <c r="R50" i="1" a="1"/>
  <c r="R50" i="1" s="1"/>
  <c r="J50" i="1" a="1"/>
  <c r="J50" i="1" s="1"/>
  <c r="Q50" i="1" a="1"/>
  <c r="Q50" i="1" s="1"/>
  <c r="I50" i="1" a="1"/>
  <c r="I50" i="1" s="1"/>
  <c r="P50" i="1" a="1"/>
  <c r="P50" i="1" s="1"/>
  <c r="H50" i="1" a="1"/>
  <c r="H50" i="1" s="1"/>
  <c r="O50" i="1" a="1"/>
  <c r="O50" i="1" s="1"/>
  <c r="G50" i="1" a="1"/>
  <c r="G50" i="1" s="1"/>
  <c r="V50" i="1" a="1"/>
  <c r="V50" i="1" s="1"/>
  <c r="N50" i="1" a="1"/>
  <c r="N50" i="1" s="1"/>
  <c r="U50" i="1" a="1"/>
  <c r="U50" i="1" s="1"/>
  <c r="M50" i="1" a="1"/>
  <c r="M50" i="1" s="1"/>
  <c r="T50" i="1" a="1"/>
  <c r="T50" i="1" s="1"/>
  <c r="L50" i="1" a="1"/>
  <c r="L50" i="1" s="1"/>
  <c r="K79" i="52"/>
  <c r="K81" i="52" s="1"/>
  <c r="K82" i="52" s="1"/>
  <c r="O79" i="52"/>
  <c r="O81" i="52" s="1"/>
  <c r="O82" i="52" s="1"/>
  <c r="B79" i="52"/>
  <c r="B81" i="52" s="1"/>
  <c r="B82" i="52" s="1"/>
  <c r="F79" i="52"/>
  <c r="F81" i="52" s="1"/>
  <c r="F82" i="52" s="1"/>
  <c r="H79" i="52"/>
  <c r="H81" i="52" s="1"/>
  <c r="H82" i="52" s="1"/>
  <c r="C79" i="52"/>
  <c r="C81" i="52" s="1"/>
  <c r="C82" i="52" s="1"/>
  <c r="G79" i="52"/>
  <c r="G81" i="52" s="1"/>
  <c r="G82" i="52" s="1"/>
  <c r="AA50" i="1" l="1"/>
  <c r="B12" i="1"/>
  <c r="B33" i="1"/>
  <c r="B44" i="1"/>
  <c r="B51" i="1"/>
  <c r="B50" i="1"/>
  <c r="B143" i="1"/>
  <c r="AD50" i="1" l="1"/>
  <c r="N60" i="50"/>
  <c r="I60" i="50"/>
  <c r="O29" i="50"/>
  <c r="N29" i="50"/>
  <c r="M29" i="50"/>
  <c r="L29" i="50"/>
  <c r="K29" i="50"/>
  <c r="J29" i="50"/>
  <c r="I29" i="50"/>
  <c r="H29" i="50"/>
  <c r="G29" i="50"/>
  <c r="F29" i="50"/>
  <c r="E29" i="50"/>
  <c r="D29" i="50"/>
  <c r="C29" i="50"/>
  <c r="B29" i="50"/>
  <c r="I61" i="50" l="1"/>
  <c r="G33" i="50"/>
  <c r="E33" i="50"/>
  <c r="D33" i="50"/>
  <c r="B33" i="50"/>
  <c r="F33" i="50"/>
  <c r="O33" i="50"/>
  <c r="H33" i="50"/>
  <c r="J33" i="50"/>
  <c r="C33" i="50"/>
  <c r="K33" i="50"/>
  <c r="L33" i="50"/>
  <c r="M33" i="50"/>
  <c r="I33" i="50"/>
  <c r="N33" i="50"/>
  <c r="M60" i="50"/>
  <c r="N61" i="50"/>
  <c r="I62" i="50"/>
  <c r="B40" i="50" l="1"/>
  <c r="B44" i="50"/>
  <c r="B48" i="50"/>
  <c r="B52" i="50"/>
  <c r="B43" i="50"/>
  <c r="B41" i="50"/>
  <c r="B45" i="50"/>
  <c r="B49" i="50"/>
  <c r="B53" i="50"/>
  <c r="B51" i="50"/>
  <c r="B42" i="50"/>
  <c r="B46" i="50"/>
  <c r="B50" i="50"/>
  <c r="B47" i="50"/>
  <c r="B38" i="50"/>
  <c r="B39" i="50"/>
  <c r="N62" i="50"/>
  <c r="N63" i="50" s="1"/>
  <c r="N64" i="50" s="1"/>
  <c r="N65" i="50" s="1"/>
  <c r="N66" i="50" s="1"/>
  <c r="N67" i="50" s="1"/>
  <c r="N68" i="50" s="1"/>
  <c r="N69" i="50" s="1"/>
  <c r="N70" i="50" s="1"/>
  <c r="N71" i="50" s="1"/>
  <c r="N72" i="50" s="1"/>
  <c r="N73" i="50" s="1"/>
  <c r="N74" i="50" s="1"/>
  <c r="N75" i="50" s="1"/>
  <c r="M61" i="50"/>
  <c r="M62" i="50" s="1"/>
  <c r="M63" i="50" s="1"/>
  <c r="M64" i="50" s="1"/>
  <c r="M65" i="50" s="1"/>
  <c r="M66" i="50" s="1"/>
  <c r="M67" i="50" s="1"/>
  <c r="M68" i="50" s="1"/>
  <c r="M69" i="50" s="1"/>
  <c r="M70" i="50" s="1"/>
  <c r="M71" i="50" s="1"/>
  <c r="M72" i="50" s="1"/>
  <c r="M73" i="50" s="1"/>
  <c r="M74" i="50" s="1"/>
  <c r="M75" i="50" s="1"/>
  <c r="I63" i="50"/>
  <c r="I64" i="50" s="1"/>
  <c r="I65" i="50" s="1"/>
  <c r="I66" i="50" s="1"/>
  <c r="I67" i="50" s="1"/>
  <c r="I68" i="50" s="1"/>
  <c r="I69" i="50" s="1"/>
  <c r="I70" i="50" s="1"/>
  <c r="I71" i="50" s="1"/>
  <c r="I72" i="50" s="1"/>
  <c r="I73" i="50" s="1"/>
  <c r="I74" i="50" s="1"/>
  <c r="I75" i="50" s="1"/>
  <c r="C60" i="50"/>
  <c r="H60" i="50"/>
  <c r="K60" i="50"/>
  <c r="F60" i="50"/>
  <c r="D60" i="50"/>
  <c r="G60" i="50"/>
  <c r="O60" i="50"/>
  <c r="J60" i="50"/>
  <c r="L60" i="50"/>
  <c r="E60" i="50"/>
  <c r="M55" i="50"/>
  <c r="N55" i="50"/>
  <c r="I55" i="50"/>
  <c r="B60" i="50" l="1"/>
  <c r="G61" i="50"/>
  <c r="J61" i="50"/>
  <c r="J62" i="50" s="1"/>
  <c r="J63" i="50" s="1"/>
  <c r="J64" i="50" s="1"/>
  <c r="J65" i="50" s="1"/>
  <c r="J66" i="50" s="1"/>
  <c r="J67" i="50" s="1"/>
  <c r="J68" i="50" s="1"/>
  <c r="J69" i="50" s="1"/>
  <c r="J70" i="50" s="1"/>
  <c r="J71" i="50" s="1"/>
  <c r="J72" i="50" s="1"/>
  <c r="J73" i="50" s="1"/>
  <c r="J74" i="50" s="1"/>
  <c r="J75" i="50" s="1"/>
  <c r="H61" i="50"/>
  <c r="H62" i="50" s="1"/>
  <c r="H63" i="50" s="1"/>
  <c r="H64" i="50" s="1"/>
  <c r="H65" i="50" s="1"/>
  <c r="H66" i="50" s="1"/>
  <c r="H67" i="50" s="1"/>
  <c r="H68" i="50" s="1"/>
  <c r="H69" i="50" s="1"/>
  <c r="H70" i="50" s="1"/>
  <c r="H71" i="50" s="1"/>
  <c r="H72" i="50" s="1"/>
  <c r="H73" i="50" s="1"/>
  <c r="H74" i="50" s="1"/>
  <c r="H75" i="50" s="1"/>
  <c r="C61" i="50"/>
  <c r="C62" i="50" s="1"/>
  <c r="C63" i="50" s="1"/>
  <c r="C64" i="50" s="1"/>
  <c r="C65" i="50" s="1"/>
  <c r="C66" i="50" s="1"/>
  <c r="C67" i="50" s="1"/>
  <c r="C68" i="50" s="1"/>
  <c r="C69" i="50" s="1"/>
  <c r="C70" i="50" s="1"/>
  <c r="C71" i="50" s="1"/>
  <c r="C72" i="50" s="1"/>
  <c r="C73" i="50" s="1"/>
  <c r="C74" i="50" s="1"/>
  <c r="C75" i="50" s="1"/>
  <c r="L61" i="50"/>
  <c r="L62" i="50" s="1"/>
  <c r="B61" i="50"/>
  <c r="B62" i="50" s="1"/>
  <c r="B63" i="50" s="1"/>
  <c r="B64" i="50" s="1"/>
  <c r="B65" i="50" s="1"/>
  <c r="B66" i="50" s="1"/>
  <c r="B67" i="50" s="1"/>
  <c r="B68" i="50" s="1"/>
  <c r="B69" i="50" s="1"/>
  <c r="B70" i="50" s="1"/>
  <c r="B71" i="50" s="1"/>
  <c r="B72" i="50" s="1"/>
  <c r="B73" i="50" s="1"/>
  <c r="B74" i="50" s="1"/>
  <c r="B75" i="50" s="1"/>
  <c r="O61" i="50"/>
  <c r="O62" i="50" s="1"/>
  <c r="O63" i="50" s="1"/>
  <c r="O64" i="50" s="1"/>
  <c r="O65" i="50" s="1"/>
  <c r="O66" i="50" s="1"/>
  <c r="O67" i="50" s="1"/>
  <c r="O68" i="50" s="1"/>
  <c r="O69" i="50" s="1"/>
  <c r="O70" i="50" s="1"/>
  <c r="O71" i="50" s="1"/>
  <c r="O72" i="50" s="1"/>
  <c r="O73" i="50" s="1"/>
  <c r="O74" i="50" s="1"/>
  <c r="O75" i="50" s="1"/>
  <c r="D61" i="50"/>
  <c r="D62" i="50" s="1"/>
  <c r="D63" i="50" s="1"/>
  <c r="D64" i="50" s="1"/>
  <c r="D65" i="50" s="1"/>
  <c r="D66" i="50" s="1"/>
  <c r="D67" i="50" s="1"/>
  <c r="D68" i="50" s="1"/>
  <c r="D69" i="50" s="1"/>
  <c r="D70" i="50" s="1"/>
  <c r="D71" i="50" s="1"/>
  <c r="D72" i="50" s="1"/>
  <c r="D73" i="50" s="1"/>
  <c r="D74" i="50" s="1"/>
  <c r="D75" i="50" s="1"/>
  <c r="K61" i="50"/>
  <c r="K62" i="50" s="1"/>
  <c r="K63" i="50" s="1"/>
  <c r="K64" i="50" s="1"/>
  <c r="K65" i="50" s="1"/>
  <c r="K66" i="50" s="1"/>
  <c r="K67" i="50" s="1"/>
  <c r="K68" i="50" s="1"/>
  <c r="K69" i="50" s="1"/>
  <c r="K70" i="50" s="1"/>
  <c r="K71" i="50" s="1"/>
  <c r="K72" i="50" s="1"/>
  <c r="K73" i="50" s="1"/>
  <c r="K74" i="50" s="1"/>
  <c r="K75" i="50" s="1"/>
  <c r="E61" i="50"/>
  <c r="E62" i="50" s="1"/>
  <c r="E63" i="50" s="1"/>
  <c r="E64" i="50" s="1"/>
  <c r="E65" i="50" s="1"/>
  <c r="E66" i="50" s="1"/>
  <c r="E67" i="50" s="1"/>
  <c r="E68" i="50" s="1"/>
  <c r="E69" i="50" s="1"/>
  <c r="E70" i="50" s="1"/>
  <c r="E71" i="50" s="1"/>
  <c r="E72" i="50" s="1"/>
  <c r="E73" i="50" s="1"/>
  <c r="E74" i="50" s="1"/>
  <c r="E75" i="50" s="1"/>
  <c r="G62" i="50"/>
  <c r="G63" i="50" s="1"/>
  <c r="G64" i="50" s="1"/>
  <c r="G65" i="50" s="1"/>
  <c r="G66" i="50" s="1"/>
  <c r="G67" i="50" s="1"/>
  <c r="G68" i="50" s="1"/>
  <c r="G69" i="50" s="1"/>
  <c r="G70" i="50" s="1"/>
  <c r="G71" i="50" s="1"/>
  <c r="G72" i="50" s="1"/>
  <c r="G73" i="50" s="1"/>
  <c r="G74" i="50" s="1"/>
  <c r="G75" i="50" s="1"/>
  <c r="L63" i="50"/>
  <c r="L64" i="50" s="1"/>
  <c r="L65" i="50" s="1"/>
  <c r="L66" i="50" s="1"/>
  <c r="L67" i="50" s="1"/>
  <c r="L68" i="50" s="1"/>
  <c r="L69" i="50" s="1"/>
  <c r="L70" i="50" s="1"/>
  <c r="L71" i="50" s="1"/>
  <c r="L72" i="50" s="1"/>
  <c r="L73" i="50" s="1"/>
  <c r="L74" i="50" s="1"/>
  <c r="L75" i="50" s="1"/>
  <c r="F61" i="50"/>
  <c r="F62" i="50" s="1"/>
  <c r="F63" i="50" s="1"/>
  <c r="F64" i="50" s="1"/>
  <c r="F65" i="50" s="1"/>
  <c r="F66" i="50" s="1"/>
  <c r="F67" i="50" s="1"/>
  <c r="F68" i="50" s="1"/>
  <c r="F69" i="50" s="1"/>
  <c r="F70" i="50" s="1"/>
  <c r="F71" i="50" s="1"/>
  <c r="F72" i="50" s="1"/>
  <c r="F73" i="50" s="1"/>
  <c r="F74" i="50" s="1"/>
  <c r="F75" i="50" s="1"/>
  <c r="P59" i="1" a="1"/>
  <c r="P59" i="1" s="1"/>
  <c r="P75" i="1" s="1"/>
  <c r="H59" i="1" a="1"/>
  <c r="H59" i="1" s="1"/>
  <c r="H75" i="1" s="1"/>
  <c r="Q59" i="1" a="1"/>
  <c r="Q59" i="1" s="1"/>
  <c r="Q75" i="1" s="1"/>
  <c r="O59" i="1" a="1"/>
  <c r="O59" i="1" s="1"/>
  <c r="O75" i="1" s="1"/>
  <c r="G59" i="1" a="1"/>
  <c r="G59" i="1" s="1"/>
  <c r="G75" i="1" s="1"/>
  <c r="V59" i="1" a="1"/>
  <c r="V59" i="1" s="1"/>
  <c r="V75" i="1" s="1"/>
  <c r="N59" i="1" a="1"/>
  <c r="N59" i="1" s="1"/>
  <c r="N75" i="1" s="1"/>
  <c r="U59" i="1" a="1"/>
  <c r="U59" i="1" s="1"/>
  <c r="U75" i="1" s="1"/>
  <c r="M59" i="1" a="1"/>
  <c r="M59" i="1" s="1"/>
  <c r="M75" i="1" s="1"/>
  <c r="J59" i="1" a="1"/>
  <c r="J59" i="1" s="1"/>
  <c r="J75" i="1" s="1"/>
  <c r="T59" i="1" a="1"/>
  <c r="T59" i="1" s="1"/>
  <c r="T75" i="1" s="1"/>
  <c r="L59" i="1" a="1"/>
  <c r="L59" i="1" s="1"/>
  <c r="L75" i="1" s="1"/>
  <c r="I59" i="1" a="1"/>
  <c r="I59" i="1" s="1"/>
  <c r="I75" i="1" s="1"/>
  <c r="S59" i="1" a="1"/>
  <c r="S59" i="1" s="1"/>
  <c r="S75" i="1" s="1"/>
  <c r="K59" i="1" a="1"/>
  <c r="K59" i="1" s="1"/>
  <c r="K75" i="1" s="1"/>
  <c r="R59" i="1" a="1"/>
  <c r="R59" i="1" s="1"/>
  <c r="R75" i="1" s="1"/>
  <c r="C55" i="50"/>
  <c r="H55" i="50"/>
  <c r="J55" i="50"/>
  <c r="O55" i="50"/>
  <c r="L55" i="50"/>
  <c r="K55" i="50"/>
  <c r="D55" i="50"/>
  <c r="E55" i="50"/>
  <c r="G55" i="50"/>
  <c r="B55" i="50"/>
  <c r="F55" i="50"/>
  <c r="S156" i="1" l="1" a="1"/>
  <c r="S156" i="1" s="1"/>
  <c r="P156" i="1" a="1"/>
  <c r="P156" i="1" s="1"/>
  <c r="G156" i="1" a="1"/>
  <c r="G156" i="1" s="1"/>
  <c r="Q156" i="1" a="1"/>
  <c r="Q156" i="1" s="1"/>
  <c r="K156" i="1" a="1"/>
  <c r="K156" i="1" s="1"/>
  <c r="U156" i="1" a="1"/>
  <c r="U156" i="1" s="1"/>
  <c r="J156" i="1" a="1"/>
  <c r="J156" i="1" s="1"/>
  <c r="R156" i="1" a="1"/>
  <c r="R156" i="1" s="1"/>
  <c r="H156" i="1" a="1"/>
  <c r="H156" i="1" s="1"/>
  <c r="V156" i="1" a="1"/>
  <c r="V156" i="1" s="1"/>
  <c r="O156" i="1" a="1"/>
  <c r="O156" i="1" s="1"/>
  <c r="L156" i="1" a="1"/>
  <c r="L156" i="1" s="1"/>
  <c r="I156" i="1" a="1"/>
  <c r="I156" i="1" s="1"/>
  <c r="M156" i="1" a="1"/>
  <c r="M156" i="1" s="1"/>
  <c r="N156" i="1" a="1"/>
  <c r="N156" i="1" s="1"/>
  <c r="T156" i="1" a="1"/>
  <c r="T156" i="1" s="1"/>
  <c r="AA59" i="1"/>
  <c r="U107" i="1"/>
  <c r="U97" i="1"/>
  <c r="N107" i="1"/>
  <c r="N97" i="1"/>
  <c r="Q107" i="1"/>
  <c r="Q97" i="1"/>
  <c r="S97" i="1"/>
  <c r="S107" i="1"/>
  <c r="V107" i="1"/>
  <c r="V97" i="1"/>
  <c r="R97" i="1"/>
  <c r="R107" i="1"/>
  <c r="O97" i="1"/>
  <c r="O107" i="1"/>
  <c r="M107" i="1"/>
  <c r="M97" i="1"/>
  <c r="P97" i="1"/>
  <c r="P107" i="1"/>
  <c r="AD59" i="1"/>
  <c r="L8" i="1" l="1"/>
  <c r="K8" i="1"/>
  <c r="J8" i="1"/>
  <c r="I8" i="1"/>
  <c r="H8" i="1"/>
  <c r="G8" i="1"/>
  <c r="AA8" i="1" l="1"/>
  <c r="G87" i="1"/>
  <c r="G86" i="1"/>
  <c r="K86" i="1"/>
  <c r="K87" i="1"/>
  <c r="H86" i="1"/>
  <c r="H87" i="1"/>
  <c r="L86" i="1"/>
  <c r="L87" i="1"/>
  <c r="I86" i="1"/>
  <c r="I87" i="1"/>
  <c r="J87" i="1"/>
  <c r="J86" i="1"/>
  <c r="D124" i="68"/>
  <c r="D121" i="68"/>
  <c r="D117" i="68"/>
  <c r="D122" i="68"/>
  <c r="D115" i="68"/>
  <c r="D125" i="68"/>
  <c r="D127" i="68"/>
  <c r="D119" i="68"/>
  <c r="D123" i="68"/>
  <c r="D118" i="68"/>
  <c r="D129" i="68"/>
  <c r="D126" i="68"/>
  <c r="D128" i="68"/>
  <c r="D116" i="68"/>
  <c r="D120" i="68"/>
  <c r="D118" i="59"/>
  <c r="D121" i="59"/>
  <c r="H31" i="1"/>
  <c r="D116" i="59"/>
  <c r="D119" i="59"/>
  <c r="D122" i="59"/>
  <c r="D126" i="59"/>
  <c r="D127" i="59"/>
  <c r="D128" i="59"/>
  <c r="D124" i="59"/>
  <c r="D123" i="59"/>
  <c r="D117" i="59"/>
  <c r="D129" i="59"/>
  <c r="D120" i="59"/>
  <c r="D115" i="59"/>
  <c r="D125" i="59"/>
  <c r="C124" i="68"/>
  <c r="C121" i="68"/>
  <c r="C117" i="68"/>
  <c r="C122" i="68"/>
  <c r="C116" i="68"/>
  <c r="C115" i="68"/>
  <c r="C125" i="68"/>
  <c r="C118" i="68"/>
  <c r="C119" i="68"/>
  <c r="C123" i="68"/>
  <c r="C129" i="68"/>
  <c r="C126" i="68"/>
  <c r="C128" i="68"/>
  <c r="C127" i="68"/>
  <c r="C120" i="68"/>
  <c r="C118" i="59"/>
  <c r="C126" i="59"/>
  <c r="C128" i="59"/>
  <c r="C124" i="59"/>
  <c r="C123" i="59"/>
  <c r="C127" i="59"/>
  <c r="C119" i="59"/>
  <c r="C122" i="59"/>
  <c r="C117" i="59"/>
  <c r="C116" i="59"/>
  <c r="C121" i="59"/>
  <c r="C129" i="59"/>
  <c r="C120" i="59"/>
  <c r="C125" i="59"/>
  <c r="C115" i="59"/>
  <c r="G121" i="68"/>
  <c r="G122" i="68"/>
  <c r="G117" i="68"/>
  <c r="G124" i="68"/>
  <c r="G116" i="68"/>
  <c r="G120" i="68"/>
  <c r="G127" i="68"/>
  <c r="G119" i="68"/>
  <c r="G123" i="68"/>
  <c r="G128" i="68"/>
  <c r="G115" i="68"/>
  <c r="G125" i="68"/>
  <c r="G118" i="68"/>
  <c r="G129" i="68"/>
  <c r="G126" i="68"/>
  <c r="G122" i="59"/>
  <c r="G123" i="59"/>
  <c r="G121" i="59"/>
  <c r="G129" i="59"/>
  <c r="G128" i="59"/>
  <c r="G127" i="59"/>
  <c r="G119" i="59"/>
  <c r="G126" i="59"/>
  <c r="G124" i="59"/>
  <c r="G118" i="59"/>
  <c r="G117" i="59"/>
  <c r="G116" i="59"/>
  <c r="K31" i="1"/>
  <c r="G120" i="59"/>
  <c r="G115" i="59"/>
  <c r="G125" i="59"/>
  <c r="H121" i="68"/>
  <c r="H122" i="68"/>
  <c r="H117" i="68"/>
  <c r="H124" i="68"/>
  <c r="H116" i="68"/>
  <c r="H127" i="68"/>
  <c r="H119" i="68"/>
  <c r="H118" i="68"/>
  <c r="H129" i="68"/>
  <c r="H126" i="68"/>
  <c r="H120" i="68"/>
  <c r="H123" i="68"/>
  <c r="H128" i="68"/>
  <c r="H115" i="68"/>
  <c r="H125" i="68"/>
  <c r="H123" i="59"/>
  <c r="H116" i="59"/>
  <c r="H119" i="59"/>
  <c r="H128" i="59"/>
  <c r="H124" i="59"/>
  <c r="H122" i="59"/>
  <c r="H118" i="59"/>
  <c r="H117" i="59"/>
  <c r="H121" i="59"/>
  <c r="H126" i="59"/>
  <c r="H129" i="59"/>
  <c r="H127" i="59"/>
  <c r="H125" i="59"/>
  <c r="H115" i="59"/>
  <c r="H120" i="59"/>
  <c r="E117" i="68"/>
  <c r="E122" i="68"/>
  <c r="E121" i="68"/>
  <c r="E124" i="68"/>
  <c r="E127" i="68"/>
  <c r="E119" i="68"/>
  <c r="E123" i="68"/>
  <c r="E118" i="68"/>
  <c r="E129" i="68"/>
  <c r="E126" i="68"/>
  <c r="E128" i="68"/>
  <c r="E115" i="68"/>
  <c r="E125" i="68"/>
  <c r="E116" i="68"/>
  <c r="E120" i="68"/>
  <c r="E117" i="59"/>
  <c r="E121" i="59"/>
  <c r="E129" i="59"/>
  <c r="E127" i="59"/>
  <c r="E124" i="59"/>
  <c r="E122" i="59"/>
  <c r="E116" i="59"/>
  <c r="E126" i="59"/>
  <c r="E119" i="59"/>
  <c r="E123" i="59"/>
  <c r="E128" i="59"/>
  <c r="I31" i="1"/>
  <c r="E118" i="59"/>
  <c r="E120" i="59"/>
  <c r="E125" i="59"/>
  <c r="E115" i="59"/>
  <c r="F121" i="68"/>
  <c r="F122" i="68"/>
  <c r="F115" i="68"/>
  <c r="F125" i="68"/>
  <c r="F116" i="68"/>
  <c r="F124" i="68"/>
  <c r="F117" i="68"/>
  <c r="F120" i="68"/>
  <c r="F127" i="68"/>
  <c r="F119" i="68"/>
  <c r="F128" i="68"/>
  <c r="F123" i="68"/>
  <c r="F118" i="68"/>
  <c r="F129" i="68"/>
  <c r="F126" i="68"/>
  <c r="F122" i="59"/>
  <c r="F118" i="59"/>
  <c r="F126" i="59"/>
  <c r="F127" i="59"/>
  <c r="F128" i="59"/>
  <c r="F119" i="59"/>
  <c r="J31" i="1"/>
  <c r="F121" i="59"/>
  <c r="F129" i="59"/>
  <c r="F124" i="59"/>
  <c r="F117" i="59"/>
  <c r="F116" i="59"/>
  <c r="F123" i="59"/>
  <c r="F115" i="59"/>
  <c r="F125" i="59"/>
  <c r="F120" i="59"/>
  <c r="D60" i="68" l="1"/>
  <c r="F58" i="59"/>
  <c r="D59" i="59"/>
  <c r="AA33" i="1"/>
  <c r="E60" i="59"/>
  <c r="E61" i="59"/>
  <c r="G61" i="68"/>
  <c r="AA86" i="1"/>
  <c r="L31" i="1"/>
  <c r="AA87" i="1"/>
  <c r="E59" i="59"/>
  <c r="E60" i="68"/>
  <c r="C60" i="59"/>
  <c r="C60" i="68"/>
  <c r="D61" i="68"/>
  <c r="G58" i="59"/>
  <c r="G88" i="1"/>
  <c r="H59" i="59"/>
  <c r="H60" i="68"/>
  <c r="L88" i="1"/>
  <c r="K88" i="1"/>
  <c r="D61" i="59"/>
  <c r="J88" i="1"/>
  <c r="I88" i="1"/>
  <c r="H88" i="1"/>
  <c r="F57" i="68"/>
  <c r="F130" i="68"/>
  <c r="F132" i="68"/>
  <c r="F141" i="68" s="1"/>
  <c r="E130" i="59"/>
  <c r="E57" i="59"/>
  <c r="E132" i="59"/>
  <c r="E141" i="59" s="1"/>
  <c r="G74" i="66" s="1"/>
  <c r="H60" i="59"/>
  <c r="H61" i="68"/>
  <c r="G130" i="68"/>
  <c r="G57" i="68"/>
  <c r="G132" i="68"/>
  <c r="G141" i="68" s="1"/>
  <c r="C132" i="59"/>
  <c r="C141" i="59" s="1"/>
  <c r="E74" i="66" s="1"/>
  <c r="C130" i="59"/>
  <c r="C57" i="59"/>
  <c r="C61" i="59"/>
  <c r="D58" i="59"/>
  <c r="G31" i="1"/>
  <c r="D60" i="59"/>
  <c r="F59" i="59"/>
  <c r="F61" i="68"/>
  <c r="E58" i="59"/>
  <c r="E61" i="68"/>
  <c r="H130" i="59"/>
  <c r="H57" i="59"/>
  <c r="H132" i="59"/>
  <c r="H141" i="59" s="1"/>
  <c r="H61" i="59"/>
  <c r="H132" i="68"/>
  <c r="H141" i="68" s="1"/>
  <c r="H130" i="68"/>
  <c r="H57" i="68"/>
  <c r="G130" i="59"/>
  <c r="G132" i="59"/>
  <c r="G141" i="59" s="1"/>
  <c r="G57" i="59"/>
  <c r="G59" i="59"/>
  <c r="G61" i="59"/>
  <c r="C58" i="59"/>
  <c r="C130" i="68"/>
  <c r="C57" i="68"/>
  <c r="C132" i="68"/>
  <c r="C141" i="68" s="1"/>
  <c r="E78" i="75" s="1"/>
  <c r="D132" i="59"/>
  <c r="D141" i="59" s="1"/>
  <c r="F74" i="66" s="1"/>
  <c r="D57" i="59"/>
  <c r="D130" i="59"/>
  <c r="E57" i="68"/>
  <c r="E130" i="68"/>
  <c r="E132" i="68"/>
  <c r="E141" i="68" s="1"/>
  <c r="G78" i="75" s="1"/>
  <c r="F130" i="59"/>
  <c r="F57" i="59"/>
  <c r="F132" i="59"/>
  <c r="F141" i="59" s="1"/>
  <c r="F61" i="59"/>
  <c r="F60" i="59"/>
  <c r="F60" i="68"/>
  <c r="H58" i="59"/>
  <c r="G60" i="59"/>
  <c r="G60" i="68"/>
  <c r="C59" i="59"/>
  <c r="C61" i="68"/>
  <c r="D132" i="68"/>
  <c r="D141" i="68" s="1"/>
  <c r="F78" i="75" s="1"/>
  <c r="D130" i="68"/>
  <c r="D57" i="68"/>
  <c r="AA134" i="1"/>
  <c r="AA133" i="1"/>
  <c r="AA131" i="1"/>
  <c r="AA31" i="1" l="1"/>
  <c r="AA88" i="1"/>
  <c r="D64" i="68"/>
  <c r="D138" i="68" s="1"/>
  <c r="D62" i="68"/>
  <c r="F64" i="59"/>
  <c r="F138" i="59" s="1"/>
  <c r="F142" i="59" s="1"/>
  <c r="F62" i="59"/>
  <c r="E64" i="68"/>
  <c r="E138" i="68" s="1"/>
  <c r="E62" i="68"/>
  <c r="C62" i="68"/>
  <c r="C64" i="68"/>
  <c r="C138" i="68" s="1"/>
  <c r="H64" i="68"/>
  <c r="H138" i="68" s="1"/>
  <c r="H142" i="68" s="1"/>
  <c r="H62" i="68"/>
  <c r="C64" i="59"/>
  <c r="C138" i="59" s="1"/>
  <c r="C62" i="59"/>
  <c r="G64" i="68"/>
  <c r="G138" i="68" s="1"/>
  <c r="G142" i="68" s="1"/>
  <c r="G62" i="68"/>
  <c r="D62" i="59"/>
  <c r="D64" i="59"/>
  <c r="D138" i="59" s="1"/>
  <c r="G64" i="59"/>
  <c r="G138" i="59" s="1"/>
  <c r="G142" i="59" s="1"/>
  <c r="G62" i="59"/>
  <c r="H64" i="59"/>
  <c r="H138" i="59" s="1"/>
  <c r="H142" i="59" s="1"/>
  <c r="H62" i="59"/>
  <c r="E62" i="59"/>
  <c r="E64" i="59"/>
  <c r="E138" i="59" s="1"/>
  <c r="F64" i="68"/>
  <c r="F138" i="68" s="1"/>
  <c r="F142" i="68" s="1"/>
  <c r="F62" i="68"/>
  <c r="I141" i="1"/>
  <c r="J141" i="1"/>
  <c r="K141" i="1"/>
  <c r="H141" i="1"/>
  <c r="G141" i="1"/>
  <c r="L141" i="1"/>
  <c r="D142" i="68" l="1"/>
  <c r="D151" i="68" s="1"/>
  <c r="F75" i="75"/>
  <c r="F80" i="75" s="1"/>
  <c r="F117" i="75" s="1"/>
  <c r="D142" i="59"/>
  <c r="H118" i="1" s="1"/>
  <c r="F71" i="66"/>
  <c r="F76" i="66" s="1"/>
  <c r="F113" i="66" s="1"/>
  <c r="C142" i="68"/>
  <c r="G121" i="1" s="1"/>
  <c r="E75" i="75"/>
  <c r="E80" i="75" s="1"/>
  <c r="E117" i="75" s="1"/>
  <c r="E142" i="59"/>
  <c r="I118" i="1" s="1"/>
  <c r="G71" i="66"/>
  <c r="G76" i="66" s="1"/>
  <c r="G113" i="66" s="1"/>
  <c r="E142" i="68"/>
  <c r="I121" i="1" s="1"/>
  <c r="G75" i="75"/>
  <c r="G80" i="75" s="1"/>
  <c r="G117" i="75" s="1"/>
  <c r="C142" i="59"/>
  <c r="G118" i="1" s="1"/>
  <c r="E71" i="66"/>
  <c r="E76" i="66" s="1"/>
  <c r="E113" i="66" s="1"/>
  <c r="J121" i="1"/>
  <c r="F151" i="68"/>
  <c r="J118" i="1"/>
  <c r="F151" i="59"/>
  <c r="J35" i="1" s="1"/>
  <c r="L118" i="1"/>
  <c r="H151" i="59"/>
  <c r="K118" i="1"/>
  <c r="G151" i="59"/>
  <c r="K35" i="1" s="1"/>
  <c r="K121" i="1"/>
  <c r="G151" i="68"/>
  <c r="L121" i="1"/>
  <c r="H151" i="68"/>
  <c r="AA141" i="1"/>
  <c r="C151" i="68" l="1"/>
  <c r="H121" i="1"/>
  <c r="AA121" i="1" s="1"/>
  <c r="E151" i="68"/>
  <c r="D151" i="59"/>
  <c r="H35" i="1" s="1"/>
  <c r="E134" i="75"/>
  <c r="E126" i="75"/>
  <c r="E151" i="59"/>
  <c r="I35" i="1" s="1"/>
  <c r="G134" i="75"/>
  <c r="G126" i="75"/>
  <c r="F134" i="75"/>
  <c r="F126" i="75"/>
  <c r="C151" i="59"/>
  <c r="G35" i="1" s="1"/>
  <c r="AA118" i="1"/>
  <c r="AA35" i="1" l="1"/>
  <c r="K12" i="1"/>
  <c r="J12" i="1"/>
  <c r="I12" i="1"/>
  <c r="H12" i="1"/>
  <c r="K67" i="39" l="1"/>
  <c r="O67" i="39"/>
  <c r="O68" i="39" s="1"/>
  <c r="N67" i="39"/>
  <c r="F67" i="39"/>
  <c r="F68" i="39" s="1"/>
  <c r="B67" i="39"/>
  <c r="J67" i="39"/>
  <c r="I67" i="39"/>
  <c r="N68" i="39" l="1"/>
  <c r="N69" i="39" s="1"/>
  <c r="N70" i="39"/>
  <c r="N71" i="39" s="1"/>
  <c r="N72" i="39" s="1"/>
  <c r="N73" i="39" s="1"/>
  <c r="N74" i="39" s="1"/>
  <c r="N75" i="39" s="1"/>
  <c r="N76" i="39" s="1"/>
  <c r="N77" i="39" s="1"/>
  <c r="N78" i="39" s="1"/>
  <c r="N79" i="39" s="1"/>
  <c r="N80" i="39" s="1"/>
  <c r="N81" i="39" s="1"/>
  <c r="N82" i="39" s="1"/>
  <c r="B68" i="39"/>
  <c r="B69" i="39" s="1"/>
  <c r="B70" i="39" s="1"/>
  <c r="B71" i="39" s="1"/>
  <c r="B72" i="39" s="1"/>
  <c r="B73" i="39" s="1"/>
  <c r="B74" i="39" s="1"/>
  <c r="B75" i="39" s="1"/>
  <c r="B76" i="39" s="1"/>
  <c r="B77" i="39" s="1"/>
  <c r="B78" i="39" s="1"/>
  <c r="B79" i="39" s="1"/>
  <c r="B80" i="39" s="1"/>
  <c r="B81" i="39" s="1"/>
  <c r="B82" i="39" s="1"/>
  <c r="K68" i="39"/>
  <c r="K69" i="39" s="1"/>
  <c r="K70" i="39" s="1"/>
  <c r="K71" i="39" s="1"/>
  <c r="K72" i="39" s="1"/>
  <c r="K73" i="39" s="1"/>
  <c r="K74" i="39" s="1"/>
  <c r="K75" i="39" s="1"/>
  <c r="K76" i="39" s="1"/>
  <c r="K77" i="39" s="1"/>
  <c r="K78" i="39" s="1"/>
  <c r="K79" i="39" s="1"/>
  <c r="K80" i="39" s="1"/>
  <c r="K81" i="39" s="1"/>
  <c r="K82" i="39" s="1"/>
  <c r="F69" i="39"/>
  <c r="F70" i="39" s="1"/>
  <c r="F71" i="39" s="1"/>
  <c r="F72" i="39" s="1"/>
  <c r="F73" i="39" s="1"/>
  <c r="F74" i="39" s="1"/>
  <c r="F75" i="39" s="1"/>
  <c r="F76" i="39" s="1"/>
  <c r="F77" i="39" s="1"/>
  <c r="F78" i="39" s="1"/>
  <c r="F79" i="39" s="1"/>
  <c r="F80" i="39" s="1"/>
  <c r="F81" i="39" s="1"/>
  <c r="F82" i="39" s="1"/>
  <c r="J68" i="39"/>
  <c r="J69" i="39" s="1"/>
  <c r="J70" i="39" s="1"/>
  <c r="J71" i="39" s="1"/>
  <c r="J72" i="39" s="1"/>
  <c r="J73" i="39" s="1"/>
  <c r="J74" i="39" s="1"/>
  <c r="J75" i="39" s="1"/>
  <c r="J76" i="39" s="1"/>
  <c r="J77" i="39" s="1"/>
  <c r="J78" i="39" s="1"/>
  <c r="J79" i="39" s="1"/>
  <c r="J80" i="39" s="1"/>
  <c r="J81" i="39" s="1"/>
  <c r="J82" i="39" s="1"/>
  <c r="O69" i="39"/>
  <c r="O70" i="39" s="1"/>
  <c r="O71" i="39" s="1"/>
  <c r="O72" i="39" s="1"/>
  <c r="O73" i="39" s="1"/>
  <c r="O74" i="39" s="1"/>
  <c r="O75" i="39" s="1"/>
  <c r="O76" i="39" s="1"/>
  <c r="O77" i="39" s="1"/>
  <c r="O78" i="39" s="1"/>
  <c r="O79" i="39" s="1"/>
  <c r="O80" i="39" s="1"/>
  <c r="O81" i="39" s="1"/>
  <c r="O82" i="39" s="1"/>
  <c r="I68" i="39"/>
  <c r="I69" i="39" s="1"/>
  <c r="I70" i="39" s="1"/>
  <c r="I71" i="39" s="1"/>
  <c r="I72" i="39" s="1"/>
  <c r="I73" i="39" s="1"/>
  <c r="I74" i="39" s="1"/>
  <c r="I75" i="39" s="1"/>
  <c r="I76" i="39" s="1"/>
  <c r="I77" i="39" s="1"/>
  <c r="I78" i="39" s="1"/>
  <c r="I79" i="39" s="1"/>
  <c r="I80" i="39" s="1"/>
  <c r="I81" i="39" s="1"/>
  <c r="I82" i="39" s="1"/>
  <c r="B61" i="39"/>
  <c r="K56" i="39"/>
  <c r="K58" i="39" s="1"/>
  <c r="K59" i="39" s="1"/>
  <c r="L67" i="39"/>
  <c r="O56" i="39"/>
  <c r="O58" i="39" s="1"/>
  <c r="O59" i="39" s="1"/>
  <c r="M67" i="39"/>
  <c r="N56" i="39"/>
  <c r="N58" i="39" s="1"/>
  <c r="N59" i="39" s="1"/>
  <c r="E67" i="39"/>
  <c r="C67" i="39"/>
  <c r="D67" i="39"/>
  <c r="G67" i="39"/>
  <c r="I56" i="39"/>
  <c r="I58" i="39" s="1"/>
  <c r="I59" i="39" s="1"/>
  <c r="H67" i="39"/>
  <c r="J56" i="39"/>
  <c r="J58" i="39" s="1"/>
  <c r="J59" i="39" s="1"/>
  <c r="B56" i="39"/>
  <c r="B58" i="39" s="1"/>
  <c r="B59" i="39" s="1"/>
  <c r="F56" i="39"/>
  <c r="F58" i="39" s="1"/>
  <c r="F59" i="39" s="1"/>
  <c r="D68" i="39" l="1"/>
  <c r="C68" i="39"/>
  <c r="C69" i="39" s="1"/>
  <c r="C70" i="39" s="1"/>
  <c r="C71" i="39" s="1"/>
  <c r="C72" i="39" s="1"/>
  <c r="C73" i="39" s="1"/>
  <c r="C74" i="39" s="1"/>
  <c r="C75" i="39" s="1"/>
  <c r="C76" i="39" s="1"/>
  <c r="C77" i="39" s="1"/>
  <c r="C78" i="39" s="1"/>
  <c r="C79" i="39" s="1"/>
  <c r="C80" i="39" s="1"/>
  <c r="C81" i="39" s="1"/>
  <c r="C82" i="39" s="1"/>
  <c r="L68" i="39"/>
  <c r="L69" i="39" s="1"/>
  <c r="D69" i="39"/>
  <c r="D70" i="39" s="1"/>
  <c r="D71" i="39" s="1"/>
  <c r="D72" i="39" s="1"/>
  <c r="D73" i="39" s="1"/>
  <c r="D74" i="39" s="1"/>
  <c r="D75" i="39" s="1"/>
  <c r="D76" i="39" s="1"/>
  <c r="D77" i="39" s="1"/>
  <c r="D78" i="39" s="1"/>
  <c r="D79" i="39" s="1"/>
  <c r="D80" i="39" s="1"/>
  <c r="D81" i="39" s="1"/>
  <c r="D82" i="39" s="1"/>
  <c r="L70" i="39"/>
  <c r="L71" i="39" s="1"/>
  <c r="L72" i="39" s="1"/>
  <c r="L73" i="39" s="1"/>
  <c r="L74" i="39" s="1"/>
  <c r="L75" i="39" s="1"/>
  <c r="L76" i="39" s="1"/>
  <c r="L77" i="39" s="1"/>
  <c r="L78" i="39" s="1"/>
  <c r="L79" i="39" s="1"/>
  <c r="L80" i="39" s="1"/>
  <c r="L81" i="39" s="1"/>
  <c r="L82" i="39" s="1"/>
  <c r="M68" i="39"/>
  <c r="M69" i="39" s="1"/>
  <c r="M70" i="39" s="1"/>
  <c r="M71" i="39" s="1"/>
  <c r="M72" i="39" s="1"/>
  <c r="M73" i="39" s="1"/>
  <c r="M74" i="39" s="1"/>
  <c r="M75" i="39" s="1"/>
  <c r="M76" i="39" s="1"/>
  <c r="M77" i="39" s="1"/>
  <c r="M78" i="39" s="1"/>
  <c r="M79" i="39" s="1"/>
  <c r="M80" i="39" s="1"/>
  <c r="M81" i="39" s="1"/>
  <c r="M82" i="39" s="1"/>
  <c r="G68" i="39"/>
  <c r="G69" i="39" s="1"/>
  <c r="E68" i="39"/>
  <c r="E69" i="39" s="1"/>
  <c r="E70" i="39" s="1"/>
  <c r="E71" i="39" s="1"/>
  <c r="E72" i="39" s="1"/>
  <c r="E73" i="39" s="1"/>
  <c r="E74" i="39" s="1"/>
  <c r="E75" i="39" s="1"/>
  <c r="E76" i="39" s="1"/>
  <c r="E77" i="39" s="1"/>
  <c r="E78" i="39" s="1"/>
  <c r="E79" i="39" s="1"/>
  <c r="E80" i="39" s="1"/>
  <c r="E81" i="39" s="1"/>
  <c r="E82" i="39" s="1"/>
  <c r="H68" i="39"/>
  <c r="P51" i="1" a="1"/>
  <c r="P51" i="1" s="1"/>
  <c r="P76" i="1" s="1"/>
  <c r="K51" i="1" a="1"/>
  <c r="K51" i="1" s="1"/>
  <c r="K76" i="1" s="1"/>
  <c r="S51" i="1" a="1"/>
  <c r="S51" i="1" s="1"/>
  <c r="S76" i="1" s="1"/>
  <c r="V51" i="1" a="1"/>
  <c r="V51" i="1" s="1"/>
  <c r="V76" i="1" s="1"/>
  <c r="L51" i="1" a="1"/>
  <c r="L51" i="1" s="1"/>
  <c r="L76" i="1" s="1"/>
  <c r="J51" i="1" a="1"/>
  <c r="J51" i="1" s="1"/>
  <c r="J76" i="1" s="1"/>
  <c r="T51" i="1" a="1"/>
  <c r="T51" i="1" s="1"/>
  <c r="T76" i="1" s="1"/>
  <c r="G51" i="1" a="1"/>
  <c r="G51" i="1" s="1"/>
  <c r="G76" i="1" s="1"/>
  <c r="R51" i="1" a="1"/>
  <c r="R51" i="1" s="1"/>
  <c r="R76" i="1" s="1"/>
  <c r="O51" i="1" a="1"/>
  <c r="O51" i="1" s="1"/>
  <c r="O76" i="1" s="1"/>
  <c r="M51" i="1" a="1"/>
  <c r="M51" i="1" s="1"/>
  <c r="M76" i="1" s="1"/>
  <c r="Q51" i="1" a="1"/>
  <c r="Q51" i="1" s="1"/>
  <c r="Q76" i="1" s="1"/>
  <c r="N51" i="1" a="1"/>
  <c r="N51" i="1" s="1"/>
  <c r="N76" i="1" s="1"/>
  <c r="U51" i="1" a="1"/>
  <c r="U51" i="1" s="1"/>
  <c r="U76" i="1" s="1"/>
  <c r="H51" i="1" a="1"/>
  <c r="H51" i="1" s="1"/>
  <c r="H76" i="1" s="1"/>
  <c r="I51" i="1" a="1"/>
  <c r="I51" i="1" s="1"/>
  <c r="I76" i="1" s="1"/>
  <c r="C62" i="39"/>
  <c r="M56" i="39"/>
  <c r="M58" i="39" s="1"/>
  <c r="M59" i="39" s="1"/>
  <c r="L56" i="39"/>
  <c r="L58" i="39" s="1"/>
  <c r="L59" i="39" s="1"/>
  <c r="D56" i="39"/>
  <c r="D58" i="39" s="1"/>
  <c r="D59" i="39" s="1"/>
  <c r="H56" i="39"/>
  <c r="H58" i="39" s="1"/>
  <c r="H59" i="39" s="1"/>
  <c r="G56" i="39"/>
  <c r="G58" i="39" s="1"/>
  <c r="G59" i="39" s="1"/>
  <c r="E56" i="39"/>
  <c r="E58" i="39" s="1"/>
  <c r="E59" i="39" s="1"/>
  <c r="C56" i="39"/>
  <c r="C58" i="39" s="1"/>
  <c r="C59" i="39" s="1"/>
  <c r="G70" i="39" l="1"/>
  <c r="G71" i="39" s="1"/>
  <c r="G72" i="39" s="1"/>
  <c r="G73" i="39" s="1"/>
  <c r="G74" i="39" s="1"/>
  <c r="G75" i="39" s="1"/>
  <c r="G76" i="39" s="1"/>
  <c r="G77" i="39" s="1"/>
  <c r="G78" i="39" s="1"/>
  <c r="G79" i="39" s="1"/>
  <c r="G80" i="39" s="1"/>
  <c r="G81" i="39" s="1"/>
  <c r="G82" i="39" s="1"/>
  <c r="H69" i="39"/>
  <c r="H70" i="39" s="1"/>
  <c r="H71" i="39" s="1"/>
  <c r="H72" i="39" s="1"/>
  <c r="H73" i="39" s="1"/>
  <c r="H74" i="39" s="1"/>
  <c r="H75" i="39" s="1"/>
  <c r="H76" i="39" s="1"/>
  <c r="H77" i="39" s="1"/>
  <c r="H78" i="39" s="1"/>
  <c r="H79" i="39" s="1"/>
  <c r="H80" i="39" s="1"/>
  <c r="H81" i="39" s="1"/>
  <c r="H82" i="39" s="1"/>
  <c r="AA51" i="1"/>
  <c r="B130" i="1"/>
  <c r="R154" i="1" l="1" a="1"/>
  <c r="R154" i="1" s="1"/>
  <c r="P154" i="1" a="1"/>
  <c r="P154" i="1" s="1"/>
  <c r="T154" i="1" a="1"/>
  <c r="T154" i="1" s="1"/>
  <c r="M154" i="1" a="1"/>
  <c r="M154" i="1" s="1"/>
  <c r="G154" i="1" a="1"/>
  <c r="G154" i="1" s="1"/>
  <c r="K154" i="1" a="1"/>
  <c r="K154" i="1" s="1"/>
  <c r="N154" i="1" a="1"/>
  <c r="N154" i="1" s="1"/>
  <c r="H154" i="1" a="1"/>
  <c r="H154" i="1" s="1"/>
  <c r="V154" i="1" a="1"/>
  <c r="V154" i="1" s="1"/>
  <c r="J154" i="1" a="1"/>
  <c r="J154" i="1" s="1"/>
  <c r="Q154" i="1" a="1"/>
  <c r="Q154" i="1" s="1"/>
  <c r="Q48" i="1" s="1"/>
  <c r="I154" i="1" a="1"/>
  <c r="I154" i="1" s="1"/>
  <c r="U154" i="1" a="1"/>
  <c r="U154" i="1" s="1"/>
  <c r="O154" i="1" a="1"/>
  <c r="O154" i="1" s="1"/>
  <c r="L154" i="1" a="1"/>
  <c r="L154" i="1" s="1"/>
  <c r="S154" i="1" a="1"/>
  <c r="S154" i="1" s="1"/>
  <c r="S48" i="1" s="1"/>
  <c r="AD51" i="1"/>
  <c r="N48" i="1" l="1"/>
  <c r="J108" i="1"/>
  <c r="O48" i="1"/>
  <c r="U48" i="1"/>
  <c r="V48" i="1"/>
  <c r="R48" i="1"/>
  <c r="P48" i="1"/>
  <c r="M48" i="1"/>
  <c r="S158" i="1"/>
  <c r="H158" i="1"/>
  <c r="L158" i="1"/>
  <c r="I158" i="1"/>
  <c r="N158" i="1"/>
  <c r="K158" i="1"/>
  <c r="G158" i="1"/>
  <c r="M158" i="1"/>
  <c r="U158" i="1"/>
  <c r="T158" i="1"/>
  <c r="Q158" i="1"/>
  <c r="P158" i="1"/>
  <c r="O158" i="1"/>
  <c r="J18" i="1"/>
  <c r="J158" i="1"/>
  <c r="V158" i="1"/>
  <c r="R158" i="1"/>
  <c r="J98" i="1"/>
  <c r="AA53" i="1" l="1"/>
  <c r="AA76" i="1"/>
  <c r="U18" i="1"/>
  <c r="U68" i="1" s="1"/>
  <c r="U171" i="1" s="1"/>
  <c r="U108" i="1"/>
  <c r="U98" i="1"/>
  <c r="N18" i="1"/>
  <c r="N108" i="1"/>
  <c r="N98" i="1"/>
  <c r="O108" i="1"/>
  <c r="O18" i="1"/>
  <c r="O98" i="1"/>
  <c r="Q98" i="1"/>
  <c r="Q108" i="1"/>
  <c r="Q18" i="1"/>
  <c r="Q68" i="1" s="1"/>
  <c r="Q171" i="1" s="1"/>
  <c r="V18" i="1"/>
  <c r="V108" i="1"/>
  <c r="V98" i="1"/>
  <c r="I108" i="1"/>
  <c r="G30" i="75" s="1"/>
  <c r="G46" i="75" s="1"/>
  <c r="I18" i="1"/>
  <c r="I98" i="1"/>
  <c r="G28" i="66" s="1"/>
  <c r="L18" i="1"/>
  <c r="L69" i="1" s="1"/>
  <c r="L108" i="1"/>
  <c r="L98" i="1"/>
  <c r="G98" i="1"/>
  <c r="E28" i="66" s="1"/>
  <c r="G18" i="1"/>
  <c r="G108" i="1"/>
  <c r="E30" i="75" s="1"/>
  <c r="E46" i="75" s="1"/>
  <c r="AA21" i="1"/>
  <c r="AA98" i="1" s="1"/>
  <c r="S18" i="1"/>
  <c r="S69" i="1" s="1"/>
  <c r="S108" i="1"/>
  <c r="S98" i="1"/>
  <c r="R18" i="1"/>
  <c r="R98" i="1"/>
  <c r="R108" i="1"/>
  <c r="P18" i="1"/>
  <c r="P98" i="1"/>
  <c r="P108" i="1"/>
  <c r="M18" i="1"/>
  <c r="M108" i="1"/>
  <c r="M98" i="1"/>
  <c r="T18" i="1"/>
  <c r="T108" i="1"/>
  <c r="T98" i="1"/>
  <c r="K18" i="1"/>
  <c r="K108" i="1"/>
  <c r="K98" i="1"/>
  <c r="H108" i="1"/>
  <c r="F30" i="75" s="1"/>
  <c r="F46" i="75" s="1"/>
  <c r="H18" i="1"/>
  <c r="H98" i="1"/>
  <c r="F28" i="66" s="1"/>
  <c r="U69" i="1" l="1"/>
  <c r="Q69" i="1"/>
  <c r="O69" i="1"/>
  <c r="AA18" i="1"/>
  <c r="P69" i="1"/>
  <c r="P68" i="1"/>
  <c r="P171" i="1" s="1"/>
  <c r="M69" i="1"/>
  <c r="AA108" i="1"/>
  <c r="S73" i="1"/>
  <c r="R69" i="1"/>
  <c r="V69" i="1"/>
  <c r="V68" i="1"/>
  <c r="V171" i="1" s="1"/>
  <c r="T69" i="1"/>
  <c r="N69" i="1"/>
  <c r="O105" i="1"/>
  <c r="O120" i="1" s="1"/>
  <c r="O96" i="1"/>
  <c r="O95" i="1"/>
  <c r="O106" i="1"/>
  <c r="O73" i="1"/>
  <c r="O68" i="1"/>
  <c r="O171" i="1" s="1"/>
  <c r="U106" i="1"/>
  <c r="U96" i="1"/>
  <c r="U95" i="1"/>
  <c r="U105" i="1"/>
  <c r="U73" i="1"/>
  <c r="Q96" i="1"/>
  <c r="Q95" i="1"/>
  <c r="Q106" i="1"/>
  <c r="Q73" i="1"/>
  <c r="Q105" i="1"/>
  <c r="Q77" i="1" l="1"/>
  <c r="U77" i="1"/>
  <c r="S96" i="1"/>
  <c r="O109" i="1"/>
  <c r="S68" i="1"/>
  <c r="S105" i="1"/>
  <c r="S120" i="1" s="1"/>
  <c r="S106" i="1"/>
  <c r="V73" i="1"/>
  <c r="V77" i="1" s="1"/>
  <c r="V95" i="1"/>
  <c r="V96" i="1"/>
  <c r="V105" i="1"/>
  <c r="V106" i="1"/>
  <c r="M68" i="1"/>
  <c r="M171" i="1" s="1"/>
  <c r="M96" i="1"/>
  <c r="M73" i="1"/>
  <c r="M105" i="1"/>
  <c r="M95" i="1"/>
  <c r="M106" i="1"/>
  <c r="S95" i="1"/>
  <c r="N105" i="1"/>
  <c r="N106" i="1"/>
  <c r="N73" i="1"/>
  <c r="N95" i="1"/>
  <c r="N96" i="1"/>
  <c r="N68" i="1"/>
  <c r="N171" i="1" s="1"/>
  <c r="R96" i="1"/>
  <c r="R106" i="1"/>
  <c r="R95" i="1"/>
  <c r="R105" i="1"/>
  <c r="R73" i="1"/>
  <c r="O77" i="1"/>
  <c r="R68" i="1"/>
  <c r="R171" i="1" s="1"/>
  <c r="P105" i="1"/>
  <c r="P120" i="1" s="1"/>
  <c r="P73" i="1"/>
  <c r="P77" i="1" s="1"/>
  <c r="P96" i="1"/>
  <c r="P106" i="1"/>
  <c r="P95" i="1"/>
  <c r="Q99" i="1"/>
  <c r="Q117" i="1"/>
  <c r="O99" i="1"/>
  <c r="O117" i="1"/>
  <c r="U109" i="1"/>
  <c r="U120" i="1"/>
  <c r="Q109" i="1"/>
  <c r="Q120" i="1"/>
  <c r="U117" i="1"/>
  <c r="U99" i="1"/>
  <c r="G60" i="1"/>
  <c r="H60" i="1"/>
  <c r="I60" i="1"/>
  <c r="J60" i="1"/>
  <c r="K60" i="1"/>
  <c r="S77" i="1" l="1"/>
  <c r="S171" i="1"/>
  <c r="S99" i="1"/>
  <c r="M77" i="1"/>
  <c r="S109" i="1"/>
  <c r="S117" i="1"/>
  <c r="S122" i="1" s="1"/>
  <c r="S115" i="1" s="1"/>
  <c r="M109" i="1"/>
  <c r="M120" i="1"/>
  <c r="R99" i="1"/>
  <c r="R117" i="1"/>
  <c r="N120" i="1"/>
  <c r="N109" i="1"/>
  <c r="R77" i="1"/>
  <c r="V109" i="1"/>
  <c r="V120" i="1"/>
  <c r="R120" i="1"/>
  <c r="R109" i="1"/>
  <c r="P117" i="1"/>
  <c r="P122" i="1" s="1"/>
  <c r="P115" i="1" s="1"/>
  <c r="P99" i="1"/>
  <c r="N99" i="1"/>
  <c r="N117" i="1"/>
  <c r="P109" i="1"/>
  <c r="N77" i="1"/>
  <c r="M117" i="1"/>
  <c r="M99" i="1"/>
  <c r="V99" i="1"/>
  <c r="V117" i="1"/>
  <c r="O122" i="1"/>
  <c r="O115" i="1" s="1"/>
  <c r="Q122" i="1"/>
  <c r="Q115" i="1" s="1"/>
  <c r="U122" i="1"/>
  <c r="U115" i="1" s="1"/>
  <c r="M122" i="1" l="1"/>
  <c r="M115" i="1" s="1"/>
  <c r="N122" i="1"/>
  <c r="N115" i="1" s="1"/>
  <c r="V122" i="1"/>
  <c r="V115" i="1" s="1"/>
  <c r="R122" i="1"/>
  <c r="R115" i="1" s="1"/>
  <c r="G7" i="34"/>
  <c r="L45" i="1" s="1"/>
  <c r="F7" i="34"/>
  <c r="K45" i="1" s="1"/>
  <c r="E7" i="34"/>
  <c r="J45" i="1" s="1"/>
  <c r="D7" i="34"/>
  <c r="I45" i="1" s="1"/>
  <c r="C7" i="34"/>
  <c r="H45" i="1" s="1"/>
  <c r="B7" i="34"/>
  <c r="G45" i="1" s="1"/>
  <c r="AD45" i="1" l="1"/>
  <c r="AA45" i="1"/>
  <c r="AA46" i="1"/>
  <c r="G7" i="32" l="1"/>
  <c r="F7" i="32"/>
  <c r="K44" i="1" s="1"/>
  <c r="E7" i="32"/>
  <c r="J44" i="1" s="1"/>
  <c r="D7" i="32"/>
  <c r="I44" i="1" s="1"/>
  <c r="C7" i="32"/>
  <c r="H44" i="1" s="1"/>
  <c r="K13" i="1"/>
  <c r="J13" i="1"/>
  <c r="I13" i="1"/>
  <c r="H13" i="1"/>
  <c r="G13" i="1"/>
  <c r="G12" i="1"/>
  <c r="AA12" i="1" s="1"/>
  <c r="AA13" i="1" l="1"/>
  <c r="AA44" i="1"/>
  <c r="I10" i="1"/>
  <c r="H10" i="1"/>
  <c r="AD13" i="1"/>
  <c r="AD12" i="1"/>
  <c r="G44" i="66"/>
  <c r="E44" i="66"/>
  <c r="F44" i="66"/>
  <c r="K10" i="1"/>
  <c r="AD44" i="1"/>
  <c r="I42" i="1"/>
  <c r="J42" i="1"/>
  <c r="K42" i="1"/>
  <c r="G42" i="1"/>
  <c r="H42" i="1"/>
  <c r="L42" i="1"/>
  <c r="AA16" i="1" l="1"/>
  <c r="AA42" i="1"/>
  <c r="J10" i="1"/>
  <c r="G10" i="1"/>
  <c r="J69" i="1"/>
  <c r="I69" i="1"/>
  <c r="K69" i="1"/>
  <c r="H69" i="1"/>
  <c r="AA72" i="1"/>
  <c r="AA70" i="1"/>
  <c r="J107" i="1" l="1"/>
  <c r="K97" i="1"/>
  <c r="L97" i="1"/>
  <c r="AA57" i="1"/>
  <c r="K107" i="1"/>
  <c r="I107" i="1"/>
  <c r="G29" i="75" s="1"/>
  <c r="I97" i="1"/>
  <c r="J97" i="1"/>
  <c r="H107" i="1"/>
  <c r="F29" i="75" s="1"/>
  <c r="H97" i="1"/>
  <c r="AA10" i="1"/>
  <c r="K48" i="1"/>
  <c r="G69" i="1"/>
  <c r="AA69" i="1" s="1"/>
  <c r="AA58" i="1"/>
  <c r="J48" i="1"/>
  <c r="L48" i="1"/>
  <c r="H48" i="1"/>
  <c r="I48" i="1"/>
  <c r="AA71" i="1"/>
  <c r="G45" i="75" l="1"/>
  <c r="G62" i="75" s="1"/>
  <c r="G27" i="66"/>
  <c r="F45" i="75"/>
  <c r="F62" i="75" s="1"/>
  <c r="F27" i="66"/>
  <c r="L105" i="1"/>
  <c r="K105" i="1"/>
  <c r="I95" i="1"/>
  <c r="J106" i="1"/>
  <c r="J96" i="1"/>
  <c r="J95" i="1"/>
  <c r="G107" i="1"/>
  <c r="E29" i="75" s="1"/>
  <c r="G97" i="1"/>
  <c r="J105" i="1"/>
  <c r="J73" i="1"/>
  <c r="J68" i="1"/>
  <c r="J171" i="1" s="1"/>
  <c r="H106" i="1"/>
  <c r="F28" i="75" s="1"/>
  <c r="G48" i="1"/>
  <c r="J77" i="1" l="1"/>
  <c r="L73" i="1"/>
  <c r="L68" i="1"/>
  <c r="L171" i="1" s="1"/>
  <c r="I68" i="1"/>
  <c r="I171" i="1" s="1"/>
  <c r="L95" i="1"/>
  <c r="L117" i="1" s="1"/>
  <c r="E27" i="66"/>
  <c r="E45" i="75"/>
  <c r="E62" i="75" s="1"/>
  <c r="K73" i="1"/>
  <c r="K68" i="1"/>
  <c r="K171" i="1" s="1"/>
  <c r="K95" i="1"/>
  <c r="K117" i="1" s="1"/>
  <c r="K120" i="1"/>
  <c r="I117" i="1"/>
  <c r="J109" i="1"/>
  <c r="J120" i="1"/>
  <c r="J99" i="1"/>
  <c r="J117" i="1"/>
  <c r="L120" i="1"/>
  <c r="L96" i="1"/>
  <c r="L106" i="1"/>
  <c r="L107" i="1"/>
  <c r="I73" i="1"/>
  <c r="I96" i="1"/>
  <c r="I106" i="1"/>
  <c r="G28" i="75" s="1"/>
  <c r="I105" i="1"/>
  <c r="K96" i="1"/>
  <c r="K106" i="1"/>
  <c r="K109" i="1" s="1"/>
  <c r="H105" i="1"/>
  <c r="H109" i="1" s="1"/>
  <c r="H95" i="1"/>
  <c r="H96" i="1"/>
  <c r="H73" i="1"/>
  <c r="H68" i="1"/>
  <c r="H171" i="1" s="1"/>
  <c r="AA75" i="1"/>
  <c r="G96" i="1"/>
  <c r="L77" i="1" l="1"/>
  <c r="K99" i="1"/>
  <c r="I77" i="1"/>
  <c r="L99" i="1"/>
  <c r="F26" i="66"/>
  <c r="F25" i="66" s="1"/>
  <c r="L122" i="1"/>
  <c r="L115" i="1" s="1"/>
  <c r="I99" i="1"/>
  <c r="G26" i="66"/>
  <c r="G25" i="66" s="1"/>
  <c r="J122" i="1"/>
  <c r="J115" i="1" s="1"/>
  <c r="K77" i="1"/>
  <c r="G95" i="1"/>
  <c r="G117" i="1" s="1"/>
  <c r="K122" i="1"/>
  <c r="K115" i="1" s="1"/>
  <c r="H120" i="1"/>
  <c r="H77" i="1"/>
  <c r="L109" i="1"/>
  <c r="G105" i="1"/>
  <c r="H117" i="1"/>
  <c r="H99" i="1"/>
  <c r="I109" i="1"/>
  <c r="I120" i="1"/>
  <c r="G106" i="1"/>
  <c r="E28" i="75" s="1"/>
  <c r="G68" i="1"/>
  <c r="G73" i="1"/>
  <c r="G99" i="1" l="1"/>
  <c r="E26" i="66"/>
  <c r="E25" i="66" s="1"/>
  <c r="F44" i="75"/>
  <c r="F27" i="75"/>
  <c r="F64" i="75"/>
  <c r="G27" i="75"/>
  <c r="G44" i="75"/>
  <c r="G64" i="75"/>
  <c r="H122" i="1"/>
  <c r="H115" i="1" s="1"/>
  <c r="I122" i="1"/>
  <c r="I115" i="1" s="1"/>
  <c r="G109" i="1"/>
  <c r="G120" i="1"/>
  <c r="AA74" i="1"/>
  <c r="G77" i="1"/>
  <c r="G43" i="75" l="1"/>
  <c r="G61" i="75"/>
  <c r="G60" i="75" s="1"/>
  <c r="G116" i="75" s="1"/>
  <c r="G65" i="75"/>
  <c r="E44" i="75"/>
  <c r="E27" i="75"/>
  <c r="E64" i="75"/>
  <c r="F65" i="75"/>
  <c r="F43" i="75"/>
  <c r="F61" i="75"/>
  <c r="F60" i="75" s="1"/>
  <c r="F116" i="75" s="1"/>
  <c r="G122" i="1"/>
  <c r="G115" i="1" s="1"/>
  <c r="G121" i="75" l="1"/>
  <c r="G133" i="75"/>
  <c r="G138" i="75" s="1"/>
  <c r="G125" i="75"/>
  <c r="G130" i="75" s="1"/>
  <c r="F121" i="75"/>
  <c r="F133" i="75"/>
  <c r="F138" i="75" s="1"/>
  <c r="F125" i="75"/>
  <c r="F130" i="75" s="1"/>
  <c r="E65" i="75"/>
  <c r="E61" i="75"/>
  <c r="E60" i="75" s="1"/>
  <c r="E116" i="75" s="1"/>
  <c r="E43" i="75"/>
  <c r="AA130" i="1"/>
  <c r="E121" i="75" l="1"/>
  <c r="E133" i="75"/>
  <c r="E138" i="75" s="1"/>
  <c r="E125" i="75"/>
  <c r="E130" i="75" s="1"/>
  <c r="AA128" i="1"/>
  <c r="CB50" i="14" l="1"/>
  <c r="CA50" i="14"/>
  <c r="BZ50" i="14"/>
  <c r="BY50" i="14"/>
  <c r="BX50" i="14"/>
  <c r="BW50" i="14"/>
  <c r="BV50" i="14"/>
  <c r="BU50" i="14"/>
  <c r="BT50" i="14"/>
  <c r="BS50" i="14"/>
  <c r="CB49" i="14"/>
  <c r="CA49" i="14"/>
  <c r="BZ49" i="14"/>
  <c r="BY49" i="14"/>
  <c r="BX49" i="14"/>
  <c r="BW49" i="14"/>
  <c r="BV49" i="14"/>
  <c r="BU49" i="14"/>
  <c r="BT49" i="14"/>
  <c r="BS49" i="14"/>
  <c r="CB48" i="14"/>
  <c r="CA48" i="14"/>
  <c r="BZ48" i="14"/>
  <c r="BY48" i="14"/>
  <c r="BX48" i="14"/>
  <c r="BW48" i="14"/>
  <c r="BV48" i="14"/>
  <c r="BU48" i="14"/>
  <c r="BT48" i="14"/>
  <c r="BS48" i="14"/>
  <c r="CB47" i="14"/>
  <c r="CA47" i="14"/>
  <c r="BZ47" i="14"/>
  <c r="BY47" i="14"/>
  <c r="BX47" i="14"/>
  <c r="BW47" i="14"/>
  <c r="BV47" i="14"/>
  <c r="BU47" i="14"/>
  <c r="BT47" i="14"/>
  <c r="BS47" i="14"/>
  <c r="CB46" i="14"/>
  <c r="CA46" i="14"/>
  <c r="BZ46" i="14"/>
  <c r="BY46" i="14"/>
  <c r="BX46" i="14"/>
  <c r="BW46" i="14"/>
  <c r="BV46" i="14"/>
  <c r="BU46" i="14"/>
  <c r="BT46" i="14"/>
  <c r="BS46" i="14"/>
  <c r="CB45" i="14"/>
  <c r="CA45" i="14"/>
  <c r="BZ45" i="14"/>
  <c r="BY45" i="14"/>
  <c r="BX45" i="14"/>
  <c r="BW45" i="14"/>
  <c r="BV45" i="14"/>
  <c r="BU45" i="14"/>
  <c r="BT45" i="14"/>
  <c r="BS45" i="14"/>
  <c r="CB44" i="14"/>
  <c r="CA44" i="14"/>
  <c r="BZ44" i="14"/>
  <c r="BY44" i="14"/>
  <c r="BX44" i="14"/>
  <c r="BW44" i="14"/>
  <c r="BV44" i="14"/>
  <c r="BU44" i="14"/>
  <c r="BT44" i="14"/>
  <c r="BS44" i="14"/>
  <c r="CB43" i="14"/>
  <c r="CA43" i="14"/>
  <c r="BZ43" i="14"/>
  <c r="BY43" i="14"/>
  <c r="BX43" i="14"/>
  <c r="BW43" i="14"/>
  <c r="BV43" i="14"/>
  <c r="BU43" i="14"/>
  <c r="BT43" i="14"/>
  <c r="BS43" i="14"/>
  <c r="CB42" i="14"/>
  <c r="CA42" i="14"/>
  <c r="BZ42" i="14"/>
  <c r="BY42" i="14"/>
  <c r="BX42" i="14"/>
  <c r="BW42" i="14"/>
  <c r="BV42" i="14"/>
  <c r="BU42" i="14"/>
  <c r="BT42" i="14"/>
  <c r="BS42" i="14"/>
  <c r="T52" i="14"/>
  <c r="AD50" i="14"/>
  <c r="AC50" i="14"/>
  <c r="AB50" i="14"/>
  <c r="AA50" i="14"/>
  <c r="Z50" i="14"/>
  <c r="Y50" i="14"/>
  <c r="X50" i="14"/>
  <c r="W50" i="14"/>
  <c r="V50" i="14"/>
  <c r="U50" i="14"/>
  <c r="AD49" i="14"/>
  <c r="AC49" i="14"/>
  <c r="AB49" i="14"/>
  <c r="AA49" i="14"/>
  <c r="Z49" i="14"/>
  <c r="Y49" i="14"/>
  <c r="X49" i="14"/>
  <c r="W49" i="14"/>
  <c r="V49" i="14"/>
  <c r="U49" i="14"/>
  <c r="AD48" i="14"/>
  <c r="AC48" i="14"/>
  <c r="AB48" i="14"/>
  <c r="AA48" i="14"/>
  <c r="Z48" i="14"/>
  <c r="Y48" i="14"/>
  <c r="X48" i="14"/>
  <c r="W48" i="14"/>
  <c r="V48" i="14"/>
  <c r="U48" i="14"/>
  <c r="AD47" i="14"/>
  <c r="AC47" i="14"/>
  <c r="AB47" i="14"/>
  <c r="AA47" i="14"/>
  <c r="Z47" i="14"/>
  <c r="Y47" i="14"/>
  <c r="X47" i="14"/>
  <c r="W47" i="14"/>
  <c r="V47" i="14"/>
  <c r="U47" i="14"/>
  <c r="AD46" i="14"/>
  <c r="AC46" i="14"/>
  <c r="AB46" i="14"/>
  <c r="AA46" i="14"/>
  <c r="Z46" i="14"/>
  <c r="Y46" i="14"/>
  <c r="X46" i="14"/>
  <c r="W46" i="14"/>
  <c r="V46" i="14"/>
  <c r="U46" i="14"/>
  <c r="AD45" i="14"/>
  <c r="AC45" i="14"/>
  <c r="AB45" i="14"/>
  <c r="AA45" i="14"/>
  <c r="Z45" i="14"/>
  <c r="Y45" i="14"/>
  <c r="X45" i="14"/>
  <c r="W45" i="14"/>
  <c r="V45" i="14"/>
  <c r="U45" i="14"/>
  <c r="AD44" i="14"/>
  <c r="AC44" i="14"/>
  <c r="AB44" i="14"/>
  <c r="AA44" i="14"/>
  <c r="Z44" i="14"/>
  <c r="Y44" i="14"/>
  <c r="X44" i="14"/>
  <c r="W44" i="14"/>
  <c r="V44" i="14"/>
  <c r="U44" i="14"/>
  <c r="AD43" i="14"/>
  <c r="AC43" i="14"/>
  <c r="AB43" i="14"/>
  <c r="AA43" i="14"/>
  <c r="Z43" i="14"/>
  <c r="Y43" i="14"/>
  <c r="X43" i="14"/>
  <c r="W43" i="14"/>
  <c r="V43" i="14"/>
  <c r="U43" i="14"/>
  <c r="AD42" i="14"/>
  <c r="AC42" i="14"/>
  <c r="AB42" i="14"/>
  <c r="AA42" i="14"/>
  <c r="Z42" i="14"/>
  <c r="Y42" i="14"/>
  <c r="X42" i="14"/>
  <c r="W42" i="14"/>
  <c r="V42" i="14"/>
  <c r="U42" i="14"/>
  <c r="U41" i="14"/>
  <c r="V41" i="14" s="1"/>
  <c r="W41" i="14" s="1"/>
  <c r="X41" i="14" s="1"/>
  <c r="Y41" i="14" s="1"/>
  <c r="Z41" i="14" s="1"/>
  <c r="AA41" i="14" s="1"/>
  <c r="AB41" i="14" s="1"/>
  <c r="AC41" i="14" s="1"/>
  <c r="AD41" i="14" s="1"/>
  <c r="AO52" i="14"/>
  <c r="AN52" i="14"/>
  <c r="AM52" i="14"/>
  <c r="AL52" i="14"/>
  <c r="AK52" i="14"/>
  <c r="AJ52" i="14"/>
  <c r="AI52" i="14"/>
  <c r="AH52" i="14"/>
  <c r="AG52" i="14"/>
  <c r="AF52" i="14"/>
  <c r="BA50" i="14"/>
  <c r="AP50" i="14"/>
  <c r="BA49" i="14"/>
  <c r="AP49" i="14"/>
  <c r="BA48" i="14"/>
  <c r="AP48" i="14"/>
  <c r="BA47" i="14"/>
  <c r="AP47" i="14"/>
  <c r="BA46" i="14"/>
  <c r="AP46" i="14"/>
  <c r="BA45" i="14"/>
  <c r="AP45" i="14"/>
  <c r="AZ44" i="14"/>
  <c r="AY44" i="14"/>
  <c r="AX44" i="14"/>
  <c r="AW44" i="14"/>
  <c r="AV44" i="14"/>
  <c r="AP44" i="14"/>
  <c r="AZ43" i="14"/>
  <c r="AY43" i="14"/>
  <c r="AX43" i="14"/>
  <c r="AW43" i="14"/>
  <c r="AV43" i="14"/>
  <c r="AU43" i="14"/>
  <c r="AT43" i="14"/>
  <c r="AS43" i="14"/>
  <c r="AR43" i="14"/>
  <c r="AQ43" i="14"/>
  <c r="AP43" i="14"/>
  <c r="AU42" i="14"/>
  <c r="AT42" i="14"/>
  <c r="AS42" i="14"/>
  <c r="AR42" i="14"/>
  <c r="AQ42" i="14"/>
  <c r="AP42" i="14"/>
  <c r="HA41" i="14"/>
  <c r="HB41" i="14" s="1"/>
  <c r="HC41" i="14" s="1"/>
  <c r="HD41" i="14" s="1"/>
  <c r="HE41" i="14" s="1"/>
  <c r="HF41" i="14" s="1"/>
  <c r="HG41" i="14" s="1"/>
  <c r="HH41" i="14" s="1"/>
  <c r="HI41" i="14" s="1"/>
  <c r="HJ41" i="14" s="1"/>
  <c r="BS41" i="14"/>
  <c r="BT41" i="14" s="1"/>
  <c r="BU41" i="14" s="1"/>
  <c r="BV41" i="14" s="1"/>
  <c r="BW41" i="14" s="1"/>
  <c r="BX41" i="14" s="1"/>
  <c r="BY41" i="14" s="1"/>
  <c r="BZ41" i="14" s="1"/>
  <c r="CA41" i="14" s="1"/>
  <c r="CB41" i="14" s="1"/>
  <c r="AQ41" i="14"/>
  <c r="AR41" i="14" s="1"/>
  <c r="AS41" i="14" s="1"/>
  <c r="AT41" i="14" s="1"/>
  <c r="AU41" i="14" s="1"/>
  <c r="AV41" i="14" s="1"/>
  <c r="AW41" i="14" s="1"/>
  <c r="AX41" i="14" s="1"/>
  <c r="AY41" i="14" s="1"/>
  <c r="AZ41" i="14" s="1"/>
  <c r="AF41" i="14"/>
  <c r="AG41" i="14" s="1"/>
  <c r="AH41" i="14" s="1"/>
  <c r="AI41" i="14" s="1"/>
  <c r="AJ41" i="14" s="1"/>
  <c r="AK41" i="14" s="1"/>
  <c r="AL41" i="14" s="1"/>
  <c r="AM41" i="14" s="1"/>
  <c r="AN41" i="14" s="1"/>
  <c r="AO41" i="14" s="1"/>
  <c r="AO36" i="14"/>
  <c r="AN36" i="14"/>
  <c r="AM36" i="14"/>
  <c r="AL36" i="14"/>
  <c r="AK36" i="14"/>
  <c r="AJ36" i="14"/>
  <c r="AI36" i="14"/>
  <c r="AH36" i="14"/>
  <c r="AG36" i="14"/>
  <c r="AF36" i="14"/>
  <c r="T36" i="14"/>
  <c r="FV34" i="14"/>
  <c r="FU34" i="14"/>
  <c r="FT34" i="14"/>
  <c r="FS34" i="14"/>
  <c r="FL34" i="14"/>
  <c r="FK34" i="14"/>
  <c r="FJ34" i="14"/>
  <c r="FI34" i="14"/>
  <c r="FH34" i="14"/>
  <c r="FG34" i="14"/>
  <c r="FF34" i="14"/>
  <c r="FE34" i="14"/>
  <c r="FD34" i="14"/>
  <c r="FC34" i="14"/>
  <c r="BA34" i="14"/>
  <c r="GM34" i="14" s="1"/>
  <c r="GN34" i="14" s="1"/>
  <c r="AP34" i="14"/>
  <c r="R34" i="14"/>
  <c r="AD34" i="14" s="1"/>
  <c r="Q34" i="14"/>
  <c r="AC34" i="14" s="1"/>
  <c r="P34" i="14"/>
  <c r="AB34" i="14" s="1"/>
  <c r="O34" i="14"/>
  <c r="AA34" i="14" s="1"/>
  <c r="N34" i="14"/>
  <c r="Z34" i="14" s="1"/>
  <c r="M34" i="14"/>
  <c r="Y34" i="14" s="1"/>
  <c r="L34" i="14"/>
  <c r="K34" i="14"/>
  <c r="W34" i="14" s="1"/>
  <c r="J34" i="14"/>
  <c r="V34" i="14" s="1"/>
  <c r="I34" i="14"/>
  <c r="U34" i="14" s="1"/>
  <c r="FV33" i="14"/>
  <c r="FU33" i="14"/>
  <c r="FT33" i="14"/>
  <c r="FS33" i="14"/>
  <c r="FL33" i="14"/>
  <c r="FK33" i="14"/>
  <c r="FJ33" i="14"/>
  <c r="FI33" i="14"/>
  <c r="FH33" i="14"/>
  <c r="FG33" i="14"/>
  <c r="FF33" i="14"/>
  <c r="FE33" i="14"/>
  <c r="FD33" i="14"/>
  <c r="FC33" i="14"/>
  <c r="BA33" i="14"/>
  <c r="GM33" i="14" s="1"/>
  <c r="GN33" i="14" s="1"/>
  <c r="AP33" i="14"/>
  <c r="R33" i="14"/>
  <c r="AD33" i="14" s="1"/>
  <c r="Q33" i="14"/>
  <c r="P33" i="14"/>
  <c r="AB33" i="14" s="1"/>
  <c r="O33" i="14"/>
  <c r="AA33" i="14" s="1"/>
  <c r="N33" i="14"/>
  <c r="Z33" i="14" s="1"/>
  <c r="M33" i="14"/>
  <c r="L33" i="14"/>
  <c r="X33" i="14" s="1"/>
  <c r="K33" i="14"/>
  <c r="J33" i="14"/>
  <c r="V33" i="14" s="1"/>
  <c r="I33" i="14"/>
  <c r="FV32" i="14"/>
  <c r="FU32" i="14"/>
  <c r="FT32" i="14"/>
  <c r="FS32" i="14"/>
  <c r="FL32" i="14"/>
  <c r="FK32" i="14"/>
  <c r="FJ32" i="14"/>
  <c r="FI32" i="14"/>
  <c r="FH32" i="14"/>
  <c r="FG32" i="14"/>
  <c r="FF32" i="14"/>
  <c r="FE32" i="14"/>
  <c r="FD32" i="14"/>
  <c r="FC32" i="14"/>
  <c r="BA32" i="14"/>
  <c r="GM32" i="14" s="1"/>
  <c r="GN32" i="14" s="1"/>
  <c r="AP32" i="14"/>
  <c r="R32" i="14"/>
  <c r="AD32" i="14" s="1"/>
  <c r="Q32" i="14"/>
  <c r="AC32" i="14" s="1"/>
  <c r="P32" i="14"/>
  <c r="AB32" i="14" s="1"/>
  <c r="O32" i="14"/>
  <c r="AA32" i="14" s="1"/>
  <c r="N32" i="14"/>
  <c r="Z32" i="14" s="1"/>
  <c r="M32" i="14"/>
  <c r="Y32" i="14" s="1"/>
  <c r="L32" i="14"/>
  <c r="X32" i="14" s="1"/>
  <c r="K32" i="14"/>
  <c r="W32" i="14" s="1"/>
  <c r="J32" i="14"/>
  <c r="V32" i="14" s="1"/>
  <c r="I32" i="14"/>
  <c r="U32" i="14" s="1"/>
  <c r="FV31" i="14"/>
  <c r="FU31" i="14"/>
  <c r="FT31" i="14"/>
  <c r="FS31" i="14"/>
  <c r="FL31" i="14"/>
  <c r="FK31" i="14"/>
  <c r="FJ31" i="14"/>
  <c r="FI31" i="14"/>
  <c r="FH31" i="14"/>
  <c r="FG31" i="14"/>
  <c r="FF31" i="14"/>
  <c r="FE31" i="14"/>
  <c r="FD31" i="14"/>
  <c r="FC31" i="14"/>
  <c r="BA31" i="14"/>
  <c r="GM31" i="14" s="1"/>
  <c r="GN31" i="14" s="1"/>
  <c r="AP31" i="14"/>
  <c r="R31" i="14"/>
  <c r="AD31" i="14" s="1"/>
  <c r="Q31" i="14"/>
  <c r="P31" i="14"/>
  <c r="AB31" i="14" s="1"/>
  <c r="O31" i="14"/>
  <c r="AA31" i="14" s="1"/>
  <c r="N31" i="14"/>
  <c r="Z31" i="14" s="1"/>
  <c r="M31" i="14"/>
  <c r="Y31" i="14" s="1"/>
  <c r="L31" i="14"/>
  <c r="X31" i="14" s="1"/>
  <c r="K31" i="14"/>
  <c r="W31" i="14" s="1"/>
  <c r="J31" i="14"/>
  <c r="V31" i="14" s="1"/>
  <c r="I31" i="14"/>
  <c r="FV30" i="14"/>
  <c r="FU30" i="14"/>
  <c r="FT30" i="14"/>
  <c r="FS30" i="14"/>
  <c r="FL30" i="14"/>
  <c r="FK30" i="14"/>
  <c r="FJ30" i="14"/>
  <c r="FI30" i="14"/>
  <c r="FH30" i="14"/>
  <c r="FG30" i="14"/>
  <c r="FF30" i="14"/>
  <c r="FE30" i="14"/>
  <c r="FD30" i="14"/>
  <c r="FC30" i="14"/>
  <c r="BA30" i="14"/>
  <c r="GM30" i="14" s="1"/>
  <c r="GN30" i="14" s="1"/>
  <c r="AP30" i="14"/>
  <c r="R30" i="14"/>
  <c r="AD30" i="14" s="1"/>
  <c r="Q30" i="14"/>
  <c r="AC30" i="14" s="1"/>
  <c r="P30" i="14"/>
  <c r="AB30" i="14" s="1"/>
  <c r="O30" i="14"/>
  <c r="AA30" i="14" s="1"/>
  <c r="N30" i="14"/>
  <c r="Z30" i="14" s="1"/>
  <c r="M30" i="14"/>
  <c r="Y30" i="14" s="1"/>
  <c r="L30" i="14"/>
  <c r="X30" i="14" s="1"/>
  <c r="K30" i="14"/>
  <c r="W30" i="14" s="1"/>
  <c r="J30" i="14"/>
  <c r="V30" i="14" s="1"/>
  <c r="I30" i="14"/>
  <c r="U30" i="14" s="1"/>
  <c r="FV29" i="14"/>
  <c r="FU29" i="14"/>
  <c r="FT29" i="14"/>
  <c r="FS29" i="14"/>
  <c r="FL29" i="14"/>
  <c r="FK29" i="14"/>
  <c r="FJ29" i="14"/>
  <c r="FI29" i="14"/>
  <c r="FH29" i="14"/>
  <c r="FG29" i="14"/>
  <c r="FF29" i="14"/>
  <c r="FE29" i="14"/>
  <c r="FD29" i="14"/>
  <c r="FC29" i="14"/>
  <c r="BA29" i="14"/>
  <c r="GM29" i="14" s="1"/>
  <c r="GN29" i="14" s="1"/>
  <c r="AP29" i="14"/>
  <c r="R29" i="14"/>
  <c r="AD29" i="14" s="1"/>
  <c r="Q29" i="14"/>
  <c r="P29" i="14"/>
  <c r="AB29" i="14" s="1"/>
  <c r="O29" i="14"/>
  <c r="AA29" i="14" s="1"/>
  <c r="N29" i="14"/>
  <c r="Z29" i="14" s="1"/>
  <c r="M29" i="14"/>
  <c r="Y29" i="14" s="1"/>
  <c r="L29" i="14"/>
  <c r="X29" i="14" s="1"/>
  <c r="K29" i="14"/>
  <c r="W29" i="14" s="1"/>
  <c r="J29" i="14"/>
  <c r="V29" i="14" s="1"/>
  <c r="I29" i="14"/>
  <c r="U29" i="14" s="1"/>
  <c r="FV28" i="14"/>
  <c r="FU28" i="14"/>
  <c r="FT28" i="14"/>
  <c r="FS28" i="14"/>
  <c r="FG28" i="14"/>
  <c r="FF28" i="14"/>
  <c r="FE28" i="14"/>
  <c r="FD28" i="14"/>
  <c r="FC28" i="14"/>
  <c r="AZ28" i="14"/>
  <c r="FL28" i="14" s="1"/>
  <c r="AY28" i="14"/>
  <c r="FK28" i="14" s="1"/>
  <c r="AX28" i="14"/>
  <c r="FJ28" i="14" s="1"/>
  <c r="AW28" i="14"/>
  <c r="FI28" i="14" s="1"/>
  <c r="AV28" i="14"/>
  <c r="FH28" i="14" s="1"/>
  <c r="AP28" i="14"/>
  <c r="R28" i="14"/>
  <c r="AD28" i="14" s="1"/>
  <c r="Q28" i="14"/>
  <c r="AC28" i="14" s="1"/>
  <c r="P28" i="14"/>
  <c r="AB28" i="14" s="1"/>
  <c r="O28" i="14"/>
  <c r="AA28" i="14" s="1"/>
  <c r="N28" i="14"/>
  <c r="Z28" i="14" s="1"/>
  <c r="M28" i="14"/>
  <c r="Y28" i="14" s="1"/>
  <c r="L28" i="14"/>
  <c r="X28" i="14" s="1"/>
  <c r="K28" i="14"/>
  <c r="W28" i="14" s="1"/>
  <c r="J28" i="14"/>
  <c r="V28" i="14" s="1"/>
  <c r="I28" i="14"/>
  <c r="U28" i="14" s="1"/>
  <c r="FV27" i="14"/>
  <c r="FU27" i="14"/>
  <c r="FT27" i="14"/>
  <c r="FS27" i="14"/>
  <c r="AZ27" i="14"/>
  <c r="AY27" i="14"/>
  <c r="AX27" i="14"/>
  <c r="AW27" i="14"/>
  <c r="AV27" i="14"/>
  <c r="AU27" i="14"/>
  <c r="FG27" i="14" s="1"/>
  <c r="AT27" i="14"/>
  <c r="FF27" i="14" s="1"/>
  <c r="AS27" i="14"/>
  <c r="FE27" i="14" s="1"/>
  <c r="AR27" i="14"/>
  <c r="FD27" i="14" s="1"/>
  <c r="AQ27" i="14"/>
  <c r="FC27" i="14" s="1"/>
  <c r="AP27" i="14"/>
  <c r="R27" i="14"/>
  <c r="AD27" i="14" s="1"/>
  <c r="Q27" i="14"/>
  <c r="AC27" i="14" s="1"/>
  <c r="P27" i="14"/>
  <c r="AB27" i="14" s="1"/>
  <c r="O27" i="14"/>
  <c r="AA27" i="14" s="1"/>
  <c r="N27" i="14"/>
  <c r="Z27" i="14" s="1"/>
  <c r="M27" i="14"/>
  <c r="Y27" i="14" s="1"/>
  <c r="L27" i="14"/>
  <c r="X27" i="14" s="1"/>
  <c r="K27" i="14"/>
  <c r="W27" i="14" s="1"/>
  <c r="J27" i="14"/>
  <c r="V27" i="14" s="1"/>
  <c r="I27" i="14"/>
  <c r="U27" i="14" s="1"/>
  <c r="FV26" i="14"/>
  <c r="FU26" i="14"/>
  <c r="FT26" i="14"/>
  <c r="FS26" i="14"/>
  <c r="FL26" i="14"/>
  <c r="FK26" i="14"/>
  <c r="FJ26" i="14"/>
  <c r="FI26" i="14"/>
  <c r="FH26" i="14"/>
  <c r="AU26" i="14"/>
  <c r="AT26" i="14"/>
  <c r="AS26" i="14"/>
  <c r="AR26" i="14"/>
  <c r="AQ26" i="14"/>
  <c r="AP26" i="14"/>
  <c r="R26" i="14"/>
  <c r="AD26" i="14" s="1"/>
  <c r="Q26" i="14"/>
  <c r="AC26" i="14" s="1"/>
  <c r="P26" i="14"/>
  <c r="AB26" i="14" s="1"/>
  <c r="O26" i="14"/>
  <c r="AA26" i="14" s="1"/>
  <c r="N26" i="14"/>
  <c r="Z26" i="14" s="1"/>
  <c r="M26" i="14"/>
  <c r="Y26" i="14" s="1"/>
  <c r="L26" i="14"/>
  <c r="X26" i="14" s="1"/>
  <c r="K26" i="14"/>
  <c r="W26" i="14" s="1"/>
  <c r="J26" i="14"/>
  <c r="V26" i="14" s="1"/>
  <c r="I26" i="14"/>
  <c r="U26" i="14" s="1"/>
  <c r="HA25" i="14"/>
  <c r="HB25" i="14" s="1"/>
  <c r="HC25" i="14" s="1"/>
  <c r="HD25" i="14" s="1"/>
  <c r="HE25" i="14" s="1"/>
  <c r="HF25" i="14" s="1"/>
  <c r="HG25" i="14" s="1"/>
  <c r="HH25" i="14" s="1"/>
  <c r="HI25" i="14" s="1"/>
  <c r="HJ25" i="14" s="1"/>
  <c r="GO25" i="14"/>
  <c r="GP25" i="14" s="1"/>
  <c r="GQ25" i="14" s="1"/>
  <c r="GR25" i="14" s="1"/>
  <c r="GS25" i="14" s="1"/>
  <c r="GT25" i="14" s="1"/>
  <c r="GU25" i="14" s="1"/>
  <c r="GV25" i="14" s="1"/>
  <c r="GW25" i="14" s="1"/>
  <c r="GX25" i="14" s="1"/>
  <c r="FX25" i="14"/>
  <c r="FY25" i="14" s="1"/>
  <c r="FZ25" i="14" s="1"/>
  <c r="GA25" i="14" s="1"/>
  <c r="GB25" i="14" s="1"/>
  <c r="GC25" i="14" s="1"/>
  <c r="GD25" i="14" s="1"/>
  <c r="GE25" i="14" s="1"/>
  <c r="GF25" i="14" s="1"/>
  <c r="GG25" i="14" s="1"/>
  <c r="FC25" i="14"/>
  <c r="FD25" i="14" s="1"/>
  <c r="FE25" i="14" s="1"/>
  <c r="FF25" i="14" s="1"/>
  <c r="FG25" i="14" s="1"/>
  <c r="FH25" i="14" s="1"/>
  <c r="FI25" i="14" s="1"/>
  <c r="FJ25" i="14" s="1"/>
  <c r="FK25" i="14" s="1"/>
  <c r="FL25" i="14" s="1"/>
  <c r="BS25" i="14"/>
  <c r="BT25" i="14" s="1"/>
  <c r="BU25" i="14" s="1"/>
  <c r="BV25" i="14" s="1"/>
  <c r="BW25" i="14" s="1"/>
  <c r="BX25" i="14" s="1"/>
  <c r="BY25" i="14" s="1"/>
  <c r="BZ25" i="14" s="1"/>
  <c r="CA25" i="14" s="1"/>
  <c r="CB25" i="14" s="1"/>
  <c r="AQ25" i="14"/>
  <c r="AR25" i="14" s="1"/>
  <c r="AS25" i="14" s="1"/>
  <c r="AT25" i="14" s="1"/>
  <c r="AU25" i="14" s="1"/>
  <c r="AV25" i="14" s="1"/>
  <c r="AW25" i="14" s="1"/>
  <c r="AX25" i="14" s="1"/>
  <c r="AY25" i="14" s="1"/>
  <c r="AZ25" i="14" s="1"/>
  <c r="AF25" i="14"/>
  <c r="AG25" i="14" s="1"/>
  <c r="AH25" i="14" s="1"/>
  <c r="AI25" i="14" s="1"/>
  <c r="AJ25" i="14" s="1"/>
  <c r="AK25" i="14" s="1"/>
  <c r="AL25" i="14" s="1"/>
  <c r="AM25" i="14" s="1"/>
  <c r="AN25" i="14" s="1"/>
  <c r="AO25" i="14" s="1"/>
  <c r="U25" i="14"/>
  <c r="V25" i="14" s="1"/>
  <c r="W25" i="14" s="1"/>
  <c r="X25" i="14" s="1"/>
  <c r="Y25" i="14" s="1"/>
  <c r="Z25" i="14" s="1"/>
  <c r="AA25" i="14" s="1"/>
  <c r="AB25" i="14" s="1"/>
  <c r="AC25" i="14" s="1"/>
  <c r="AD25" i="14" s="1"/>
  <c r="CR13" i="14"/>
  <c r="DF13" i="14" s="1"/>
  <c r="CS13" i="14"/>
  <c r="CR14" i="14"/>
  <c r="DF14" i="14" s="1"/>
  <c r="CS14" i="14"/>
  <c r="CR15" i="14"/>
  <c r="DF15" i="14" s="1"/>
  <c r="CS15" i="14"/>
  <c r="CR16" i="14"/>
  <c r="DF16" i="14" s="1"/>
  <c r="CS16" i="14"/>
  <c r="CR17" i="14"/>
  <c r="DF17" i="14" s="1"/>
  <c r="CS17" i="14"/>
  <c r="CR18" i="14"/>
  <c r="DF18" i="14" s="1"/>
  <c r="CS18" i="14"/>
  <c r="CS11" i="14"/>
  <c r="CS12" i="14"/>
  <c r="CS10" i="14"/>
  <c r="HA9" i="14"/>
  <c r="HB9" i="14" s="1"/>
  <c r="HC9" i="14" s="1"/>
  <c r="HD9" i="14" s="1"/>
  <c r="HE9" i="14" s="1"/>
  <c r="HF9" i="14" s="1"/>
  <c r="HG9" i="14" s="1"/>
  <c r="HH9" i="14" s="1"/>
  <c r="HI9" i="14" s="1"/>
  <c r="HJ9" i="14" s="1"/>
  <c r="GO9" i="14"/>
  <c r="GP9" i="14" s="1"/>
  <c r="GQ9" i="14" s="1"/>
  <c r="GR9" i="14" s="1"/>
  <c r="GS9" i="14" s="1"/>
  <c r="GT9" i="14" s="1"/>
  <c r="GU9" i="14" s="1"/>
  <c r="GV9" i="14" s="1"/>
  <c r="GW9" i="14" s="1"/>
  <c r="GX9" i="14" s="1"/>
  <c r="FX9" i="14"/>
  <c r="FY9" i="14" s="1"/>
  <c r="FZ9" i="14" s="1"/>
  <c r="GA9" i="14" s="1"/>
  <c r="GB9" i="14" s="1"/>
  <c r="GC9" i="14" s="1"/>
  <c r="GD9" i="14" s="1"/>
  <c r="GE9" i="14" s="1"/>
  <c r="GF9" i="14" s="1"/>
  <c r="GG9" i="14" s="1"/>
  <c r="FC9" i="14"/>
  <c r="FD9" i="14" s="1"/>
  <c r="FE9" i="14" s="1"/>
  <c r="FF9" i="14" s="1"/>
  <c r="FG9" i="14" s="1"/>
  <c r="FH9" i="14" s="1"/>
  <c r="FI9" i="14" s="1"/>
  <c r="FJ9" i="14" s="1"/>
  <c r="FK9" i="14" s="1"/>
  <c r="FL9" i="14" s="1"/>
  <c r="EP9" i="14"/>
  <c r="EQ9" i="14" s="1"/>
  <c r="EE9" i="14"/>
  <c r="EF9" i="14" s="1"/>
  <c r="EG9" i="14" s="1"/>
  <c r="EH9" i="14" s="1"/>
  <c r="EI9" i="14" s="1"/>
  <c r="EJ9" i="14" s="1"/>
  <c r="EK9" i="14" s="1"/>
  <c r="EL9" i="14" s="1"/>
  <c r="EM9" i="14" s="1"/>
  <c r="EN9" i="14" s="1"/>
  <c r="DR9" i="14"/>
  <c r="DS9" i="14" s="1"/>
  <c r="DT9" i="14" s="1"/>
  <c r="DU9" i="14" s="1"/>
  <c r="DV9" i="14" s="1"/>
  <c r="DW9" i="14" s="1"/>
  <c r="DX9" i="14" s="1"/>
  <c r="DY9" i="14" s="1"/>
  <c r="DZ9" i="14" s="1"/>
  <c r="EA9" i="14" s="1"/>
  <c r="DG9" i="14"/>
  <c r="DH9" i="14" s="1"/>
  <c r="DI9" i="14" s="1"/>
  <c r="DJ9" i="14" s="1"/>
  <c r="DK9" i="14" s="1"/>
  <c r="DL9" i="14" s="1"/>
  <c r="DM9" i="14" s="1"/>
  <c r="DN9" i="14" s="1"/>
  <c r="DO9" i="14" s="1"/>
  <c r="DP9" i="14" s="1"/>
  <c r="CT9" i="14"/>
  <c r="CU9" i="14" s="1"/>
  <c r="CV9" i="14" s="1"/>
  <c r="CW9" i="14" s="1"/>
  <c r="CX9" i="14" s="1"/>
  <c r="CY9" i="14" s="1"/>
  <c r="CZ9" i="14" s="1"/>
  <c r="DA9" i="14" s="1"/>
  <c r="DB9" i="14" s="1"/>
  <c r="DC9" i="14" s="1"/>
  <c r="DC12" i="14" s="1"/>
  <c r="CD9" i="14"/>
  <c r="CE9" i="14" s="1"/>
  <c r="CF9" i="14" s="1"/>
  <c r="CG9" i="14" s="1"/>
  <c r="CH9" i="14" s="1"/>
  <c r="CI9" i="14" s="1"/>
  <c r="CJ9" i="14" s="1"/>
  <c r="CK9" i="14" s="1"/>
  <c r="CL9" i="14" s="1"/>
  <c r="CM9" i="14" s="1"/>
  <c r="BS9" i="14"/>
  <c r="BT9" i="14" s="1"/>
  <c r="BU9" i="14" s="1"/>
  <c r="BV9" i="14" s="1"/>
  <c r="BW9" i="14" s="1"/>
  <c r="BX9" i="14" s="1"/>
  <c r="BY9" i="14" s="1"/>
  <c r="BZ9" i="14" s="1"/>
  <c r="CA9" i="14" s="1"/>
  <c r="CB9" i="14" s="1"/>
  <c r="BF9" i="14"/>
  <c r="BG9" i="14" s="1"/>
  <c r="BG10" i="14" s="1"/>
  <c r="AQ9" i="14"/>
  <c r="AR9" i="14" s="1"/>
  <c r="AS9" i="14" s="1"/>
  <c r="AT9" i="14" s="1"/>
  <c r="AU9" i="14" s="1"/>
  <c r="AV9" i="14" s="1"/>
  <c r="AW9" i="14" s="1"/>
  <c r="AX9" i="14" s="1"/>
  <c r="AY9" i="14" s="1"/>
  <c r="AZ9" i="14" s="1"/>
  <c r="AF9" i="14"/>
  <c r="AG9" i="14" s="1"/>
  <c r="AH9" i="14" s="1"/>
  <c r="AI9" i="14" s="1"/>
  <c r="AJ9" i="14" s="1"/>
  <c r="AK9" i="14" s="1"/>
  <c r="AL9" i="14" s="1"/>
  <c r="AM9" i="14" s="1"/>
  <c r="AN9" i="14" s="1"/>
  <c r="AO9" i="14" s="1"/>
  <c r="U9" i="14"/>
  <c r="V9" i="14" s="1"/>
  <c r="W9" i="14" s="1"/>
  <c r="X9" i="14" s="1"/>
  <c r="Y9" i="14" s="1"/>
  <c r="Z9" i="14" s="1"/>
  <c r="AA9" i="14" s="1"/>
  <c r="AB9" i="14" s="1"/>
  <c r="AC9" i="14" s="1"/>
  <c r="AD9" i="14" s="1"/>
  <c r="I11" i="14"/>
  <c r="U11" i="14" s="1"/>
  <c r="J11" i="14"/>
  <c r="V11" i="14" s="1"/>
  <c r="K11" i="14"/>
  <c r="W11" i="14" s="1"/>
  <c r="L11" i="14"/>
  <c r="X11" i="14" s="1"/>
  <c r="M11" i="14"/>
  <c r="Y11" i="14" s="1"/>
  <c r="N11" i="14"/>
  <c r="Z11" i="14" s="1"/>
  <c r="O11" i="14"/>
  <c r="AA11" i="14" s="1"/>
  <c r="P11" i="14"/>
  <c r="AB11" i="14" s="1"/>
  <c r="Q11" i="14"/>
  <c r="AC11" i="14" s="1"/>
  <c r="R11" i="14"/>
  <c r="AD11" i="14" s="1"/>
  <c r="I12" i="14"/>
  <c r="J12" i="14"/>
  <c r="V12" i="14" s="1"/>
  <c r="K12" i="14"/>
  <c r="W12" i="14" s="1"/>
  <c r="L12" i="14"/>
  <c r="X12" i="14" s="1"/>
  <c r="M12" i="14"/>
  <c r="Y12" i="14" s="1"/>
  <c r="N12" i="14"/>
  <c r="Z12" i="14" s="1"/>
  <c r="O12" i="14"/>
  <c r="AA12" i="14" s="1"/>
  <c r="P12" i="14"/>
  <c r="AB12" i="14" s="1"/>
  <c r="Q12" i="14"/>
  <c r="AC12" i="14" s="1"/>
  <c r="R12" i="14"/>
  <c r="AD12" i="14" s="1"/>
  <c r="I13" i="14"/>
  <c r="J13" i="14"/>
  <c r="V13" i="14" s="1"/>
  <c r="K13" i="14"/>
  <c r="L13" i="14"/>
  <c r="X13" i="14" s="1"/>
  <c r="M13" i="14"/>
  <c r="N13" i="14"/>
  <c r="Z13" i="14" s="1"/>
  <c r="O13" i="14"/>
  <c r="P13" i="14"/>
  <c r="AB13" i="14" s="1"/>
  <c r="Q13" i="14"/>
  <c r="R13" i="14"/>
  <c r="AD13" i="14" s="1"/>
  <c r="I14" i="14"/>
  <c r="U14" i="14" s="1"/>
  <c r="J14" i="14"/>
  <c r="V14" i="14" s="1"/>
  <c r="K14" i="14"/>
  <c r="W14" i="14" s="1"/>
  <c r="L14" i="14"/>
  <c r="X14" i="14" s="1"/>
  <c r="M14" i="14"/>
  <c r="Y14" i="14" s="1"/>
  <c r="N14" i="14"/>
  <c r="Z14" i="14" s="1"/>
  <c r="O14" i="14"/>
  <c r="AA14" i="14" s="1"/>
  <c r="P14" i="14"/>
  <c r="AB14" i="14" s="1"/>
  <c r="Q14" i="14"/>
  <c r="AC14" i="14" s="1"/>
  <c r="R14" i="14"/>
  <c r="AD14" i="14" s="1"/>
  <c r="I15" i="14"/>
  <c r="J15" i="14"/>
  <c r="V15" i="14" s="1"/>
  <c r="K15" i="14"/>
  <c r="W15" i="14" s="1"/>
  <c r="L15" i="14"/>
  <c r="X15" i="14" s="1"/>
  <c r="M15" i="14"/>
  <c r="N15" i="14"/>
  <c r="Z15" i="14" s="1"/>
  <c r="O15" i="14"/>
  <c r="AA15" i="14" s="1"/>
  <c r="P15" i="14"/>
  <c r="AB15" i="14" s="1"/>
  <c r="Q15" i="14"/>
  <c r="R15" i="14"/>
  <c r="AD15" i="14" s="1"/>
  <c r="I16" i="14"/>
  <c r="J16" i="14"/>
  <c r="V16" i="14" s="1"/>
  <c r="K16" i="14"/>
  <c r="W16" i="14" s="1"/>
  <c r="L16" i="14"/>
  <c r="X16" i="14" s="1"/>
  <c r="M16" i="14"/>
  <c r="N16" i="14"/>
  <c r="Z16" i="14" s="1"/>
  <c r="O16" i="14"/>
  <c r="AA16" i="14" s="1"/>
  <c r="P16" i="14"/>
  <c r="AB16" i="14" s="1"/>
  <c r="Q16" i="14"/>
  <c r="R16" i="14"/>
  <c r="AD16" i="14" s="1"/>
  <c r="I17" i="14"/>
  <c r="U17" i="14" s="1"/>
  <c r="J17" i="14"/>
  <c r="V17" i="14" s="1"/>
  <c r="K17" i="14"/>
  <c r="W17" i="14" s="1"/>
  <c r="L17" i="14"/>
  <c r="X17" i="14" s="1"/>
  <c r="M17" i="14"/>
  <c r="Y17" i="14" s="1"/>
  <c r="N17" i="14"/>
  <c r="Z17" i="14" s="1"/>
  <c r="O17" i="14"/>
  <c r="AA17" i="14" s="1"/>
  <c r="P17" i="14"/>
  <c r="AB17" i="14" s="1"/>
  <c r="Q17" i="14"/>
  <c r="AC17" i="14" s="1"/>
  <c r="R17" i="14"/>
  <c r="AD17" i="14" s="1"/>
  <c r="I18" i="14"/>
  <c r="U18" i="14" s="1"/>
  <c r="J18" i="14"/>
  <c r="V18" i="14" s="1"/>
  <c r="K18" i="14"/>
  <c r="W18" i="14" s="1"/>
  <c r="L18" i="14"/>
  <c r="X18" i="14" s="1"/>
  <c r="M18" i="14"/>
  <c r="Y18" i="14" s="1"/>
  <c r="N18" i="14"/>
  <c r="Z18" i="14" s="1"/>
  <c r="O18" i="14"/>
  <c r="AA18" i="14" s="1"/>
  <c r="P18" i="14"/>
  <c r="AB18" i="14" s="1"/>
  <c r="Q18" i="14"/>
  <c r="AC18" i="14" s="1"/>
  <c r="R18" i="14"/>
  <c r="AD18" i="14" s="1"/>
  <c r="J10" i="14"/>
  <c r="V10" i="14" s="1"/>
  <c r="K10" i="14"/>
  <c r="W10" i="14" s="1"/>
  <c r="L10" i="14"/>
  <c r="X10" i="14" s="1"/>
  <c r="M10" i="14"/>
  <c r="Y10" i="14" s="1"/>
  <c r="N10" i="14"/>
  <c r="Z10" i="14" s="1"/>
  <c r="O10" i="14"/>
  <c r="AA10" i="14" s="1"/>
  <c r="P10" i="14"/>
  <c r="AB10" i="14" s="1"/>
  <c r="Q10" i="14"/>
  <c r="AC10" i="14" s="1"/>
  <c r="R10" i="14"/>
  <c r="AD10" i="14" s="1"/>
  <c r="I10" i="14"/>
  <c r="U10" i="14" s="1"/>
  <c r="BA18" i="14"/>
  <c r="GM18" i="14" s="1"/>
  <c r="GN18" i="14" s="1"/>
  <c r="BA17" i="14"/>
  <c r="BA16" i="14"/>
  <c r="GM16" i="14" s="1"/>
  <c r="GN16" i="14" s="1"/>
  <c r="BA15" i="14"/>
  <c r="BA14" i="14"/>
  <c r="GM14" i="14" s="1"/>
  <c r="GN14" i="14" s="1"/>
  <c r="BA13" i="14"/>
  <c r="AP18" i="14"/>
  <c r="AP17" i="14"/>
  <c r="AP16" i="14"/>
  <c r="AP15" i="14"/>
  <c r="AP14" i="14"/>
  <c r="AP13" i="14"/>
  <c r="AP12" i="14"/>
  <c r="AP11" i="14"/>
  <c r="AP10" i="14"/>
  <c r="FL18" i="14"/>
  <c r="FK18" i="14"/>
  <c r="FJ18" i="14"/>
  <c r="FI18" i="14"/>
  <c r="FH18" i="14"/>
  <c r="FG18" i="14"/>
  <c r="FF18" i="14"/>
  <c r="FE18" i="14"/>
  <c r="FD18" i="14"/>
  <c r="FC18" i="14"/>
  <c r="FL17" i="14"/>
  <c r="FK17" i="14"/>
  <c r="FJ17" i="14"/>
  <c r="FI17" i="14"/>
  <c r="FH17" i="14"/>
  <c r="FG17" i="14"/>
  <c r="FF17" i="14"/>
  <c r="FE17" i="14"/>
  <c r="FD17" i="14"/>
  <c r="FC17" i="14"/>
  <c r="FL16" i="14"/>
  <c r="FK16" i="14"/>
  <c r="FJ16" i="14"/>
  <c r="FI16" i="14"/>
  <c r="FH16" i="14"/>
  <c r="FG16" i="14"/>
  <c r="FF16" i="14"/>
  <c r="FE16" i="14"/>
  <c r="FD16" i="14"/>
  <c r="FC16" i="14"/>
  <c r="FL15" i="14"/>
  <c r="FK15" i="14"/>
  <c r="FJ15" i="14"/>
  <c r="FI15" i="14"/>
  <c r="FH15" i="14"/>
  <c r="FG15" i="14"/>
  <c r="FF15" i="14"/>
  <c r="FE15" i="14"/>
  <c r="FD15" i="14"/>
  <c r="FC15" i="14"/>
  <c r="FL14" i="14"/>
  <c r="FK14" i="14"/>
  <c r="FJ14" i="14"/>
  <c r="FI14" i="14"/>
  <c r="FH14" i="14"/>
  <c r="FG14" i="14"/>
  <c r="FF14" i="14"/>
  <c r="FE14" i="14"/>
  <c r="FD14" i="14"/>
  <c r="FC14" i="14"/>
  <c r="FL13" i="14"/>
  <c r="FK13" i="14"/>
  <c r="FJ13" i="14"/>
  <c r="FI13" i="14"/>
  <c r="FH13" i="14"/>
  <c r="FG13" i="14"/>
  <c r="FF13" i="14"/>
  <c r="FE13" i="14"/>
  <c r="FD13" i="14"/>
  <c r="FC13" i="14"/>
  <c r="FG12" i="14"/>
  <c r="FF12" i="14"/>
  <c r="FE12" i="14"/>
  <c r="FD12" i="14"/>
  <c r="FC12" i="14"/>
  <c r="FL10" i="14"/>
  <c r="FK10" i="14"/>
  <c r="FJ10" i="14"/>
  <c r="FI10" i="14"/>
  <c r="FH10" i="14"/>
  <c r="AZ12" i="14"/>
  <c r="FL12" i="14" s="1"/>
  <c r="AY12" i="14"/>
  <c r="FK12" i="14" s="1"/>
  <c r="AX12" i="14"/>
  <c r="FJ12" i="14" s="1"/>
  <c r="AW12" i="14"/>
  <c r="FI12" i="14" s="1"/>
  <c r="AV12" i="14"/>
  <c r="FH12" i="14" s="1"/>
  <c r="AZ11" i="14"/>
  <c r="FL11" i="14" s="1"/>
  <c r="AY11" i="14"/>
  <c r="FK11" i="14" s="1"/>
  <c r="AX11" i="14"/>
  <c r="FJ11" i="14" s="1"/>
  <c r="AW11" i="14"/>
  <c r="FI11" i="14" s="1"/>
  <c r="AV11" i="14"/>
  <c r="FH11" i="14" s="1"/>
  <c r="AU11" i="14"/>
  <c r="FG11" i="14" s="1"/>
  <c r="AT11" i="14"/>
  <c r="FF11" i="14" s="1"/>
  <c r="AS11" i="14"/>
  <c r="FE11" i="14" s="1"/>
  <c r="AR11" i="14"/>
  <c r="FD11" i="14" s="1"/>
  <c r="AQ11" i="14"/>
  <c r="FC11" i="14" s="1"/>
  <c r="AU10" i="14"/>
  <c r="AT10" i="14"/>
  <c r="FF10" i="14" s="1"/>
  <c r="AS10" i="14"/>
  <c r="AR10" i="14"/>
  <c r="FD10" i="14" s="1"/>
  <c r="AQ10" i="14"/>
  <c r="EO20" i="14"/>
  <c r="EB20" i="14"/>
  <c r="CN20" i="14"/>
  <c r="AO20" i="14"/>
  <c r="AN20" i="14"/>
  <c r="AM20" i="14"/>
  <c r="AL20" i="14"/>
  <c r="AK20" i="14"/>
  <c r="AJ20" i="14"/>
  <c r="AI20" i="14"/>
  <c r="AH20" i="14"/>
  <c r="AG20" i="14"/>
  <c r="AF20" i="14"/>
  <c r="T20" i="14"/>
  <c r="FV18" i="14"/>
  <c r="FU18" i="14"/>
  <c r="FT18" i="14"/>
  <c r="FS18" i="14"/>
  <c r="BR18" i="14"/>
  <c r="FV17" i="14"/>
  <c r="FU17" i="14"/>
  <c r="FT17" i="14"/>
  <c r="FS17" i="14"/>
  <c r="BR17" i="14"/>
  <c r="FV16" i="14"/>
  <c r="FU16" i="14"/>
  <c r="FT16" i="14"/>
  <c r="FS16" i="14"/>
  <c r="BR16" i="14"/>
  <c r="FV15" i="14"/>
  <c r="FU15" i="14"/>
  <c r="FT15" i="14"/>
  <c r="FS15" i="14"/>
  <c r="BR15" i="14"/>
  <c r="FV14" i="14"/>
  <c r="FU14" i="14"/>
  <c r="FT14" i="14"/>
  <c r="FS14" i="14"/>
  <c r="BR14" i="14"/>
  <c r="FV13" i="14"/>
  <c r="FU13" i="14"/>
  <c r="FT13" i="14"/>
  <c r="FS13" i="14"/>
  <c r="BR13" i="14"/>
  <c r="FV12" i="14"/>
  <c r="FU12" i="14"/>
  <c r="FT12" i="14"/>
  <c r="FS12" i="14"/>
  <c r="CR12" i="14"/>
  <c r="BR12" i="14"/>
  <c r="FV11" i="14"/>
  <c r="FU11" i="14"/>
  <c r="FT11" i="14"/>
  <c r="FS11" i="14"/>
  <c r="CR11" i="14"/>
  <c r="BR11" i="14"/>
  <c r="FV10" i="14"/>
  <c r="FU10" i="14"/>
  <c r="FT10" i="14"/>
  <c r="FS10" i="14"/>
  <c r="CR10" i="14"/>
  <c r="DF10" i="14" s="1"/>
  <c r="BR10" i="14"/>
  <c r="AT52" i="14" l="1"/>
  <c r="AR52" i="14"/>
  <c r="AW52" i="14"/>
  <c r="AQ52" i="14"/>
  <c r="AU52" i="14"/>
  <c r="AY52" i="14"/>
  <c r="AS52" i="14"/>
  <c r="AY36" i="14"/>
  <c r="AT36" i="14"/>
  <c r="AR36" i="14"/>
  <c r="AP52" i="14"/>
  <c r="AD52" i="14"/>
  <c r="X52" i="14"/>
  <c r="Y52" i="14"/>
  <c r="AB36" i="14"/>
  <c r="AS36" i="14"/>
  <c r="FW31" i="14"/>
  <c r="FX31" i="14" s="1"/>
  <c r="FW30" i="14"/>
  <c r="GC30" i="14" s="1"/>
  <c r="FW32" i="14"/>
  <c r="GE32" i="14" s="1"/>
  <c r="FM34" i="14"/>
  <c r="W52" i="14"/>
  <c r="AC52" i="14"/>
  <c r="AQ36" i="14"/>
  <c r="FU36" i="14"/>
  <c r="FM28" i="14"/>
  <c r="S33" i="14"/>
  <c r="FM33" i="14"/>
  <c r="U52" i="14"/>
  <c r="AA52" i="14"/>
  <c r="BA10" i="14"/>
  <c r="GM10" i="14" s="1"/>
  <c r="CT12" i="14"/>
  <c r="CY11" i="14"/>
  <c r="CY18" i="14"/>
  <c r="CW17" i="14"/>
  <c r="CU16" i="14"/>
  <c r="DC14" i="14"/>
  <c r="DA13" i="14"/>
  <c r="AU36" i="14"/>
  <c r="FM31" i="14"/>
  <c r="FM32" i="14"/>
  <c r="CV12" i="14"/>
  <c r="CU11" i="14"/>
  <c r="CW18" i="14"/>
  <c r="CU17" i="14"/>
  <c r="DC15" i="14"/>
  <c r="DA14" i="14"/>
  <c r="CY13" i="14"/>
  <c r="FD26" i="14"/>
  <c r="FD36" i="14" s="1"/>
  <c r="FM30" i="14"/>
  <c r="FW33" i="14"/>
  <c r="GG33" i="14" s="1"/>
  <c r="FW34" i="14"/>
  <c r="GD34" i="14" s="1"/>
  <c r="V52" i="14"/>
  <c r="AB52" i="14"/>
  <c r="AW20" i="14"/>
  <c r="DA10" i="14"/>
  <c r="CU18" i="14"/>
  <c r="DC16" i="14"/>
  <c r="DA15" i="14"/>
  <c r="CY14" i="14"/>
  <c r="CW13" i="14"/>
  <c r="FF26" i="14"/>
  <c r="FF36" i="14" s="1"/>
  <c r="FS36" i="14"/>
  <c r="FW29" i="14"/>
  <c r="GD29" i="14" s="1"/>
  <c r="BA43" i="14"/>
  <c r="CW10" i="14"/>
  <c r="DC17" i="14"/>
  <c r="DA16" i="14"/>
  <c r="CY15" i="14"/>
  <c r="CW14" i="14"/>
  <c r="CU13" i="14"/>
  <c r="DC18" i="14"/>
  <c r="DA17" i="14"/>
  <c r="CY16" i="14"/>
  <c r="CW15" i="14"/>
  <c r="CU14" i="14"/>
  <c r="FM29" i="14"/>
  <c r="DC11" i="14"/>
  <c r="DA18" i="14"/>
  <c r="CY17" i="14"/>
  <c r="CW16" i="14"/>
  <c r="CU15" i="14"/>
  <c r="DC13" i="14"/>
  <c r="AW36" i="14"/>
  <c r="GQ33" i="14"/>
  <c r="Z52" i="14"/>
  <c r="AA36" i="14"/>
  <c r="V36" i="14"/>
  <c r="Z36" i="14"/>
  <c r="AD36" i="14"/>
  <c r="AC29" i="14"/>
  <c r="U33" i="14"/>
  <c r="Y33" i="14"/>
  <c r="Y36" i="14" s="1"/>
  <c r="AC33" i="14"/>
  <c r="S31" i="14"/>
  <c r="U31" i="14"/>
  <c r="AC31" i="14"/>
  <c r="W33" i="14"/>
  <c r="W36" i="14" s="1"/>
  <c r="X34" i="14"/>
  <c r="X36" i="14" s="1"/>
  <c r="BA42" i="14"/>
  <c r="AV52" i="14"/>
  <c r="AX52" i="14"/>
  <c r="AZ52" i="14"/>
  <c r="BA44" i="14"/>
  <c r="HD45" i="14"/>
  <c r="HH45" i="14"/>
  <c r="HD48" i="14"/>
  <c r="HC49" i="14"/>
  <c r="HI49" i="14"/>
  <c r="HE49" i="14"/>
  <c r="HH48" i="14"/>
  <c r="S27" i="14"/>
  <c r="S26" i="14"/>
  <c r="FW26" i="14"/>
  <c r="BA27" i="14"/>
  <c r="GM27" i="14" s="1"/>
  <c r="GN27" i="14" s="1"/>
  <c r="FI27" i="14"/>
  <c r="FI36" i="14" s="1"/>
  <c r="BA28" i="14"/>
  <c r="GM28" i="14" s="1"/>
  <c r="GN28" i="14" s="1"/>
  <c r="GX29" i="14"/>
  <c r="GV29" i="14"/>
  <c r="GT29" i="14"/>
  <c r="GR29" i="14"/>
  <c r="GP29" i="14"/>
  <c r="GQ29" i="14"/>
  <c r="GU29" i="14"/>
  <c r="S30" i="14"/>
  <c r="GW30" i="14"/>
  <c r="GU30" i="14"/>
  <c r="GS30" i="14"/>
  <c r="GQ30" i="14"/>
  <c r="GO30" i="14"/>
  <c r="GR30" i="14"/>
  <c r="GV30" i="14"/>
  <c r="GX31" i="14"/>
  <c r="GV31" i="14"/>
  <c r="GT31" i="14"/>
  <c r="GR31" i="14"/>
  <c r="GP31" i="14"/>
  <c r="GQ31" i="14"/>
  <c r="GU31" i="14"/>
  <c r="S32" i="14"/>
  <c r="GW32" i="14"/>
  <c r="GU32" i="14"/>
  <c r="GS32" i="14"/>
  <c r="GQ32" i="14"/>
  <c r="GO32" i="14"/>
  <c r="GX32" i="14"/>
  <c r="GT32" i="14"/>
  <c r="GP32" i="14"/>
  <c r="GV32" i="14"/>
  <c r="GW34" i="14"/>
  <c r="GU34" i="14"/>
  <c r="GS34" i="14"/>
  <c r="GQ34" i="14"/>
  <c r="GO34" i="14"/>
  <c r="GX34" i="14"/>
  <c r="GT34" i="14"/>
  <c r="GP34" i="14"/>
  <c r="GV34" i="14"/>
  <c r="AP36" i="14"/>
  <c r="BA26" i="14"/>
  <c r="FC26" i="14"/>
  <c r="FE26" i="14"/>
  <c r="FE36" i="14" s="1"/>
  <c r="FG26" i="14"/>
  <c r="FG36" i="14" s="1"/>
  <c r="FT36" i="14"/>
  <c r="FV36" i="14"/>
  <c r="AV36" i="14"/>
  <c r="FH27" i="14"/>
  <c r="AX36" i="14"/>
  <c r="FJ27" i="14"/>
  <c r="FJ36" i="14" s="1"/>
  <c r="AZ36" i="14"/>
  <c r="FL27" i="14"/>
  <c r="FL36" i="14" s="1"/>
  <c r="FK27" i="14"/>
  <c r="FK36" i="14" s="1"/>
  <c r="FW27" i="14"/>
  <c r="S28" i="14"/>
  <c r="FW28" i="14"/>
  <c r="S29" i="14"/>
  <c r="GO29" i="14"/>
  <c r="GS29" i="14"/>
  <c r="GW29" i="14"/>
  <c r="GP30" i="14"/>
  <c r="GT30" i="14"/>
  <c r="GX30" i="14"/>
  <c r="GO31" i="14"/>
  <c r="GS31" i="14"/>
  <c r="GW31" i="14"/>
  <c r="GR32" i="14"/>
  <c r="GX33" i="14"/>
  <c r="GV33" i="14"/>
  <c r="GT33" i="14"/>
  <c r="GR33" i="14"/>
  <c r="GP33" i="14"/>
  <c r="GW33" i="14"/>
  <c r="GS33" i="14"/>
  <c r="GO33" i="14"/>
  <c r="GU33" i="14"/>
  <c r="S34" i="14"/>
  <c r="GR34" i="14"/>
  <c r="CZ12" i="14"/>
  <c r="DA11" i="14"/>
  <c r="CW11" i="14"/>
  <c r="DC10" i="14"/>
  <c r="CY10" i="14"/>
  <c r="CU10" i="14"/>
  <c r="DB18" i="14"/>
  <c r="CZ18" i="14"/>
  <c r="CX18" i="14"/>
  <c r="CV18" i="14"/>
  <c r="CT18" i="14"/>
  <c r="DB17" i="14"/>
  <c r="CZ17" i="14"/>
  <c r="CX17" i="14"/>
  <c r="CV17" i="14"/>
  <c r="CT17" i="14"/>
  <c r="DB16" i="14"/>
  <c r="CZ16" i="14"/>
  <c r="CX16" i="14"/>
  <c r="CV16" i="14"/>
  <c r="CT16" i="14"/>
  <c r="DB15" i="14"/>
  <c r="CZ15" i="14"/>
  <c r="CX15" i="14"/>
  <c r="CV15" i="14"/>
  <c r="CT15" i="14"/>
  <c r="DB14" i="14"/>
  <c r="CZ14" i="14"/>
  <c r="CX14" i="14"/>
  <c r="CV14" i="14"/>
  <c r="CT14" i="14"/>
  <c r="DB13" i="14"/>
  <c r="CZ13" i="14"/>
  <c r="CX13" i="14"/>
  <c r="CV13" i="14"/>
  <c r="CT13" i="14"/>
  <c r="DB12" i="14"/>
  <c r="CX12" i="14"/>
  <c r="DB11" i="14"/>
  <c r="CZ11" i="14"/>
  <c r="CX11" i="14"/>
  <c r="CV11" i="14"/>
  <c r="CT11" i="14"/>
  <c r="DB10" i="14"/>
  <c r="CZ10" i="14"/>
  <c r="CX10" i="14"/>
  <c r="CV10" i="14"/>
  <c r="CT10" i="14"/>
  <c r="BA11" i="14"/>
  <c r="BF10" i="14"/>
  <c r="BF17" i="14"/>
  <c r="BF15" i="14"/>
  <c r="BF13" i="14"/>
  <c r="BF11" i="14"/>
  <c r="BG17" i="14"/>
  <c r="BG15" i="14"/>
  <c r="BG13" i="14"/>
  <c r="BG11" i="14"/>
  <c r="EP14" i="14"/>
  <c r="EP16" i="14"/>
  <c r="BA12" i="14"/>
  <c r="GM12" i="14" s="1"/>
  <c r="GN12" i="14" s="1"/>
  <c r="BF18" i="14"/>
  <c r="BF16" i="14"/>
  <c r="BF14" i="14"/>
  <c r="BF12" i="14"/>
  <c r="BG18" i="14"/>
  <c r="BG16" i="14"/>
  <c r="BG14" i="14"/>
  <c r="BG12" i="14"/>
  <c r="DA12" i="14"/>
  <c r="CY12" i="14"/>
  <c r="CW12" i="14"/>
  <c r="CU12" i="14"/>
  <c r="EQ16" i="14"/>
  <c r="EQ14" i="14"/>
  <c r="ER9" i="14"/>
  <c r="EQ18" i="14"/>
  <c r="EQ17" i="14"/>
  <c r="EQ15" i="14"/>
  <c r="EQ13" i="14"/>
  <c r="EP13" i="14"/>
  <c r="EP15" i="14"/>
  <c r="EP17" i="14"/>
  <c r="EP18" i="14"/>
  <c r="BH9" i="14"/>
  <c r="CA10" i="14"/>
  <c r="BU15" i="14"/>
  <c r="FW15" i="14"/>
  <c r="GE15" i="14" s="1"/>
  <c r="FW18" i="14"/>
  <c r="GD18" i="14" s="1"/>
  <c r="AQ20" i="14"/>
  <c r="AS20" i="14"/>
  <c r="AU20" i="14"/>
  <c r="DP14" i="14"/>
  <c r="FS20" i="14"/>
  <c r="FU20" i="14"/>
  <c r="FW13" i="14"/>
  <c r="GG13" i="14" s="1"/>
  <c r="DP16" i="14"/>
  <c r="AT20" i="14"/>
  <c r="AZ20" i="14"/>
  <c r="BS10" i="14"/>
  <c r="DM10" i="14"/>
  <c r="CB17" i="14"/>
  <c r="DJ17" i="14"/>
  <c r="CB18" i="14"/>
  <c r="FC10" i="14"/>
  <c r="FE10" i="14"/>
  <c r="FG10" i="14"/>
  <c r="V20" i="14"/>
  <c r="Z20" i="14"/>
  <c r="AD20" i="14"/>
  <c r="DI10" i="14"/>
  <c r="CB12" i="14"/>
  <c r="BS15" i="14"/>
  <c r="BW15" i="14"/>
  <c r="CA15" i="14"/>
  <c r="AR20" i="14"/>
  <c r="AV20" i="14"/>
  <c r="AX20" i="14"/>
  <c r="AY20" i="14"/>
  <c r="BW12" i="14"/>
  <c r="DF12" i="14"/>
  <c r="DM12" i="14" s="1"/>
  <c r="CB13" i="14"/>
  <c r="U15" i="14"/>
  <c r="BY15" i="14"/>
  <c r="BU17" i="14"/>
  <c r="BY17" i="14"/>
  <c r="BX18" i="14"/>
  <c r="DP18" i="14"/>
  <c r="DK18" i="14"/>
  <c r="CB10" i="14"/>
  <c r="BW10" i="14"/>
  <c r="BS12" i="14"/>
  <c r="CA12" i="14"/>
  <c r="FW12" i="14"/>
  <c r="GG12" i="14" s="1"/>
  <c r="FW14" i="14"/>
  <c r="GD14" i="14" s="1"/>
  <c r="FW16" i="14"/>
  <c r="GF16" i="14" s="1"/>
  <c r="BS17" i="14"/>
  <c r="BW17" i="14"/>
  <c r="CA17" i="14"/>
  <c r="BT18" i="14"/>
  <c r="DG18" i="14"/>
  <c r="DO18" i="14"/>
  <c r="FW10" i="14"/>
  <c r="CA11" i="14"/>
  <c r="BY11" i="14"/>
  <c r="BW11" i="14"/>
  <c r="BU11" i="14"/>
  <c r="BS11" i="14"/>
  <c r="BV11" i="14"/>
  <c r="BZ11" i="14"/>
  <c r="BS13" i="14"/>
  <c r="U13" i="14"/>
  <c r="W13" i="14"/>
  <c r="W20" i="14" s="1"/>
  <c r="BU13" i="14"/>
  <c r="BW13" i="14"/>
  <c r="Y13" i="14"/>
  <c r="AA13" i="14"/>
  <c r="AA20" i="14" s="1"/>
  <c r="BY13" i="14"/>
  <c r="CA13" i="14"/>
  <c r="AC13" i="14"/>
  <c r="S13" i="14"/>
  <c r="S10" i="14"/>
  <c r="X20" i="14"/>
  <c r="AB20" i="14"/>
  <c r="BU10" i="14"/>
  <c r="BY10" i="14"/>
  <c r="DP10" i="14"/>
  <c r="DN10" i="14"/>
  <c r="DL10" i="14"/>
  <c r="DJ10" i="14"/>
  <c r="DH10" i="14"/>
  <c r="DG10" i="14"/>
  <c r="DK10" i="14"/>
  <c r="DO10" i="14"/>
  <c r="S11" i="14"/>
  <c r="BT11" i="14"/>
  <c r="BX11" i="14"/>
  <c r="CB11" i="14"/>
  <c r="DF11" i="14"/>
  <c r="FW11" i="14"/>
  <c r="U12" i="14"/>
  <c r="S12" i="14"/>
  <c r="BU12" i="14"/>
  <c r="BY12" i="14"/>
  <c r="GM13" i="14"/>
  <c r="GN13" i="14" s="1"/>
  <c r="DO13" i="14"/>
  <c r="DM13" i="14"/>
  <c r="DK13" i="14"/>
  <c r="DI13" i="14"/>
  <c r="DG13" i="14"/>
  <c r="DJ13" i="14"/>
  <c r="DN13" i="14"/>
  <c r="S14" i="14"/>
  <c r="CA14" i="14"/>
  <c r="BY14" i="14"/>
  <c r="BW14" i="14"/>
  <c r="BU14" i="14"/>
  <c r="BS14" i="14"/>
  <c r="BV14" i="14"/>
  <c r="BZ14" i="14"/>
  <c r="DI14" i="14"/>
  <c r="DM14" i="14"/>
  <c r="GX14" i="14"/>
  <c r="GV14" i="14"/>
  <c r="GT14" i="14"/>
  <c r="GR14" i="14"/>
  <c r="GP14" i="14"/>
  <c r="GQ14" i="14"/>
  <c r="GU14" i="14"/>
  <c r="GM15" i="14"/>
  <c r="GN15" i="14" s="1"/>
  <c r="DJ15" i="14"/>
  <c r="U16" i="14"/>
  <c r="DG16" i="14"/>
  <c r="Y16" i="14"/>
  <c r="DK16" i="14"/>
  <c r="AC16" i="14"/>
  <c r="DO16" i="14"/>
  <c r="S16" i="14"/>
  <c r="CA16" i="14"/>
  <c r="BY16" i="14"/>
  <c r="BW16" i="14"/>
  <c r="BU16" i="14"/>
  <c r="BS16" i="14"/>
  <c r="CB16" i="14"/>
  <c r="BX16" i="14"/>
  <c r="BT16" i="14"/>
  <c r="BZ16" i="14"/>
  <c r="DM16" i="14"/>
  <c r="GX16" i="14"/>
  <c r="GV16" i="14"/>
  <c r="GT16" i="14"/>
  <c r="GR16" i="14"/>
  <c r="GP16" i="14"/>
  <c r="GW16" i="14"/>
  <c r="GS16" i="14"/>
  <c r="GO16" i="14"/>
  <c r="GU16" i="14"/>
  <c r="GX18" i="14"/>
  <c r="GV18" i="14"/>
  <c r="GT18" i="14"/>
  <c r="GR18" i="14"/>
  <c r="GP18" i="14"/>
  <c r="GW18" i="14"/>
  <c r="GS18" i="14"/>
  <c r="GO18" i="14"/>
  <c r="GQ18" i="14"/>
  <c r="GU18" i="14"/>
  <c r="AP20" i="14"/>
  <c r="BT10" i="14"/>
  <c r="BV10" i="14"/>
  <c r="BX10" i="14"/>
  <c r="BZ10" i="14"/>
  <c r="FT20" i="14"/>
  <c r="FV20" i="14"/>
  <c r="BT12" i="14"/>
  <c r="BV12" i="14"/>
  <c r="BX12" i="14"/>
  <c r="BZ12" i="14"/>
  <c r="DH13" i="14"/>
  <c r="DL13" i="14"/>
  <c r="DP13" i="14"/>
  <c r="BT14" i="14"/>
  <c r="BX14" i="14"/>
  <c r="CB14" i="14"/>
  <c r="DG14" i="14"/>
  <c r="DK14" i="14"/>
  <c r="DO14" i="14"/>
  <c r="GO14" i="14"/>
  <c r="GS14" i="14"/>
  <c r="GW14" i="14"/>
  <c r="CB15" i="14"/>
  <c r="DO15" i="14"/>
  <c r="DM15" i="14"/>
  <c r="DK15" i="14"/>
  <c r="DI15" i="14"/>
  <c r="DG15" i="14"/>
  <c r="DP15" i="14"/>
  <c r="DL15" i="14"/>
  <c r="DH15" i="14"/>
  <c r="DN15" i="14"/>
  <c r="BV16" i="14"/>
  <c r="DI16" i="14"/>
  <c r="GQ16" i="14"/>
  <c r="GM17" i="14"/>
  <c r="GN17" i="14" s="1"/>
  <c r="DO17" i="14"/>
  <c r="DM17" i="14"/>
  <c r="DK17" i="14"/>
  <c r="DI17" i="14"/>
  <c r="DG17" i="14"/>
  <c r="DP17" i="14"/>
  <c r="DL17" i="14"/>
  <c r="DH17" i="14"/>
  <c r="DN17" i="14"/>
  <c r="BT13" i="14"/>
  <c r="BV13" i="14"/>
  <c r="BX13" i="14"/>
  <c r="BZ13" i="14"/>
  <c r="DH14" i="14"/>
  <c r="DJ14" i="14"/>
  <c r="DL14" i="14"/>
  <c r="DN14" i="14"/>
  <c r="S15" i="14"/>
  <c r="Y15" i="14"/>
  <c r="AC15" i="14"/>
  <c r="S17" i="14"/>
  <c r="BT15" i="14"/>
  <c r="BV15" i="14"/>
  <c r="BX15" i="14"/>
  <c r="BZ15" i="14"/>
  <c r="DH16" i="14"/>
  <c r="DJ16" i="14"/>
  <c r="DL16" i="14"/>
  <c r="DN16" i="14"/>
  <c r="BT17" i="14"/>
  <c r="BV17" i="14"/>
  <c r="BX17" i="14"/>
  <c r="BZ17" i="14"/>
  <c r="FW17" i="14"/>
  <c r="S18" i="14"/>
  <c r="CA18" i="14"/>
  <c r="BY18" i="14"/>
  <c r="BW18" i="14"/>
  <c r="BU18" i="14"/>
  <c r="BS18" i="14"/>
  <c r="BV18" i="14"/>
  <c r="BZ18" i="14"/>
  <c r="DI18" i="14"/>
  <c r="DM18" i="14"/>
  <c r="DH18" i="14"/>
  <c r="DJ18" i="14"/>
  <c r="DL18" i="14"/>
  <c r="DN18" i="14"/>
  <c r="FX34" i="14" l="1"/>
  <c r="HA34" i="14" s="1"/>
  <c r="GA31" i="14"/>
  <c r="HD31" i="14" s="1"/>
  <c r="GD31" i="14"/>
  <c r="HG31" i="14" s="1"/>
  <c r="GA34" i="14"/>
  <c r="HD34" i="14" s="1"/>
  <c r="GE34" i="14"/>
  <c r="HH34" i="14" s="1"/>
  <c r="GF31" i="14"/>
  <c r="HI31" i="14" s="1"/>
  <c r="GC31" i="14"/>
  <c r="HF31" i="14" s="1"/>
  <c r="GE31" i="14"/>
  <c r="HH31" i="14" s="1"/>
  <c r="FZ31" i="14"/>
  <c r="GB31" i="14"/>
  <c r="HE31" i="14" s="1"/>
  <c r="FY31" i="14"/>
  <c r="HB31" i="14" s="1"/>
  <c r="FX30" i="14"/>
  <c r="HA30" i="14" s="1"/>
  <c r="GD13" i="14"/>
  <c r="GF30" i="14"/>
  <c r="HI30" i="14" s="1"/>
  <c r="GE30" i="14"/>
  <c r="HH30" i="14" s="1"/>
  <c r="GG31" i="14"/>
  <c r="HJ31" i="14" s="1"/>
  <c r="GG29" i="14"/>
  <c r="HJ29" i="14" s="1"/>
  <c r="GB30" i="14"/>
  <c r="HE30" i="14" s="1"/>
  <c r="GG30" i="14"/>
  <c r="HJ30" i="14" s="1"/>
  <c r="FY30" i="14"/>
  <c r="HB30" i="14" s="1"/>
  <c r="GC18" i="14"/>
  <c r="HF18" i="14" s="1"/>
  <c r="GD30" i="14"/>
  <c r="HG30" i="14" s="1"/>
  <c r="GA30" i="14"/>
  <c r="HD30" i="14" s="1"/>
  <c r="GC33" i="14"/>
  <c r="HF33" i="14" s="1"/>
  <c r="GB18" i="14"/>
  <c r="HE18" i="14" s="1"/>
  <c r="FZ30" i="14"/>
  <c r="HC30" i="14" s="1"/>
  <c r="FX33" i="14"/>
  <c r="HA33" i="14" s="1"/>
  <c r="DO12" i="14"/>
  <c r="GA32" i="14"/>
  <c r="HD32" i="14" s="1"/>
  <c r="GB32" i="14"/>
  <c r="HE32" i="14" s="1"/>
  <c r="GD32" i="14"/>
  <c r="HG32" i="14" s="1"/>
  <c r="FY33" i="14"/>
  <c r="HB33" i="14" s="1"/>
  <c r="GF33" i="14"/>
  <c r="HI33" i="14" s="1"/>
  <c r="FZ33" i="14"/>
  <c r="HC33" i="14" s="1"/>
  <c r="GE33" i="14"/>
  <c r="HH33" i="14" s="1"/>
  <c r="GB33" i="14"/>
  <c r="HE33" i="14" s="1"/>
  <c r="DR14" i="14"/>
  <c r="BG20" i="14"/>
  <c r="DD10" i="14"/>
  <c r="GA33" i="14"/>
  <c r="HD33" i="14" s="1"/>
  <c r="GD33" i="14"/>
  <c r="HG33" i="14" s="1"/>
  <c r="FY34" i="14"/>
  <c r="HB34" i="14" s="1"/>
  <c r="FZ32" i="14"/>
  <c r="HC32" i="14" s="1"/>
  <c r="GG32" i="14"/>
  <c r="HJ32" i="14" s="1"/>
  <c r="GC29" i="14"/>
  <c r="HF29" i="14" s="1"/>
  <c r="GB34" i="14"/>
  <c r="HE34" i="14" s="1"/>
  <c r="GF34" i="14"/>
  <c r="HI34" i="14" s="1"/>
  <c r="GC34" i="14"/>
  <c r="HF34" i="14" s="1"/>
  <c r="FY32" i="14"/>
  <c r="HB32" i="14" s="1"/>
  <c r="FX29" i="14"/>
  <c r="HA29" i="14" s="1"/>
  <c r="FZ29" i="14"/>
  <c r="HC29" i="14" s="1"/>
  <c r="GA16" i="14"/>
  <c r="HD16" i="14" s="1"/>
  <c r="FZ34" i="14"/>
  <c r="HC34" i="14" s="1"/>
  <c r="GG34" i="14"/>
  <c r="HJ34" i="14" s="1"/>
  <c r="GF32" i="14"/>
  <c r="HI32" i="14" s="1"/>
  <c r="GC32" i="14"/>
  <c r="HF32" i="14" s="1"/>
  <c r="GA29" i="14"/>
  <c r="HD29" i="14" s="1"/>
  <c r="GB29" i="14"/>
  <c r="DR16" i="14"/>
  <c r="FX32" i="14"/>
  <c r="GE29" i="14"/>
  <c r="HH29" i="14" s="1"/>
  <c r="GF29" i="14"/>
  <c r="HI29" i="14" s="1"/>
  <c r="GD16" i="14"/>
  <c r="HG16" i="14" s="1"/>
  <c r="GA12" i="14"/>
  <c r="DD14" i="14"/>
  <c r="DD15" i="14"/>
  <c r="HG29" i="14"/>
  <c r="GF15" i="14"/>
  <c r="FX14" i="14"/>
  <c r="HA14" i="14" s="1"/>
  <c r="GF12" i="14"/>
  <c r="HJ33" i="14"/>
  <c r="FY29" i="14"/>
  <c r="HB29" i="14" s="1"/>
  <c r="U36" i="14"/>
  <c r="AC36" i="14"/>
  <c r="DD11" i="14"/>
  <c r="FM27" i="14"/>
  <c r="DR18" i="14"/>
  <c r="DD16" i="14"/>
  <c r="DD17" i="14"/>
  <c r="DD18" i="14"/>
  <c r="HA45" i="14"/>
  <c r="HI45" i="14"/>
  <c r="HG50" i="14"/>
  <c r="HC50" i="14"/>
  <c r="HG48" i="14"/>
  <c r="HC48" i="14"/>
  <c r="HJ47" i="14"/>
  <c r="HF46" i="14"/>
  <c r="HB46" i="14"/>
  <c r="HE45" i="14"/>
  <c r="HJ48" i="14"/>
  <c r="HC47" i="14"/>
  <c r="HG47" i="14"/>
  <c r="HI50" i="14"/>
  <c r="HE50" i="14"/>
  <c r="HA50" i="14"/>
  <c r="HF50" i="14"/>
  <c r="HB50" i="14"/>
  <c r="HG49" i="14"/>
  <c r="HF48" i="14"/>
  <c r="HB48" i="14"/>
  <c r="HJ49" i="14"/>
  <c r="HF49" i="14"/>
  <c r="HB49" i="14"/>
  <c r="HI48" i="14"/>
  <c r="HE48" i="14"/>
  <c r="HF47" i="14"/>
  <c r="HB47" i="14"/>
  <c r="HD47" i="14"/>
  <c r="HE47" i="14"/>
  <c r="HI47" i="14"/>
  <c r="HH46" i="14"/>
  <c r="HD46" i="14"/>
  <c r="HJ46" i="14"/>
  <c r="HI46" i="14"/>
  <c r="HE46" i="14"/>
  <c r="DR17" i="14"/>
  <c r="HF30" i="14"/>
  <c r="HH50" i="14"/>
  <c r="HD50" i="14"/>
  <c r="HJ50" i="14"/>
  <c r="HH49" i="14"/>
  <c r="HD49" i="14"/>
  <c r="HH47" i="14"/>
  <c r="HG45" i="14"/>
  <c r="HC45" i="14"/>
  <c r="CC49" i="14"/>
  <c r="CC47" i="14"/>
  <c r="HG46" i="14"/>
  <c r="HC46" i="14"/>
  <c r="HJ45" i="14"/>
  <c r="HF45" i="14"/>
  <c r="HB45" i="14"/>
  <c r="CC45" i="14"/>
  <c r="BY52" i="14"/>
  <c r="BU52" i="14"/>
  <c r="BZ52" i="14"/>
  <c r="BV52" i="14"/>
  <c r="CC50" i="14"/>
  <c r="HA48" i="14"/>
  <c r="CC48" i="14"/>
  <c r="HA49" i="14"/>
  <c r="HA47" i="14"/>
  <c r="HA46" i="14"/>
  <c r="CC46" i="14"/>
  <c r="BW52" i="14"/>
  <c r="BS52" i="14"/>
  <c r="CC42" i="14"/>
  <c r="CC44" i="14"/>
  <c r="CC43" i="14"/>
  <c r="CB52" i="14"/>
  <c r="BX52" i="14"/>
  <c r="BT52" i="14"/>
  <c r="BA52" i="14"/>
  <c r="CA52" i="14"/>
  <c r="CC33" i="14"/>
  <c r="CC29" i="14"/>
  <c r="GY29" i="14"/>
  <c r="GG28" i="14"/>
  <c r="GE28" i="14"/>
  <c r="GC28" i="14"/>
  <c r="GA28" i="14"/>
  <c r="FY28" i="14"/>
  <c r="GF28" i="14"/>
  <c r="GB28" i="14"/>
  <c r="FX28" i="14"/>
  <c r="GD28" i="14"/>
  <c r="FZ28" i="14"/>
  <c r="CC31" i="14"/>
  <c r="HG34" i="14"/>
  <c r="HH32" i="14"/>
  <c r="GY31" i="14"/>
  <c r="HA31" i="14"/>
  <c r="CC34" i="14"/>
  <c r="GY33" i="14"/>
  <c r="CC28" i="14"/>
  <c r="CC27" i="14"/>
  <c r="FC36" i="14"/>
  <c r="FM26" i="14"/>
  <c r="BX36" i="14"/>
  <c r="BT36" i="14"/>
  <c r="GY32" i="14"/>
  <c r="CC32" i="14"/>
  <c r="GW27" i="14"/>
  <c r="GU27" i="14"/>
  <c r="GS27" i="14"/>
  <c r="GQ27" i="14"/>
  <c r="GO27" i="14"/>
  <c r="GV27" i="14"/>
  <c r="GR27" i="14"/>
  <c r="GX27" i="14"/>
  <c r="GT27" i="14"/>
  <c r="GP27" i="14"/>
  <c r="FH36" i="14"/>
  <c r="CA36" i="14"/>
  <c r="BU36" i="14"/>
  <c r="BW36" i="14"/>
  <c r="GG27" i="14"/>
  <c r="GE27" i="14"/>
  <c r="GC27" i="14"/>
  <c r="GA27" i="14"/>
  <c r="FY27" i="14"/>
  <c r="GF27" i="14"/>
  <c r="GB27" i="14"/>
  <c r="FX27" i="14"/>
  <c r="GD27" i="14"/>
  <c r="FZ27" i="14"/>
  <c r="BZ36" i="14"/>
  <c r="BV36" i="14"/>
  <c r="BA36" i="14"/>
  <c r="GM26" i="14"/>
  <c r="GY34" i="14"/>
  <c r="GY30" i="14"/>
  <c r="CC30" i="14"/>
  <c r="GW28" i="14"/>
  <c r="GU28" i="14"/>
  <c r="GS28" i="14"/>
  <c r="GQ28" i="14"/>
  <c r="GO28" i="14"/>
  <c r="GV28" i="14"/>
  <c r="GR28" i="14"/>
  <c r="GX28" i="14"/>
  <c r="GT28" i="14"/>
  <c r="GP28" i="14"/>
  <c r="FW36" i="14"/>
  <c r="GF26" i="14"/>
  <c r="GD26" i="14"/>
  <c r="GB26" i="14"/>
  <c r="FZ26" i="14"/>
  <c r="FX26" i="14"/>
  <c r="GG26" i="14"/>
  <c r="GC26" i="14"/>
  <c r="GE26" i="14"/>
  <c r="GA26" i="14"/>
  <c r="FY26" i="14"/>
  <c r="BY36" i="14"/>
  <c r="BS36" i="14"/>
  <c r="CC26" i="14"/>
  <c r="CB36" i="14"/>
  <c r="CE17" i="14"/>
  <c r="CE15" i="14"/>
  <c r="GG15" i="14"/>
  <c r="DR13" i="14"/>
  <c r="CD12" i="14"/>
  <c r="BA20" i="14"/>
  <c r="BF20" i="14"/>
  <c r="CD17" i="14"/>
  <c r="GE18" i="14"/>
  <c r="HH18" i="14" s="1"/>
  <c r="FX18" i="14"/>
  <c r="HA18" i="14" s="1"/>
  <c r="GF18" i="14"/>
  <c r="HI18" i="14" s="1"/>
  <c r="DH12" i="14"/>
  <c r="CE11" i="14"/>
  <c r="GE14" i="14"/>
  <c r="HH14" i="14" s="1"/>
  <c r="GF14" i="14"/>
  <c r="HI14" i="14" s="1"/>
  <c r="DG12" i="14"/>
  <c r="DR12" i="14" s="1"/>
  <c r="GM11" i="14"/>
  <c r="GN11" i="14" s="1"/>
  <c r="GU11" i="14" s="1"/>
  <c r="GF13" i="14"/>
  <c r="CD13" i="14"/>
  <c r="DT13" i="14"/>
  <c r="CD16" i="14"/>
  <c r="DU18" i="14"/>
  <c r="CE13" i="14"/>
  <c r="CE14" i="14"/>
  <c r="CE12" i="14"/>
  <c r="CE16" i="14"/>
  <c r="FY15" i="14"/>
  <c r="GA13" i="14"/>
  <c r="GG16" i="14"/>
  <c r="HJ16" i="14" s="1"/>
  <c r="CE18" i="14"/>
  <c r="DR10" i="14"/>
  <c r="CD14" i="14"/>
  <c r="CD18" i="14"/>
  <c r="CD11" i="14"/>
  <c r="CD15" i="14"/>
  <c r="DU17" i="14"/>
  <c r="DR15" i="14"/>
  <c r="DV14" i="14"/>
  <c r="DU15" i="14"/>
  <c r="DY18" i="14"/>
  <c r="DU16" i="14"/>
  <c r="DT14" i="14"/>
  <c r="EA10" i="14"/>
  <c r="DY17" i="14"/>
  <c r="DS17" i="14"/>
  <c r="DT17" i="14"/>
  <c r="DT18" i="14"/>
  <c r="DS14" i="14"/>
  <c r="BH10" i="14"/>
  <c r="CF10" i="14" s="1"/>
  <c r="BH12" i="14"/>
  <c r="BH14" i="14"/>
  <c r="BH16" i="14"/>
  <c r="BH18" i="14"/>
  <c r="BH11" i="14"/>
  <c r="BH13" i="14"/>
  <c r="BH15" i="14"/>
  <c r="BH17" i="14"/>
  <c r="DW10" i="14"/>
  <c r="DS10" i="14"/>
  <c r="DV10" i="14"/>
  <c r="DS15" i="14"/>
  <c r="EA15" i="14"/>
  <c r="DW16" i="14"/>
  <c r="EA17" i="14"/>
  <c r="DW18" i="14"/>
  <c r="DX18" i="14"/>
  <c r="DX17" i="14"/>
  <c r="DX16" i="14"/>
  <c r="DT16" i="14"/>
  <c r="DX15" i="14"/>
  <c r="DT15" i="14"/>
  <c r="DY15" i="14"/>
  <c r="DY14" i="14"/>
  <c r="EA14" i="14"/>
  <c r="DX14" i="14"/>
  <c r="DY16" i="14"/>
  <c r="HI16" i="14"/>
  <c r="DY10" i="14"/>
  <c r="DU10" i="14"/>
  <c r="DX10" i="14"/>
  <c r="DT10" i="14"/>
  <c r="DW15" i="14"/>
  <c r="DS16" i="14"/>
  <c r="EA16" i="14"/>
  <c r="DW17" i="14"/>
  <c r="DS18" i="14"/>
  <c r="EA18" i="14"/>
  <c r="DZ18" i="14"/>
  <c r="DV18" i="14"/>
  <c r="DZ17" i="14"/>
  <c r="DV17" i="14"/>
  <c r="DZ16" i="14"/>
  <c r="DV16" i="14"/>
  <c r="DZ15" i="14"/>
  <c r="DV15" i="14"/>
  <c r="DZ10" i="14"/>
  <c r="DU14" i="14"/>
  <c r="DW14" i="14"/>
  <c r="DZ14" i="14"/>
  <c r="DS13" i="14"/>
  <c r="CE10" i="14"/>
  <c r="CD10" i="14"/>
  <c r="ES9" i="14"/>
  <c r="ER18" i="14"/>
  <c r="ER17" i="14"/>
  <c r="ER15" i="14"/>
  <c r="ER13" i="14"/>
  <c r="ER16" i="14"/>
  <c r="ER14" i="14"/>
  <c r="BI9" i="14"/>
  <c r="Y20" i="14"/>
  <c r="GA18" i="14"/>
  <c r="HD18" i="14" s="1"/>
  <c r="FY18" i="14"/>
  <c r="HB18" i="14" s="1"/>
  <c r="GG18" i="14"/>
  <c r="HJ18" i="14" s="1"/>
  <c r="FZ18" i="14"/>
  <c r="HC18" i="14" s="1"/>
  <c r="DP12" i="14"/>
  <c r="DN12" i="14"/>
  <c r="DK12" i="14"/>
  <c r="CC15" i="14"/>
  <c r="HG18" i="14"/>
  <c r="FZ15" i="14"/>
  <c r="GC15" i="14"/>
  <c r="HG14" i="14"/>
  <c r="FX13" i="14"/>
  <c r="GE13" i="14"/>
  <c r="FY16" i="14"/>
  <c r="HB16" i="14" s="1"/>
  <c r="FZ16" i="14"/>
  <c r="HC16" i="14" s="1"/>
  <c r="GD12" i="14"/>
  <c r="GC14" i="14"/>
  <c r="HF14" i="14" s="1"/>
  <c r="GB14" i="14"/>
  <c r="HE14" i="14" s="1"/>
  <c r="FX12" i="14"/>
  <c r="GE12" i="14"/>
  <c r="GB15" i="14"/>
  <c r="FZ13" i="14"/>
  <c r="FX15" i="14"/>
  <c r="GD15" i="14"/>
  <c r="GA15" i="14"/>
  <c r="GB13" i="14"/>
  <c r="FY13" i="14"/>
  <c r="GC13" i="14"/>
  <c r="CB20" i="14"/>
  <c r="AC20" i="14"/>
  <c r="GE16" i="14"/>
  <c r="HH16" i="14" s="1"/>
  <c r="GC16" i="14"/>
  <c r="HF16" i="14" s="1"/>
  <c r="FX16" i="14"/>
  <c r="HA16" i="14" s="1"/>
  <c r="GB16" i="14"/>
  <c r="FZ12" i="14"/>
  <c r="DL12" i="14"/>
  <c r="GA14" i="14"/>
  <c r="HD14" i="14" s="1"/>
  <c r="FY14" i="14"/>
  <c r="HB14" i="14" s="1"/>
  <c r="GG14" i="14"/>
  <c r="HJ14" i="14" s="1"/>
  <c r="FZ14" i="14"/>
  <c r="HC14" i="14" s="1"/>
  <c r="CA20" i="14"/>
  <c r="GB12" i="14"/>
  <c r="FY12" i="14"/>
  <c r="GC12" i="14"/>
  <c r="DJ12" i="14"/>
  <c r="DI12" i="14"/>
  <c r="BY20" i="14"/>
  <c r="CC17" i="14"/>
  <c r="BZ20" i="14"/>
  <c r="BV20" i="14"/>
  <c r="U20" i="14"/>
  <c r="BW20" i="14"/>
  <c r="CC18" i="14"/>
  <c r="FM18" i="14"/>
  <c r="GY14" i="14"/>
  <c r="DQ14" i="14"/>
  <c r="GY18" i="14"/>
  <c r="GW15" i="14"/>
  <c r="GU15" i="14"/>
  <c r="GS15" i="14"/>
  <c r="GQ15" i="14"/>
  <c r="GO15" i="14"/>
  <c r="GX15" i="14"/>
  <c r="GT15" i="14"/>
  <c r="GP15" i="14"/>
  <c r="GV15" i="14"/>
  <c r="HH15" i="14" s="1"/>
  <c r="GR15" i="14"/>
  <c r="FM14" i="14"/>
  <c r="FM13" i="14"/>
  <c r="CC12" i="14"/>
  <c r="GG11" i="14"/>
  <c r="GE11" i="14"/>
  <c r="GC11" i="14"/>
  <c r="GA11" i="14"/>
  <c r="FY11" i="14"/>
  <c r="GF11" i="14"/>
  <c r="GB11" i="14"/>
  <c r="FX11" i="14"/>
  <c r="GD11" i="14"/>
  <c r="FZ11" i="14"/>
  <c r="CC13" i="14"/>
  <c r="GW12" i="14"/>
  <c r="GU12" i="14"/>
  <c r="GS12" i="14"/>
  <c r="GQ12" i="14"/>
  <c r="GO12" i="14"/>
  <c r="GX12" i="14"/>
  <c r="GT12" i="14"/>
  <c r="GP12" i="14"/>
  <c r="GV12" i="14"/>
  <c r="GR12" i="14"/>
  <c r="GN10" i="14"/>
  <c r="CT20" i="14"/>
  <c r="BS20" i="14"/>
  <c r="GG17" i="14"/>
  <c r="GE17" i="14"/>
  <c r="GC17" i="14"/>
  <c r="GA17" i="14"/>
  <c r="FY17" i="14"/>
  <c r="GF17" i="14"/>
  <c r="GB17" i="14"/>
  <c r="FX17" i="14"/>
  <c r="GD17" i="14"/>
  <c r="FZ17" i="14"/>
  <c r="DQ18" i="14"/>
  <c r="DQ17" i="14"/>
  <c r="GW17" i="14"/>
  <c r="GU17" i="14"/>
  <c r="GS17" i="14"/>
  <c r="GQ17" i="14"/>
  <c r="GO17" i="14"/>
  <c r="GV17" i="14"/>
  <c r="GR17" i="14"/>
  <c r="GX17" i="14"/>
  <c r="GP17" i="14"/>
  <c r="GT17" i="14"/>
  <c r="DQ15" i="14"/>
  <c r="BX20" i="14"/>
  <c r="BT20" i="14"/>
  <c r="GY16" i="14"/>
  <c r="FM16" i="14"/>
  <c r="CC16" i="14"/>
  <c r="DQ16" i="14"/>
  <c r="CC14" i="14"/>
  <c r="DQ13" i="14"/>
  <c r="GW13" i="14"/>
  <c r="GU13" i="14"/>
  <c r="GS13" i="14"/>
  <c r="GQ13" i="14"/>
  <c r="GO13" i="14"/>
  <c r="GX13" i="14"/>
  <c r="HJ13" i="14" s="1"/>
  <c r="GT13" i="14"/>
  <c r="GP13" i="14"/>
  <c r="GV13" i="14"/>
  <c r="GR13" i="14"/>
  <c r="DO11" i="14"/>
  <c r="DM11" i="14"/>
  <c r="DM20" i="14" s="1"/>
  <c r="DK11" i="14"/>
  <c r="DI11" i="14"/>
  <c r="DG11" i="14"/>
  <c r="DN11" i="14"/>
  <c r="DJ11" i="14"/>
  <c r="DP11" i="14"/>
  <c r="DL11" i="14"/>
  <c r="DH11" i="14"/>
  <c r="DQ10" i="14"/>
  <c r="CC10" i="14"/>
  <c r="BU20" i="14"/>
  <c r="FM12" i="14"/>
  <c r="CC11" i="14"/>
  <c r="FW20" i="14"/>
  <c r="GF10" i="14"/>
  <c r="GD10" i="14"/>
  <c r="GB10" i="14"/>
  <c r="FZ10" i="14"/>
  <c r="FX10" i="14"/>
  <c r="GG10" i="14"/>
  <c r="GC10" i="14"/>
  <c r="FY10" i="14"/>
  <c r="GE10" i="14"/>
  <c r="GA10" i="14"/>
  <c r="HC13" i="14" l="1"/>
  <c r="DO20" i="14"/>
  <c r="GH31" i="14"/>
  <c r="HC31" i="14"/>
  <c r="HK31" i="14" s="1"/>
  <c r="HD13" i="14"/>
  <c r="HG13" i="14"/>
  <c r="GH30" i="14"/>
  <c r="FM36" i="14"/>
  <c r="HJ15" i="14"/>
  <c r="GH29" i="14"/>
  <c r="GH33" i="14"/>
  <c r="GH32" i="14"/>
  <c r="HI15" i="14"/>
  <c r="HE29" i="14"/>
  <c r="HK29" i="14" s="1"/>
  <c r="GT11" i="14"/>
  <c r="GF36" i="14"/>
  <c r="GW11" i="14"/>
  <c r="GM20" i="14"/>
  <c r="HA32" i="14"/>
  <c r="HK32" i="14" s="1"/>
  <c r="GH34" i="14"/>
  <c r="GA36" i="14"/>
  <c r="GC36" i="14"/>
  <c r="GB36" i="14"/>
  <c r="GO11" i="14"/>
  <c r="GR11" i="14"/>
  <c r="GS11" i="14"/>
  <c r="FY36" i="14"/>
  <c r="GE36" i="14"/>
  <c r="GG36" i="14"/>
  <c r="FZ36" i="14"/>
  <c r="GD36" i="14"/>
  <c r="HE43" i="14"/>
  <c r="CC36" i="14"/>
  <c r="HK46" i="14"/>
  <c r="HK49" i="14"/>
  <c r="HK48" i="14"/>
  <c r="HK50" i="14"/>
  <c r="HK47" i="14"/>
  <c r="HK45" i="14"/>
  <c r="HK34" i="14"/>
  <c r="HK33" i="14"/>
  <c r="GP11" i="14"/>
  <c r="GX11" i="14"/>
  <c r="GV11" i="14"/>
  <c r="GQ11" i="14"/>
  <c r="HA43" i="14"/>
  <c r="HB43" i="14"/>
  <c r="HD43" i="14"/>
  <c r="HI43" i="14"/>
  <c r="CC52" i="14"/>
  <c r="HD27" i="14"/>
  <c r="HB27" i="14"/>
  <c r="GH28" i="14"/>
  <c r="FX36" i="14"/>
  <c r="GH26" i="14"/>
  <c r="HJ27" i="14"/>
  <c r="GY28" i="14"/>
  <c r="HK30" i="14"/>
  <c r="GM36" i="14"/>
  <c r="GN26" i="14"/>
  <c r="GH27" i="14"/>
  <c r="HI27" i="14"/>
  <c r="GY27" i="14"/>
  <c r="HI13" i="14"/>
  <c r="DV13" i="14"/>
  <c r="DU13" i="14"/>
  <c r="DG20" i="14"/>
  <c r="DR11" i="14"/>
  <c r="HB15" i="14"/>
  <c r="BI11" i="14"/>
  <c r="CG11" i="14" s="1"/>
  <c r="BI13" i="14"/>
  <c r="BI15" i="14"/>
  <c r="CG15" i="14" s="1"/>
  <c r="BI17" i="14"/>
  <c r="BI10" i="14"/>
  <c r="BI12" i="14"/>
  <c r="CG12" i="14" s="1"/>
  <c r="BI14" i="14"/>
  <c r="CG14" i="14" s="1"/>
  <c r="BI16" i="14"/>
  <c r="BI18" i="14"/>
  <c r="CG18" i="14" s="1"/>
  <c r="CF15" i="14"/>
  <c r="CF11" i="14"/>
  <c r="CF16" i="14"/>
  <c r="CF12" i="14"/>
  <c r="DH20" i="14"/>
  <c r="DV11" i="14"/>
  <c r="DZ11" i="14"/>
  <c r="DW11" i="14"/>
  <c r="DU11" i="14"/>
  <c r="DT11" i="14"/>
  <c r="DX11" i="14"/>
  <c r="DS11" i="14"/>
  <c r="EA11" i="14"/>
  <c r="DY11" i="14"/>
  <c r="CU20" i="14"/>
  <c r="DS12" i="14"/>
  <c r="HJ17" i="14"/>
  <c r="HG17" i="14"/>
  <c r="CF17" i="14"/>
  <c r="CF13" i="14"/>
  <c r="CF18" i="14"/>
  <c r="CF14" i="14"/>
  <c r="ES16" i="14"/>
  <c r="ES14" i="14"/>
  <c r="ET9" i="14"/>
  <c r="ES18" i="14"/>
  <c r="ES17" i="14"/>
  <c r="ES15" i="14"/>
  <c r="ES13" i="14"/>
  <c r="BH20" i="14"/>
  <c r="EG10" i="14"/>
  <c r="BJ9" i="14"/>
  <c r="DJ20" i="14"/>
  <c r="DK20" i="14"/>
  <c r="DI20" i="14"/>
  <c r="EE10" i="14"/>
  <c r="EP10" i="14" s="1"/>
  <c r="HK18" i="14"/>
  <c r="GH18" i="14"/>
  <c r="HK14" i="14"/>
  <c r="HD15" i="14"/>
  <c r="HA17" i="14"/>
  <c r="HI17" i="14"/>
  <c r="HD17" i="14"/>
  <c r="HB17" i="14"/>
  <c r="HE13" i="14"/>
  <c r="HA13" i="14"/>
  <c r="HC15" i="14"/>
  <c r="HC17" i="14"/>
  <c r="HH17" i="14"/>
  <c r="HB13" i="14"/>
  <c r="HA15" i="14"/>
  <c r="DP20" i="14"/>
  <c r="HE17" i="14"/>
  <c r="HF17" i="14"/>
  <c r="HF13" i="14"/>
  <c r="HG15" i="14"/>
  <c r="HH13" i="14"/>
  <c r="HF15" i="14"/>
  <c r="GE20" i="14"/>
  <c r="GC20" i="14"/>
  <c r="GB20" i="14"/>
  <c r="GF20" i="14"/>
  <c r="DQ12" i="14"/>
  <c r="GH14" i="14"/>
  <c r="GH16" i="14"/>
  <c r="GH13" i="14"/>
  <c r="GH15" i="14"/>
  <c r="HE15" i="14"/>
  <c r="HE16" i="14"/>
  <c r="HK16" i="14" s="1"/>
  <c r="DL20" i="14"/>
  <c r="GH12" i="14"/>
  <c r="GA20" i="14"/>
  <c r="FZ20" i="14"/>
  <c r="FH20" i="14"/>
  <c r="CE20" i="14"/>
  <c r="EF10" i="14"/>
  <c r="FX20" i="14"/>
  <c r="GH10" i="14"/>
  <c r="GY13" i="14"/>
  <c r="GY17" i="14"/>
  <c r="FJ20" i="14"/>
  <c r="FC20" i="14"/>
  <c r="FM10" i="14"/>
  <c r="FG20" i="14"/>
  <c r="FK20" i="14"/>
  <c r="GN20" i="14"/>
  <c r="GX10" i="14"/>
  <c r="GV10" i="14"/>
  <c r="GT10" i="14"/>
  <c r="GR10" i="14"/>
  <c r="GP10" i="14"/>
  <c r="GW10" i="14"/>
  <c r="GS10" i="14"/>
  <c r="GO10" i="14"/>
  <c r="GU10" i="14"/>
  <c r="GU20" i="14" s="1"/>
  <c r="GQ10" i="14"/>
  <c r="FM11" i="14"/>
  <c r="GY15" i="14"/>
  <c r="FY20" i="14"/>
  <c r="GG20" i="14"/>
  <c r="GD20" i="14"/>
  <c r="CC20" i="14"/>
  <c r="DN20" i="14"/>
  <c r="DQ11" i="14"/>
  <c r="FM15" i="14"/>
  <c r="CD20" i="14"/>
  <c r="GH17" i="14"/>
  <c r="FF20" i="14"/>
  <c r="FD20" i="14"/>
  <c r="FL20" i="14"/>
  <c r="FE20" i="14"/>
  <c r="FI20" i="14"/>
  <c r="GY12" i="14"/>
  <c r="GH11" i="14"/>
  <c r="DT12" i="14"/>
  <c r="FM17" i="14"/>
  <c r="GT20" i="14" l="1"/>
  <c r="GR20" i="14"/>
  <c r="GV20" i="14"/>
  <c r="GW20" i="14"/>
  <c r="GS20" i="14"/>
  <c r="GY11" i="14"/>
  <c r="GQ20" i="14"/>
  <c r="GP20" i="14"/>
  <c r="HF27" i="14"/>
  <c r="HH43" i="14"/>
  <c r="HE28" i="14"/>
  <c r="HH27" i="14"/>
  <c r="HA28" i="14"/>
  <c r="HC44" i="14"/>
  <c r="GX20" i="14"/>
  <c r="HG44" i="14"/>
  <c r="HA44" i="14"/>
  <c r="HI44" i="14"/>
  <c r="HG43" i="14"/>
  <c r="HC43" i="14"/>
  <c r="HD42" i="14"/>
  <c r="HF43" i="14"/>
  <c r="HB44" i="14"/>
  <c r="HD44" i="14"/>
  <c r="HJ43" i="14"/>
  <c r="HG42" i="14"/>
  <c r="HA42" i="14"/>
  <c r="HE44" i="14"/>
  <c r="HH44" i="14"/>
  <c r="HJ44" i="14"/>
  <c r="HI42" i="14"/>
  <c r="HF44" i="14"/>
  <c r="HB28" i="14"/>
  <c r="HI28" i="14"/>
  <c r="HD28" i="14"/>
  <c r="HF28" i="14"/>
  <c r="HA27" i="14"/>
  <c r="HC27" i="14"/>
  <c r="HE27" i="14"/>
  <c r="HC28" i="14"/>
  <c r="HG27" i="14"/>
  <c r="GN36" i="14"/>
  <c r="GX26" i="14"/>
  <c r="GX36" i="14" s="1"/>
  <c r="GV26" i="14"/>
  <c r="GV36" i="14" s="1"/>
  <c r="GT26" i="14"/>
  <c r="GT36" i="14" s="1"/>
  <c r="GR26" i="14"/>
  <c r="GR36" i="14" s="1"/>
  <c r="GP26" i="14"/>
  <c r="GP36" i="14" s="1"/>
  <c r="GU26" i="14"/>
  <c r="GS26" i="14"/>
  <c r="GO26" i="14"/>
  <c r="HA26" i="14" s="1"/>
  <c r="GW26" i="14"/>
  <c r="GW36" i="14" s="1"/>
  <c r="GQ26" i="14"/>
  <c r="GH36" i="14"/>
  <c r="HJ28" i="14"/>
  <c r="DW13" i="14"/>
  <c r="BJ10" i="14"/>
  <c r="CH10" i="14" s="1"/>
  <c r="BJ12" i="14"/>
  <c r="BJ14" i="14"/>
  <c r="BJ16" i="14"/>
  <c r="BJ18" i="14"/>
  <c r="BJ11" i="14"/>
  <c r="BJ13" i="14"/>
  <c r="BJ15" i="14"/>
  <c r="BJ17" i="14"/>
  <c r="CG13" i="14"/>
  <c r="CG17" i="14"/>
  <c r="CG16" i="14"/>
  <c r="CG10" i="14"/>
  <c r="CF20" i="14"/>
  <c r="EU9" i="14"/>
  <c r="ET18" i="14"/>
  <c r="ET17" i="14"/>
  <c r="ET15" i="14"/>
  <c r="ET13" i="14"/>
  <c r="ET16" i="14"/>
  <c r="ET14" i="14"/>
  <c r="BK9" i="14"/>
  <c r="EH11" i="14"/>
  <c r="ES11" i="14" s="1"/>
  <c r="BI20" i="14"/>
  <c r="HA10" i="14"/>
  <c r="DQ20" i="14"/>
  <c r="HK17" i="14"/>
  <c r="HK15" i="14"/>
  <c r="HK13" i="14"/>
  <c r="HC10" i="14"/>
  <c r="HB10" i="14"/>
  <c r="GH20" i="14"/>
  <c r="ER10" i="14"/>
  <c r="EF11" i="14"/>
  <c r="EG11" i="14"/>
  <c r="FM20" i="14"/>
  <c r="EE11" i="14"/>
  <c r="HA11" i="14" s="1"/>
  <c r="CV20" i="14"/>
  <c r="GO20" i="14"/>
  <c r="GY10" i="14"/>
  <c r="EQ10" i="14"/>
  <c r="HI52" i="14" l="1"/>
  <c r="GY20" i="14"/>
  <c r="HG52" i="14"/>
  <c r="HB26" i="14"/>
  <c r="HB36" i="14" s="1"/>
  <c r="HK43" i="14"/>
  <c r="HJ26" i="14"/>
  <c r="HJ36" i="14" s="1"/>
  <c r="HB42" i="14"/>
  <c r="HB52" i="14" s="1"/>
  <c r="HF42" i="14"/>
  <c r="HF52" i="14" s="1"/>
  <c r="HJ42" i="14"/>
  <c r="HJ52" i="14" s="1"/>
  <c r="HC42" i="14"/>
  <c r="HC52" i="14" s="1"/>
  <c r="HK44" i="14"/>
  <c r="HA52" i="14"/>
  <c r="HD52" i="14"/>
  <c r="HE42" i="14"/>
  <c r="HE52" i="14" s="1"/>
  <c r="HH42" i="14"/>
  <c r="HH52" i="14" s="1"/>
  <c r="HA36" i="14"/>
  <c r="GS36" i="14"/>
  <c r="HE26" i="14"/>
  <c r="HE36" i="14" s="1"/>
  <c r="HD26" i="14"/>
  <c r="HD36" i="14" s="1"/>
  <c r="HH26" i="14"/>
  <c r="HK27" i="14"/>
  <c r="GQ36" i="14"/>
  <c r="HC26" i="14"/>
  <c r="HC36" i="14" s="1"/>
  <c r="GO36" i="14"/>
  <c r="GY26" i="14"/>
  <c r="GY36" i="14" s="1"/>
  <c r="GU36" i="14"/>
  <c r="HG26" i="14"/>
  <c r="HH28" i="14"/>
  <c r="HG28" i="14"/>
  <c r="HF26" i="14"/>
  <c r="HF36" i="14" s="1"/>
  <c r="HI26" i="14"/>
  <c r="HI36" i="14" s="1"/>
  <c r="DY13" i="14"/>
  <c r="DX13" i="14"/>
  <c r="DZ13" i="14"/>
  <c r="CH15" i="14"/>
  <c r="CH11" i="14"/>
  <c r="EI11" i="14" s="1"/>
  <c r="HE11" i="14" s="1"/>
  <c r="CH16" i="14"/>
  <c r="DV12" i="14"/>
  <c r="DU12" i="14"/>
  <c r="BK11" i="14"/>
  <c r="BK13" i="14"/>
  <c r="BK15" i="14"/>
  <c r="BK17" i="14"/>
  <c r="CI17" i="14" s="1"/>
  <c r="BK10" i="14"/>
  <c r="BK12" i="14"/>
  <c r="CI12" i="14" s="1"/>
  <c r="BK14" i="14"/>
  <c r="CI14" i="14" s="1"/>
  <c r="BK16" i="14"/>
  <c r="CI16" i="14" s="1"/>
  <c r="BK18" i="14"/>
  <c r="CI18" i="14" s="1"/>
  <c r="CH12" i="14"/>
  <c r="CH17" i="14"/>
  <c r="CH13" i="14"/>
  <c r="CH18" i="14"/>
  <c r="CH14" i="14"/>
  <c r="EU16" i="14"/>
  <c r="EU14" i="14"/>
  <c r="EV9" i="14"/>
  <c r="EU18" i="14"/>
  <c r="EU17" i="14"/>
  <c r="EU15" i="14"/>
  <c r="EU13" i="14"/>
  <c r="HD11" i="14"/>
  <c r="CG20" i="14"/>
  <c r="EH10" i="14"/>
  <c r="BJ20" i="14"/>
  <c r="BL9" i="14"/>
  <c r="ER11" i="14"/>
  <c r="HC11" i="14"/>
  <c r="EQ11" i="14"/>
  <c r="HB11" i="14"/>
  <c r="CX20" i="14"/>
  <c r="CY20" i="14"/>
  <c r="EP11" i="14"/>
  <c r="CW20" i="14"/>
  <c r="HK28" i="14" l="1"/>
  <c r="HK42" i="14"/>
  <c r="HK52" i="14" s="1"/>
  <c r="HK26" i="14"/>
  <c r="HG36" i="14"/>
  <c r="HH36" i="14"/>
  <c r="DD13" i="14"/>
  <c r="EA13" i="14"/>
  <c r="ET11" i="14"/>
  <c r="CI13" i="14"/>
  <c r="CI15" i="14"/>
  <c r="BL10" i="14"/>
  <c r="CJ10" i="14" s="1"/>
  <c r="BL12" i="14"/>
  <c r="BL14" i="14"/>
  <c r="BL16" i="14"/>
  <c r="BL18" i="14"/>
  <c r="BL11" i="14"/>
  <c r="BL13" i="14"/>
  <c r="BL15" i="14"/>
  <c r="CJ15" i="14" s="1"/>
  <c r="BL17" i="14"/>
  <c r="CI10" i="14"/>
  <c r="DW12" i="14"/>
  <c r="CI11" i="14"/>
  <c r="EJ11" i="14" s="1"/>
  <c r="EW9" i="14"/>
  <c r="EV18" i="14"/>
  <c r="EV17" i="14"/>
  <c r="EV15" i="14"/>
  <c r="EV13" i="14"/>
  <c r="EV16" i="14"/>
  <c r="EV14" i="14"/>
  <c r="BM9" i="14"/>
  <c r="CH20" i="14"/>
  <c r="EI10" i="14"/>
  <c r="HD10" i="14"/>
  <c r="ES10" i="14"/>
  <c r="BK20" i="14"/>
  <c r="HK36" i="14" l="1"/>
  <c r="BL20" i="14"/>
  <c r="CJ17" i="14"/>
  <c r="CJ13" i="14"/>
  <c r="DX12" i="14"/>
  <c r="CJ18" i="14"/>
  <c r="CJ14" i="14"/>
  <c r="BM11" i="14"/>
  <c r="BM13" i="14"/>
  <c r="CK13" i="14" s="1"/>
  <c r="BM15" i="14"/>
  <c r="CK15" i="14" s="1"/>
  <c r="BM17" i="14"/>
  <c r="CK17" i="14" s="1"/>
  <c r="BM10" i="14"/>
  <c r="BM12" i="14"/>
  <c r="CK12" i="14" s="1"/>
  <c r="BM14" i="14"/>
  <c r="CK14" i="14" s="1"/>
  <c r="BM16" i="14"/>
  <c r="CK16" i="14" s="1"/>
  <c r="BM18" i="14"/>
  <c r="CK18" i="14" s="1"/>
  <c r="DY12" i="14"/>
  <c r="CJ11" i="14"/>
  <c r="EK11" i="14" s="1"/>
  <c r="EV11" i="14" s="1"/>
  <c r="CJ16" i="14"/>
  <c r="CJ12" i="14"/>
  <c r="EW16" i="14"/>
  <c r="EW14" i="14"/>
  <c r="EX9" i="14"/>
  <c r="EW18" i="14"/>
  <c r="EW17" i="14"/>
  <c r="EW15" i="14"/>
  <c r="EW13" i="14"/>
  <c r="CI20" i="14"/>
  <c r="EJ10" i="14"/>
  <c r="EK10" i="14"/>
  <c r="HE10" i="14"/>
  <c r="ET10" i="14"/>
  <c r="EU11" i="14"/>
  <c r="HF11" i="14"/>
  <c r="BN9" i="14"/>
  <c r="DB20" i="14"/>
  <c r="CZ20" i="14"/>
  <c r="DA20" i="14"/>
  <c r="DD12" i="14"/>
  <c r="DD20" i="14" s="1"/>
  <c r="HG11" i="14" l="1"/>
  <c r="CJ20" i="14"/>
  <c r="DZ12" i="14"/>
  <c r="CK11" i="14"/>
  <c r="EL11" i="14" s="1"/>
  <c r="BN10" i="14"/>
  <c r="CL10" i="14" s="1"/>
  <c r="BN12" i="14"/>
  <c r="CL12" i="14" s="1"/>
  <c r="BN14" i="14"/>
  <c r="CL14" i="14" s="1"/>
  <c r="BN16" i="14"/>
  <c r="CL16" i="14" s="1"/>
  <c r="BN18" i="14"/>
  <c r="BN11" i="14"/>
  <c r="CL11" i="14" s="1"/>
  <c r="EM11" i="14" s="1"/>
  <c r="BN13" i="14"/>
  <c r="CL13" i="14" s="1"/>
  <c r="BN15" i="14"/>
  <c r="CL15" i="14" s="1"/>
  <c r="BN17" i="14"/>
  <c r="CL17" i="14" s="1"/>
  <c r="CK10" i="14"/>
  <c r="EA12" i="14"/>
  <c r="EY9" i="14"/>
  <c r="EX18" i="14"/>
  <c r="EX17" i="14"/>
  <c r="EX15" i="14"/>
  <c r="EX13" i="14"/>
  <c r="EX16" i="14"/>
  <c r="EX14" i="14"/>
  <c r="BO9" i="14"/>
  <c r="HG10" i="14"/>
  <c r="EV10" i="14"/>
  <c r="HF10" i="14"/>
  <c r="EU10" i="14"/>
  <c r="BM20" i="14"/>
  <c r="DC20" i="14"/>
  <c r="BO11" i="14" l="1"/>
  <c r="CM11" i="14" s="1"/>
  <c r="BO13" i="14"/>
  <c r="CM13" i="14" s="1"/>
  <c r="BO15" i="14"/>
  <c r="CM15" i="14" s="1"/>
  <c r="BO17" i="14"/>
  <c r="CM17" i="14" s="1"/>
  <c r="BO10" i="14"/>
  <c r="CM10" i="14" s="1"/>
  <c r="BO12" i="14"/>
  <c r="CM12" i="14" s="1"/>
  <c r="BO14" i="14"/>
  <c r="CM14" i="14" s="1"/>
  <c r="BO16" i="14"/>
  <c r="CM16" i="14" s="1"/>
  <c r="BO18" i="14"/>
  <c r="BP18" i="14" s="1"/>
  <c r="CL18" i="14"/>
  <c r="CL20" i="14" s="1"/>
  <c r="EY16" i="14"/>
  <c r="EZ16" i="14" s="1"/>
  <c r="EY14" i="14"/>
  <c r="EZ14" i="14" s="1"/>
  <c r="EY18" i="14"/>
  <c r="EZ18" i="14" s="1"/>
  <c r="EY17" i="14"/>
  <c r="EZ17" i="14" s="1"/>
  <c r="EY15" i="14"/>
  <c r="EZ15" i="14" s="1"/>
  <c r="EY13" i="14"/>
  <c r="EZ13" i="14" s="1"/>
  <c r="EX11" i="14"/>
  <c r="HI11" i="14"/>
  <c r="EW11" i="14"/>
  <c r="HH11" i="14"/>
  <c r="EM10" i="14"/>
  <c r="EL10" i="14"/>
  <c r="CK20" i="14"/>
  <c r="BN20" i="14"/>
  <c r="BP16" i="14" l="1"/>
  <c r="CM18" i="14"/>
  <c r="HI10" i="14"/>
  <c r="EX10" i="14"/>
  <c r="BP17" i="14"/>
  <c r="BO20" i="14"/>
  <c r="BP12" i="14"/>
  <c r="BP14" i="14"/>
  <c r="BP10" i="14"/>
  <c r="HH10" i="14"/>
  <c r="EW10" i="14"/>
  <c r="BP11" i="14"/>
  <c r="EN11" i="14"/>
  <c r="BP13" i="14"/>
  <c r="BP15" i="14"/>
  <c r="EY11" i="14" l="1"/>
  <c r="EZ11" i="14" s="1"/>
  <c r="HJ11" i="14"/>
  <c r="HK11" i="14" s="1"/>
  <c r="BP20" i="14"/>
  <c r="CM20" i="14"/>
  <c r="EN10" i="14"/>
  <c r="HJ10" i="14" l="1"/>
  <c r="HK10" i="14" s="1"/>
  <c r="EY10" i="14"/>
  <c r="EZ10" i="14" s="1"/>
  <c r="EA20" i="14" l="1"/>
  <c r="DV20" i="14"/>
  <c r="DR20" i="14"/>
  <c r="DW20" i="14"/>
  <c r="DZ20" i="14"/>
  <c r="EG12" i="14"/>
  <c r="HC12" i="14" s="1"/>
  <c r="HC20" i="14" s="1"/>
  <c r="DY20" i="14"/>
  <c r="DX20" i="14"/>
  <c r="DU20" i="14"/>
  <c r="DS20" i="14"/>
  <c r="DT20" i="14" l="1"/>
  <c r="EF12" i="14"/>
  <c r="EQ12" i="14" s="1"/>
  <c r="EQ20" i="14" s="1"/>
  <c r="EH12" i="14"/>
  <c r="ES12" i="14" s="1"/>
  <c r="ES20" i="14" s="1"/>
  <c r="EK12" i="14"/>
  <c r="EK20" i="14" s="1"/>
  <c r="EL12" i="14"/>
  <c r="EL20" i="14" s="1"/>
  <c r="EI12" i="14"/>
  <c r="ET12" i="14" s="1"/>
  <c r="ET20" i="14" s="1"/>
  <c r="ER12" i="14"/>
  <c r="ER20" i="14" s="1"/>
  <c r="EM12" i="14"/>
  <c r="EJ12" i="14"/>
  <c r="EE12" i="14"/>
  <c r="EN12" i="14"/>
  <c r="EG20" i="14"/>
  <c r="HE12" i="14" l="1"/>
  <c r="HE20" i="14" s="1"/>
  <c r="EF20" i="14"/>
  <c r="HB12" i="14"/>
  <c r="HB20" i="14" s="1"/>
  <c r="EH20" i="14"/>
  <c r="EV12" i="14"/>
  <c r="EV20" i="14" s="1"/>
  <c r="HH12" i="14"/>
  <c r="HH20" i="14" s="1"/>
  <c r="HD12" i="14"/>
  <c r="HD20" i="14" s="1"/>
  <c r="EI20" i="14"/>
  <c r="HG12" i="14"/>
  <c r="HG20" i="14" s="1"/>
  <c r="EW12" i="14"/>
  <c r="EW20" i="14" s="1"/>
  <c r="EJ20" i="14"/>
  <c r="EU12" i="14"/>
  <c r="EU20" i="14" s="1"/>
  <c r="HF12" i="14"/>
  <c r="HF20" i="14" s="1"/>
  <c r="EY12" i="14"/>
  <c r="EY20" i="14" s="1"/>
  <c r="HJ12" i="14"/>
  <c r="HJ20" i="14" s="1"/>
  <c r="EN20" i="14"/>
  <c r="EE20" i="14"/>
  <c r="HA12" i="14"/>
  <c r="EP12" i="14"/>
  <c r="EM20" i="14"/>
  <c r="HI12" i="14"/>
  <c r="HI20" i="14" s="1"/>
  <c r="EX12" i="14"/>
  <c r="EX20" i="14" s="1"/>
  <c r="EP20" i="14" l="1"/>
  <c r="EZ12" i="14"/>
  <c r="EZ20" i="14" s="1"/>
  <c r="HA20" i="14"/>
  <c r="HK12" i="14"/>
  <c r="HK20" i="14" s="1"/>
  <c r="G43" i="66" l="1"/>
  <c r="G58" i="66" s="1"/>
  <c r="G42" i="66" l="1"/>
  <c r="G60" i="66"/>
  <c r="G41" i="66" l="1"/>
  <c r="G61" i="66"/>
  <c r="G57" i="66"/>
  <c r="G56" i="66" s="1"/>
  <c r="G112" i="66" s="1"/>
  <c r="G117" i="66" s="1"/>
  <c r="E42" i="66" l="1"/>
  <c r="E60" i="66"/>
  <c r="E43" i="66" l="1"/>
  <c r="E58" i="66" s="1"/>
  <c r="E57" i="66"/>
  <c r="F43" i="66" l="1"/>
  <c r="F58" i="66" s="1"/>
  <c r="E56" i="66"/>
  <c r="E112" i="66" s="1"/>
  <c r="E117" i="66" s="1"/>
  <c r="E41" i="66"/>
  <c r="E61" i="66"/>
  <c r="F42" i="66" l="1"/>
  <c r="F60" i="66"/>
  <c r="F57" i="66" l="1"/>
  <c r="F56" i="66" s="1"/>
  <c r="F112" i="66" s="1"/>
  <c r="F117" i="66" s="1"/>
  <c r="F41" i="66"/>
  <c r="F61" i="66"/>
  <c r="AA107" i="1"/>
  <c r="AA62" i="1"/>
  <c r="AA97" i="1"/>
  <c r="T107" i="1"/>
  <c r="T97" i="1"/>
  <c r="T60" i="1"/>
  <c r="T48" i="1" s="1"/>
  <c r="T68" i="1" l="1"/>
  <c r="T171" i="1" s="1"/>
  <c r="AA48" i="1"/>
  <c r="AA60" i="1"/>
  <c r="T105" i="1" l="1"/>
  <c r="T120" i="1" s="1"/>
  <c r="AA120" i="1" s="1"/>
  <c r="T95" i="1"/>
  <c r="T117" i="1" s="1"/>
  <c r="T73" i="1"/>
  <c r="AA73" i="1" s="1"/>
  <c r="AA68" i="1"/>
  <c r="T106" i="1"/>
  <c r="T109" i="1" s="1"/>
  <c r="T96" i="1"/>
  <c r="T99" i="1" s="1"/>
  <c r="AA66" i="1"/>
  <c r="AA105" i="1" s="1"/>
  <c r="AA95" i="1" l="1"/>
  <c r="T77" i="1"/>
  <c r="T122" i="1"/>
  <c r="T115" i="1" s="1"/>
  <c r="AA96" i="1"/>
  <c r="AA106" i="1"/>
  <c r="AA109" i="1" s="1"/>
  <c r="AA117" i="1"/>
  <c r="AA77" i="1"/>
  <c r="AA166" i="1"/>
  <c r="AA167" i="1" s="1"/>
  <c r="AA99" i="1" l="1"/>
  <c r="AA122" i="1"/>
  <c r="AA1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Provincie Overijssel</author>
  </authors>
  <commentList>
    <comment ref="EO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Provincie Overijssel: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Provincie Overijssel</author>
    <author>Bekhuis, TMJ. (Mathijs)</author>
  </authors>
  <commentList>
    <comment ref="C64" authorId="0" shapeId="0" xr:uid="{F3BD761A-A4BC-4827-BB02-11DD6072E6CC}">
      <text>
        <r>
          <rPr>
            <sz val="9"/>
            <color indexed="81"/>
            <rFont val="Tahoma"/>
            <family val="2"/>
          </rPr>
          <t xml:space="preserve">Overige kosten specificeren en indien noodzakelijk extra regels tussenvoegen.
</t>
        </r>
      </text>
    </comment>
    <comment ref="AM64" authorId="1" shapeId="0" xr:uid="{5B7A0EB0-A936-4625-A388-01FE30F61CA9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opbrengsten i.h.k.v. de BVOV 2020 zijn verantwoord over periode 15-03-2020 t/m 31-12-2020! Voor het vergelijk zijn deze gedeeld door 292 dagen keer 365 dagen.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Bekhuis, TMJ. (Mathijs)</author>
    <author>Provincie Overijssel</author>
  </authors>
  <commentList>
    <comment ref="B4" authorId="0" shapeId="0" xr:uid="{47F76CF9-AED8-450D-86CE-70DE01F5C96A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Zie rapport Ricardo Nederland B.V. Treinstel 
10411 t/m 10416</t>
        </r>
      </text>
    </comment>
    <comment ref="G4" authorId="0" shapeId="0" xr:uid="{A6C58134-B9AF-40BE-B42C-CF5918B06308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Zie rapport Ricardo Nederland B.V.Treinstel 10517 t/m 10524</t>
        </r>
      </text>
    </comment>
    <comment ref="L4" authorId="0" shapeId="0" xr:uid="{E7ACA583-06FF-4BF5-8823-6116236FBC59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Zie rapport Ricardo Nederland B.V. Treinstel 5037</t>
        </r>
      </text>
    </comment>
    <comment ref="Q4" authorId="0" shapeId="0" xr:uid="{F0CA49F7-3583-41CB-8B49-695AF807D1F9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Zie rapport Ricardo Nederland B.V.
Treinstel 1050-02</t>
        </r>
      </text>
    </comment>
    <comment ref="A7" authorId="1" shapeId="0" xr:uid="{7CC7F0E0-8ECB-4FCD-BD1A-D8F33AD397F6}">
      <text>
        <r>
          <rPr>
            <sz val="11"/>
            <color indexed="81"/>
            <rFont val="Tahoma"/>
            <family val="2"/>
          </rPr>
          <t>Waterstof, diesel, elektrisch of varianten.</t>
        </r>
      </text>
    </comment>
    <comment ref="B11" authorId="0" shapeId="0" xr:uid="{4D2C8629-1C08-4A9C-9E42-0880F5193B00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G11" authorId="0" shapeId="0" xr:uid="{7410327C-3A70-4BBD-8A3C-BA84FC081866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L11" authorId="0" shapeId="0" xr:uid="{1CE9BFD7-9481-4C8E-BEBD-C71C508413C1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Q11" authorId="0" shapeId="0" xr:uid="{97AAC681-7C89-4CA9-B246-902C16B70A6A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C14" authorId="0" shapeId="0" xr:uid="{1382CEF0-D756-4101-B7BD-8C69FDF0D499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D15" authorId="0" shapeId="0" xr:uid="{0C34014C-35AF-417F-84A6-A71AF8FBBF0D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H15" authorId="0" shapeId="0" xr:uid="{C5BF8FA7-2DBF-45EB-BB19-0758E1276E4F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M15" authorId="0" shapeId="0" xr:uid="{64BF09C0-3CF4-4999-9BC4-3EEFDA094110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R15" authorId="0" shapeId="0" xr:uid="{078D02B8-7BD1-4276-8F28-FFC4666E6E9E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C22" authorId="0" shapeId="0" xr:uid="{354C0336-0412-44F7-BBFC-97CD258C18BB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Q22" authorId="0" shapeId="0" xr:uid="{BE577A3E-476F-44A4-8EDF-03F9A31E7BAB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A28" authorId="0" shapeId="0" xr:uid="{AFD1099D-0DE9-41EB-A49C-D941B7C384DD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of datum afschrijving tot (rekening houdend met voorwaarde Overnameregeling).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Provincie Overijssel</author>
  </authors>
  <commentList>
    <comment ref="A6" authorId="0" shapeId="0" xr:uid="{BCE54DE8-0F71-4A96-9A14-EB2F69619F31}">
      <text>
        <r>
          <rPr>
            <sz val="11"/>
            <color indexed="81"/>
            <rFont val="Tahoma"/>
            <family val="2"/>
          </rPr>
          <t>Waterstof, diesel, elektrisch of varianten.</t>
        </r>
      </text>
    </comment>
    <comment ref="A7" authorId="0" shapeId="0" xr:uid="{0E54C331-1903-43BB-A9AE-76354F2C5985}">
      <text>
        <r>
          <rPr>
            <sz val="11"/>
            <color indexed="81"/>
            <rFont val="Tahoma"/>
            <family val="2"/>
          </rPr>
          <t>Financiallease / operationallease</t>
        </r>
      </text>
    </comment>
    <comment ref="A9" authorId="0" shapeId="0" xr:uid="{1CDD9124-FB8C-47D2-A46B-89C6FCB5F8D7}">
      <text>
        <r>
          <rPr>
            <b/>
            <sz val="11"/>
            <color indexed="81"/>
            <rFont val="Tahoma"/>
            <family val="2"/>
          </rPr>
          <t>Toelichting:</t>
        </r>
        <r>
          <rPr>
            <sz val="11"/>
            <color indexed="81"/>
            <rFont val="Tahoma"/>
            <family val="2"/>
          </rPr>
          <t xml:space="preserve">
Het totaalbedrag dat gedurende de looptijd van de Concessie betaald moet worden.</t>
        </r>
      </text>
    </comment>
    <comment ref="B13" authorId="0" shapeId="0" xr:uid="{0884860B-94D1-4C49-AF86-9EEF494F7806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C13" authorId="0" shapeId="0" xr:uid="{4FA431F1-6B04-4116-964C-FC0A51CB3BBC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D13" authorId="0" shapeId="0" xr:uid="{E9947E75-E60E-4469-9E66-8ECF8132143D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E13" authorId="0" shapeId="0" xr:uid="{5FE56CF1-40C9-4AA0-9D3E-E4976240126C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F13" authorId="0" shapeId="0" xr:uid="{F63F02DD-189A-405A-B1D6-C804C5F5EE76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G13" authorId="0" shapeId="0" xr:uid="{8A17B524-3473-4390-9569-F8B4DC54391C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H13" authorId="0" shapeId="0" xr:uid="{72972060-BB97-4F99-A111-46399AEDB826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I13" authorId="0" shapeId="0" xr:uid="{481C5BDD-1FEF-4E28-BDC4-DC94B7413FE5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J13" authorId="0" shapeId="0" xr:uid="{AA0DCCDB-C414-4926-8D25-8CD55B8811DB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K13" authorId="0" shapeId="0" xr:uid="{1C1685F8-4945-4C27-B141-49213683ECBB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L13" authorId="0" shapeId="0" xr:uid="{BC3F7A36-E639-4CCC-8BE3-BEEA9B241B9A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M13" authorId="0" shapeId="0" xr:uid="{5F0D8A79-BAD3-49DE-8CCC-646BDAAACF27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N13" authorId="0" shapeId="0" xr:uid="{EDD3B911-3156-410D-BB33-139217F85E25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O13" authorId="0" shapeId="0" xr:uid="{7B2EBEBE-C9F5-4A8F-8160-5FE833E5BCA9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Bekhuis, TMJ. (Mathijs)</author>
  </authors>
  <commentList>
    <comment ref="A7" authorId="0" shapeId="0" xr:uid="{61AECC6C-D1CA-4F2C-A605-FFFDD9A186C6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Bijvoorbeeld: Huur, Koop
</t>
        </r>
      </text>
    </comment>
    <comment ref="A11" authorId="0" shapeId="0" xr:uid="{DC1E56A8-6B51-411E-9638-72E3E32F59EE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Let op overnameregeling</t>
        </r>
      </text>
    </comment>
    <comment ref="A29" authorId="0" shapeId="0" xr:uid="{BA4192BE-4B4E-4864-9A81-BB11EAB0E839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  <comment ref="A30" authorId="0" shapeId="0" xr:uid="{04EF7640-3010-4F0E-A719-672413757FB4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  <comment ref="A31" authorId="0" shapeId="0" xr:uid="{BB08DA32-042F-4239-A0C5-FE452AE5242B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Bekhuis, TMJ. (Mathijs)</author>
  </authors>
  <commentList>
    <comment ref="A7" authorId="0" shapeId="0" xr:uid="{780498F8-4EEF-445C-86A0-F52B2A75737A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Let op overnameregeling</t>
        </r>
      </text>
    </comment>
    <comment ref="A25" authorId="0" shapeId="0" xr:uid="{A1768066-0019-4245-9878-913A1B3A132B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  <comment ref="A26" authorId="0" shapeId="0" xr:uid="{69F16D36-1F6A-4DAA-BFC3-D8AEE23601B7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  <comment ref="A27" authorId="0" shapeId="0" xr:uid="{B6F30291-CA11-4D66-8D1D-9D20A1867637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Bekhuis, TMJ. (Mathijs)</author>
  </authors>
  <commentList>
    <comment ref="A7" authorId="0" shapeId="0" xr:uid="{982ECE88-CCF4-4E00-8B25-A04310C8CF33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Let op overnameregeling</t>
        </r>
      </text>
    </comment>
    <comment ref="A25" authorId="0" shapeId="0" xr:uid="{C7187C04-6CD6-4628-9410-BB46BF0BF4C3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  <comment ref="A26" authorId="0" shapeId="0" xr:uid="{CE21A7A2-92D0-4A75-A682-43E54DC65E66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  <comment ref="A27" authorId="0" shapeId="0" xr:uid="{C899E7BC-195F-4421-89CD-37F1650C285E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Bekhuis, TMJ. (Mathijs)</author>
  </authors>
  <commentList>
    <comment ref="S14" authorId="0" shapeId="0" xr:uid="{CE48FB56-B340-423A-9608-1E4CED59836C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toepasselijke treinhalteringscode (A, B, of C) wordt bepaald op basis van het 
treinnummer; voor de toepassing van de treinhalteringscodes gelden de volgende 
regels:
• Treinhalteringscode A: trein voor personenvervoer die op zijn route van begin naar eindstation volgens dienstregeling (het traject onder één treinnummer) alle stations bedient of ten hoogste 15% van de stations niet bedient.
• Treinhalteringscode B: trein voor personenvervoer die op zijn route van begin naar eindstation volgens dienstregeling (het traject onder één treinnummer) ten hoogste 50% van de stations niet bedient of die deel uitmaakt van een treinserie waarvan tenminste 90% wordt gereden in een samenstelling met niet meer dan 
150 zitplaatsen.
• Treinhalteringscode C: trein voor personenvervoer, zonder voorwaarden met betrekking tot percentages niet-bediende stations</t>
        </r>
      </text>
    </comment>
    <comment ref="A17" authorId="0" shapeId="0" xr:uid="{21FD43FD-D539-478F-BB6F-86EE182610AA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Deze regel bevat fictieve gegevens als voorbeeld.</t>
        </r>
      </text>
    </comment>
    <comment ref="S48" authorId="0" shapeId="0" xr:uid="{37872280-0D6F-4835-A791-C3FB8469FF15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toepasselijke treinhalteringscode (A, B, of C) wordt bepaald op basis van het 
treinnummer; voor de toepassing van de treinhalteringscodes gelden de volgende 
regels:
• Treinhalteringscode A: trein voor personenvervoer die op zijn route van begin naar eindstation volgens dienstregeling (het traject onder één treinnummer) alle stations bedient of ten hoogste 15% van de stations niet bedient.
• Treinhalteringscode B: trein voor personenvervoer die op zijn route van begin naar eindstation volgens dienstregeling (het traject onder één treinnummer) ten hoogste 50% van de stations niet bedient of die deel uitmaakt van een treinserie waarvan tenminste 90% wordt gereden in een samenstelling met niet meer dan 
150 zitplaatsen.
• Treinhalteringscode C: trein voor personenvervoer, zonder voorwaarden met betrekking tot percentages niet-bediende stations</t>
        </r>
      </text>
    </comment>
    <comment ref="C60" authorId="0" shapeId="0" xr:uid="{18B13A5C-F55F-41A0-BE0C-BD183164FD84}">
      <text>
        <r>
          <rPr>
            <b/>
            <sz val="9"/>
            <color indexed="81"/>
            <rFont val="Tahoma"/>
            <charset val="1"/>
          </rPr>
          <t>Toelichting:</t>
        </r>
        <r>
          <rPr>
            <sz val="9"/>
            <color indexed="81"/>
            <rFont val="Tahoma"/>
            <charset val="1"/>
          </rPr>
          <t xml:space="preserve">
Hier kan een correctie worden toegevoegd in verband met schrikkeljaren.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Bekhuis, TMJ. (Mathijs)</author>
  </authors>
  <commentList>
    <comment ref="W21" authorId="0" shapeId="0" xr:uid="{2888CB3F-C6B1-462B-8AA0-596A9C7CA950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toepasselijke treinhalteringscode (A, B, of C) wordt bepaald op basis van het 
treinnummer; voor de toepassing van de treinhalteringscodes gelden de volgende 
regels:
• Treinhalteringscode A: trein voor personenvervoer die op zijn route van begin naar eindstation volgens dienstregeling (het traject onder één treinnummer) alle stations bedient of ten hoogste 15% van de stations niet bedient.
• Treinhalteringscode B: trein voor personenvervoer die op zijn route van begin naar eindstation volgens dienstregeling (het traject onder één treinnummer) ten hoogste 50% van de stations niet bedient of die deel uitmaakt van een treinserie waarvan tenminste 90% wordt gereden in een samenstelling met niet meer dan 
150 zitplaatsen.
• Treinhalteringscode C: trein voor personenvervoer, zonder voorwaarden met betrekking tot percentages niet-bediende stations</t>
        </r>
      </text>
    </comment>
    <comment ref="A24" authorId="0" shapeId="0" xr:uid="{5FA96F32-A3A4-4B93-8F7D-2221F8D0ABCF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Deze regel bevat fictieve gegevens als voorbeeld en gewijzigd worden.</t>
        </r>
      </text>
    </comment>
    <comment ref="W56" authorId="0" shapeId="0" xr:uid="{5E81CFA6-2BB8-4C39-8B6D-103F3EDAC3D5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toepasselijke treinhalteringscode (A, B, of C) wordt bepaald op basis van het 
treinnummer; voor de toepassing van de treinhalteringscodes gelden de volgende 
regels:
• Treinhalteringscode A: trein voor personenvervoer die op zijn route van begin naar eindstation volgens dienstregeling (het traject onder één treinnummer) alle stations bedient of ten hoogste 15% van de stations niet bedient.
• Treinhalteringscode B: trein voor personenvervoer die op zijn route van begin naar eindstation volgens dienstregeling (het traject onder één treinnummer) ten hoogste 50% van de stations niet bedient of die deel uitmaakt van een treinserie waarvan tenminste 90% wordt gereden in een samenstelling met niet meer dan 
150 zitplaatsen.
• Treinhalteringscode C: trein voor personenvervoer, zonder voorwaarden met betrekking tot percentages niet-bediende stations</t>
        </r>
      </text>
    </comment>
    <comment ref="W91" authorId="0" shapeId="0" xr:uid="{43655F3E-C4A0-46DA-BAF9-EDA28BF41B19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toepasselijke treinhalteringscode (A, B, of C) wordt bepaald op basis van het 
treinnummer; voor de toepassing van de treinhalteringscodes gelden de volgende 
regels:
• Treinhalteringscode A: trein voor personenvervoer die op zijn route van begin naar eindstation volgens dienstregeling (het traject onder één treinnummer) alle stations bedient of ten hoogste 15% van de stations niet bedient.
• Treinhalteringscode B: trein voor personenvervoer die op zijn route van begin naar eindstation volgens dienstregeling (het traject onder één treinnummer) ten hoogste 50% van de stations niet bedient of die deel uitmaakt van een treinserie waarvan tenminste 90% wordt gereden in een samenstelling met niet meer dan 150 zitplaatsen.
• Treinhalteringscode C: trein voor personenvervoer, zonder voorwaarden met betrekking tot percentages niet-bediende stations</t>
        </r>
      </text>
    </comment>
    <comment ref="W127" authorId="0" shapeId="0" xr:uid="{6B1A1BF9-E5F6-4759-BC69-72AA69B9DEFD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toepasselijke treinhalteringscode (A, B, of C) wordt bepaald op basis van het 
treinnummer; voor de toepassing van de treinhalteringscodes gelden de volgende 
regels:
• Treinhalteringscode A: trein voor personenvervoer die op zijn route van begin naar eindstation volgens dienstregeling (het traject onder één treinnummer) alle stations bedient of ten hoogste 15% van de stations niet bedient.
• Treinhalteringscode B: trein voor personenvervoer die op zijn route van begin naar eindstation volgens dienstregeling (het traject onder één treinnummer) ten hoogste 50% van de stations niet bedient of die deel uitmaakt van een treinserie waarvan tenminste 90% wordt gereden in een samenstelling met niet meer dan 
150 zitplaatsen.
• Treinhalteringscode C: trein voor personenvervoer, zonder voorwaarden met betrekking tot percentages niet-bediende stations</t>
        </r>
      </text>
    </comment>
    <comment ref="C140" authorId="0" shapeId="0" xr:uid="{3464E248-33EC-4666-A849-21DD1F919279}">
      <text>
        <r>
          <rPr>
            <b/>
            <sz val="9"/>
            <color indexed="81"/>
            <rFont val="Tahoma"/>
            <charset val="1"/>
          </rPr>
          <t>Toelichting:</t>
        </r>
        <r>
          <rPr>
            <sz val="9"/>
            <color indexed="81"/>
            <rFont val="Tahoma"/>
            <charset val="1"/>
          </rPr>
          <t xml:space="preserve">
Hier kan een correctie worden toegevoegd in verband met schrikkeljaren.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<sst xmlns="http://schemas.openxmlformats.org/spreadsheetml/2006/main" count="1570" uniqueCount="583">
  <si>
    <t>Algemeen</t>
  </si>
  <si>
    <t>Concessieduur in jaren</t>
  </si>
  <si>
    <t>Invulvelden</t>
  </si>
  <si>
    <t>&lt;Uitgangspunt: constante rente&gt;</t>
  </si>
  <si>
    <t>Berekeningen</t>
  </si>
  <si>
    <t>Restwaarde wordt verminderd in het jaar waarop de nieuwe investering wordt gepleegd.</t>
  </si>
  <si>
    <t>Eigen materieel</t>
  </si>
  <si>
    <t>Investeringen en afschrijving materieel incl. apparatuur excl. batterijen</t>
  </si>
  <si>
    <t>Investeringen en afschrijving batterijen materieel</t>
  </si>
  <si>
    <t>Financieringslasten materieel</t>
  </si>
  <si>
    <t>Regulier onderhoud materieel</t>
  </si>
  <si>
    <t>Bijkomende kosten materieel</t>
  </si>
  <si>
    <t>Energieverbruik materieel</t>
  </si>
  <si>
    <t>Totaal materieel concessie</t>
  </si>
  <si>
    <t>Afkorting bus/type</t>
  </si>
  <si>
    <t>Bustype omschrijving</t>
  </si>
  <si>
    <t>Aandrijving</t>
  </si>
  <si>
    <t>Aantal zit-plaatsen</t>
  </si>
  <si>
    <t>Aantal staan-plaatsen</t>
  </si>
  <si>
    <t>Jaar ten naamstelling.</t>
  </si>
  <si>
    <t>Instoom in jaar concessie</t>
  </si>
  <si>
    <t>Totaal Jaren in concessie</t>
  </si>
  <si>
    <t>Aantal voertuigen</t>
  </si>
  <si>
    <t>Voertuigen per jaar in concessie</t>
  </si>
  <si>
    <t xml:space="preserve">Totaal aantal DRU concessie
</t>
  </si>
  <si>
    <t>Totaal aantal DRK concessie</t>
  </si>
  <si>
    <t>Aanschafkosten materieel excl. apparatuur en financiering</t>
  </si>
  <si>
    <t>Aanschafkosten apparatuur voertuigen</t>
  </si>
  <si>
    <t>Restwaarde voertuigen Incl. apparatuur</t>
  </si>
  <si>
    <t>Investeringen materieel totaal concessie</t>
  </si>
  <si>
    <t>Afschrijving materieel over aantal jaren</t>
  </si>
  <si>
    <t xml:space="preserve">Afschrijvingskosten materieel per jaar </t>
  </si>
  <si>
    <t>Kosten afschrijvingen materieel totaal concessie</t>
  </si>
  <si>
    <t>Boekwaardes materieel per jaar einde</t>
  </si>
  <si>
    <t>Nieuwprijs per batterij-pakket</t>
  </si>
  <si>
    <t>Restwaarde per batterij-pakket</t>
  </si>
  <si>
    <t>Totaal nieuwprijs batterij-pakketen</t>
  </si>
  <si>
    <t>Totaal restwaarde batterij- pakketen</t>
  </si>
  <si>
    <t>Investeringen batterijen incl. vervanging totaal concessie</t>
  </si>
  <si>
    <t>Afschrijving batterijen over aantal jaren</t>
  </si>
  <si>
    <t xml:space="preserve">Afschrijvingskosten batterijnen per jaar </t>
  </si>
  <si>
    <t>Kosten afschrijvingen batterij totaal concessie</t>
  </si>
  <si>
    <t>Boekwaarde batterijen per jaar einde</t>
  </si>
  <si>
    <t>Jaarrente langlopend vreemd vermogen</t>
  </si>
  <si>
    <t>Gemiddelde boekwaarde</t>
  </si>
  <si>
    <t>Kosten rente totaal concessie</t>
  </si>
  <si>
    <t>Onderhouds-kosten per km</t>
  </si>
  <si>
    <t>Kosten regulier onderhoud materieel totaal</t>
  </si>
  <si>
    <t>Schoonmaak-kosten p. jaar</t>
  </si>
  <si>
    <t>Schade p. jaar</t>
  </si>
  <si>
    <t>Verzekering p. jaar</t>
  </si>
  <si>
    <t>Wegen-belasting p. jaar</t>
  </si>
  <si>
    <t>Totaal schoonmaak-kosten p. jaar</t>
  </si>
  <si>
    <t>Totaal schade p. jaar</t>
  </si>
  <si>
    <t>Totaal verzekering p. jaar</t>
  </si>
  <si>
    <t>Totaal wegenbelasting p. jaar</t>
  </si>
  <si>
    <t>Overige kosten per jaar totaal</t>
  </si>
  <si>
    <t>Totaal bijkomende kosten concessie</t>
  </si>
  <si>
    <t>Eenheid brandstof</t>
  </si>
  <si>
    <t>Verbruik brandstof per 100 km</t>
  </si>
  <si>
    <t>Kosten energie-verbruik per eenheid</t>
  </si>
  <si>
    <t>Energie-verbruik totaal</t>
  </si>
  <si>
    <t>Kosten energie-verbruik per jaar</t>
  </si>
  <si>
    <t>Kosten energie totaal concessie</t>
  </si>
  <si>
    <t>Totale kosten concessie</t>
  </si>
  <si>
    <t>B12</t>
  </si>
  <si>
    <t>12 meter bus diesel</t>
  </si>
  <si>
    <t>Diesel</t>
  </si>
  <si>
    <t>Liter</t>
  </si>
  <si>
    <t>E12</t>
  </si>
  <si>
    <t>12 meter bus elektrisch</t>
  </si>
  <si>
    <t>Elektrisch</t>
  </si>
  <si>
    <t>Kwh</t>
  </si>
  <si>
    <t>Materieel lease</t>
  </si>
  <si>
    <t>Regulier onderhoud materieel (indien van toepassing)</t>
  </si>
  <si>
    <t>Leasekosten per voertuig incl. apparatuur per jaar</t>
  </si>
  <si>
    <t>Type lease (operational, financial)</t>
  </si>
  <si>
    <t>Duur lease-contract vanaf start concessie in jaren</t>
  </si>
  <si>
    <t>Totaal Leasekosten concessie</t>
  </si>
  <si>
    <t>Financial</t>
  </si>
  <si>
    <t>Materieel Inhuur</t>
  </si>
  <si>
    <t>Inhuurkosten per DRU</t>
  </si>
  <si>
    <t>Totaal inhuur concessie</t>
  </si>
  <si>
    <t xml:space="preserve">Instructie </t>
  </si>
  <si>
    <t>Vul de oranje cellen in</t>
  </si>
  <si>
    <t>Controle = 0</t>
  </si>
  <si>
    <t>Versie</t>
  </si>
  <si>
    <t>Directe kosten</t>
  </si>
  <si>
    <t>Totaal</t>
  </si>
  <si>
    <t>Van</t>
  </si>
  <si>
    <t>Dagen</t>
  </si>
  <si>
    <t>A</t>
  </si>
  <si>
    <t>Loonkosten direct personeel</t>
  </si>
  <si>
    <t>A.01</t>
  </si>
  <si>
    <t>Variabel</t>
  </si>
  <si>
    <t>A.02</t>
  </si>
  <si>
    <t>Loonkosten overige direct pers.</t>
  </si>
  <si>
    <t>Vast</t>
  </si>
  <si>
    <t>B</t>
  </si>
  <si>
    <t>B.01</t>
  </si>
  <si>
    <t>C</t>
  </si>
  <si>
    <t>Inhuur</t>
  </si>
  <si>
    <t>Indirecte kosten</t>
  </si>
  <si>
    <t>D</t>
  </si>
  <si>
    <t>Loonkosten indirect personeel</t>
  </si>
  <si>
    <t>Loonkosten overig indirect pers.</t>
  </si>
  <si>
    <t>E</t>
  </si>
  <si>
    <t>Overige indirecte kosten</t>
  </si>
  <si>
    <t>Huisvesting</t>
  </si>
  <si>
    <t>E.02</t>
  </si>
  <si>
    <t>Merk en huisstijl</t>
  </si>
  <si>
    <t>Marketingbudget</t>
  </si>
  <si>
    <t>Verkoop- en servicekosten</t>
  </si>
  <si>
    <t>Overige kosten</t>
  </si>
  <si>
    <t>… &lt; specificeren &gt; …</t>
  </si>
  <si>
    <t>G</t>
  </si>
  <si>
    <t>Reizigersopbrengsten (incl. SOV)</t>
  </si>
  <si>
    <t>H</t>
  </si>
  <si>
    <t>Reizigersopbrengsten</t>
  </si>
  <si>
    <t>I</t>
  </si>
  <si>
    <t>K</t>
  </si>
  <si>
    <t>Financiering investeringen</t>
  </si>
  <si>
    <t>Eigen vermogen</t>
  </si>
  <si>
    <t>Vreemd vermogen</t>
  </si>
  <si>
    <t>L</t>
  </si>
  <si>
    <t>Toelichting :</t>
  </si>
  <si>
    <t>Naam Inschrijver</t>
  </si>
  <si>
    <t xml:space="preserve">Naam Vertegenwoordingsbevoegde ondertekenaar 
</t>
  </si>
  <si>
    <t>Functie</t>
  </si>
  <si>
    <t>Handtekening</t>
  </si>
  <si>
    <t>Datum</t>
  </si>
  <si>
    <t>terug</t>
  </si>
  <si>
    <t>Jaar</t>
  </si>
  <si>
    <t>Gemiddelde jaarloonsom per fte</t>
  </si>
  <si>
    <t>Aantal fte</t>
  </si>
  <si>
    <t>Totale loonsom</t>
  </si>
  <si>
    <t>Bouwjaar</t>
  </si>
  <si>
    <t>Restwaarde</t>
  </si>
  <si>
    <t>Datum Instroom concessie</t>
  </si>
  <si>
    <t>Datum Uitstroom concessie</t>
  </si>
  <si>
    <t>Afschrijvingstermijn in dagen (dagen in concessie)</t>
  </si>
  <si>
    <t>Afschrijving per dag</t>
  </si>
  <si>
    <t>Jaren</t>
  </si>
  <si>
    <t>TOTAAL</t>
  </si>
  <si>
    <t>&lt;tekst&gt;</t>
  </si>
  <si>
    <t>Type locatie</t>
  </si>
  <si>
    <t>…</t>
  </si>
  <si>
    <t>Type leaseovereenkomst</t>
  </si>
  <si>
    <t>Leasetermijn in maanden</t>
  </si>
  <si>
    <t>Leasebedrag per maand</t>
  </si>
  <si>
    <t>...</t>
  </si>
  <si>
    <t>Locatie</t>
  </si>
  <si>
    <t>Totaal investeringen</t>
  </si>
  <si>
    <t>Datum start afschrijving</t>
  </si>
  <si>
    <t>Datum in concessie</t>
  </si>
  <si>
    <t>Datum uit concessie</t>
  </si>
  <si>
    <t>Bus</t>
  </si>
  <si>
    <t>Omschrijving</t>
  </si>
  <si>
    <t>Naam Inschrijver:</t>
  </si>
  <si>
    <t xml:space="preserve">Naam
Vertegenwoordings-bevoegde
ondertekenaar :
</t>
  </si>
  <si>
    <t>Functie:</t>
  </si>
  <si>
    <t xml:space="preserve">Handtekening:
</t>
  </si>
  <si>
    <t>Datum:</t>
  </si>
  <si>
    <t>tot en met</t>
  </si>
  <si>
    <t>aantal dagen</t>
  </si>
  <si>
    <t>Datum brief</t>
  </si>
  <si>
    <t>Kenmerk brief</t>
  </si>
  <si>
    <t>1.</t>
  </si>
  <si>
    <t>a</t>
  </si>
  <si>
    <t>Offertetarief</t>
  </si>
  <si>
    <t xml:space="preserve"> - Variabel</t>
  </si>
  <si>
    <t xml:space="preserve"> - Vast</t>
  </si>
  <si>
    <t xml:space="preserve"> - Vast (niet te indexeren)</t>
  </si>
  <si>
    <t>(Begroot)</t>
  </si>
  <si>
    <t>(Definitief)</t>
  </si>
  <si>
    <t>Totaal DRU Planning/realisatie (ongewogen)</t>
  </si>
  <si>
    <t>Concessiekosten (incl. meer- / minderwerk)</t>
  </si>
  <si>
    <t>Effect index</t>
  </si>
  <si>
    <t>b</t>
  </si>
  <si>
    <t>[Hoofdstuk 4 Financiele bepalingen]</t>
  </si>
  <si>
    <t>c</t>
  </si>
  <si>
    <t>Opgave concessiehouder</t>
  </si>
  <si>
    <t>Totaal reizigersopbrengsten</t>
  </si>
  <si>
    <t>d</t>
  </si>
  <si>
    <t>3.</t>
  </si>
  <si>
    <t>Totaal te betalen</t>
  </si>
  <si>
    <t>Waarvan te betalen in termijnen</t>
  </si>
  <si>
    <t>Uitbetaalde termijnbetalingen tot deze periode</t>
  </si>
  <si>
    <t>Overige verrekeningen</t>
  </si>
  <si>
    <t>F</t>
  </si>
  <si>
    <t>Aantal geplande termijnen</t>
  </si>
  <si>
    <t xml:space="preserve">Termijnbedrag </t>
  </si>
  <si>
    <t>Aantal uitgevoerde termijnen</t>
  </si>
  <si>
    <t>J</t>
  </si>
  <si>
    <t>M</t>
  </si>
  <si>
    <t>N</t>
  </si>
  <si>
    <t>O</t>
  </si>
  <si>
    <t>Overige opbrengsten</t>
  </si>
  <si>
    <t>Type kosten</t>
  </si>
  <si>
    <t>Datum laatste termijn afschrijving</t>
  </si>
  <si>
    <t xml:space="preserve"> - Vast (te indexeren)</t>
  </si>
  <si>
    <t>Landelijke hoofdkantoor</t>
  </si>
  <si>
    <t>Overige personeelskosten direct pers.</t>
  </si>
  <si>
    <t>Moederbedrijf</t>
  </si>
  <si>
    <t>Implementatie- en overdracht</t>
  </si>
  <si>
    <t>Controle</t>
  </si>
  <si>
    <t>Afschrijvingstermijn in dagen Concessie</t>
  </si>
  <si>
    <t xml:space="preserve"> - …</t>
  </si>
  <si>
    <t>Datum Instroom Concessie</t>
  </si>
  <si>
    <t>Datum Uitstroom Concessie</t>
  </si>
  <si>
    <t>Adres</t>
  </si>
  <si>
    <t>Kosten per dag</t>
  </si>
  <si>
    <t>E.01</t>
  </si>
  <si>
    <t>Legenda</t>
  </si>
  <si>
    <t>Verwijziging</t>
  </si>
  <si>
    <t>NvI</t>
  </si>
  <si>
    <t>Omschrijving aanpassing</t>
  </si>
  <si>
    <t>Vraag</t>
  </si>
  <si>
    <t>Mutaties t.o.v. oorspronkelijke gepubliceerde versie:</t>
  </si>
  <si>
    <t>Trein</t>
  </si>
  <si>
    <t>Aantal treinstellen</t>
  </si>
  <si>
    <t>Omschrijving treinstel</t>
  </si>
  <si>
    <t>Leasebedrag per treinstel</t>
  </si>
  <si>
    <t>Totaal treinstellen</t>
  </si>
  <si>
    <t>Gebruiksvergoeding ProRail</t>
  </si>
  <si>
    <t>Zaterdag</t>
  </si>
  <si>
    <t>Zondag</t>
  </si>
  <si>
    <t>Station</t>
  </si>
  <si>
    <t>Treinpad</t>
  </si>
  <si>
    <t>Tarief bovenleiding</t>
  </si>
  <si>
    <t>Gebruiksvergoeding matritten (voor rekening van Concessiehouder)</t>
  </si>
  <si>
    <t>&lt;JJJJ&gt;</t>
  </si>
  <si>
    <t xml:space="preserve">Concessiedeel
</t>
  </si>
  <si>
    <t>F.01</t>
  </si>
  <si>
    <t>F.02</t>
  </si>
  <si>
    <t>Versie geschiedenis</t>
  </si>
  <si>
    <t>Instructie</t>
  </si>
  <si>
    <t>jaar</t>
  </si>
  <si>
    <t>SOV</t>
  </si>
  <si>
    <t>Overige</t>
  </si>
  <si>
    <t>Subtotaal treinen</t>
  </si>
  <si>
    <t>Totale kosten per DRK</t>
  </si>
  <si>
    <t>Subtotaal directe kosten</t>
  </si>
  <si>
    <t>Subtotaal indirecte kosten</t>
  </si>
  <si>
    <t>(controle = nul)</t>
  </si>
  <si>
    <t>Ma / Vr</t>
  </si>
  <si>
    <t>Za</t>
  </si>
  <si>
    <t>Zo</t>
  </si>
  <si>
    <t>Standaard</t>
  </si>
  <si>
    <t>Dagen per standaard jaar</t>
  </si>
  <si>
    <t>DRK p/ dag</t>
  </si>
  <si>
    <t>Kalender per jaar</t>
  </si>
  <si>
    <t>0-120 ton</t>
  </si>
  <si>
    <t>121-160 ton</t>
  </si>
  <si>
    <t>161-320 ton</t>
  </si>
  <si>
    <t>Extra heffing</t>
  </si>
  <si>
    <t>Perron</t>
  </si>
  <si>
    <t>321-600 ton</t>
  </si>
  <si>
    <t>Tractie-Energie Voorziening</t>
  </si>
  <si>
    <t>I - deel tarief per min</t>
  </si>
  <si>
    <t>II - deel tarief per min/per mtr</t>
  </si>
  <si>
    <t>Gebruiksvergoeding matritten (voor rekening van Concessieverlener)</t>
  </si>
  <si>
    <t>Halte</t>
  </si>
  <si>
    <t>Basisstation</t>
  </si>
  <si>
    <t>Plusstation</t>
  </si>
  <si>
    <t>Mega</t>
  </si>
  <si>
    <t>Kathedraal</t>
  </si>
  <si>
    <t>Tarief per Kwh</t>
  </si>
  <si>
    <t>Aantal KwH</t>
  </si>
  <si>
    <t>Treinpad + extra heffing - Dienstregeling</t>
  </si>
  <si>
    <t>Treinpad + extra heffing</t>
  </si>
  <si>
    <t>Aantal halteringen Perron (zie transfer)</t>
  </si>
  <si>
    <t xml:space="preserve">Minimumtoegangspakket </t>
  </si>
  <si>
    <t>Tarieven Perrons</t>
  </si>
  <si>
    <t>Tarief tractie-energievoorziening (incl. transportvergoeding)</t>
  </si>
  <si>
    <t>Aantal kilowatturen</t>
  </si>
  <si>
    <t>Tarieven treinpad + extra heffing</t>
  </si>
  <si>
    <t>Energie-Verzamel-Applicatie</t>
  </si>
  <si>
    <t>Tarieven opstellen en rangeren</t>
  </si>
  <si>
    <t>Opstellen en rangeren</t>
  </si>
  <si>
    <t>Aantal minuten</t>
  </si>
  <si>
    <t>Aantal minuten/per meter</t>
  </si>
  <si>
    <t>Tarieven stations voor reizigersvervoer</t>
  </si>
  <si>
    <t>Stations voor reizigersvervoer</t>
  </si>
  <si>
    <t>Aantal halteringen</t>
  </si>
  <si>
    <t>Stations</t>
  </si>
  <si>
    <t>Overige diensten</t>
  </si>
  <si>
    <t>Totaal kilometers</t>
  </si>
  <si>
    <t>Subtotaal kosten</t>
  </si>
  <si>
    <r>
      <t xml:space="preserve">Aantal Dienstregelingskilometers cf. </t>
    </r>
    <r>
      <rPr>
        <b/>
        <u/>
        <sz val="9"/>
        <color theme="1"/>
        <rFont val="Verdana"/>
        <family val="2"/>
      </rPr>
      <t>dienstregeling</t>
    </r>
  </si>
  <si>
    <r>
      <t xml:space="preserve">Aantal overige kilometers </t>
    </r>
    <r>
      <rPr>
        <b/>
        <u/>
        <sz val="9"/>
        <color theme="1"/>
        <rFont val="Verdana"/>
        <family val="2"/>
      </rPr>
      <t>Mat-ritten</t>
    </r>
  </si>
  <si>
    <t>Subtotaal Kosten</t>
  </si>
  <si>
    <t>Totaal halteringen</t>
  </si>
  <si>
    <t>Afstanden</t>
  </si>
  <si>
    <t>Aantal</t>
  </si>
  <si>
    <t>ritten</t>
  </si>
  <si>
    <t>per jaar</t>
  </si>
  <si>
    <t>Traject</t>
  </si>
  <si>
    <t>Lengte</t>
  </si>
  <si>
    <t>Dienst-</t>
  </si>
  <si>
    <t>regelings-</t>
  </si>
  <si>
    <t>kilometers</t>
  </si>
  <si>
    <t>Naar</t>
  </si>
  <si>
    <t>haltering per</t>
  </si>
  <si>
    <t>Rit</t>
  </si>
  <si>
    <t>Subsidies</t>
  </si>
  <si>
    <r>
      <t xml:space="preserve">2 </t>
    </r>
    <r>
      <rPr>
        <sz val="8"/>
        <color theme="1"/>
        <rFont val="Verdana"/>
        <family val="2"/>
      </rPr>
      <t>Plus extra weekdag i.v.m. schrikkeljaar</t>
    </r>
  </si>
  <si>
    <t>Fiscale regelingen</t>
  </si>
  <si>
    <t>Totaal baten</t>
  </si>
  <si>
    <t>Afschrijvingstermijn in jaren</t>
  </si>
  <si>
    <t>Afschrijvingstermijn in dagen totaal</t>
  </si>
  <si>
    <t>OVERNAMEWAARDE</t>
  </si>
  <si>
    <t>Totaal aanschafwaarde</t>
  </si>
  <si>
    <t>Subtotaal aanschafprijs apparatuur nieuw (of vervanging)</t>
  </si>
  <si>
    <t>Totaal aanschafprijs</t>
  </si>
  <si>
    <t>Aanschafprijs per treinstel</t>
  </si>
  <si>
    <t>Aanschafprijs apparatuur nieuw of ter vervanging per treinstel</t>
  </si>
  <si>
    <t>Subsidies per treinstel</t>
  </si>
  <si>
    <t>Fiscale regelingen per treinstel</t>
  </si>
  <si>
    <t>Overige per treinstel</t>
  </si>
  <si>
    <t>Aanschafprijs treinstel</t>
  </si>
  <si>
    <t>Specificatie aanschafprijs</t>
  </si>
  <si>
    <t>Specificatie kostenpost</t>
  </si>
  <si>
    <t>Totaal jaarlijkste kosten</t>
  </si>
  <si>
    <t>TOTAAL KOSTEN PER JAAR</t>
  </si>
  <si>
    <t>Aanschafprijs grond/kaval</t>
  </si>
  <si>
    <t>INVESTERINGSKOSTEN ONROEREND GOED</t>
  </si>
  <si>
    <t>JAARLIJKSE KOSTEN BEHEER EN ONDERHOUD ONROEREND GOED</t>
  </si>
  <si>
    <t>Eigendoms-situatie</t>
  </si>
  <si>
    <t>F.03</t>
  </si>
  <si>
    <t>F.02 Installaties</t>
  </si>
  <si>
    <t>F.03 Inrichtingskosten</t>
  </si>
  <si>
    <t>F.01 Huisvesting</t>
  </si>
  <si>
    <t>LBI Indexen (2022 = 100%)</t>
  </si>
  <si>
    <t>DRK Tarief (geindexeerd)</t>
  </si>
  <si>
    <t xml:space="preserve"> - LBI Trein Diesel 2025</t>
  </si>
  <si>
    <r>
      <t>DRK offert (</t>
    </r>
    <r>
      <rPr>
        <b/>
        <sz val="8"/>
        <color rgb="FFFF3300"/>
        <rFont val="Verdana"/>
        <family val="2"/>
      </rPr>
      <t>ongewogen</t>
    </r>
    <r>
      <rPr>
        <b/>
        <sz val="8"/>
        <rFont val="Verdana"/>
        <family val="2"/>
      </rPr>
      <t>)</t>
    </r>
  </si>
  <si>
    <r>
      <t>Totaal DRK offerte (</t>
    </r>
    <r>
      <rPr>
        <b/>
        <sz val="8"/>
        <color rgb="FFFF3300"/>
        <rFont val="Verdana"/>
        <family val="2"/>
      </rPr>
      <t>ongewogen</t>
    </r>
    <r>
      <rPr>
        <b/>
        <sz val="8"/>
        <rFont val="Verdana"/>
        <family val="2"/>
      </rPr>
      <t>)</t>
    </r>
  </si>
  <si>
    <r>
      <t>DRK mutatie (</t>
    </r>
    <r>
      <rPr>
        <b/>
        <u/>
        <sz val="8"/>
        <color rgb="FFFF3300"/>
        <rFont val="Verdana"/>
        <family val="2"/>
      </rPr>
      <t>ongewogen</t>
    </r>
    <r>
      <rPr>
        <b/>
        <u/>
        <sz val="8"/>
        <rFont val="Verdana"/>
        <family val="2"/>
      </rPr>
      <t>)</t>
    </r>
  </si>
  <si>
    <r>
      <t>DRK Planning/realisatie (</t>
    </r>
    <r>
      <rPr>
        <b/>
        <u/>
        <sz val="8"/>
        <color rgb="FFFF0000"/>
        <rFont val="Verdana"/>
        <family val="2"/>
      </rPr>
      <t>on</t>
    </r>
    <r>
      <rPr>
        <b/>
        <u/>
        <sz val="8"/>
        <color rgb="FFFF3300"/>
        <rFont val="Verdana"/>
        <family val="2"/>
      </rPr>
      <t>gewogen</t>
    </r>
    <r>
      <rPr>
        <b/>
        <u/>
        <sz val="8"/>
        <rFont val="Verdana"/>
        <family val="2"/>
      </rPr>
      <t>)</t>
    </r>
  </si>
  <si>
    <t>Totaal DRK mutatie (ongewogen)</t>
  </si>
  <si>
    <t>[Hoofdstuk 5 Financiele bepalingen]</t>
  </si>
  <si>
    <t>[hoofdstuk 2 financiele bepalingen]</t>
  </si>
  <si>
    <t>Bijdrage Gebruiksvergoeding spoor</t>
  </si>
  <si>
    <t>Totaal bijdrage Gebruiksvergoeding spoor</t>
  </si>
  <si>
    <t>(Prijspeil 2024)</t>
  </si>
  <si>
    <t>D.01</t>
  </si>
  <si>
    <t>D.02</t>
  </si>
  <si>
    <t xml:space="preserve">  Aantal fte AL-HA</t>
  </si>
  <si>
    <t xml:space="preserve">  Aantal fte Zw-Em</t>
  </si>
  <si>
    <t>Totaal fte</t>
  </si>
  <si>
    <t>A.01 Loonkosten machinisten</t>
  </si>
  <si>
    <t>Loonkosten machinisten</t>
  </si>
  <si>
    <t xml:space="preserve">  Loonsom AL-Ha</t>
  </si>
  <si>
    <t xml:space="preserve">  Loonsom Zw-Em</t>
  </si>
  <si>
    <t>A.05 Loonkosten overige direct personeel</t>
  </si>
  <si>
    <t>GTW 2/6</t>
  </si>
  <si>
    <t>GTW 2/8</t>
  </si>
  <si>
    <t>Nieuw / bestaand</t>
  </si>
  <si>
    <t xml:space="preserve">SOV </t>
  </si>
  <si>
    <t>Overige reizigersopbrengsten</t>
  </si>
  <si>
    <t>Almelo-Hardenberg</t>
  </si>
  <si>
    <t>Zwolle-Emmen</t>
  </si>
  <si>
    <t>Exploitatiebijdrage</t>
  </si>
  <si>
    <t>Gebruiksvergoeding Almelo-Hardenberg</t>
  </si>
  <si>
    <t>Gebruiksvergoeding Zwolle-Emmen</t>
  </si>
  <si>
    <t>D.01 Gebruiksvergoeding ProRail Almelo-Hardenberg</t>
  </si>
  <si>
    <t>Aantal DRK Almelo-Hardenberg</t>
  </si>
  <si>
    <t>Aantal DRK Zwolle-Emmen</t>
  </si>
  <si>
    <t>Totaal aantal DRK</t>
  </si>
  <si>
    <t>E.02 Loonkosten overige indirect personeel</t>
  </si>
  <si>
    <t>E.01 Loonkosten onderhoudspersoneel</t>
  </si>
  <si>
    <t>Variabele kosten per DRK</t>
  </si>
  <si>
    <t>Loonkosten onderhoudspersoneel</t>
  </si>
  <si>
    <r>
      <t xml:space="preserve">2028 </t>
    </r>
    <r>
      <rPr>
        <b/>
        <vertAlign val="superscript"/>
        <sz val="8"/>
        <color theme="0"/>
        <rFont val="Verdana"/>
        <family val="2"/>
      </rPr>
      <t>1</t>
    </r>
  </si>
  <si>
    <r>
      <t xml:space="preserve">2043 </t>
    </r>
    <r>
      <rPr>
        <b/>
        <vertAlign val="superscript"/>
        <sz val="8"/>
        <color theme="0"/>
        <rFont val="Verdana"/>
        <family val="2"/>
      </rPr>
      <t>1</t>
    </r>
  </si>
  <si>
    <r>
      <t xml:space="preserve">2032 </t>
    </r>
    <r>
      <rPr>
        <b/>
        <vertAlign val="superscript"/>
        <sz val="8"/>
        <color theme="0"/>
        <rFont val="Verdana"/>
        <family val="2"/>
      </rPr>
      <t>2</t>
    </r>
  </si>
  <si>
    <r>
      <t xml:space="preserve">2036 </t>
    </r>
    <r>
      <rPr>
        <b/>
        <vertAlign val="superscript"/>
        <sz val="8"/>
        <color theme="0"/>
        <rFont val="Verdana"/>
        <family val="2"/>
      </rPr>
      <t>2</t>
    </r>
  </si>
  <si>
    <r>
      <t xml:space="preserve">2040 </t>
    </r>
    <r>
      <rPr>
        <b/>
        <vertAlign val="superscript"/>
        <sz val="8"/>
        <color theme="0"/>
        <rFont val="Verdana"/>
        <family val="2"/>
      </rPr>
      <t>2</t>
    </r>
  </si>
  <si>
    <t>D.02 Gebruiksvergoeding ProRail Zwolle-Emmen</t>
  </si>
  <si>
    <t>(Verwacht) Rendement en risico</t>
  </si>
  <si>
    <t>L.01</t>
  </si>
  <si>
    <t>L.02</t>
  </si>
  <si>
    <t>Almelo</t>
  </si>
  <si>
    <t>Hardenberg</t>
  </si>
  <si>
    <t>Marienberg</t>
  </si>
  <si>
    <t>Vroomshoop</t>
  </si>
  <si>
    <t>Daarleveen</t>
  </si>
  <si>
    <t>Vriezenveen</t>
  </si>
  <si>
    <t>Halteringsklasse</t>
  </si>
  <si>
    <t>L.01 Opgave dienstregelingskilometers RS21 Almelo-Hardenberg</t>
  </si>
  <si>
    <t>Mariënberg</t>
  </si>
  <si>
    <r>
      <rPr>
        <vertAlign val="superscript"/>
        <sz val="8"/>
        <color theme="1"/>
        <rFont val="Verdana"/>
        <family val="2"/>
      </rPr>
      <t>1</t>
    </r>
    <r>
      <rPr>
        <sz val="8"/>
        <color theme="1"/>
        <rFont val="Verdana"/>
        <family val="2"/>
      </rPr>
      <t xml:space="preserve"> Op basis van kalender 10-12-2028 t/m 31-12-2028 en standaard dienstregelingsjaar -/- 13-12-2043 t/m 31-12-2043</t>
    </r>
  </si>
  <si>
    <t>Ongewogen DRK treindienst Almelo-Hardenberg per Dienstregelingsjaar</t>
  </si>
  <si>
    <t>Ongewogen DRK aanbod treindienst Almelo-Hardenberg looptijd Concessie</t>
  </si>
  <si>
    <t>Ritten per dag treindienst Almelo-Hardenberg</t>
  </si>
  <si>
    <t>Ritten per dag treindienst Zwolle-Emmen</t>
  </si>
  <si>
    <t>Ongewogen DRK treindienst Zwolle-Emmen per Dienstregelingsjaar</t>
  </si>
  <si>
    <t>Ongewogen DRK aanbod treindienst Zwolle-Emmen looptijd Concessie</t>
  </si>
  <si>
    <t>L.02 Opgave dienstregelingskilometers RS20 en RE20 Zwolle-Emmen</t>
  </si>
  <si>
    <t>Zwolle</t>
  </si>
  <si>
    <t>Dalfsen</t>
  </si>
  <si>
    <t>Ommen</t>
  </si>
  <si>
    <t>Gramsbergen</t>
  </si>
  <si>
    <t>Coevorden</t>
  </si>
  <si>
    <t>Dalen</t>
  </si>
  <si>
    <t>Nieuw Amsterdam</t>
  </si>
  <si>
    <t>Emmen-Zuid</t>
  </si>
  <si>
    <t>Emmen</t>
  </si>
  <si>
    <t>DRK per dag</t>
  </si>
  <si>
    <t>DRK per jaar</t>
  </si>
  <si>
    <t>RE 20a Zwolle-Emmen (Spitstrein)</t>
  </si>
  <si>
    <t>RS 20 Zwolle-Emmen (stoptrein)</t>
  </si>
  <si>
    <t>RE 20b Zwolle-Emmen (Sneltrein)</t>
  </si>
  <si>
    <t>Bonus opbrengstengroei</t>
  </si>
  <si>
    <t>Vaste kosten per DRK (niet te indexeren)</t>
  </si>
  <si>
    <t>Vaste kosten per DRK (te indexeren)</t>
  </si>
  <si>
    <t>Vast (NI)</t>
  </si>
  <si>
    <t>Saldoreizen</t>
  </si>
  <si>
    <t>Reizen op rekening</t>
  </si>
  <si>
    <t>EOS</t>
  </si>
  <si>
    <t>Regional Pricing</t>
  </si>
  <si>
    <t>THO</t>
  </si>
  <si>
    <t>TML</t>
  </si>
  <si>
    <t>OV-Pay</t>
  </si>
  <si>
    <t>A.04</t>
  </si>
  <si>
    <t>A.05</t>
  </si>
  <si>
    <t>Basis</t>
  </si>
  <si>
    <t>Plus</t>
  </si>
  <si>
    <t>Aantal halteringen per rit en stationsklasse</t>
  </si>
  <si>
    <t>controle</t>
  </si>
  <si>
    <t>Totaal jaar</t>
  </si>
  <si>
    <t>halterings-</t>
  </si>
  <si>
    <t>code</t>
  </si>
  <si>
    <t>Overzicht betalingen</t>
  </si>
  <si>
    <t xml:space="preserve"> - LBI Trein Diesel 2028</t>
  </si>
  <si>
    <t xml:space="preserve"> - LBI Trein Diesel 2029</t>
  </si>
  <si>
    <t xml:space="preserve"> - LBI Trein Diesel 2030</t>
  </si>
  <si>
    <t xml:space="preserve"> - LBI Trein Diesel 2026</t>
  </si>
  <si>
    <t xml:space="preserve"> - LBI Trein Diesel 2027</t>
  </si>
  <si>
    <t>Bakken</t>
  </si>
  <si>
    <t>Zitplaatsen</t>
  </si>
  <si>
    <t>Bak-</t>
  </si>
  <si>
    <t>bakkilometers</t>
  </si>
  <si>
    <t>Tarief per DRK Almelo-Hardenberg</t>
  </si>
  <si>
    <t>Tarief per DRK Zwolle-Emmen</t>
  </si>
  <si>
    <t>Dienstregelings- bakkilometers trein</t>
  </si>
  <si>
    <t>Aantal BK Zwolle-Emmen</t>
  </si>
  <si>
    <t>Totaal aantal BK</t>
  </si>
  <si>
    <t>A.03</t>
  </si>
  <si>
    <t>P</t>
  </si>
  <si>
    <t>Q</t>
  </si>
  <si>
    <t>R</t>
  </si>
  <si>
    <t>DRK Tarief cf FEO (pp2024)</t>
  </si>
  <si>
    <t>Treindienst Almelo-Hardenberg</t>
  </si>
  <si>
    <t>Totaaloverzicht</t>
  </si>
  <si>
    <t>Totaal exploitatiesubsidie</t>
  </si>
  <si>
    <t>Voorbeeld berekening exploitatiesubsidie concessiedeel Almelo-Hardenberg</t>
  </si>
  <si>
    <t>Brief-kenmerk</t>
  </si>
  <si>
    <t>Voorbeeld berekening exploitatiesubsidie concessiedeel Zwolle-Emmen</t>
  </si>
  <si>
    <t>Reizigersopbrengsten incl. SOV</t>
  </si>
  <si>
    <t>Effect meer- / minderwerk (pp2024)</t>
  </si>
  <si>
    <t>DRK per jaar RE20 sneltrein</t>
  </si>
  <si>
    <t>DRK per jaar RE20 spitstrein</t>
  </si>
  <si>
    <t>DRK per jaar RS20 stoptrein</t>
  </si>
  <si>
    <t>DRK offerte per jaar RS20 stoptrein</t>
  </si>
  <si>
    <t>DRK offerte per jaar RE20 spitstrein</t>
  </si>
  <si>
    <t>DRK offerte per jaar RE20 sneltrein</t>
  </si>
  <si>
    <t>DRK planning/realisatie per jaar RS20 stoptrein</t>
  </si>
  <si>
    <t>DRK planning/realisatie per jaar RE20 spitstrein</t>
  </si>
  <si>
    <t>DRK planning/realisatie per jaar RE20 sneltrein</t>
  </si>
  <si>
    <t>DRK planning/realisatie -/- offerte per jaar RS20 stoptrein</t>
  </si>
  <si>
    <t>DRK planning/realisatie -/- offerte per jaar RE20 spitstrein</t>
  </si>
  <si>
    <t>DRK planning/realisatie -/- offerte per jaar RE20 sneltrein</t>
  </si>
  <si>
    <t>Totalen Zwolle-Emmen</t>
  </si>
  <si>
    <t>Totalen Zwolle-Emmen voor Provincie Overijssel</t>
  </si>
  <si>
    <t>Totalen Zwolle-Emmen voor Provincie Drenthe</t>
  </si>
  <si>
    <r>
      <t xml:space="preserve">LBI </t>
    </r>
    <r>
      <rPr>
        <b/>
        <sz val="8"/>
        <rFont val="Verdana"/>
        <family val="2"/>
      </rPr>
      <t>Elektra</t>
    </r>
    <r>
      <rPr>
        <sz val="8"/>
        <rFont val="Verdana"/>
        <family val="2"/>
      </rPr>
      <t xml:space="preserve"> Trein</t>
    </r>
  </si>
  <si>
    <t>F.09</t>
  </si>
  <si>
    <t>AFSCHRIJVINGEN</t>
  </si>
  <si>
    <t>BOEKWAARDE 31-12</t>
  </si>
  <si>
    <t>Boekwaarde installaties</t>
  </si>
  <si>
    <t>Boekwaarde inrichtingskosten</t>
  </si>
  <si>
    <t>Subtotaal boekwaarde per 31/12</t>
  </si>
  <si>
    <t>Boekwaarde implementatiekosten</t>
  </si>
  <si>
    <t>Boekwaarde Materieel</t>
  </si>
  <si>
    <t>Boekwaarde overige investeringen</t>
  </si>
  <si>
    <t>Financieringskosten overig</t>
  </si>
  <si>
    <t>Kosten financiering Materieel</t>
  </si>
  <si>
    <t>Afschr. kosten Materieel</t>
  </si>
  <si>
    <t>B.01 Afschrijving Materieel</t>
  </si>
  <si>
    <t>Omschrijving type Materieel</t>
  </si>
  <si>
    <t>Leasekosten Materieel</t>
  </si>
  <si>
    <t>Onderhoudskosten Materieel</t>
  </si>
  <si>
    <t>Schoonmaakkosten Materieel</t>
  </si>
  <si>
    <t>Schade Materieel</t>
  </si>
  <si>
    <t>Verzekering Materieel</t>
  </si>
  <si>
    <t>Onderhoud apparatuur Materieel</t>
  </si>
  <si>
    <t>Brandstof en/of energie Materieel</t>
  </si>
  <si>
    <t>Certificaten / keuringen Materieel</t>
  </si>
  <si>
    <t>Kosten Materieel</t>
  </si>
  <si>
    <t>Standaardformulier 14 Financieel economische onderbouwing</t>
  </si>
  <si>
    <t>Loonkosten servicemedewerkers</t>
  </si>
  <si>
    <t>A.03 Loonkosten Toezichthouders (zie 10.5.2 programma van eisen)</t>
  </si>
  <si>
    <t>A.02 Loonkosten Servicemedewerker (zie 9.2.2 programma van eisen)</t>
  </si>
  <si>
    <t>Gevraagde Exploitatiebijdrage ten behoeve van Gunningscriterium G4 Prijs :</t>
  </si>
  <si>
    <t>Maximimum Exploitatiebuget (artikel 2.1 financiele bepalingen) :</t>
  </si>
  <si>
    <r>
      <rPr>
        <b/>
        <sz val="9"/>
        <rFont val="Verdana"/>
        <family val="2"/>
      </rPr>
      <t xml:space="preserve">Toelichting: </t>
    </r>
    <r>
      <rPr>
        <sz val="9"/>
        <rFont val="Verdana"/>
        <family val="2"/>
      </rPr>
      <t>Vooraf ingevulde tarieven zijn ontleent aan de Netverklaring 2024 - bijgewerkt t/m aanvulling 4 van 8 april 2024</t>
    </r>
  </si>
  <si>
    <t>[Hoofdstuk 6 Financiele bepalingen]</t>
  </si>
  <si>
    <t>Afschr. kst. Installaties op Locaties</t>
  </si>
  <si>
    <t>Afschr. kst. van Inrichting Locaties</t>
  </si>
  <si>
    <t>Overige personeelkst indirect pers.</t>
  </si>
  <si>
    <t>Alle bedragen dienen reëel, in Euro's (exclusief btw), prijspeil 2024, te zijn weergegeven. 
De Inschrijver dient de ontwikkelingen binnen kosten- en batenposten toe te lichten d.m.v. een verklarende tekst in standaardformulier 15 welke onlosmakelijk verbonden is aan deze cijfermatige onderbouwing.</t>
  </si>
  <si>
    <t xml:space="preserve">Het gunningscriterium G.4 prijs maakt het de Inschrijver mogelijk zich te kunnen onderscheiden op het aspect prijs. Concessieverleners stellen een maximum jaarbudget van € 29.225.000,- beschikbaar voor de Exploitatiebijdrage. De Exploitatiebijdrage waarmee de Concessiehouder inschrijft op de Concessie blijkt uit de financieel economische onderbouwing. Deze bevat een opgave van de (verwachte) kosten- en batenposten die hij verwacht ter uitvoering van de Concessie, exclusief Meer- en Minderwerk. </t>
  </si>
  <si>
    <r>
      <t xml:space="preserve">Financieel economische onderbouwing </t>
    </r>
    <r>
      <rPr>
        <i/>
        <sz val="12"/>
        <color theme="1"/>
        <rFont val="Verdana"/>
        <family val="2"/>
      </rPr>
      <t>[</t>
    </r>
    <r>
      <rPr>
        <i/>
        <sz val="12"/>
        <rFont val="Verdana"/>
        <family val="2"/>
      </rPr>
      <t>zie voor meer informatie 6.3 T.2: Financieel economische onderbouwing, beschrijvend document</t>
    </r>
    <r>
      <rPr>
        <i/>
        <sz val="12"/>
        <color theme="1"/>
        <rFont val="Verdana"/>
        <family val="2"/>
      </rPr>
      <t>]</t>
    </r>
  </si>
  <si>
    <r>
      <t xml:space="preserve">Opgave dienstregelingskilometers </t>
    </r>
    <r>
      <rPr>
        <i/>
        <sz val="12"/>
        <color theme="1"/>
        <rFont val="Verdana"/>
        <family val="2"/>
      </rPr>
      <t xml:space="preserve">[zie voor meer informatie </t>
    </r>
    <r>
      <rPr>
        <i/>
        <sz val="12"/>
        <rFont val="Verdana"/>
        <family val="2"/>
      </rPr>
      <t>7.4 G.1.2: Vervoersomvang (Dienstregelingskilometers), beschrijvend document</t>
    </r>
    <r>
      <rPr>
        <i/>
        <sz val="12"/>
        <color theme="1"/>
        <rFont val="Verdana"/>
        <family val="2"/>
      </rPr>
      <t>]</t>
    </r>
  </si>
  <si>
    <r>
      <t xml:space="preserve">Rekenvoorbeeld exploitatiesubsidie </t>
    </r>
    <r>
      <rPr>
        <i/>
        <sz val="12"/>
        <rFont val="Verdana"/>
        <family val="2"/>
      </rPr>
      <t>[zie voor meer informatie, Bijlage D Financiele bepalingen]</t>
    </r>
  </si>
  <si>
    <t>Exploitatiebijdrage + gebruiksvergoeding</t>
  </si>
  <si>
    <t>Totaal kosten: A +B + C + D + E + F + G = Exploitatiebijdrage</t>
  </si>
  <si>
    <t>Loonkosten Toezichthouders</t>
  </si>
  <si>
    <t>Inhuurkosten Treinvervangend vervoer</t>
  </si>
  <si>
    <t xml:space="preserve"> - Tussenbakken</t>
  </si>
  <si>
    <t>Overname</t>
  </si>
  <si>
    <t xml:space="preserve"> - Energiemeters</t>
  </si>
  <si>
    <t xml:space="preserve"> - Hoofd- en reservedelen</t>
  </si>
  <si>
    <t>Tabblad 'B.02' en celbereik B17:O32</t>
  </si>
  <si>
    <t>2a</t>
  </si>
  <si>
    <t>Tabblad 'L.02' en cel F125</t>
  </si>
  <si>
    <t>Tabblad 'B.01' en celbereik B30:AO30</t>
  </si>
  <si>
    <t>In tabl L.02 DRK ZW-EM cel F125 '+1" uit de formule verwijderd.</t>
  </si>
  <si>
    <r>
      <t>In tabl 'B.01'  voegen wij "</t>
    </r>
    <r>
      <rPr>
        <b/>
        <sz val="9"/>
        <rFont val="Verdana"/>
        <family val="2"/>
      </rPr>
      <t>+1</t>
    </r>
    <r>
      <rPr>
        <sz val="9"/>
        <color theme="1"/>
        <rFont val="Verdana"/>
        <family val="2"/>
      </rPr>
      <t>" toe aan de formules in celbereik B30:AO30 
[</t>
    </r>
    <r>
      <rPr>
        <sz val="9"/>
        <color rgb="FFFF0000"/>
        <rFont val="Verdana"/>
        <family val="2"/>
      </rPr>
      <t>=</t>
    </r>
    <r>
      <rPr>
        <sz val="9"/>
        <color theme="4"/>
        <rFont val="Verdana"/>
        <family val="2"/>
      </rPr>
      <t>KOLOM</t>
    </r>
    <r>
      <rPr>
        <sz val="9"/>
        <color rgb="FFFF0000"/>
        <rFont val="Verdana"/>
        <family val="2"/>
      </rPr>
      <t>28-</t>
    </r>
    <r>
      <rPr>
        <sz val="9"/>
        <color theme="4"/>
        <rFont val="Verdana"/>
        <family val="2"/>
      </rPr>
      <t>KOLOM</t>
    </r>
    <r>
      <rPr>
        <sz val="9"/>
        <color rgb="FFFF0000"/>
        <rFont val="Verdana"/>
        <family val="2"/>
      </rPr>
      <t>27</t>
    </r>
    <r>
      <rPr>
        <b/>
        <sz val="9"/>
        <color rgb="FFFF0000"/>
        <rFont val="Verdana"/>
        <family val="2"/>
      </rPr>
      <t>+1</t>
    </r>
    <r>
      <rPr>
        <sz val="9"/>
        <color theme="1"/>
        <rFont val="Verdana"/>
        <family val="2"/>
      </rPr>
      <t>] en;
in celbereik B51:AO51 
[…........</t>
    </r>
    <r>
      <rPr>
        <sz val="9"/>
        <color rgb="FFFF0000"/>
        <rFont val="Verdana"/>
        <family val="2"/>
      </rPr>
      <t>;1;1)</t>
    </r>
    <r>
      <rPr>
        <b/>
        <sz val="9"/>
        <color rgb="FFFF0000"/>
        <rFont val="Verdana"/>
        <family val="2"/>
      </rPr>
      <t>+1</t>
    </r>
    <r>
      <rPr>
        <sz val="9"/>
        <color rgb="FFFF0000"/>
        <rFont val="Verdana"/>
        <family val="2"/>
      </rPr>
      <t>)*</t>
    </r>
    <r>
      <rPr>
        <sz val="9"/>
        <color theme="4"/>
        <rFont val="Verdana"/>
        <family val="2"/>
      </rPr>
      <t>KOLOM</t>
    </r>
    <r>
      <rPr>
        <sz val="9"/>
        <color rgb="FFFF0000"/>
        <rFont val="Verdana"/>
        <family val="2"/>
      </rPr>
      <t>$31;0))))</t>
    </r>
    <r>
      <rPr>
        <sz val="9"/>
        <color theme="1"/>
        <rFont val="Verdana"/>
        <family val="2"/>
      </rPr>
      <t xml:space="preserve">]
</t>
    </r>
  </si>
  <si>
    <t>Tabblad 'Subsidieverlening' (Beide)</t>
  </si>
  <si>
    <t xml:space="preserve">Wij zullen hiervoor geen nieuwe versie aanleveren. 
Het bereik E84:G93 in blad 'subsidieverlening Al-Ha' en 'E88:G97' in blad 'subsidieverlening Zw-Em' onder c reizigersopbrengsten incl. SOV betreffen invulvelden. Voor het testen van de voorbeeldberekening kunt u hier zelf waarden invoeren. </t>
  </si>
  <si>
    <r>
      <t>In tabl. 'B.02' voegen wij "+1" toe aan de formules in celbereik B17:O32
=ALS(EN($A</t>
    </r>
    <r>
      <rPr>
        <sz val="9"/>
        <color theme="4"/>
        <rFont val="Verdana"/>
        <family val="2"/>
      </rPr>
      <t>REGEL</t>
    </r>
    <r>
      <rPr>
        <sz val="9"/>
        <color theme="1"/>
        <rFont val="Verdana"/>
        <family val="2"/>
      </rPr>
      <t>&gt;JAAR(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$11);$A</t>
    </r>
    <r>
      <rPr>
        <sz val="9"/>
        <color theme="4"/>
        <rFont val="Verdana"/>
        <family val="2"/>
      </rPr>
      <t>REGEL</t>
    </r>
    <r>
      <rPr>
        <sz val="9"/>
        <color theme="1"/>
        <rFont val="Verdana"/>
        <family val="2"/>
      </rPr>
      <t>&lt;JAAR(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$12));12*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$14;ALS($A</t>
    </r>
    <r>
      <rPr>
        <sz val="9"/>
        <color theme="4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$11);(12-MAAND(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$11)</t>
    </r>
    <r>
      <rPr>
        <b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$14;ALS($A</t>
    </r>
    <r>
      <rPr>
        <sz val="9"/>
        <color theme="4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$12);(MAAND(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$12))*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$14;0)))</t>
    </r>
  </si>
  <si>
    <r>
      <t xml:space="preserve">
Almelo – 0,0 km
Vriezenveen – </t>
    </r>
    <r>
      <rPr>
        <i/>
        <strike/>
        <sz val="9"/>
        <color theme="1"/>
        <rFont val="Verdana"/>
        <family val="2"/>
      </rPr>
      <t>6,4 km</t>
    </r>
    <r>
      <rPr>
        <i/>
        <sz val="9"/>
        <color theme="1"/>
        <rFont val="Verdana"/>
        <family val="2"/>
      </rPr>
      <t xml:space="preserve"> 6,2 km
Daarlerveen –</t>
    </r>
    <r>
      <rPr>
        <i/>
        <strike/>
        <sz val="9"/>
        <color theme="1"/>
        <rFont val="Verdana"/>
        <family val="2"/>
      </rPr>
      <t xml:space="preserve"> 11,1 km</t>
    </r>
    <r>
      <rPr>
        <i/>
        <sz val="9"/>
        <color theme="1"/>
        <rFont val="Verdana"/>
        <family val="2"/>
      </rPr>
      <t xml:space="preserve"> 10,9 km
Vroomshoop –</t>
    </r>
    <r>
      <rPr>
        <i/>
        <strike/>
        <sz val="9"/>
        <color theme="1"/>
        <rFont val="Verdana"/>
        <family val="2"/>
      </rPr>
      <t xml:space="preserve"> 12,9 km</t>
    </r>
    <r>
      <rPr>
        <i/>
        <sz val="9"/>
        <color theme="1"/>
        <rFont val="Verdana"/>
        <family val="2"/>
      </rPr>
      <t xml:space="preserve"> 12,7 km
Mariënberg – </t>
    </r>
    <r>
      <rPr>
        <i/>
        <strike/>
        <sz val="9"/>
        <color theme="1"/>
        <rFont val="Verdana"/>
        <family val="2"/>
      </rPr>
      <t>18,9 km</t>
    </r>
    <r>
      <rPr>
        <i/>
        <sz val="9"/>
        <color theme="1"/>
        <rFont val="Verdana"/>
        <family val="2"/>
      </rPr>
      <t xml:space="preserve"> 18,7 km
Hardenberg –</t>
    </r>
    <r>
      <rPr>
        <i/>
        <strike/>
        <sz val="9"/>
        <color theme="1"/>
        <rFont val="Verdana"/>
        <family val="2"/>
      </rPr>
      <t xml:space="preserve"> 27,3 km</t>
    </r>
    <r>
      <rPr>
        <i/>
        <sz val="9"/>
        <color theme="1"/>
        <rFont val="Verdana"/>
        <family val="2"/>
      </rPr>
      <t xml:space="preserve"> 27,2 km
</t>
    </r>
  </si>
  <si>
    <t>Tabblad L01, Cellen L5-L10 aangepast:</t>
  </si>
  <si>
    <t>B.03</t>
  </si>
  <si>
    <t>B.03 Leasekosten  treinmaterieel</t>
  </si>
  <si>
    <t>Reizigersopbrengsten incl. SOV concessiedeel Al-Ha (Trein)</t>
  </si>
  <si>
    <t>F.10</t>
  </si>
  <si>
    <t>F.10 Implementatie- en overdrachtskosten</t>
  </si>
  <si>
    <t xml:space="preserve"> - LBI Trein Elektrisch 2025</t>
  </si>
  <si>
    <t xml:space="preserve"> - LBI Trein Elektrisch 2026</t>
  </si>
  <si>
    <t xml:space="preserve"> - LBI Trein Elektrisch 2027</t>
  </si>
  <si>
    <t xml:space="preserve"> - LBI Trein Elektrisch 2028</t>
  </si>
  <si>
    <t xml:space="preserve"> - LBI Trein Elektrisch 2029</t>
  </si>
  <si>
    <t xml:space="preserve"> - LBI Trein Elektrisch 2030</t>
  </si>
  <si>
    <t>Restituties</t>
  </si>
  <si>
    <t>Bijdrage gebruiksvergoeding</t>
  </si>
  <si>
    <t>Cel A1 op werkblad 'B.02' wijzigen van 'B.02' in 'B.03'
Cel D22 op werkblad 'FEO' wijzigen van 'B.02' in 'B.03'
Naamgeving werkblad 'B.02' wijzigen in 'B.03'</t>
  </si>
  <si>
    <t>Cel B80 op werkblad 'Subsidieverlening Al-Ha' wijzigingen van 'ZHO' in 'Al-Ha'</t>
  </si>
  <si>
    <t>Cel A1 op werkblad 'F.09' wijzigingen van 'F.10' in 'B.03'
Cel D59 op werkblad 'FEO' wijzigen van 'F.09' in 'F.10'
Naamgeving werkblad 'F.09' wijzigingen in 'F.10'</t>
  </si>
  <si>
    <t xml:space="preserve">Cel E15 en E16 bevat nu een keuze 'Vast' of 'Variabel'
</t>
  </si>
  <si>
    <t>Werkblad B.03</t>
  </si>
  <si>
    <t>Werkblad 'Subsidieverlening Al-Ha</t>
  </si>
  <si>
    <t>Werkblad 'F.01'</t>
  </si>
  <si>
    <t>Werkblad 'F.10'</t>
  </si>
  <si>
    <t>Werkblad 'F.03'</t>
  </si>
  <si>
    <t>Werkblad 'F.02'</t>
  </si>
  <si>
    <t>Werkblad 'FEO'</t>
  </si>
  <si>
    <t>Werkblad 'Subsidieverlening Al-Ha'</t>
  </si>
  <si>
    <t xml:space="preserve">Bonus-/malus-/boeteregeling </t>
  </si>
  <si>
    <t>Werkblad subsidieverlening AL-HA en Zw-Em</t>
  </si>
  <si>
    <t xml:space="preserve">Cel E26 bevat nu een keuze 'Vast' of 'Variabel'
</t>
  </si>
  <si>
    <r>
      <t xml:space="preserve">
In bereik B31:B63 van werkblad 'subsidieverlening Al-Ha" </t>
    </r>
    <r>
      <rPr>
        <b/>
        <sz val="9"/>
        <color theme="1"/>
        <rFont val="Verdana"/>
        <family val="2"/>
      </rPr>
      <t>Diesel</t>
    </r>
    <r>
      <rPr>
        <sz val="9"/>
        <color theme="1"/>
        <rFont val="Verdana"/>
        <family val="2"/>
      </rPr>
      <t xml:space="preserve"> wijzigen in </t>
    </r>
    <r>
      <rPr>
        <b/>
        <sz val="9"/>
        <color theme="1"/>
        <rFont val="Verdana"/>
        <family val="2"/>
      </rPr>
      <t>Elektrisch</t>
    </r>
    <r>
      <rPr>
        <sz val="9"/>
        <color theme="1"/>
        <rFont val="Verdana"/>
        <family val="2"/>
      </rPr>
      <t xml:space="preserve">
</t>
    </r>
  </si>
  <si>
    <r>
      <t xml:space="preserve">
In cel B92 van werkblad 'subsidieverlening Al-Ha" </t>
    </r>
    <r>
      <rPr>
        <b/>
        <sz val="9"/>
        <color theme="1"/>
        <rFont val="Verdana"/>
        <family val="2"/>
      </rPr>
      <t>Restituaties</t>
    </r>
    <r>
      <rPr>
        <sz val="9"/>
        <color theme="1"/>
        <rFont val="Verdana"/>
        <family val="2"/>
      </rPr>
      <t xml:space="preserve"> wijzigen in </t>
    </r>
    <r>
      <rPr>
        <b/>
        <sz val="9"/>
        <color theme="1"/>
        <rFont val="Verdana"/>
        <family val="2"/>
      </rPr>
      <t>Restituties</t>
    </r>
    <r>
      <rPr>
        <sz val="9"/>
        <color theme="1"/>
        <rFont val="Verdana"/>
        <family val="2"/>
      </rPr>
      <t xml:space="preserve">
In cel B96 van werkblad 'subsidieverlening Zw-Em" </t>
    </r>
    <r>
      <rPr>
        <b/>
        <sz val="9"/>
        <color theme="1"/>
        <rFont val="Verdana"/>
        <family val="2"/>
      </rPr>
      <t>Restituaties</t>
    </r>
    <r>
      <rPr>
        <sz val="9"/>
        <color theme="1"/>
        <rFont val="Verdana"/>
        <family val="2"/>
      </rPr>
      <t xml:space="preserve"> wijzigen in </t>
    </r>
    <r>
      <rPr>
        <b/>
        <sz val="9"/>
        <color theme="1"/>
        <rFont val="Verdana"/>
        <family val="2"/>
      </rPr>
      <t>Restituties</t>
    </r>
    <r>
      <rPr>
        <sz val="9"/>
        <color theme="1"/>
        <rFont val="Verdana"/>
        <family val="2"/>
      </rPr>
      <t xml:space="preserve">
</t>
    </r>
  </si>
  <si>
    <r>
      <t xml:space="preserve">
In cel B99 van werkblad 'subsidieverlening Al-Ha' </t>
    </r>
    <r>
      <rPr>
        <b/>
        <sz val="9"/>
        <color theme="1"/>
        <rFont val="Verdana"/>
        <family val="2"/>
      </rPr>
      <t xml:space="preserve">Bonus opbrengstengroei </t>
    </r>
    <r>
      <rPr>
        <sz val="9"/>
        <color theme="1"/>
        <rFont val="Verdana"/>
        <family val="2"/>
      </rPr>
      <t xml:space="preserve">wijzigen in </t>
    </r>
    <r>
      <rPr>
        <b/>
        <sz val="9"/>
        <color theme="1"/>
        <rFont val="Verdana"/>
        <family val="2"/>
      </rPr>
      <t>Bonus-/malus-/boeteregeling</t>
    </r>
    <r>
      <rPr>
        <sz val="9"/>
        <color theme="1"/>
        <rFont val="Verdana"/>
        <family val="2"/>
      </rPr>
      <t xml:space="preserve">
In cel B103 van werkblad 'subsidieverlening Zw-Em' </t>
    </r>
    <r>
      <rPr>
        <b/>
        <sz val="9"/>
        <color theme="1"/>
        <rFont val="Verdana"/>
        <family val="2"/>
      </rPr>
      <t>Bonus opbrengstengroei</t>
    </r>
    <r>
      <rPr>
        <sz val="9"/>
        <color theme="1"/>
        <rFont val="Verdana"/>
        <family val="2"/>
      </rPr>
      <t xml:space="preserve"> wijzigen in</t>
    </r>
    <r>
      <rPr>
        <b/>
        <sz val="9"/>
        <color theme="1"/>
        <rFont val="Verdana"/>
        <family val="2"/>
      </rPr>
      <t xml:space="preserve"> Bonus-/malus-/boeteregeling</t>
    </r>
    <r>
      <rPr>
        <sz val="9"/>
        <color theme="1"/>
        <rFont val="Verdana"/>
        <family val="2"/>
      </rPr>
      <t xml:space="preserve">
</t>
    </r>
  </si>
  <si>
    <r>
      <rPr>
        <sz val="9"/>
        <color theme="1"/>
        <rFont val="Verdana"/>
        <family val="2"/>
      </rPr>
      <t xml:space="preserve">In bereik B31:B63 van werkblad 'subsidieverlening Al-Ha" </t>
    </r>
    <r>
      <rPr>
        <b/>
        <u/>
        <sz val="9"/>
        <color theme="1"/>
        <rFont val="Verdana"/>
        <family val="2"/>
      </rPr>
      <t>Diesel</t>
    </r>
    <r>
      <rPr>
        <sz val="9"/>
        <color theme="1"/>
        <rFont val="Verdana"/>
        <family val="2"/>
      </rPr>
      <t xml:space="preserve"> wijzigen in </t>
    </r>
    <r>
      <rPr>
        <b/>
        <u/>
        <sz val="9"/>
        <color theme="1"/>
        <rFont val="Verdana"/>
        <family val="2"/>
      </rPr>
      <t>Elektrisch</t>
    </r>
    <r>
      <rPr>
        <u/>
        <sz val="9"/>
        <color theme="1"/>
        <rFont val="Verdana"/>
        <family val="2"/>
      </rPr>
      <t xml:space="preserve">
</t>
    </r>
  </si>
  <si>
    <r>
      <rPr>
        <sz val="9"/>
        <color theme="1"/>
        <rFont val="Verdana"/>
        <family val="2"/>
      </rPr>
      <t>Cel E26 bevat nu een keuze 'Vast' of 'Variabel'</t>
    </r>
    <r>
      <rPr>
        <u/>
        <sz val="9"/>
        <color theme="1"/>
        <rFont val="Verdana"/>
        <family val="2"/>
      </rPr>
      <t xml:space="preserve">
</t>
    </r>
  </si>
  <si>
    <r>
      <rPr>
        <sz val="9"/>
        <color theme="1"/>
        <rFont val="Verdana"/>
        <family val="2"/>
      </rPr>
      <t>Correctie formules in bereik B33:O33 op werkblad 'F.10'
=ALS(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30=0;0;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31-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30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
en 
Correctie formulers in bereik B38:O53 op werkblad 'F.10'
=ALS(EN($A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&gt;JAAR(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&lt;JAAR(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$31));(DATUM($A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;12;31)-DATUM($A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;1;0))*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$33;ALS(EN($A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$33;ALS($A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$30);(DATUM(JAAR(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$30);12;31)-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$30+1)*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$33;ALS($A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$31-DATUM(JAAR(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$31);1;1)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$33;0))))</t>
    </r>
    <r>
      <rPr>
        <u/>
        <sz val="9"/>
        <color theme="1"/>
        <rFont val="Verdana"/>
        <family val="2"/>
      </rPr>
      <t xml:space="preserve">
</t>
    </r>
  </si>
  <si>
    <r>
      <rPr>
        <sz val="9"/>
        <color theme="1"/>
        <rFont val="Verdana"/>
        <family val="2"/>
      </rPr>
      <t>Correctie formules in bereik B33:O33 op werkblad 'F.03'
=ALS(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30=0;0;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31-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30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
en 
Correctie formulers in bereik B39:O54 op werkblad 'F.03'
=ALS(EN($A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&gt;JAAR(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&lt;JAAR(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$31));(DATUM($A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;12;31)-DATUM($A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;1;0))*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$30);(DATUM(JAAR(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$30);12;31)-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$30+1)*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$31-DATUM(JAAR(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$31);1;1)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$34;0))))</t>
    </r>
    <r>
      <rPr>
        <u/>
        <sz val="9"/>
        <color theme="1"/>
        <rFont val="Verdana"/>
        <family val="2"/>
      </rPr>
      <t xml:space="preserve">
</t>
    </r>
  </si>
  <si>
    <r>
      <t>Co</t>
    </r>
    <r>
      <rPr>
        <sz val="9"/>
        <color theme="1"/>
        <rFont val="Verdana"/>
        <family val="2"/>
      </rPr>
      <t>rrectie formules in bereik B33:O33 op werkblad 'F.02'
=ALS(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30=0;0;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31-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30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
en 
Correctie formulers in bereik B39:O54 op werkblad 'F.02'
=ALS(EN($A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&gt;JAAR(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&lt;JAAR(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$31));(DATUM($A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;12;31)-DATUM($A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;1;0))*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$30);(DATUM(JAAR(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$30);12;31)-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$30+1)*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$31-DATUM(JAAR(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$31);1;1)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$34;0))))</t>
    </r>
    <r>
      <rPr>
        <u/>
        <sz val="9"/>
        <color theme="1"/>
        <rFont val="Verdana"/>
        <family val="2"/>
      </rPr>
      <t xml:space="preserve">
</t>
    </r>
  </si>
  <si>
    <r>
      <rPr>
        <sz val="9"/>
        <color theme="1"/>
        <rFont val="Verdana"/>
        <family val="2"/>
      </rPr>
      <t>Correctie formules in bereik B37:O37 op werkblad 'F.01'
=ALS(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34=0;0;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35-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34</t>
    </r>
    <r>
      <rPr>
        <b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 
en 
Correctie formulers in bereik B62:O77 op werkblad 'F.01'
=ALS(EN($A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&gt;JAAR(B$34);$A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&lt;JAAR(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$35));(DATUM($A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;12;31)-DATUM($A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;1;0))*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$38;ALS(EN($A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$34);$A62=JAAR(</t>
    </r>
    <r>
      <rPr>
        <sz val="9"/>
        <color theme="3" tint="0.39997558519241921"/>
        <rFont val="Verdana"/>
        <family val="2"/>
      </rPr>
      <t>KOLOM</t>
    </r>
    <r>
      <rPr>
        <sz val="9"/>
        <rFont val="Verdana"/>
        <family val="2"/>
      </rPr>
      <t>$35</t>
    </r>
    <r>
      <rPr>
        <sz val="9"/>
        <color theme="1"/>
        <rFont val="Verdana"/>
        <family val="2"/>
      </rPr>
      <t>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$38;ALS($A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$34);(DATUM(JAAR(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$34);12;31)-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$34+1)*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$38;ALS($A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$35-DATUM(JAAR(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$35);1;1)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$38;0))))+ALS(EN($A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&gt;JAAR(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&lt;JAAR(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$35));(DATUM($A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;12;31)-DATUM($A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;1;0))*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$57;ALS(EN($A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$35));(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$57;ALS($A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$34);(DATUM(JAAR(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$34);12;31)-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$34+1)*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$57;ALS($A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$35-DATUM(JAAR(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$35);1;1)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 xml:space="preserve">)*B$57;0))))
</t>
    </r>
  </si>
  <si>
    <t>5a</t>
  </si>
  <si>
    <t>1.5</t>
  </si>
  <si>
    <t>DRK per dagsoort totaal</t>
  </si>
  <si>
    <t>DRK per dag en dagsoort RE20 Sneltrein</t>
  </si>
  <si>
    <t>DRK per dag en dagsoort RS20 stoptrein</t>
  </si>
  <si>
    <t>DRK per dag en dagsoort RE20 spitstrein</t>
  </si>
  <si>
    <t>Aantal BK Almelo-Hardenberg</t>
  </si>
  <si>
    <t>NVI 5b</t>
  </si>
  <si>
    <t>Vakantie</t>
  </si>
  <si>
    <t>Niet-vakantie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</si>
</sst>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&quot;€&quot;#,##0_);[Red]\(&quot;€&quot;#,##0\)"/>
    <numFmt numFmtId="167" formatCode="_ * #,##0_ ;_ * \-#,##0_ ;_ * &quot;-&quot;??_ ;_ @_ "/>
    <numFmt numFmtId="168" formatCode="_ &quot;€&quot;\ * #,##0_ ;_ &quot;€&quot;\ * \-#,##0_ ;_ &quot;€&quot;\ * &quot;-&quot;??_ ;_ @_ "/>
    <numFmt numFmtId="169" formatCode="_(* #,##0_);_(* \(#,##0\);_(* &quot;-&quot;??_);_(@_)"/>
    <numFmt numFmtId="170" formatCode="_(&quot;€&quot;* #,##0_);_(&quot;€&quot;* \(#,##0\);_(&quot;€&quot;* &quot;-&quot;??_);_(@_)"/>
    <numFmt numFmtId="171" formatCode="&quot;€&quot;#,##0.00_);[Red]\(&quot;€&quot;#,##0.00\)"/>
    <numFmt numFmtId="172" formatCode="_(* #,##0.0_);_(* \(#,##0.0\);_(* &quot;-&quot;??_);_(@_)"/>
    <numFmt numFmtId="173" formatCode="_ [$€-2]\ * #,##0_ ;_ [$€-2]\ * \-#,##0_ ;_ [$€-2]\ * &quot;-&quot;??_ ;_ @_ "/>
    <numFmt numFmtId="174" formatCode="ddd/dd/m/yyyy"/>
    <numFmt numFmtId="175" formatCode="&quot;€&quot;\ #,##0"/>
    <numFmt numFmtId="176" formatCode="_ [$€-2]\ * #,##0.00_ ;_ [$€-2]\ * \-#,##0.00_ ;_ [$€-2]\ * &quot;-&quot;??_ ;_ @_ "/>
    <numFmt numFmtId="177" formatCode="_ * #,##0.0_ ;_ * \-#,##0.0_ ;_ * &quot;-&quot;?_ ;_ @_ "/>
    <numFmt numFmtId="178" formatCode="0.0%"/>
    <numFmt numFmtId="179" formatCode="_ [$€-2]\ * #,##0_ ;_ [$€-2]\ * \-#,##0_ ;_ [$€-2]\ * &quot;-&quot;????_ ;_ @_ "/>
    <numFmt numFmtId="180" formatCode="_-&quot;€&quot;\ * #,##0.0000_-;_-&quot;€&quot;\ * #,##0.0000\-;_-&quot;€&quot;\ * &quot;-&quot;??_-;_-@_-"/>
    <numFmt numFmtId="181" formatCode="_-&quot;€&quot;\ * #,##0.00_-;_-&quot;€&quot;\ * #,##0.00\-;_-&quot;€&quot;\ * &quot;-&quot;??_-;_-@_-"/>
    <numFmt numFmtId="182" formatCode="_-* #,##0.00_-;_-* #,##0.00\-;_-* &quot;-&quot;??_-;_-@_-"/>
    <numFmt numFmtId="183" formatCode="_ [$€-2]\ * #,##0.0000_ ;_ [$€-2]\ * \-#,##0.0000_ ;_ [$€-2]\ * &quot;-&quot;????_ ;_ @_ "/>
    <numFmt numFmtId="184" formatCode="&quot;€&quot;\ #,##0.00;[Red]&quot;€&quot;\ #,##0.00"/>
    <numFmt numFmtId="185" formatCode="0.0"/>
    <numFmt numFmtId="186" formatCode="0.0000"/>
    <numFmt numFmtId="187" formatCode="#,###\ &quot;DRK&quot;"/>
    <numFmt numFmtId="188" formatCode="_ [$€-2]\ * #,##0.00000_ ;_ [$€-2]\ * \-#,##0.00000_ ;_ [$€-2]\ * &quot;-&quot;??_ ;_ @_ "/>
    <numFmt numFmtId="189" formatCode="_ [$€-2]\ * #,##0.0000000_ ;_ [$€-2]\ * \-#,##0.0000000_ ;_ [$€-2]\ * &quot;-&quot;??_ ;_ @_ "/>
    <numFmt numFmtId="190" formatCode="#,###\ &quot;BK&quot;"/>
    <numFmt numFmtId="191" formatCode="_ [$€-2]\ * #,##0.0000_ ;_ [$€-2]\ * \-#,##0.0000_ ;_ [$€-2]\ * &quot;-&quot;??_ ;_ @_ "/>
  </numFmts>
  <fonts count="114" x14ac:knownFonts="1"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2"/>
      <color theme="1"/>
      <name val="Verdana"/>
      <family val="2"/>
    </font>
    <font>
      <i/>
      <sz val="8"/>
      <color theme="1"/>
      <name val="Verdana"/>
      <family val="2"/>
    </font>
    <font>
      <b/>
      <sz val="8"/>
      <color theme="3" tint="0.39997558519241921"/>
      <name val="Verdana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"/>
      <name val="Verdana"/>
      <family val="2"/>
    </font>
    <font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Verdana"/>
      <family val="2"/>
    </font>
    <font>
      <b/>
      <sz val="8"/>
      <name val="Verdana"/>
      <family val="2"/>
    </font>
    <font>
      <i/>
      <sz val="9"/>
      <color rgb="FF000000"/>
      <name val="Verdana"/>
      <family val="2"/>
    </font>
    <font>
      <i/>
      <sz val="9"/>
      <color rgb="FF4F81BD"/>
      <name val="Verdana"/>
      <family val="2"/>
    </font>
    <font>
      <b/>
      <sz val="12"/>
      <color theme="1" tint="0.499984740745262"/>
      <name val="Verdana"/>
      <family val="2"/>
    </font>
    <font>
      <b/>
      <i/>
      <sz val="9"/>
      <color theme="1"/>
      <name val="Verdana"/>
      <family val="2"/>
    </font>
    <font>
      <i/>
      <sz val="9"/>
      <color theme="4"/>
      <name val="Verdana"/>
      <family val="2"/>
    </font>
    <font>
      <u/>
      <sz val="8"/>
      <color theme="10"/>
      <name val="Verdana"/>
      <family val="2"/>
    </font>
    <font>
      <sz val="11"/>
      <color indexed="81"/>
      <name val="Tahoma"/>
      <family val="2"/>
    </font>
    <font>
      <sz val="8"/>
      <color rgb="FF3F3F76"/>
      <name val="Verdana"/>
      <family val="2"/>
    </font>
    <font>
      <sz val="12"/>
      <color theme="1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b/>
      <sz val="12"/>
      <color rgb="FF3F3F76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indexed="81"/>
      <name val="Tahoma"/>
      <family val="2"/>
    </font>
    <font>
      <b/>
      <i/>
      <sz val="9"/>
      <color rgb="FF000000"/>
      <name val="Verdana"/>
      <family val="2"/>
    </font>
    <font>
      <b/>
      <i/>
      <sz val="9"/>
      <color rgb="FF4F81BD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u/>
      <sz val="11"/>
      <color indexed="8"/>
      <name val="Calibri"/>
      <family val="2"/>
    </font>
    <font>
      <sz val="8"/>
      <color rgb="FFFF0000"/>
      <name val="Verdana"/>
      <family val="2"/>
    </font>
    <font>
      <i/>
      <sz val="9"/>
      <color rgb="FFFF0000"/>
      <name val="Verdana"/>
      <family val="2"/>
    </font>
    <font>
      <b/>
      <sz val="8"/>
      <color rgb="FFFF0000"/>
      <name val="Verdana"/>
      <family val="2"/>
    </font>
    <font>
      <b/>
      <i/>
      <sz val="8"/>
      <color theme="0"/>
      <name val="Verdana"/>
      <family val="2"/>
    </font>
    <font>
      <i/>
      <sz val="8"/>
      <color theme="0"/>
      <name val="Verdana"/>
      <family val="2"/>
    </font>
    <font>
      <b/>
      <i/>
      <sz val="8"/>
      <name val="Verdana"/>
      <family val="2"/>
    </font>
    <font>
      <b/>
      <sz val="12"/>
      <name val="Verdana"/>
      <family val="2"/>
    </font>
    <font>
      <b/>
      <u/>
      <sz val="8"/>
      <name val="Verdana"/>
      <family val="2"/>
    </font>
    <font>
      <sz val="6"/>
      <name val="Verdana"/>
      <family val="2"/>
    </font>
    <font>
      <b/>
      <sz val="6"/>
      <name val="Verdana"/>
      <family val="2"/>
    </font>
    <font>
      <sz val="6"/>
      <color rgb="FFFF0000"/>
      <name val="Verdana"/>
      <family val="2"/>
    </font>
    <font>
      <i/>
      <sz val="8"/>
      <name val="Verdana"/>
      <family val="2"/>
    </font>
    <font>
      <u/>
      <sz val="8"/>
      <name val="Verdana"/>
      <family val="2"/>
    </font>
    <font>
      <i/>
      <sz val="8"/>
      <color theme="4"/>
      <name val="Verdana"/>
      <family val="2"/>
    </font>
    <font>
      <b/>
      <i/>
      <sz val="8"/>
      <color theme="4"/>
      <name val="Verdana"/>
      <family val="2"/>
    </font>
    <font>
      <b/>
      <i/>
      <sz val="8"/>
      <color rgb="FFFF0000"/>
      <name val="Verdana"/>
      <family val="2"/>
    </font>
    <font>
      <b/>
      <sz val="22"/>
      <name val="Calibri"/>
      <family val="2"/>
      <scheme val="minor"/>
    </font>
    <font>
      <b/>
      <sz val="8"/>
      <color rgb="FFFF3300"/>
      <name val="Verdana"/>
      <family val="2"/>
    </font>
    <font>
      <b/>
      <u/>
      <sz val="8"/>
      <color rgb="FFFF3300"/>
      <name val="Verdana"/>
      <family val="2"/>
    </font>
    <font>
      <i/>
      <sz val="1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8"/>
      <color theme="6"/>
      <name val="Verdana"/>
      <family val="2"/>
    </font>
    <font>
      <b/>
      <sz val="14"/>
      <name val="Calibri"/>
      <family val="2"/>
      <scheme val="minor"/>
    </font>
    <font>
      <b/>
      <sz val="14"/>
      <color theme="1"/>
      <name val="Verdana"/>
      <family val="2"/>
    </font>
    <font>
      <sz val="12"/>
      <color theme="1"/>
      <name val="Verdana"/>
      <family val="2"/>
    </font>
    <font>
      <i/>
      <sz val="12"/>
      <color theme="1"/>
      <name val="Verdana"/>
      <family val="2"/>
    </font>
    <font>
      <sz val="8"/>
      <color theme="1"/>
      <name val="Calibri"/>
      <family val="2"/>
      <scheme val="minor"/>
    </font>
    <font>
      <b/>
      <sz val="8"/>
      <color theme="0"/>
      <name val="Verdana"/>
      <family val="2"/>
    </font>
    <font>
      <vertAlign val="superscript"/>
      <sz val="8"/>
      <color theme="1"/>
      <name val="Verdana"/>
      <family val="2"/>
    </font>
    <font>
      <b/>
      <sz val="9"/>
      <color theme="1"/>
      <name val="Verdana"/>
      <family val="2"/>
    </font>
    <font>
      <u/>
      <sz val="9"/>
      <color theme="10"/>
      <name val="Verdana"/>
      <family val="2"/>
    </font>
    <font>
      <i/>
      <sz val="9"/>
      <name val="Verdana"/>
      <family val="2"/>
    </font>
    <font>
      <b/>
      <i/>
      <sz val="9"/>
      <name val="Verdana"/>
      <family val="2"/>
    </font>
    <font>
      <sz val="9"/>
      <name val="Verdana"/>
      <family val="2"/>
    </font>
    <font>
      <b/>
      <u/>
      <sz val="9"/>
      <color theme="1"/>
      <name val="Verdana"/>
      <family val="2"/>
    </font>
    <font>
      <b/>
      <sz val="8"/>
      <name val="Calibri"/>
      <family val="2"/>
      <scheme val="minor"/>
    </font>
    <font>
      <b/>
      <sz val="8"/>
      <color rgb="FF000000"/>
      <name val="Verdana"/>
      <family val="2"/>
    </font>
    <font>
      <b/>
      <sz val="8"/>
      <color rgb="FF3F3F76"/>
      <name val="Verdana"/>
      <family val="2"/>
    </font>
    <font>
      <b/>
      <vertAlign val="superscript"/>
      <sz val="8"/>
      <color theme="0"/>
      <name val="Verdana"/>
      <family val="2"/>
    </font>
    <font>
      <b/>
      <u/>
      <sz val="8"/>
      <color rgb="FFFF0000"/>
      <name val="Verdana"/>
      <family val="2"/>
    </font>
    <font>
      <b/>
      <sz val="8"/>
      <color theme="6"/>
      <name val="Verdana"/>
      <family val="2"/>
    </font>
    <font>
      <b/>
      <i/>
      <sz val="9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8"/>
      <color rgb="FF000000"/>
      <name val="Verdana"/>
      <family val="2"/>
    </font>
    <font>
      <b/>
      <sz val="9"/>
      <color rgb="FF000000"/>
      <name val="Verdana"/>
      <family val="2"/>
    </font>
    <font>
      <b/>
      <sz val="16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name val="Verdana"/>
      <family val="2"/>
    </font>
    <font>
      <sz val="7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2"/>
      <name val="Verdana"/>
      <family val="2"/>
    </font>
    <font>
      <sz val="12"/>
      <name val="Verdana"/>
      <family val="2"/>
    </font>
    <font>
      <sz val="9"/>
      <color rgb="FFFF0000"/>
      <name val="Verdana"/>
      <family val="2"/>
    </font>
    <font>
      <sz val="9"/>
      <color theme="4"/>
      <name val="Verdana"/>
      <family val="2"/>
    </font>
    <font>
      <b/>
      <sz val="9"/>
      <color rgb="FFFF0000"/>
      <name val="Verdana"/>
      <family val="2"/>
    </font>
    <font>
      <i/>
      <sz val="9"/>
      <color theme="1"/>
      <name val="Verdana"/>
      <family val="2"/>
    </font>
    <font>
      <i/>
      <strike/>
      <sz val="9"/>
      <color theme="1"/>
      <name val="Verdana"/>
      <family val="2"/>
    </font>
    <font>
      <u/>
      <sz val="9"/>
      <color theme="1"/>
      <name val="Verdana"/>
      <family val="2"/>
    </font>
    <font>
      <sz val="9"/>
      <color theme="3" tint="0.39997558519241921"/>
      <name val="Verdan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10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/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/>
      <right/>
      <top/>
      <bottom style="medium">
        <color theme="4" tint="-0.499984740745262"/>
      </bottom>
      <diagonal/>
    </border>
    <border>
      <left style="medium">
        <color theme="4" tint="-0.499984740745262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medium">
        <color indexed="64"/>
      </bottom>
      <diagonal/>
    </border>
    <border>
      <left style="thin">
        <color theme="0" tint="-0.1499984740745262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/>
      <bottom/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dashed">
        <color theme="4" tint="-0.499984740745262"/>
      </left>
      <right style="dashed">
        <color theme="4" tint="-0.499984740745262"/>
      </right>
      <top style="medium">
        <color theme="4" tint="-0.499984740745262"/>
      </top>
      <bottom/>
      <diagonal/>
    </border>
    <border>
      <left style="dashed">
        <color theme="4" tint="-0.499984740745262"/>
      </left>
      <right style="dashed">
        <color theme="4" tint="-0.499984740745262"/>
      </right>
      <top/>
      <bottom/>
      <diagonal/>
    </border>
    <border>
      <left style="dashed">
        <color theme="4" tint="-0.499984740745262"/>
      </left>
      <right style="dashed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dashed">
        <color theme="4" tint="-0.499984740745262"/>
      </right>
      <top/>
      <bottom/>
      <diagonal/>
    </border>
    <border>
      <left style="dashed">
        <color theme="4" tint="-0.499984740745262"/>
      </left>
      <right style="medium">
        <color theme="4" tint="-0.499984740745262"/>
      </right>
      <top/>
      <bottom/>
      <diagonal/>
    </border>
    <border>
      <left style="medium">
        <color theme="4" tint="-0.499984740745262"/>
      </left>
      <right style="dashed">
        <color theme="4" tint="-0.499984740745262"/>
      </right>
      <top/>
      <bottom style="thin">
        <color indexed="64"/>
      </bottom>
      <diagonal/>
    </border>
    <border>
      <left style="dashed">
        <color theme="4" tint="-0.499984740745262"/>
      </left>
      <right style="dashed">
        <color theme="4" tint="-0.499984740745262"/>
      </right>
      <top/>
      <bottom style="thin">
        <color indexed="64"/>
      </bottom>
      <diagonal/>
    </border>
    <border>
      <left style="dashed">
        <color theme="4" tint="-0.499984740745262"/>
      </left>
      <right style="medium">
        <color theme="4" tint="-0.499984740745262"/>
      </right>
      <top/>
      <bottom style="thin">
        <color indexed="64"/>
      </bottom>
      <diagonal/>
    </border>
    <border>
      <left style="medium">
        <color theme="4" tint="-0.499984740745262"/>
      </left>
      <right style="dashed">
        <color theme="4" tint="-0.499984740745262"/>
      </right>
      <top/>
      <bottom style="medium">
        <color theme="4" tint="-0.499984740745262"/>
      </bottom>
      <diagonal/>
    </border>
    <border>
      <left style="dashed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theme="4" tint="-0.499984740745262"/>
      </left>
      <right style="hair">
        <color theme="4" tint="-0.499984740745262"/>
      </right>
      <top style="thin">
        <color indexed="64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  <xf numFmtId="0" fontId="26" fillId="0" borderId="0" applyNumberFormat="0" applyFill="0" applyBorder="0" applyAlignment="0" applyProtection="0"/>
    <xf numFmtId="0" fontId="28" fillId="6" borderId="14" applyNumberFormat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8" fillId="0" borderId="0"/>
    <xf numFmtId="181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8" fillId="0" borderId="0"/>
    <xf numFmtId="0" fontId="12" fillId="0" borderId="0"/>
    <xf numFmtId="164" fontId="7" fillId="0" borderId="0" applyFont="0" applyFill="0" applyBorder="0" applyAlignment="0" applyProtection="0"/>
  </cellStyleXfs>
  <cellXfs count="675">
    <xf numFmtId="0" fontId="0" fillId="0" borderId="0" xfId="0"/>
    <xf numFmtId="0" fontId="9" fillId="0" borderId="0" xfId="0" applyFont="1"/>
    <xf numFmtId="0" fontId="8" fillId="0" borderId="0" xfId="0" applyFont="1"/>
    <xf numFmtId="167" fontId="0" fillId="0" borderId="0" xfId="1" applyNumberFormat="1" applyFont="1" applyBorder="1"/>
    <xf numFmtId="167" fontId="8" fillId="0" borderId="0" xfId="1" applyNumberFormat="1" applyFont="1" applyBorder="1"/>
    <xf numFmtId="0" fontId="0" fillId="0" borderId="8" xfId="0" applyBorder="1"/>
    <xf numFmtId="0" fontId="0" fillId="2" borderId="6" xfId="0" applyFill="1" applyBorder="1"/>
    <xf numFmtId="164" fontId="0" fillId="2" borderId="6" xfId="2" applyFont="1" applyFill="1" applyBorder="1"/>
    <xf numFmtId="168" fontId="0" fillId="2" borderId="6" xfId="2" applyNumberFormat="1" applyFont="1" applyFill="1" applyBorder="1"/>
    <xf numFmtId="2" fontId="10" fillId="0" borderId="0" xfId="0" applyNumberFormat="1" applyFont="1" applyAlignment="1">
      <alignment vertical="top" wrapText="1"/>
    </xf>
    <xf numFmtId="168" fontId="8" fillId="0" borderId="0" xfId="2" applyNumberFormat="1" applyFont="1" applyBorder="1"/>
    <xf numFmtId="168" fontId="0" fillId="0" borderId="0" xfId="2" applyNumberFormat="1" applyFont="1" applyBorder="1"/>
    <xf numFmtId="0" fontId="0" fillId="0" borderId="0" xfId="0" applyAlignment="1">
      <alignment horizontal="center"/>
    </xf>
    <xf numFmtId="168" fontId="0" fillId="0" borderId="0" xfId="2" applyNumberFormat="1" applyFont="1" applyFill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vertical="top"/>
    </xf>
    <xf numFmtId="0" fontId="13" fillId="0" borderId="0" xfId="0" applyFont="1"/>
    <xf numFmtId="0" fontId="0" fillId="3" borderId="6" xfId="0" applyFill="1" applyBorder="1"/>
    <xf numFmtId="0" fontId="14" fillId="0" borderId="0" xfId="0" applyFont="1"/>
    <xf numFmtId="171" fontId="0" fillId="0" borderId="0" xfId="0" applyNumberFormat="1"/>
    <xf numFmtId="171" fontId="14" fillId="0" borderId="0" xfId="0" applyNumberFormat="1" applyFont="1"/>
    <xf numFmtId="0" fontId="15" fillId="0" borderId="0" xfId="0" applyFont="1"/>
    <xf numFmtId="1" fontId="10" fillId="0" borderId="0" xfId="0" applyNumberFormat="1" applyFont="1" applyAlignment="1">
      <alignment horizontal="center" vertical="top" wrapText="1"/>
    </xf>
    <xf numFmtId="169" fontId="16" fillId="4" borderId="6" xfId="1" applyNumberFormat="1" applyFont="1" applyFill="1" applyBorder="1" applyAlignment="1">
      <alignment horizontal="center"/>
    </xf>
    <xf numFmtId="169" fontId="0" fillId="0" borderId="0" xfId="1" applyNumberFormat="1" applyFont="1" applyBorder="1"/>
    <xf numFmtId="170" fontId="0" fillId="2" borderId="6" xfId="2" applyNumberFormat="1" applyFont="1" applyFill="1" applyBorder="1"/>
    <xf numFmtId="169" fontId="0" fillId="5" borderId="6" xfId="1" applyNumberFormat="1" applyFont="1" applyFill="1" applyBorder="1" applyAlignment="1">
      <alignment horizontal="center"/>
    </xf>
    <xf numFmtId="166" fontId="0" fillId="5" borderId="6" xfId="3" applyNumberFormat="1" applyFont="1" applyFill="1" applyBorder="1" applyAlignment="1">
      <alignment horizontal="center"/>
    </xf>
    <xf numFmtId="172" fontId="0" fillId="2" borderId="6" xfId="1" applyNumberFormat="1" applyFont="1" applyFill="1" applyBorder="1"/>
    <xf numFmtId="10" fontId="0" fillId="2" borderId="6" xfId="3" applyNumberFormat="1" applyFont="1" applyFill="1" applyBorder="1" applyAlignment="1">
      <alignment horizontal="center"/>
    </xf>
    <xf numFmtId="170" fontId="0" fillId="0" borderId="0" xfId="2" applyNumberFormat="1" applyFont="1" applyBorder="1"/>
    <xf numFmtId="169" fontId="0" fillId="0" borderId="0" xfId="1" applyNumberFormat="1" applyFont="1"/>
    <xf numFmtId="169" fontId="8" fillId="0" borderId="0" xfId="1" applyNumberFormat="1" applyFont="1" applyBorder="1"/>
    <xf numFmtId="0" fontId="0" fillId="2" borderId="6" xfId="1" applyNumberFormat="1" applyFont="1" applyFill="1" applyBorder="1"/>
    <xf numFmtId="173" fontId="0" fillId="0" borderId="0" xfId="0" applyNumberFormat="1"/>
    <xf numFmtId="169" fontId="19" fillId="4" borderId="6" xfId="1" applyNumberFormat="1" applyFont="1" applyFill="1" applyBorder="1" applyAlignment="1">
      <alignment horizontal="center"/>
    </xf>
    <xf numFmtId="169" fontId="20" fillId="4" borderId="6" xfId="1" applyNumberFormat="1" applyFont="1" applyFill="1" applyBorder="1" applyAlignment="1">
      <alignment horizontal="center"/>
    </xf>
    <xf numFmtId="169" fontId="19" fillId="2" borderId="6" xfId="1" applyNumberFormat="1" applyFont="1" applyFill="1" applyBorder="1" applyAlignment="1">
      <alignment horizontal="center"/>
    </xf>
    <xf numFmtId="168" fontId="0" fillId="5" borderId="6" xfId="2" applyNumberFormat="1" applyFont="1" applyFill="1" applyBorder="1"/>
    <xf numFmtId="0" fontId="0" fillId="0" borderId="0" xfId="1" applyNumberFormat="1" applyFont="1" applyFill="1" applyBorder="1"/>
    <xf numFmtId="169" fontId="19" fillId="0" borderId="0" xfId="1" applyNumberFormat="1" applyFont="1" applyFill="1" applyBorder="1" applyAlignment="1">
      <alignment horizontal="center"/>
    </xf>
    <xf numFmtId="169" fontId="20" fillId="0" borderId="0" xfId="1" applyNumberFormat="1" applyFont="1" applyFill="1" applyBorder="1" applyAlignment="1">
      <alignment horizontal="center"/>
    </xf>
    <xf numFmtId="169" fontId="0" fillId="0" borderId="0" xfId="1" applyNumberFormat="1" applyFont="1" applyFill="1" applyBorder="1"/>
    <xf numFmtId="169" fontId="8" fillId="0" borderId="0" xfId="1" applyNumberFormat="1" applyFont="1" applyFill="1" applyBorder="1"/>
    <xf numFmtId="0" fontId="21" fillId="0" borderId="10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166" fontId="22" fillId="0" borderId="13" xfId="0" applyNumberFormat="1" applyFont="1" applyBorder="1" applyAlignment="1">
      <alignment horizontal="right" vertical="center" wrapText="1"/>
    </xf>
    <xf numFmtId="0" fontId="23" fillId="0" borderId="0" xfId="0" applyFont="1"/>
    <xf numFmtId="0" fontId="21" fillId="0" borderId="0" xfId="0" applyFont="1" applyAlignment="1">
      <alignment vertical="center" wrapText="1"/>
    </xf>
    <xf numFmtId="0" fontId="24" fillId="0" borderId="0" xfId="0" applyFont="1"/>
    <xf numFmtId="0" fontId="21" fillId="0" borderId="10" xfId="0" applyFont="1" applyBorder="1" applyAlignment="1">
      <alignment horizontal="left" vertical="center" wrapText="1"/>
    </xf>
    <xf numFmtId="166" fontId="22" fillId="0" borderId="11" xfId="0" applyNumberFormat="1" applyFont="1" applyBorder="1" applyAlignment="1">
      <alignment horizontal="right" vertical="center" wrapText="1"/>
    </xf>
    <xf numFmtId="0" fontId="26" fillId="0" borderId="0" xfId="5"/>
    <xf numFmtId="169" fontId="22" fillId="8" borderId="13" xfId="1" applyNumberFormat="1" applyFont="1" applyFill="1" applyBorder="1" applyAlignment="1">
      <alignment horizontal="right" vertical="center" wrapText="1"/>
    </xf>
    <xf numFmtId="0" fontId="22" fillId="8" borderId="11" xfId="0" applyFont="1" applyFill="1" applyBorder="1" applyAlignment="1">
      <alignment vertical="center" wrapText="1"/>
    </xf>
    <xf numFmtId="0" fontId="22" fillId="8" borderId="13" xfId="0" applyFont="1" applyFill="1" applyBorder="1" applyAlignment="1">
      <alignment vertical="center" wrapText="1"/>
    </xf>
    <xf numFmtId="0" fontId="22" fillId="8" borderId="13" xfId="0" applyFont="1" applyFill="1" applyBorder="1" applyAlignment="1">
      <alignment horizontal="right" vertical="center" wrapText="1"/>
    </xf>
    <xf numFmtId="166" fontId="22" fillId="8" borderId="13" xfId="0" applyNumberFormat="1" applyFont="1" applyFill="1" applyBorder="1" applyAlignment="1">
      <alignment horizontal="right" vertical="center" wrapText="1"/>
    </xf>
    <xf numFmtId="14" fontId="22" fillId="8" borderId="13" xfId="0" applyNumberFormat="1" applyFont="1" applyFill="1" applyBorder="1" applyAlignment="1">
      <alignment horizontal="right" vertical="center" wrapText="1"/>
    </xf>
    <xf numFmtId="14" fontId="22" fillId="8" borderId="13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0" fontId="29" fillId="0" borderId="4" xfId="0" applyFont="1" applyBorder="1" applyAlignment="1">
      <alignment horizontal="center"/>
    </xf>
    <xf numFmtId="0" fontId="29" fillId="0" borderId="5" xfId="0" applyFont="1" applyBorder="1"/>
    <xf numFmtId="0" fontId="33" fillId="0" borderId="0" xfId="0" applyFont="1"/>
    <xf numFmtId="168" fontId="29" fillId="0" borderId="0" xfId="2" applyNumberFormat="1" applyFont="1" applyBorder="1"/>
    <xf numFmtId="0" fontId="29" fillId="0" borderId="0" xfId="0" applyFont="1" applyAlignment="1">
      <alignment vertical="center"/>
    </xf>
    <xf numFmtId="164" fontId="29" fillId="0" borderId="0" xfId="0" applyNumberFormat="1" applyFont="1"/>
    <xf numFmtId="167" fontId="29" fillId="0" borderId="0" xfId="1" applyNumberFormat="1" applyFont="1" applyBorder="1"/>
    <xf numFmtId="9" fontId="29" fillId="0" borderId="0" xfId="3" applyFont="1" applyBorder="1" applyAlignment="1">
      <alignment horizontal="center"/>
    </xf>
    <xf numFmtId="164" fontId="29" fillId="0" borderId="0" xfId="2" applyFont="1" applyBorder="1"/>
    <xf numFmtId="168" fontId="29" fillId="0" borderId="0" xfId="0" applyNumberFormat="1" applyFont="1"/>
    <xf numFmtId="0" fontId="35" fillId="0" borderId="12" xfId="0" applyFont="1" applyBorder="1" applyAlignment="1">
      <alignment vertical="center" wrapText="1"/>
    </xf>
    <xf numFmtId="166" fontId="36" fillId="0" borderId="11" xfId="0" applyNumberFormat="1" applyFont="1" applyBorder="1" applyAlignment="1">
      <alignment horizontal="right" vertical="center" wrapText="1"/>
    </xf>
    <xf numFmtId="169" fontId="25" fillId="0" borderId="13" xfId="1" applyNumberFormat="1" applyFont="1" applyFill="1" applyBorder="1" applyAlignment="1">
      <alignment vertical="center" wrapText="1"/>
    </xf>
    <xf numFmtId="175" fontId="22" fillId="8" borderId="13" xfId="0" applyNumberFormat="1" applyFont="1" applyFill="1" applyBorder="1" applyAlignment="1">
      <alignment horizontal="right" vertical="center" wrapText="1"/>
    </xf>
    <xf numFmtId="169" fontId="0" fillId="0" borderId="0" xfId="0" applyNumberFormat="1"/>
    <xf numFmtId="173" fontId="22" fillId="8" borderId="13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0" fontId="37" fillId="0" borderId="0" xfId="0" applyFont="1"/>
    <xf numFmtId="0" fontId="37" fillId="0" borderId="0" xfId="0" quotePrefix="1" applyFont="1"/>
    <xf numFmtId="172" fontId="22" fillId="8" borderId="13" xfId="1" applyNumberFormat="1" applyFont="1" applyFill="1" applyBorder="1" applyAlignment="1">
      <alignment horizontal="right" vertical="center" wrapText="1"/>
    </xf>
    <xf numFmtId="177" fontId="0" fillId="0" borderId="0" xfId="0" applyNumberFormat="1"/>
    <xf numFmtId="166" fontId="0" fillId="0" borderId="0" xfId="0" applyNumberFormat="1"/>
    <xf numFmtId="167" fontId="29" fillId="0" borderId="0" xfId="0" applyNumberFormat="1" applyFont="1"/>
    <xf numFmtId="178" fontId="0" fillId="0" borderId="0" xfId="3" applyNumberFormat="1" applyFont="1"/>
    <xf numFmtId="9" fontId="32" fillId="0" borderId="0" xfId="3" applyFont="1" applyFill="1" applyBorder="1"/>
    <xf numFmtId="9" fontId="29" fillId="0" borderId="0" xfId="3" applyFont="1" applyFill="1" applyBorder="1"/>
    <xf numFmtId="178" fontId="29" fillId="0" borderId="0" xfId="3" applyNumberFormat="1" applyFont="1" applyFill="1" applyBorder="1"/>
    <xf numFmtId="173" fontId="29" fillId="0" borderId="0" xfId="0" applyNumberFormat="1" applyFont="1"/>
    <xf numFmtId="170" fontId="29" fillId="0" borderId="0" xfId="2" applyNumberFormat="1" applyFont="1" applyFill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0" fontId="0" fillId="0" borderId="0" xfId="0" applyNumberFormat="1"/>
    <xf numFmtId="9" fontId="0" fillId="0" borderId="0" xfId="0" applyNumberFormat="1"/>
    <xf numFmtId="10" fontId="0" fillId="0" borderId="0" xfId="3" applyNumberFormat="1" applyFont="1"/>
    <xf numFmtId="0" fontId="29" fillId="0" borderId="6" xfId="0" applyFont="1" applyBorder="1" applyAlignment="1">
      <alignment wrapText="1"/>
    </xf>
    <xf numFmtId="0" fontId="29" fillId="0" borderId="25" xfId="0" applyFont="1" applyBorder="1"/>
    <xf numFmtId="0" fontId="29" fillId="0" borderId="26" xfId="0" applyFont="1" applyBorder="1"/>
    <xf numFmtId="9" fontId="29" fillId="0" borderId="0" xfId="3" applyFont="1"/>
    <xf numFmtId="0" fontId="19" fillId="0" borderId="0" xfId="0" applyFont="1"/>
    <xf numFmtId="0" fontId="38" fillId="0" borderId="0" xfId="0" applyFont="1"/>
    <xf numFmtId="0" fontId="41" fillId="7" borderId="15" xfId="10" applyFont="1" applyFill="1" applyBorder="1"/>
    <xf numFmtId="0" fontId="22" fillId="8" borderId="10" xfId="0" applyFont="1" applyFill="1" applyBorder="1" applyAlignment="1">
      <alignment horizontal="right" vertical="center" wrapText="1"/>
    </xf>
    <xf numFmtId="172" fontId="0" fillId="0" borderId="0" xfId="1" applyNumberFormat="1" applyFont="1"/>
    <xf numFmtId="168" fontId="33" fillId="0" borderId="0" xfId="0" applyNumberFormat="1" applyFont="1"/>
    <xf numFmtId="14" fontId="0" fillId="0" borderId="0" xfId="0" applyNumberFormat="1"/>
    <xf numFmtId="0" fontId="42" fillId="0" borderId="0" xfId="0" applyFont="1"/>
    <xf numFmtId="14" fontId="42" fillId="0" borderId="0" xfId="0" applyNumberFormat="1" applyFont="1"/>
    <xf numFmtId="166" fontId="42" fillId="0" borderId="0" xfId="0" applyNumberFormat="1" applyFont="1"/>
    <xf numFmtId="0" fontId="43" fillId="0" borderId="0" xfId="0" applyFont="1" applyAlignment="1">
      <alignment horizontal="left" vertical="center" wrapText="1"/>
    </xf>
    <xf numFmtId="0" fontId="44" fillId="0" borderId="0" xfId="0" applyFont="1"/>
    <xf numFmtId="0" fontId="35" fillId="0" borderId="10" xfId="0" applyFont="1" applyBorder="1" applyAlignment="1">
      <alignment horizontal="left" vertical="center" wrapText="1"/>
    </xf>
    <xf numFmtId="0" fontId="20" fillId="0" borderId="0" xfId="0" applyFont="1"/>
    <xf numFmtId="0" fontId="20" fillId="13" borderId="0" xfId="0" applyFont="1" applyFill="1"/>
    <xf numFmtId="0" fontId="19" fillId="13" borderId="0" xfId="0" applyFont="1" applyFill="1"/>
    <xf numFmtId="0" fontId="19" fillId="0" borderId="32" xfId="0" applyFont="1" applyBorder="1"/>
    <xf numFmtId="0" fontId="45" fillId="13" borderId="0" xfId="0" applyFont="1" applyFill="1" applyAlignment="1">
      <alignment horizontal="center"/>
    </xf>
    <xf numFmtId="0" fontId="45" fillId="0" borderId="0" xfId="0" applyFont="1"/>
    <xf numFmtId="0" fontId="46" fillId="13" borderId="0" xfId="0" applyFont="1" applyFill="1"/>
    <xf numFmtId="0" fontId="45" fillId="13" borderId="0" xfId="0" applyFont="1" applyFill="1"/>
    <xf numFmtId="0" fontId="48" fillId="0" borderId="0" xfId="0" applyFont="1"/>
    <xf numFmtId="176" fontId="19" fillId="0" borderId="0" xfId="0" applyNumberFormat="1" applyFont="1"/>
    <xf numFmtId="0" fontId="49" fillId="0" borderId="0" xfId="0" applyFont="1"/>
    <xf numFmtId="0" fontId="50" fillId="0" borderId="0" xfId="0" applyFont="1"/>
    <xf numFmtId="167" fontId="19" fillId="0" borderId="0" xfId="1" applyNumberFormat="1" applyFont="1" applyFill="1" applyBorder="1"/>
    <xf numFmtId="0" fontId="53" fillId="0" borderId="0" xfId="0" applyFont="1" applyAlignment="1">
      <alignment horizontal="center"/>
    </xf>
    <xf numFmtId="0" fontId="20" fillId="0" borderId="0" xfId="0" applyFont="1" applyAlignment="1">
      <alignment horizontal="left" vertical="top"/>
    </xf>
    <xf numFmtId="0" fontId="19" fillId="0" borderId="0" xfId="0" applyFont="1" applyAlignment="1">
      <alignment wrapText="1"/>
    </xf>
    <xf numFmtId="167" fontId="20" fillId="0" borderId="0" xfId="1" applyNumberFormat="1" applyFont="1" applyFill="1" applyBorder="1" applyAlignment="1"/>
    <xf numFmtId="167" fontId="20" fillId="12" borderId="30" xfId="1" applyNumberFormat="1" applyFont="1" applyFill="1" applyBorder="1" applyAlignment="1"/>
    <xf numFmtId="0" fontId="19" fillId="0" borderId="0" xfId="0" applyFont="1" applyAlignment="1">
      <alignment vertical="top"/>
    </xf>
    <xf numFmtId="167" fontId="19" fillId="0" borderId="38" xfId="1" applyNumberFormat="1" applyFont="1" applyFill="1" applyBorder="1"/>
    <xf numFmtId="0" fontId="47" fillId="0" borderId="0" xfId="0" applyFont="1"/>
    <xf numFmtId="0" fontId="42" fillId="0" borderId="0" xfId="0" applyFont="1" applyAlignment="1">
      <alignment vertical="top"/>
    </xf>
    <xf numFmtId="0" fontId="19" fillId="0" borderId="0" xfId="0" applyFont="1" applyAlignment="1">
      <alignment horizontal="center"/>
    </xf>
    <xf numFmtId="0" fontId="54" fillId="0" borderId="0" xfId="0" applyFont="1"/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3" fillId="0" borderId="0" xfId="0" applyFont="1"/>
    <xf numFmtId="167" fontId="19" fillId="12" borderId="31" xfId="1" applyNumberFormat="1" applyFont="1" applyFill="1" applyBorder="1"/>
    <xf numFmtId="0" fontId="55" fillId="0" borderId="0" xfId="0" applyFont="1"/>
    <xf numFmtId="0" fontId="56" fillId="0" borderId="0" xfId="0" applyFont="1" applyAlignment="1">
      <alignment vertical="center" wrapText="1"/>
    </xf>
    <xf numFmtId="0" fontId="53" fillId="10" borderId="0" xfId="0" applyFont="1" applyFill="1"/>
    <xf numFmtId="0" fontId="57" fillId="0" borderId="0" xfId="0" applyFont="1" applyAlignment="1">
      <alignment vertical="center" wrapText="1"/>
    </xf>
    <xf numFmtId="0" fontId="58" fillId="0" borderId="0" xfId="0" applyFont="1"/>
    <xf numFmtId="180" fontId="20" fillId="0" borderId="37" xfId="2" applyNumberFormat="1" applyFont="1" applyBorder="1"/>
    <xf numFmtId="180" fontId="19" fillId="0" borderId="33" xfId="2" applyNumberFormat="1" applyFont="1" applyBorder="1"/>
    <xf numFmtId="180" fontId="19" fillId="0" borderId="36" xfId="2" applyNumberFormat="1" applyFont="1" applyBorder="1"/>
    <xf numFmtId="173" fontId="20" fillId="0" borderId="0" xfId="1" applyNumberFormat="1" applyFont="1" applyFill="1" applyBorder="1" applyAlignment="1"/>
    <xf numFmtId="173" fontId="20" fillId="12" borderId="0" xfId="1" applyNumberFormat="1" applyFont="1" applyFill="1" applyBorder="1"/>
    <xf numFmtId="165" fontId="19" fillId="0" borderId="0" xfId="0" applyNumberFormat="1" applyFont="1"/>
    <xf numFmtId="0" fontId="30" fillId="7" borderId="6" xfId="4" applyFont="1" applyFill="1" applyBorder="1" applyAlignment="1">
      <alignment horizontal="center" vertical="center"/>
    </xf>
    <xf numFmtId="10" fontId="33" fillId="0" borderId="0" xfId="3" applyNumberFormat="1" applyFont="1" applyFill="1" applyBorder="1"/>
    <xf numFmtId="10" fontId="33" fillId="0" borderId="0" xfId="3" applyNumberFormat="1" applyFont="1" applyBorder="1"/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/>
    </xf>
    <xf numFmtId="0" fontId="39" fillId="0" borderId="0" xfId="0" applyFont="1"/>
    <xf numFmtId="173" fontId="19" fillId="0" borderId="0" xfId="0" applyNumberFormat="1" applyFont="1"/>
    <xf numFmtId="0" fontId="19" fillId="0" borderId="0" xfId="0" applyFont="1" applyAlignment="1">
      <alignment horizontal="left" vertical="top"/>
    </xf>
    <xf numFmtId="0" fontId="42" fillId="0" borderId="0" xfId="0" applyFont="1" applyAlignment="1">
      <alignment horizontal="left"/>
    </xf>
    <xf numFmtId="176" fontId="0" fillId="0" borderId="0" xfId="0" applyNumberFormat="1"/>
    <xf numFmtId="166" fontId="22" fillId="0" borderId="0" xfId="0" applyNumberFormat="1" applyFont="1" applyAlignment="1">
      <alignment horizontal="right" vertical="center" wrapText="1"/>
    </xf>
    <xf numFmtId="0" fontId="22" fillId="0" borderId="13" xfId="0" applyFont="1" applyBorder="1" applyAlignment="1">
      <alignment vertical="center" wrapText="1"/>
    </xf>
    <xf numFmtId="0" fontId="21" fillId="0" borderId="10" xfId="0" applyFont="1" applyBorder="1" applyAlignment="1">
      <alignment vertical="top" wrapText="1"/>
    </xf>
    <xf numFmtId="0" fontId="22" fillId="8" borderId="11" xfId="0" applyFont="1" applyFill="1" applyBorder="1" applyAlignment="1">
      <alignment vertical="top" wrapText="1"/>
    </xf>
    <xf numFmtId="173" fontId="22" fillId="8" borderId="13" xfId="0" applyNumberFormat="1" applyFont="1" applyFill="1" applyBorder="1" applyAlignment="1">
      <alignment vertical="center" wrapText="1"/>
    </xf>
    <xf numFmtId="0" fontId="63" fillId="0" borderId="0" xfId="0" applyFont="1"/>
    <xf numFmtId="0" fontId="64" fillId="0" borderId="4" xfId="0" applyFont="1" applyBorder="1" applyAlignment="1">
      <alignment horizontal="center"/>
    </xf>
    <xf numFmtId="0" fontId="64" fillId="0" borderId="0" xfId="0" applyFont="1"/>
    <xf numFmtId="0" fontId="64" fillId="0" borderId="5" xfId="0" applyFont="1" applyBorder="1"/>
    <xf numFmtId="0" fontId="38" fillId="0" borderId="4" xfId="0" applyFont="1" applyBorder="1" applyAlignment="1">
      <alignment horizontal="center"/>
    </xf>
    <xf numFmtId="0" fontId="38" fillId="0" borderId="5" xfId="0" applyFont="1" applyBorder="1"/>
    <xf numFmtId="167" fontId="66" fillId="0" borderId="0" xfId="5" applyNumberFormat="1" applyFont="1" applyFill="1" applyBorder="1" applyAlignment="1">
      <alignment horizontal="center"/>
    </xf>
    <xf numFmtId="167" fontId="67" fillId="0" borderId="0" xfId="5" applyNumberFormat="1" applyFont="1" applyFill="1" applyBorder="1" applyAlignment="1">
      <alignment horizontal="center"/>
    </xf>
    <xf numFmtId="168" fontId="38" fillId="0" borderId="6" xfId="2" applyNumberFormat="1" applyFont="1" applyFill="1" applyBorder="1"/>
    <xf numFmtId="0" fontId="38" fillId="0" borderId="5" xfId="0" applyFont="1" applyBorder="1" applyAlignment="1">
      <alignment horizontal="center"/>
    </xf>
    <xf numFmtId="168" fontId="38" fillId="0" borderId="0" xfId="0" applyNumberFormat="1" applyFont="1"/>
    <xf numFmtId="0" fontId="64" fillId="0" borderId="5" xfId="0" applyFont="1" applyBorder="1" applyAlignment="1">
      <alignment horizontal="center"/>
    </xf>
    <xf numFmtId="168" fontId="66" fillId="0" borderId="0" xfId="5" applyNumberFormat="1" applyFont="1" applyBorder="1" applyAlignment="1">
      <alignment horizontal="center" vertical="center"/>
    </xf>
    <xf numFmtId="9" fontId="38" fillId="0" borderId="5" xfId="3" applyFont="1" applyBorder="1" applyAlignment="1">
      <alignment horizontal="center"/>
    </xf>
    <xf numFmtId="168" fontId="38" fillId="0" borderId="0" xfId="2" applyNumberFormat="1" applyFont="1" applyBorder="1"/>
    <xf numFmtId="168" fontId="38" fillId="8" borderId="6" xfId="2" applyNumberFormat="1" applyFont="1" applyFill="1" applyBorder="1"/>
    <xf numFmtId="168" fontId="38" fillId="0" borderId="0" xfId="2" applyNumberFormat="1" applyFont="1" applyFill="1" applyBorder="1"/>
    <xf numFmtId="0" fontId="68" fillId="0" borderId="0" xfId="0" applyFont="1"/>
    <xf numFmtId="0" fontId="68" fillId="0" borderId="0" xfId="0" applyFont="1" applyAlignment="1">
      <alignment horizontal="center" vertical="center"/>
    </xf>
    <xf numFmtId="0" fontId="66" fillId="0" borderId="0" xfId="5" applyFont="1" applyBorder="1" applyAlignment="1">
      <alignment horizontal="center"/>
    </xf>
    <xf numFmtId="0" fontId="66" fillId="0" borderId="0" xfId="5" applyFont="1" applyFill="1" applyBorder="1" applyAlignment="1">
      <alignment horizontal="center"/>
    </xf>
    <xf numFmtId="20" fontId="69" fillId="0" borderId="0" xfId="0" applyNumberFormat="1" applyFont="1"/>
    <xf numFmtId="168" fontId="38" fillId="0" borderId="2" xfId="2" applyNumberFormat="1" applyFont="1" applyFill="1" applyBorder="1"/>
    <xf numFmtId="0" fontId="38" fillId="0" borderId="40" xfId="0" applyFont="1" applyBorder="1"/>
    <xf numFmtId="0" fontId="38" fillId="0" borderId="41" xfId="0" applyFont="1" applyBorder="1"/>
    <xf numFmtId="0" fontId="70" fillId="0" borderId="4" xfId="0" applyFont="1" applyBorder="1" applyAlignment="1">
      <alignment horizontal="center"/>
    </xf>
    <xf numFmtId="168" fontId="71" fillId="0" borderId="0" xfId="2" applyNumberFormat="1" applyFont="1" applyFill="1" applyBorder="1"/>
    <xf numFmtId="168" fontId="71" fillId="0" borderId="5" xfId="2" applyNumberFormat="1" applyFont="1" applyFill="1" applyBorder="1"/>
    <xf numFmtId="0" fontId="38" fillId="0" borderId="7" xfId="0" applyFont="1" applyBorder="1" applyAlignment="1">
      <alignment horizontal="center"/>
    </xf>
    <xf numFmtId="0" fontId="38" fillId="0" borderId="8" xfId="0" applyFont="1" applyBorder="1"/>
    <xf numFmtId="0" fontId="38" fillId="0" borderId="9" xfId="0" applyFont="1" applyBorder="1"/>
    <xf numFmtId="0" fontId="38" fillId="0" borderId="1" xfId="0" applyFont="1" applyBorder="1" applyAlignment="1">
      <alignment horizontal="center"/>
    </xf>
    <xf numFmtId="0" fontId="38" fillId="0" borderId="2" xfId="0" applyFont="1" applyBorder="1"/>
    <xf numFmtId="0" fontId="38" fillId="0" borderId="3" xfId="0" applyFont="1" applyBorder="1"/>
    <xf numFmtId="0" fontId="69" fillId="0" borderId="0" xfId="0" applyFont="1"/>
    <xf numFmtId="0" fontId="73" fillId="0" borderId="0" xfId="0" applyFont="1"/>
    <xf numFmtId="0" fontId="67" fillId="0" borderId="0" xfId="0" applyFont="1"/>
    <xf numFmtId="173" fontId="38" fillId="0" borderId="6" xfId="1" applyNumberFormat="1" applyFont="1" applyFill="1" applyBorder="1"/>
    <xf numFmtId="0" fontId="39" fillId="0" borderId="8" xfId="0" applyFont="1" applyBorder="1"/>
    <xf numFmtId="0" fontId="38" fillId="0" borderId="0" xfId="0" applyFont="1" applyAlignment="1">
      <alignment horizontal="center"/>
    </xf>
    <xf numFmtId="173" fontId="38" fillId="0" borderId="0" xfId="0" applyNumberFormat="1" applyFont="1"/>
    <xf numFmtId="176" fontId="38" fillId="0" borderId="0" xfId="0" applyNumberFormat="1" applyFont="1"/>
    <xf numFmtId="0" fontId="72" fillId="0" borderId="0" xfId="0" applyFont="1" applyAlignment="1">
      <alignment horizontal="center" vertical="center"/>
    </xf>
    <xf numFmtId="173" fontId="71" fillId="0" borderId="0" xfId="0" applyNumberFormat="1" applyFont="1"/>
    <xf numFmtId="0" fontId="74" fillId="0" borderId="0" xfId="0" applyFont="1" applyAlignment="1">
      <alignment horizontal="left"/>
    </xf>
    <xf numFmtId="14" fontId="29" fillId="0" borderId="0" xfId="0" applyNumberFormat="1" applyFont="1"/>
    <xf numFmtId="0" fontId="69" fillId="0" borderId="1" xfId="0" applyFont="1" applyBorder="1"/>
    <xf numFmtId="0" fontId="69" fillId="0" borderId="2" xfId="0" applyFont="1" applyBorder="1"/>
    <xf numFmtId="0" fontId="69" fillId="0" borderId="3" xfId="0" applyFont="1" applyBorder="1"/>
    <xf numFmtId="0" fontId="69" fillId="0" borderId="4" xfId="0" applyFont="1" applyBorder="1"/>
    <xf numFmtId="0" fontId="69" fillId="0" borderId="5" xfId="0" applyFont="1" applyBorder="1"/>
    <xf numFmtId="0" fontId="38" fillId="0" borderId="4" xfId="0" applyFont="1" applyBorder="1"/>
    <xf numFmtId="0" fontId="38" fillId="0" borderId="7" xfId="0" applyFont="1" applyBorder="1"/>
    <xf numFmtId="0" fontId="29" fillId="0" borderId="1" xfId="0" applyFont="1" applyBorder="1"/>
    <xf numFmtId="0" fontId="29" fillId="0" borderId="2" xfId="0" applyFont="1" applyBorder="1"/>
    <xf numFmtId="0" fontId="29" fillId="0" borderId="3" xfId="0" applyFont="1" applyBorder="1"/>
    <xf numFmtId="0" fontId="29" fillId="0" borderId="4" xfId="0" applyFont="1" applyBorder="1"/>
    <xf numFmtId="167" fontId="19" fillId="12" borderId="44" xfId="1" applyNumberFormat="1" applyFont="1" applyFill="1" applyBorder="1"/>
    <xf numFmtId="167" fontId="19" fillId="0" borderId="44" xfId="1" applyNumberFormat="1" applyFont="1" applyFill="1" applyBorder="1"/>
    <xf numFmtId="0" fontId="45" fillId="13" borderId="39" xfId="0" applyFont="1" applyFill="1" applyBorder="1" applyAlignment="1">
      <alignment horizontal="center"/>
    </xf>
    <xf numFmtId="167" fontId="19" fillId="12" borderId="46" xfId="1" applyNumberFormat="1" applyFont="1" applyFill="1" applyBorder="1"/>
    <xf numFmtId="167" fontId="19" fillId="12" borderId="47" xfId="1" applyNumberFormat="1" applyFont="1" applyFill="1" applyBorder="1"/>
    <xf numFmtId="167" fontId="20" fillId="12" borderId="45" xfId="1" applyNumberFormat="1" applyFont="1" applyFill="1" applyBorder="1" applyAlignment="1"/>
    <xf numFmtId="167" fontId="19" fillId="2" borderId="46" xfId="1" applyNumberFormat="1" applyFont="1" applyFill="1" applyBorder="1"/>
    <xf numFmtId="167" fontId="19" fillId="2" borderId="31" xfId="1" applyNumberFormat="1" applyFont="1" applyFill="1" applyBorder="1"/>
    <xf numFmtId="167" fontId="19" fillId="0" borderId="47" xfId="1" applyNumberFormat="1" applyFont="1" applyFill="1" applyBorder="1"/>
    <xf numFmtId="184" fontId="0" fillId="0" borderId="0" xfId="0" applyNumberFormat="1"/>
    <xf numFmtId="165" fontId="22" fillId="8" borderId="13" xfId="1" applyFont="1" applyFill="1" applyBorder="1" applyAlignment="1">
      <alignment horizontal="right" vertical="center" wrapText="1"/>
    </xf>
    <xf numFmtId="0" fontId="21" fillId="17" borderId="48" xfId="0" applyFont="1" applyFill="1" applyBorder="1" applyAlignment="1">
      <alignment vertical="center"/>
    </xf>
    <xf numFmtId="166" fontId="22" fillId="17" borderId="49" xfId="0" applyNumberFormat="1" applyFont="1" applyFill="1" applyBorder="1" applyAlignment="1">
      <alignment horizontal="right" vertical="center"/>
    </xf>
    <xf numFmtId="166" fontId="22" fillId="0" borderId="50" xfId="0" applyNumberFormat="1" applyFont="1" applyBorder="1" applyAlignment="1">
      <alignment horizontal="right" vertical="center" wrapText="1"/>
    </xf>
    <xf numFmtId="166" fontId="22" fillId="0" borderId="51" xfId="0" applyNumberFormat="1" applyFont="1" applyBorder="1" applyAlignment="1">
      <alignment horizontal="right" vertical="center" wrapText="1"/>
    </xf>
    <xf numFmtId="166" fontId="22" fillId="0" borderId="12" xfId="0" applyNumberFormat="1" applyFont="1" applyBorder="1" applyAlignment="1">
      <alignment horizontal="right" vertical="center" wrapText="1"/>
    </xf>
    <xf numFmtId="166" fontId="36" fillId="0" borderId="10" xfId="0" applyNumberFormat="1" applyFont="1" applyBorder="1" applyAlignment="1">
      <alignment horizontal="right" vertical="center" wrapText="1"/>
    </xf>
    <xf numFmtId="166" fontId="36" fillId="0" borderId="13" xfId="0" applyNumberFormat="1" applyFont="1" applyBorder="1" applyAlignment="1">
      <alignment horizontal="right" vertical="center" wrapText="1"/>
    </xf>
    <xf numFmtId="166" fontId="36" fillId="0" borderId="0" xfId="0" applyNumberFormat="1" applyFont="1" applyAlignment="1">
      <alignment horizontal="right" vertical="center" wrapText="1"/>
    </xf>
    <xf numFmtId="166" fontId="36" fillId="0" borderId="23" xfId="0" applyNumberFormat="1" applyFont="1" applyBorder="1" applyAlignment="1">
      <alignment horizontal="right" vertical="center" wrapText="1"/>
    </xf>
    <xf numFmtId="0" fontId="21" fillId="8" borderId="12" xfId="0" applyFont="1" applyFill="1" applyBorder="1" applyAlignment="1">
      <alignment vertical="center" wrapText="1"/>
    </xf>
    <xf numFmtId="166" fontId="36" fillId="8" borderId="13" xfId="0" applyNumberFormat="1" applyFont="1" applyFill="1" applyBorder="1" applyAlignment="1">
      <alignment horizontal="right" vertical="center" wrapText="1"/>
    </xf>
    <xf numFmtId="166" fontId="36" fillId="0" borderId="22" xfId="0" applyNumberFormat="1" applyFont="1" applyBorder="1" applyAlignment="1">
      <alignment horizontal="right" vertical="center" wrapText="1"/>
    </xf>
    <xf numFmtId="165" fontId="22" fillId="0" borderId="20" xfId="1" applyFont="1" applyFill="1" applyBorder="1" applyAlignment="1">
      <alignment horizontal="right" vertical="center" wrapText="1"/>
    </xf>
    <xf numFmtId="165" fontId="22" fillId="0" borderId="21" xfId="1" applyFont="1" applyFill="1" applyBorder="1" applyAlignment="1">
      <alignment horizontal="right" vertical="center" wrapText="1"/>
    </xf>
    <xf numFmtId="0" fontId="22" fillId="0" borderId="19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75" fillId="0" borderId="0" xfId="0" applyFont="1"/>
    <xf numFmtId="185" fontId="0" fillId="0" borderId="0" xfId="0" applyNumberFormat="1"/>
    <xf numFmtId="169" fontId="25" fillId="0" borderId="0" xfId="1" applyNumberFormat="1" applyFont="1" applyFill="1" applyBorder="1" applyAlignment="1">
      <alignment vertical="center" wrapText="1"/>
    </xf>
    <xf numFmtId="0" fontId="0" fillId="3" borderId="0" xfId="0" applyFill="1"/>
    <xf numFmtId="0" fontId="0" fillId="16" borderId="0" xfId="0" applyFill="1"/>
    <xf numFmtId="0" fontId="0" fillId="18" borderId="0" xfId="0" applyFill="1"/>
    <xf numFmtId="0" fontId="76" fillId="0" borderId="0" xfId="0" applyFont="1"/>
    <xf numFmtId="0" fontId="77" fillId="0" borderId="0" xfId="0" applyFont="1"/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5" fillId="11" borderId="34" xfId="0" applyFont="1" applyFill="1" applyBorder="1" applyAlignment="1">
      <alignment horizontal="center"/>
    </xf>
    <xf numFmtId="0" fontId="45" fillId="14" borderId="35" xfId="0" applyFont="1" applyFill="1" applyBorder="1" applyAlignment="1">
      <alignment horizontal="center"/>
    </xf>
    <xf numFmtId="0" fontId="45" fillId="16" borderId="34" xfId="0" applyFont="1" applyFill="1" applyBorder="1" applyAlignment="1">
      <alignment horizontal="center"/>
    </xf>
    <xf numFmtId="0" fontId="22" fillId="8" borderId="23" xfId="0" applyFont="1" applyFill="1" applyBorder="1" applyAlignment="1">
      <alignment vertical="center" wrapText="1"/>
    </xf>
    <xf numFmtId="0" fontId="22" fillId="8" borderId="11" xfId="0" applyFont="1" applyFill="1" applyBorder="1" applyAlignment="1">
      <alignment horizontal="right" vertical="center" wrapText="1"/>
    </xf>
    <xf numFmtId="186" fontId="19" fillId="0" borderId="0" xfId="0" applyNumberFormat="1" applyFont="1"/>
    <xf numFmtId="14" fontId="0" fillId="0" borderId="0" xfId="0" applyNumberForma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14" fontId="14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14" fontId="61" fillId="0" borderId="0" xfId="0" applyNumberFormat="1" applyFont="1" applyAlignment="1">
      <alignment horizontal="center"/>
    </xf>
    <xf numFmtId="0" fontId="29" fillId="0" borderId="1" xfId="0" applyFont="1" applyBorder="1" applyAlignment="1">
      <alignment horizontal="center"/>
    </xf>
    <xf numFmtId="14" fontId="62" fillId="0" borderId="2" xfId="0" applyNumberFormat="1" applyFont="1" applyBorder="1" applyAlignment="1">
      <alignment horizontal="center" vertical="center"/>
    </xf>
    <xf numFmtId="0" fontId="66" fillId="0" borderId="0" xfId="5" applyFont="1" applyBorder="1" applyAlignment="1">
      <alignment horizontal="center" vertical="center"/>
    </xf>
    <xf numFmtId="0" fontId="66" fillId="0" borderId="0" xfId="5" applyFont="1" applyFill="1" applyAlignment="1">
      <alignment horizontal="center" vertical="center"/>
    </xf>
    <xf numFmtId="167" fontId="33" fillId="0" borderId="0" xfId="1" applyNumberFormat="1" applyFont="1" applyBorder="1"/>
    <xf numFmtId="0" fontId="79" fillId="0" borderId="8" xfId="0" applyFont="1" applyBorder="1"/>
    <xf numFmtId="172" fontId="79" fillId="0" borderId="8" xfId="1" applyNumberFormat="1" applyFont="1" applyBorder="1"/>
    <xf numFmtId="172" fontId="79" fillId="0" borderId="9" xfId="1" applyNumberFormat="1" applyFont="1" applyBorder="1"/>
    <xf numFmtId="172" fontId="79" fillId="0" borderId="0" xfId="1" applyNumberFormat="1" applyFont="1"/>
    <xf numFmtId="172" fontId="79" fillId="0" borderId="7" xfId="1" applyNumberFormat="1" applyFont="1" applyBorder="1"/>
    <xf numFmtId="187" fontId="38" fillId="0" borderId="6" xfId="1" applyNumberFormat="1" applyFont="1" applyFill="1" applyBorder="1"/>
    <xf numFmtId="187" fontId="38" fillId="0" borderId="5" xfId="0" applyNumberFormat="1" applyFont="1" applyBorder="1"/>
    <xf numFmtId="187" fontId="38" fillId="0" borderId="0" xfId="0" applyNumberFormat="1" applyFont="1"/>
    <xf numFmtId="0" fontId="81" fillId="0" borderId="0" xfId="0" applyFont="1"/>
    <xf numFmtId="169" fontId="29" fillId="0" borderId="0" xfId="1" applyNumberFormat="1" applyFont="1" applyBorder="1"/>
    <xf numFmtId="173" fontId="22" fillId="8" borderId="12" xfId="0" applyNumberFormat="1" applyFont="1" applyFill="1" applyBorder="1" applyAlignment="1">
      <alignment horizontal="right" vertical="center" wrapText="1"/>
    </xf>
    <xf numFmtId="186" fontId="37" fillId="0" borderId="0" xfId="0" applyNumberFormat="1" applyFont="1"/>
    <xf numFmtId="0" fontId="37" fillId="0" borderId="23" xfId="0" applyFont="1" applyBorder="1"/>
    <xf numFmtId="0" fontId="37" fillId="0" borderId="13" xfId="0" applyFont="1" applyBorder="1"/>
    <xf numFmtId="0" fontId="82" fillId="0" borderId="0" xfId="0" applyFont="1"/>
    <xf numFmtId="183" fontId="82" fillId="0" borderId="0" xfId="0" applyNumberFormat="1" applyFont="1"/>
    <xf numFmtId="0" fontId="83" fillId="0" borderId="0" xfId="5" applyFont="1"/>
    <xf numFmtId="176" fontId="37" fillId="0" borderId="0" xfId="0" applyNumberFormat="1" applyFont="1"/>
    <xf numFmtId="188" fontId="37" fillId="0" borderId="0" xfId="0" applyNumberFormat="1" applyFont="1"/>
    <xf numFmtId="189" fontId="37" fillId="0" borderId="0" xfId="0" applyNumberFormat="1" applyFont="1"/>
    <xf numFmtId="0" fontId="21" fillId="0" borderId="11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169" fontId="22" fillId="8" borderId="12" xfId="1" applyNumberFormat="1" applyFont="1" applyFill="1" applyBorder="1" applyAlignment="1">
      <alignment horizontal="right" vertical="center" wrapText="1"/>
    </xf>
    <xf numFmtId="169" fontId="22" fillId="8" borderId="10" xfId="1" applyNumberFormat="1" applyFont="1" applyFill="1" applyBorder="1" applyAlignment="1">
      <alignment horizontal="right" vertical="center" wrapText="1"/>
    </xf>
    <xf numFmtId="179" fontId="82" fillId="0" borderId="0" xfId="0" applyNumberFormat="1" applyFont="1"/>
    <xf numFmtId="169" fontId="84" fillId="0" borderId="12" xfId="1" applyNumberFormat="1" applyFont="1" applyFill="1" applyBorder="1" applyAlignment="1">
      <alignment horizontal="right" vertical="center" wrapText="1"/>
    </xf>
    <xf numFmtId="0" fontId="35" fillId="0" borderId="13" xfId="0" applyFont="1" applyBorder="1" applyAlignment="1">
      <alignment vertical="center" wrapText="1"/>
    </xf>
    <xf numFmtId="173" fontId="84" fillId="0" borderId="13" xfId="0" applyNumberFormat="1" applyFont="1" applyBorder="1" applyAlignment="1">
      <alignment horizontal="right" vertical="center" wrapText="1"/>
    </xf>
    <xf numFmtId="173" fontId="85" fillId="0" borderId="13" xfId="0" applyNumberFormat="1" applyFont="1" applyBorder="1" applyAlignment="1">
      <alignment horizontal="right" vertical="center" wrapText="1"/>
    </xf>
    <xf numFmtId="0" fontId="86" fillId="0" borderId="0" xfId="0" applyFont="1"/>
    <xf numFmtId="0" fontId="35" fillId="0" borderId="10" xfId="0" applyFont="1" applyBorder="1" applyAlignment="1">
      <alignment vertical="center" wrapText="1"/>
    </xf>
    <xf numFmtId="0" fontId="35" fillId="0" borderId="11" xfId="0" applyFont="1" applyBorder="1" applyAlignment="1">
      <alignment vertical="center" wrapText="1"/>
    </xf>
    <xf numFmtId="166" fontId="85" fillId="0" borderId="11" xfId="0" applyNumberFormat="1" applyFont="1" applyBorder="1" applyAlignment="1">
      <alignment horizontal="right" vertical="center" wrapText="1"/>
    </xf>
    <xf numFmtId="168" fontId="38" fillId="0" borderId="0" xfId="2" applyNumberFormat="1" applyFont="1" applyFill="1" applyBorder="1" applyAlignment="1">
      <alignment horizontal="center"/>
    </xf>
    <xf numFmtId="168" fontId="38" fillId="0" borderId="0" xfId="2" applyNumberFormat="1" applyFont="1" applyBorder="1" applyAlignment="1">
      <alignment horizontal="center"/>
    </xf>
    <xf numFmtId="0" fontId="38" fillId="0" borderId="5" xfId="2" applyNumberFormat="1" applyFont="1" applyFill="1" applyBorder="1" applyAlignment="1">
      <alignment horizontal="center"/>
    </xf>
    <xf numFmtId="0" fontId="38" fillId="0" borderId="0" xfId="2" applyNumberFormat="1" applyFont="1" applyFill="1" applyBorder="1" applyAlignment="1">
      <alignment horizontal="center"/>
    </xf>
    <xf numFmtId="168" fontId="71" fillId="0" borderId="0" xfId="2" applyNumberFormat="1" applyFont="1" applyFill="1" applyBorder="1" applyAlignment="1">
      <alignment horizontal="center"/>
    </xf>
    <xf numFmtId="168" fontId="39" fillId="0" borderId="0" xfId="2" applyNumberFormat="1" applyFont="1" applyFill="1" applyBorder="1" applyAlignment="1">
      <alignment horizontal="center"/>
    </xf>
    <xf numFmtId="169" fontId="85" fillId="0" borderId="0" xfId="1" applyNumberFormat="1" applyFont="1" applyFill="1" applyBorder="1" applyAlignment="1">
      <alignment horizontal="right" vertical="center" wrapText="1"/>
    </xf>
    <xf numFmtId="186" fontId="19" fillId="0" borderId="26" xfId="0" applyNumberFormat="1" applyFont="1" applyBorder="1"/>
    <xf numFmtId="186" fontId="19" fillId="0" borderId="25" xfId="0" applyNumberFormat="1" applyFont="1" applyBorder="1"/>
    <xf numFmtId="186" fontId="19" fillId="0" borderId="43" xfId="0" applyNumberFormat="1" applyFont="1" applyBorder="1"/>
    <xf numFmtId="0" fontId="0" fillId="0" borderId="0" xfId="4" applyFont="1"/>
    <xf numFmtId="0" fontId="88" fillId="0" borderId="0" xfId="0" applyFont="1"/>
    <xf numFmtId="0" fontId="80" fillId="9" borderId="1" xfId="10" applyFont="1" applyFill="1" applyBorder="1" applyAlignment="1">
      <alignment vertical="top"/>
    </xf>
    <xf numFmtId="0" fontId="80" fillId="9" borderId="2" xfId="10" applyFont="1" applyFill="1" applyBorder="1" applyAlignment="1">
      <alignment vertical="top"/>
    </xf>
    <xf numFmtId="0" fontId="80" fillId="9" borderId="3" xfId="10" applyFont="1" applyFill="1" applyBorder="1" applyAlignment="1">
      <alignment vertical="top"/>
    </xf>
    <xf numFmtId="0" fontId="80" fillId="9" borderId="6" xfId="10" applyFont="1" applyFill="1" applyBorder="1" applyAlignment="1">
      <alignment vertical="top"/>
    </xf>
    <xf numFmtId="0" fontId="80" fillId="9" borderId="0" xfId="10" applyFont="1" applyFill="1" applyAlignment="1">
      <alignment vertical="top"/>
    </xf>
    <xf numFmtId="0" fontId="80" fillId="9" borderId="26" xfId="10" applyFont="1" applyFill="1" applyBorder="1" applyAlignment="1">
      <alignment horizontal="left" vertical="top" wrapText="1"/>
    </xf>
    <xf numFmtId="0" fontId="80" fillId="9" borderId="26" xfId="10" applyFont="1" applyFill="1" applyBorder="1" applyAlignment="1">
      <alignment vertical="top"/>
    </xf>
    <xf numFmtId="169" fontId="89" fillId="11" borderId="64" xfId="1" applyNumberFormat="1" applyFont="1" applyFill="1" applyBorder="1" applyAlignment="1">
      <alignment horizontal="center" vertical="center"/>
    </xf>
    <xf numFmtId="169" fontId="89" fillId="11" borderId="66" xfId="1" applyNumberFormat="1" applyFont="1" applyFill="1" applyBorder="1" applyAlignment="1">
      <alignment horizontal="center" vertical="center"/>
    </xf>
    <xf numFmtId="169" fontId="89" fillId="11" borderId="69" xfId="1" applyNumberFormat="1" applyFont="1" applyFill="1" applyBorder="1" applyAlignment="1">
      <alignment horizontal="center" vertical="center"/>
    </xf>
    <xf numFmtId="0" fontId="89" fillId="0" borderId="0" xfId="10" applyFont="1" applyAlignment="1">
      <alignment vertical="center"/>
    </xf>
    <xf numFmtId="169" fontId="90" fillId="0" borderId="0" xfId="1" applyNumberFormat="1" applyFont="1" applyFill="1" applyBorder="1" applyAlignment="1" applyProtection="1">
      <alignment horizontal="right"/>
      <protection locked="0"/>
    </xf>
    <xf numFmtId="0" fontId="80" fillId="9" borderId="5" xfId="10" applyFont="1" applyFill="1" applyBorder="1" applyAlignment="1">
      <alignment vertical="top"/>
    </xf>
    <xf numFmtId="0" fontId="89" fillId="11" borderId="57" xfId="10" applyFont="1" applyFill="1" applyBorder="1" applyAlignment="1">
      <alignment vertical="center"/>
    </xf>
    <xf numFmtId="0" fontId="89" fillId="11" borderId="58" xfId="10" applyFont="1" applyFill="1" applyBorder="1" applyAlignment="1">
      <alignment vertical="center"/>
    </xf>
    <xf numFmtId="0" fontId="89" fillId="11" borderId="59" xfId="10" applyFont="1" applyFill="1" applyBorder="1" applyAlignment="1">
      <alignment vertical="center"/>
    </xf>
    <xf numFmtId="169" fontId="28" fillId="0" borderId="60" xfId="1" applyNumberFormat="1" applyFont="1" applyFill="1" applyBorder="1" applyAlignment="1" applyProtection="1">
      <alignment horizontal="right"/>
      <protection locked="0"/>
    </xf>
    <xf numFmtId="169" fontId="89" fillId="11" borderId="61" xfId="1" applyNumberFormat="1" applyFont="1" applyFill="1" applyBorder="1" applyAlignment="1">
      <alignment horizontal="center" vertical="center"/>
    </xf>
    <xf numFmtId="0" fontId="89" fillId="11" borderId="42" xfId="10" applyFont="1" applyFill="1" applyBorder="1" applyAlignment="1">
      <alignment vertical="center"/>
    </xf>
    <xf numFmtId="0" fontId="89" fillId="11" borderId="53" xfId="10" applyFont="1" applyFill="1" applyBorder="1" applyAlignment="1">
      <alignment vertical="center"/>
    </xf>
    <xf numFmtId="0" fontId="89" fillId="11" borderId="54" xfId="10" applyFont="1" applyFill="1" applyBorder="1" applyAlignment="1">
      <alignment vertical="center"/>
    </xf>
    <xf numFmtId="169" fontId="28" fillId="0" borderId="55" xfId="1" applyNumberFormat="1" applyFont="1" applyFill="1" applyBorder="1" applyAlignment="1" applyProtection="1">
      <alignment horizontal="right"/>
      <protection locked="0"/>
    </xf>
    <xf numFmtId="169" fontId="89" fillId="11" borderId="56" xfId="1" applyNumberFormat="1" applyFont="1" applyFill="1" applyBorder="1" applyAlignment="1">
      <alignment horizontal="center" vertical="center"/>
    </xf>
    <xf numFmtId="0" fontId="89" fillId="11" borderId="0" xfId="10" applyFont="1" applyFill="1" applyAlignment="1">
      <alignment vertical="center"/>
    </xf>
    <xf numFmtId="169" fontId="28" fillId="0" borderId="0" xfId="1" applyNumberFormat="1" applyFont="1" applyFill="1" applyBorder="1" applyAlignment="1" applyProtection="1">
      <alignment horizontal="right"/>
      <protection locked="0"/>
    </xf>
    <xf numFmtId="169" fontId="89" fillId="0" borderId="0" xfId="1" applyNumberFormat="1" applyFont="1" applyFill="1" applyBorder="1" applyAlignment="1">
      <alignment horizontal="center" vertical="center"/>
    </xf>
    <xf numFmtId="0" fontId="80" fillId="9" borderId="15" xfId="10" applyFont="1" applyFill="1" applyBorder="1" applyAlignment="1">
      <alignment horizontal="left" vertical="top"/>
    </xf>
    <xf numFmtId="0" fontId="80" fillId="9" borderId="17" xfId="10" applyFont="1" applyFill="1" applyBorder="1" applyAlignment="1">
      <alignment horizontal="center" vertical="center"/>
    </xf>
    <xf numFmtId="0" fontId="80" fillId="9" borderId="6" xfId="10" applyFont="1" applyFill="1" applyBorder="1" applyAlignment="1">
      <alignment horizontal="left" vertical="top"/>
    </xf>
    <xf numFmtId="0" fontId="80" fillId="9" borderId="16" xfId="10" applyFont="1" applyFill="1" applyBorder="1" applyAlignment="1">
      <alignment horizontal="left" vertical="top"/>
    </xf>
    <xf numFmtId="0" fontId="80" fillId="9" borderId="6" xfId="10" applyFont="1" applyFill="1" applyBorder="1" applyAlignment="1">
      <alignment horizontal="center" vertical="center"/>
    </xf>
    <xf numFmtId="0" fontId="80" fillId="9" borderId="0" xfId="10" applyFont="1" applyFill="1" applyAlignment="1">
      <alignment horizontal="left" vertical="top"/>
    </xf>
    <xf numFmtId="169" fontId="80" fillId="9" borderId="0" xfId="10" applyNumberFormat="1" applyFont="1" applyFill="1" applyAlignment="1">
      <alignment horizontal="left" vertical="top"/>
    </xf>
    <xf numFmtId="0" fontId="80" fillId="9" borderId="0" xfId="10" applyFont="1" applyFill="1" applyAlignment="1">
      <alignment horizontal="right"/>
    </xf>
    <xf numFmtId="169" fontId="89" fillId="11" borderId="29" xfId="1" applyNumberFormat="1" applyFont="1" applyFill="1" applyBorder="1" applyAlignment="1">
      <alignment horizontal="center" vertical="center"/>
    </xf>
    <xf numFmtId="169" fontId="20" fillId="11" borderId="28" xfId="1" applyNumberFormat="1" applyFont="1" applyFill="1" applyBorder="1" applyAlignment="1">
      <alignment horizontal="center" vertical="center"/>
    </xf>
    <xf numFmtId="0" fontId="89" fillId="8" borderId="63" xfId="10" applyFont="1" applyFill="1" applyBorder="1" applyAlignment="1">
      <alignment vertical="center"/>
    </xf>
    <xf numFmtId="0" fontId="89" fillId="8" borderId="6" xfId="10" applyFont="1" applyFill="1" applyBorder="1" applyAlignment="1">
      <alignment vertical="center"/>
    </xf>
    <xf numFmtId="0" fontId="89" fillId="8" borderId="68" xfId="10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80" fillId="9" borderId="4" xfId="10" applyFont="1" applyFill="1" applyBorder="1" applyAlignment="1">
      <alignment wrapText="1"/>
    </xf>
    <xf numFmtId="0" fontId="80" fillId="9" borderId="7" xfId="10" applyFont="1" applyFill="1" applyBorder="1" applyAlignment="1">
      <alignment wrapText="1"/>
    </xf>
    <xf numFmtId="0" fontId="89" fillId="8" borderId="62" xfId="10" applyFont="1" applyFill="1" applyBorder="1" applyAlignment="1">
      <alignment vertical="center"/>
    </xf>
    <xf numFmtId="0" fontId="89" fillId="8" borderId="65" xfId="10" applyFont="1" applyFill="1" applyBorder="1" applyAlignment="1">
      <alignment vertical="center"/>
    </xf>
    <xf numFmtId="0" fontId="89" fillId="8" borderId="67" xfId="10" applyFont="1" applyFill="1" applyBorder="1" applyAlignment="1">
      <alignment vertical="center"/>
    </xf>
    <xf numFmtId="186" fontId="0" fillId="0" borderId="0" xfId="0" applyNumberFormat="1"/>
    <xf numFmtId="0" fontId="21" fillId="0" borderId="24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35" fillId="0" borderId="0" xfId="0" applyFont="1" applyAlignment="1">
      <alignment vertical="center"/>
    </xf>
    <xf numFmtId="169" fontId="22" fillId="0" borderId="10" xfId="0" applyNumberFormat="1" applyFont="1" applyBorder="1" applyAlignment="1">
      <alignment horizontal="right" vertical="center" wrapText="1"/>
    </xf>
    <xf numFmtId="175" fontId="36" fillId="0" borderId="13" xfId="0" applyNumberFormat="1" applyFont="1" applyBorder="1" applyAlignment="1">
      <alignment horizontal="right" vertical="center" wrapText="1"/>
    </xf>
    <xf numFmtId="173" fontId="38" fillId="0" borderId="0" xfId="0" applyNumberFormat="1" applyFont="1" applyAlignment="1">
      <alignment horizontal="center" vertical="center"/>
    </xf>
    <xf numFmtId="174" fontId="38" fillId="0" borderId="2" xfId="0" applyNumberFormat="1" applyFont="1" applyBorder="1"/>
    <xf numFmtId="14" fontId="38" fillId="0" borderId="2" xfId="0" applyNumberFormat="1" applyFont="1" applyBorder="1"/>
    <xf numFmtId="0" fontId="38" fillId="8" borderId="2" xfId="0" applyFont="1" applyFill="1" applyBorder="1" applyAlignment="1">
      <alignment horizontal="left" vertical="top"/>
    </xf>
    <xf numFmtId="14" fontId="38" fillId="8" borderId="8" xfId="0" applyNumberFormat="1" applyFont="1" applyFill="1" applyBorder="1" applyAlignment="1">
      <alignment horizontal="left" vertical="top"/>
    </xf>
    <xf numFmtId="173" fontId="67" fillId="0" borderId="6" xfId="1" applyNumberFormat="1" applyFont="1" applyFill="1" applyBorder="1"/>
    <xf numFmtId="14" fontId="53" fillId="2" borderId="0" xfId="0" applyNumberFormat="1" applyFont="1" applyFill="1"/>
    <xf numFmtId="9" fontId="42" fillId="17" borderId="26" xfId="3" applyFont="1" applyFill="1" applyBorder="1"/>
    <xf numFmtId="9" fontId="42" fillId="17" borderId="25" xfId="3" applyFont="1" applyFill="1" applyBorder="1"/>
    <xf numFmtId="9" fontId="42" fillId="17" borderId="43" xfId="3" applyFont="1" applyFill="1" applyBorder="1"/>
    <xf numFmtId="167" fontId="19" fillId="12" borderId="70" xfId="1" applyNumberFormat="1" applyFont="1" applyFill="1" applyBorder="1"/>
    <xf numFmtId="167" fontId="19" fillId="12" borderId="39" xfId="1" applyNumberFormat="1" applyFont="1" applyFill="1" applyBorder="1"/>
    <xf numFmtId="167" fontId="20" fillId="12" borderId="39" xfId="1" applyNumberFormat="1" applyFont="1" applyFill="1" applyBorder="1"/>
    <xf numFmtId="173" fontId="19" fillId="12" borderId="39" xfId="1" applyNumberFormat="1" applyFont="1" applyFill="1" applyBorder="1"/>
    <xf numFmtId="180" fontId="19" fillId="12" borderId="39" xfId="2" applyNumberFormat="1" applyFont="1" applyFill="1" applyBorder="1"/>
    <xf numFmtId="180" fontId="19" fillId="12" borderId="71" xfId="2" applyNumberFormat="1" applyFont="1" applyFill="1" applyBorder="1"/>
    <xf numFmtId="167" fontId="19" fillId="12" borderId="72" xfId="1" applyNumberFormat="1" applyFont="1" applyFill="1" applyBorder="1"/>
    <xf numFmtId="167" fontId="19" fillId="12" borderId="73" xfId="1" applyNumberFormat="1" applyFont="1" applyFill="1" applyBorder="1"/>
    <xf numFmtId="167" fontId="20" fillId="12" borderId="73" xfId="1" applyNumberFormat="1" applyFont="1" applyFill="1" applyBorder="1"/>
    <xf numFmtId="173" fontId="19" fillId="12" borderId="73" xfId="1" applyNumberFormat="1" applyFont="1" applyFill="1" applyBorder="1"/>
    <xf numFmtId="180" fontId="19" fillId="12" borderId="73" xfId="2" applyNumberFormat="1" applyFont="1" applyFill="1" applyBorder="1"/>
    <xf numFmtId="180" fontId="19" fillId="12" borderId="74" xfId="2" applyNumberFormat="1" applyFont="1" applyFill="1" applyBorder="1"/>
    <xf numFmtId="167" fontId="19" fillId="12" borderId="75" xfId="1" applyNumberFormat="1" applyFont="1" applyFill="1" applyBorder="1"/>
    <xf numFmtId="167" fontId="19" fillId="12" borderId="76" xfId="1" applyNumberFormat="1" applyFont="1" applyFill="1" applyBorder="1"/>
    <xf numFmtId="167" fontId="20" fillId="12" borderId="76" xfId="1" applyNumberFormat="1" applyFont="1" applyFill="1" applyBorder="1"/>
    <xf numFmtId="173" fontId="19" fillId="12" borderId="76" xfId="1" applyNumberFormat="1" applyFont="1" applyFill="1" applyBorder="1"/>
    <xf numFmtId="180" fontId="19" fillId="12" borderId="76" xfId="2" applyNumberFormat="1" applyFont="1" applyFill="1" applyBorder="1"/>
    <xf numFmtId="180" fontId="19" fillId="12" borderId="77" xfId="2" applyNumberFormat="1" applyFont="1" applyFill="1" applyBorder="1"/>
    <xf numFmtId="173" fontId="19" fillId="12" borderId="78" xfId="0" applyNumberFormat="1" applyFont="1" applyFill="1" applyBorder="1"/>
    <xf numFmtId="173" fontId="19" fillId="12" borderId="76" xfId="0" applyNumberFormat="1" applyFont="1" applyFill="1" applyBorder="1"/>
    <xf numFmtId="173" fontId="19" fillId="12" borderId="79" xfId="0" applyNumberFormat="1" applyFont="1" applyFill="1" applyBorder="1"/>
    <xf numFmtId="3" fontId="19" fillId="12" borderId="78" xfId="0" applyNumberFormat="1" applyFont="1" applyFill="1" applyBorder="1"/>
    <xf numFmtId="3" fontId="19" fillId="12" borderId="76" xfId="0" applyNumberFormat="1" applyFont="1" applyFill="1" applyBorder="1"/>
    <xf numFmtId="3" fontId="19" fillId="12" borderId="79" xfId="0" applyNumberFormat="1" applyFont="1" applyFill="1" applyBorder="1"/>
    <xf numFmtId="169" fontId="19" fillId="12" borderId="80" xfId="1" applyNumberFormat="1" applyFont="1" applyFill="1" applyBorder="1"/>
    <xf numFmtId="169" fontId="19" fillId="12" borderId="81" xfId="1" applyNumberFormat="1" applyFont="1" applyFill="1" applyBorder="1"/>
    <xf numFmtId="169" fontId="19" fillId="12" borderId="82" xfId="1" applyNumberFormat="1" applyFont="1" applyFill="1" applyBorder="1"/>
    <xf numFmtId="173" fontId="20" fillId="12" borderId="83" xfId="1" applyNumberFormat="1" applyFont="1" applyFill="1" applyBorder="1" applyAlignment="1"/>
    <xf numFmtId="173" fontId="20" fillId="12" borderId="77" xfId="1" applyNumberFormat="1" applyFont="1" applyFill="1" applyBorder="1" applyAlignment="1"/>
    <xf numFmtId="173" fontId="20" fillId="12" borderId="84" xfId="1" applyNumberFormat="1" applyFont="1" applyFill="1" applyBorder="1" applyAlignment="1"/>
    <xf numFmtId="173" fontId="19" fillId="2" borderId="78" xfId="0" applyNumberFormat="1" applyFont="1" applyFill="1" applyBorder="1"/>
    <xf numFmtId="173" fontId="19" fillId="2" borderId="76" xfId="0" applyNumberFormat="1" applyFont="1" applyFill="1" applyBorder="1"/>
    <xf numFmtId="173" fontId="19" fillId="2" borderId="79" xfId="0" applyNumberFormat="1" applyFont="1" applyFill="1" applyBorder="1"/>
    <xf numFmtId="169" fontId="22" fillId="0" borderId="13" xfId="1" applyNumberFormat="1" applyFont="1" applyFill="1" applyBorder="1" applyAlignment="1">
      <alignment horizontal="right" vertical="center" wrapText="1"/>
    </xf>
    <xf numFmtId="178" fontId="29" fillId="0" borderId="0" xfId="3" applyNumberFormat="1" applyFont="1"/>
    <xf numFmtId="10" fontId="29" fillId="0" borderId="0" xfId="3" applyNumberFormat="1" applyFont="1"/>
    <xf numFmtId="0" fontId="58" fillId="0" borderId="0" xfId="0" applyFont="1" applyAlignment="1">
      <alignment horizontal="left" vertical="top"/>
    </xf>
    <xf numFmtId="0" fontId="80" fillId="9" borderId="15" xfId="10" applyFont="1" applyFill="1" applyBorder="1" applyAlignment="1">
      <alignment horizontal="left" vertical="top" wrapText="1"/>
    </xf>
    <xf numFmtId="0" fontId="80" fillId="9" borderId="17" xfId="10" applyFont="1" applyFill="1" applyBorder="1" applyAlignment="1">
      <alignment horizontal="left" vertical="top" wrapText="1"/>
    </xf>
    <xf numFmtId="0" fontId="80" fillId="9" borderId="17" xfId="10" applyFont="1" applyFill="1" applyBorder="1" applyAlignment="1">
      <alignment horizontal="left" vertical="top"/>
    </xf>
    <xf numFmtId="0" fontId="80" fillId="9" borderId="68" xfId="10" applyFont="1" applyFill="1" applyBorder="1" applyAlignment="1">
      <alignment horizontal="left" vertical="top"/>
    </xf>
    <xf numFmtId="169" fontId="19" fillId="6" borderId="63" xfId="1" applyNumberFormat="1" applyFont="1" applyFill="1" applyBorder="1" applyAlignment="1" applyProtection="1">
      <alignment horizontal="right"/>
      <protection locked="0"/>
    </xf>
    <xf numFmtId="169" fontId="19" fillId="6" borderId="6" xfId="1" applyNumberFormat="1" applyFont="1" applyFill="1" applyBorder="1" applyAlignment="1" applyProtection="1">
      <alignment horizontal="right"/>
      <protection locked="0"/>
    </xf>
    <xf numFmtId="169" fontId="19" fillId="6" borderId="68" xfId="1" applyNumberFormat="1" applyFont="1" applyFill="1" applyBorder="1" applyAlignment="1" applyProtection="1">
      <alignment horizontal="right"/>
      <protection locked="0"/>
    </xf>
    <xf numFmtId="0" fontId="93" fillId="0" borderId="0" xfId="0" applyFont="1"/>
    <xf numFmtId="0" fontId="93" fillId="0" borderId="0" xfId="0" applyFont="1" applyAlignment="1">
      <alignment horizontal="left"/>
    </xf>
    <xf numFmtId="165" fontId="22" fillId="0" borderId="13" xfId="1" applyFont="1" applyFill="1" applyBorder="1" applyAlignment="1">
      <alignment horizontal="right" vertical="center" wrapText="1"/>
    </xf>
    <xf numFmtId="0" fontId="94" fillId="0" borderId="0" xfId="0" applyFont="1"/>
    <xf numFmtId="0" fontId="38" fillId="0" borderId="1" xfId="0" applyFont="1" applyBorder="1"/>
    <xf numFmtId="168" fontId="65" fillId="0" borderId="0" xfId="2" applyNumberFormat="1" applyFont="1" applyFill="1" applyBorder="1" applyAlignment="1">
      <alignment horizontal="center"/>
    </xf>
    <xf numFmtId="0" fontId="38" fillId="0" borderId="2" xfId="0" applyFont="1" applyBorder="1" applyAlignment="1">
      <alignment horizontal="center"/>
    </xf>
    <xf numFmtId="176" fontId="67" fillId="0" borderId="6" xfId="1" applyNumberFormat="1" applyFont="1" applyFill="1" applyBorder="1"/>
    <xf numFmtId="169" fontId="89" fillId="11" borderId="52" xfId="1" applyNumberFormat="1" applyFont="1" applyFill="1" applyBorder="1" applyAlignment="1">
      <alignment horizontal="center" vertical="center"/>
    </xf>
    <xf numFmtId="169" fontId="20" fillId="11" borderId="52" xfId="1" applyNumberFormat="1" applyFont="1" applyFill="1" applyBorder="1" applyAlignment="1">
      <alignment horizontal="center" vertical="center"/>
    </xf>
    <xf numFmtId="169" fontId="20" fillId="11" borderId="85" xfId="1" applyNumberFormat="1" applyFont="1" applyFill="1" applyBorder="1" applyAlignment="1">
      <alignment horizontal="center" vertical="center"/>
    </xf>
    <xf numFmtId="0" fontId="95" fillId="0" borderId="0" xfId="0" applyFont="1"/>
    <xf numFmtId="169" fontId="19" fillId="6" borderId="63" xfId="1" applyNumberFormat="1" applyFont="1" applyFill="1" applyBorder="1" applyAlignment="1" applyProtection="1">
      <alignment horizontal="left"/>
      <protection locked="0"/>
    </xf>
    <xf numFmtId="169" fontId="19" fillId="6" borderId="6" xfId="1" applyNumberFormat="1" applyFont="1" applyFill="1" applyBorder="1" applyAlignment="1" applyProtection="1">
      <alignment horizontal="left"/>
      <protection locked="0"/>
    </xf>
    <xf numFmtId="169" fontId="19" fillId="6" borderId="68" xfId="1" applyNumberFormat="1" applyFont="1" applyFill="1" applyBorder="1" applyAlignment="1" applyProtection="1">
      <alignment horizontal="left"/>
      <protection locked="0"/>
    </xf>
    <xf numFmtId="169" fontId="19" fillId="6" borderId="63" xfId="1" applyNumberFormat="1" applyFont="1" applyFill="1" applyBorder="1" applyAlignment="1" applyProtection="1">
      <alignment horizontal="left" vertical="top"/>
      <protection locked="0"/>
    </xf>
    <xf numFmtId="169" fontId="19" fillId="6" borderId="6" xfId="1" applyNumberFormat="1" applyFont="1" applyFill="1" applyBorder="1" applyAlignment="1" applyProtection="1">
      <alignment horizontal="left" vertical="top"/>
      <protection locked="0"/>
    </xf>
    <xf numFmtId="169" fontId="19" fillId="6" borderId="68" xfId="1" applyNumberFormat="1" applyFont="1" applyFill="1" applyBorder="1" applyAlignment="1" applyProtection="1">
      <alignment horizontal="left" vertical="top"/>
      <protection locked="0"/>
    </xf>
    <xf numFmtId="169" fontId="90" fillId="0" borderId="0" xfId="1" applyNumberFormat="1" applyFont="1" applyFill="1" applyBorder="1" applyAlignment="1" applyProtection="1">
      <alignment horizontal="left" vertical="top"/>
      <protection locked="0"/>
    </xf>
    <xf numFmtId="0" fontId="89" fillId="8" borderId="86" xfId="10" applyFont="1" applyFill="1" applyBorder="1" applyAlignment="1">
      <alignment vertical="center"/>
    </xf>
    <xf numFmtId="0" fontId="89" fillId="8" borderId="26" xfId="10" applyFont="1" applyFill="1" applyBorder="1" applyAlignment="1">
      <alignment vertical="center"/>
    </xf>
    <xf numFmtId="169" fontId="19" fillId="6" borderId="26" xfId="1" applyNumberFormat="1" applyFont="1" applyFill="1" applyBorder="1" applyAlignment="1" applyProtection="1">
      <alignment horizontal="left"/>
      <protection locked="0"/>
    </xf>
    <xf numFmtId="169" fontId="19" fillId="6" borderId="26" xfId="1" applyNumberFormat="1" applyFont="1" applyFill="1" applyBorder="1" applyAlignment="1" applyProtection="1">
      <alignment horizontal="right"/>
      <protection locked="0"/>
    </xf>
    <xf numFmtId="173" fontId="38" fillId="0" borderId="5" xfId="0" applyNumberFormat="1" applyFont="1" applyBorder="1" applyAlignment="1">
      <alignment horizontal="center"/>
    </xf>
    <xf numFmtId="173" fontId="38" fillId="0" borderId="5" xfId="1" applyNumberFormat="1" applyFont="1" applyFill="1" applyBorder="1"/>
    <xf numFmtId="0" fontId="89" fillId="11" borderId="52" xfId="10" applyFont="1" applyFill="1" applyBorder="1" applyAlignment="1">
      <alignment horizontal="left" vertical="top"/>
    </xf>
    <xf numFmtId="0" fontId="5" fillId="0" borderId="4" xfId="0" applyFont="1" applyBorder="1" applyAlignment="1">
      <alignment horizontal="center"/>
    </xf>
    <xf numFmtId="172" fontId="0" fillId="0" borderId="0" xfId="0" applyNumberFormat="1"/>
    <xf numFmtId="0" fontId="21" fillId="0" borderId="49" xfId="0" applyFont="1" applyBorder="1" applyAlignment="1">
      <alignment vertical="center" wrapText="1"/>
    </xf>
    <xf numFmtId="0" fontId="80" fillId="9" borderId="1" xfId="10" applyFont="1" applyFill="1" applyBorder="1" applyAlignment="1">
      <alignment horizontal="left" vertical="top"/>
    </xf>
    <xf numFmtId="0" fontId="80" fillId="9" borderId="2" xfId="10" applyFont="1" applyFill="1" applyBorder="1" applyAlignment="1">
      <alignment horizontal="left" vertical="top"/>
    </xf>
    <xf numFmtId="0" fontId="80" fillId="9" borderId="3" xfId="10" applyFont="1" applyFill="1" applyBorder="1" applyAlignment="1">
      <alignment horizontal="left" vertical="top"/>
    </xf>
    <xf numFmtId="0" fontId="80" fillId="9" borderId="7" xfId="10" applyFont="1" applyFill="1" applyBorder="1" applyAlignment="1">
      <alignment vertical="top"/>
    </xf>
    <xf numFmtId="0" fontId="80" fillId="9" borderId="8" xfId="10" applyFont="1" applyFill="1" applyBorder="1" applyAlignment="1">
      <alignment vertical="top"/>
    </xf>
    <xf numFmtId="0" fontId="80" fillId="9" borderId="9" xfId="10" applyFont="1" applyFill="1" applyBorder="1" applyAlignment="1">
      <alignment vertical="top"/>
    </xf>
    <xf numFmtId="169" fontId="28" fillId="6" borderId="63" xfId="1" applyNumberFormat="1" applyFont="1" applyFill="1" applyBorder="1" applyAlignment="1" applyProtection="1">
      <alignment horizontal="right"/>
      <protection locked="0"/>
    </xf>
    <xf numFmtId="169" fontId="28" fillId="6" borderId="6" xfId="1" applyNumberFormat="1" applyFont="1" applyFill="1" applyBorder="1" applyAlignment="1" applyProtection="1">
      <alignment horizontal="right"/>
      <protection locked="0"/>
    </xf>
    <xf numFmtId="169" fontId="28" fillId="6" borderId="68" xfId="1" applyNumberFormat="1" applyFont="1" applyFill="1" applyBorder="1" applyAlignment="1" applyProtection="1">
      <alignment horizontal="right"/>
      <protection locked="0"/>
    </xf>
    <xf numFmtId="169" fontId="89" fillId="11" borderId="87" xfId="1" applyNumberFormat="1" applyFont="1" applyFill="1" applyBorder="1" applyAlignment="1">
      <alignment horizontal="center" vertical="center"/>
    </xf>
    <xf numFmtId="169" fontId="89" fillId="11" borderId="15" xfId="1" applyNumberFormat="1" applyFont="1" applyFill="1" applyBorder="1" applyAlignment="1">
      <alignment horizontal="center" vertical="center"/>
    </xf>
    <xf numFmtId="169" fontId="89" fillId="11" borderId="88" xfId="1" applyNumberFormat="1" applyFont="1" applyFill="1" applyBorder="1" applyAlignment="1">
      <alignment horizontal="center" vertical="center"/>
    </xf>
    <xf numFmtId="169" fontId="89" fillId="11" borderId="62" xfId="1" applyNumberFormat="1" applyFont="1" applyFill="1" applyBorder="1" applyAlignment="1">
      <alignment horizontal="center" vertical="center"/>
    </xf>
    <xf numFmtId="169" fontId="89" fillId="11" borderId="65" xfId="1" applyNumberFormat="1" applyFont="1" applyFill="1" applyBorder="1" applyAlignment="1">
      <alignment horizontal="center" vertical="center"/>
    </xf>
    <xf numFmtId="169" fontId="89" fillId="11" borderId="67" xfId="1" applyNumberFormat="1" applyFont="1" applyFill="1" applyBorder="1" applyAlignment="1">
      <alignment horizontal="center" vertical="center"/>
    </xf>
    <xf numFmtId="169" fontId="28" fillId="6" borderId="63" xfId="1" applyNumberFormat="1" applyFont="1" applyFill="1" applyBorder="1" applyAlignment="1" applyProtection="1">
      <alignment horizontal="center" vertical="center"/>
      <protection locked="0"/>
    </xf>
    <xf numFmtId="169" fontId="28" fillId="6" borderId="6" xfId="1" applyNumberFormat="1" applyFont="1" applyFill="1" applyBorder="1" applyAlignment="1" applyProtection="1">
      <alignment horizontal="center" vertical="center"/>
      <protection locked="0"/>
    </xf>
    <xf numFmtId="169" fontId="28" fillId="6" borderId="68" xfId="1" applyNumberFormat="1" applyFont="1" applyFill="1" applyBorder="1" applyAlignment="1" applyProtection="1">
      <alignment horizontal="center" vertical="center"/>
      <protection locked="0"/>
    </xf>
    <xf numFmtId="169" fontId="8" fillId="0" borderId="0" xfId="1" applyNumberFormat="1" applyFont="1"/>
    <xf numFmtId="169" fontId="0" fillId="0" borderId="1" xfId="1" applyNumberFormat="1" applyFont="1" applyBorder="1"/>
    <xf numFmtId="169" fontId="0" fillId="0" borderId="2" xfId="1" applyNumberFormat="1" applyFont="1" applyBorder="1"/>
    <xf numFmtId="169" fontId="0" fillId="0" borderId="3" xfId="1" applyNumberFormat="1" applyFont="1" applyBorder="1"/>
    <xf numFmtId="169" fontId="0" fillId="0" borderId="4" xfId="1" applyNumberFormat="1" applyFont="1" applyBorder="1"/>
    <xf numFmtId="169" fontId="0" fillId="0" borderId="5" xfId="1" applyNumberFormat="1" applyFont="1" applyBorder="1"/>
    <xf numFmtId="169" fontId="0" fillId="0" borderId="7" xfId="1" applyNumberFormat="1" applyFont="1" applyBorder="1"/>
    <xf numFmtId="169" fontId="0" fillId="0" borderId="8" xfId="1" applyNumberFormat="1" applyFont="1" applyBorder="1"/>
    <xf numFmtId="169" fontId="0" fillId="0" borderId="9" xfId="1" applyNumberFormat="1" applyFont="1" applyBorder="1"/>
    <xf numFmtId="169" fontId="19" fillId="0" borderId="0" xfId="1" applyNumberFormat="1" applyFont="1"/>
    <xf numFmtId="169" fontId="20" fillId="0" borderId="0" xfId="0" applyNumberFormat="1" applyFont="1"/>
    <xf numFmtId="0" fontId="96" fillId="8" borderId="63" xfId="10" applyFont="1" applyFill="1" applyBorder="1" applyAlignment="1">
      <alignment horizontal="center" vertical="center"/>
    </xf>
    <xf numFmtId="0" fontId="96" fillId="8" borderId="6" xfId="10" applyFont="1" applyFill="1" applyBorder="1" applyAlignment="1">
      <alignment horizontal="center" vertical="center"/>
    </xf>
    <xf numFmtId="0" fontId="96" fillId="8" borderId="68" xfId="10" applyFont="1" applyFill="1" applyBorder="1" applyAlignment="1">
      <alignment horizontal="center" vertical="center"/>
    </xf>
    <xf numFmtId="0" fontId="96" fillId="8" borderId="26" xfId="10" applyFont="1" applyFill="1" applyBorder="1" applyAlignment="1">
      <alignment horizontal="center" vertical="center"/>
    </xf>
    <xf numFmtId="169" fontId="89" fillId="11" borderId="89" xfId="1" applyNumberFormat="1" applyFont="1" applyFill="1" applyBorder="1" applyAlignment="1">
      <alignment horizontal="center" vertical="center"/>
    </xf>
    <xf numFmtId="169" fontId="89" fillId="11" borderId="90" xfId="1" applyNumberFormat="1" applyFont="1" applyFill="1" applyBorder="1" applyAlignment="1">
      <alignment horizontal="center" vertical="center"/>
    </xf>
    <xf numFmtId="169" fontId="89" fillId="11" borderId="91" xfId="1" applyNumberFormat="1" applyFont="1" applyFill="1" applyBorder="1" applyAlignment="1">
      <alignment horizontal="center" vertical="center"/>
    </xf>
    <xf numFmtId="169" fontId="20" fillId="11" borderId="92" xfId="1" applyNumberFormat="1" applyFont="1" applyFill="1" applyBorder="1" applyAlignment="1">
      <alignment horizontal="center" vertical="center"/>
    </xf>
    <xf numFmtId="169" fontId="8" fillId="0" borderId="0" xfId="0" applyNumberFormat="1" applyFont="1"/>
    <xf numFmtId="176" fontId="29" fillId="0" borderId="0" xfId="0" applyNumberFormat="1" applyFont="1"/>
    <xf numFmtId="0" fontId="67" fillId="0" borderId="2" xfId="0" applyFont="1" applyBorder="1"/>
    <xf numFmtId="0" fontId="66" fillId="0" borderId="2" xfId="5" applyFont="1" applyBorder="1" applyAlignment="1">
      <alignment horizontal="center"/>
    </xf>
    <xf numFmtId="187" fontId="38" fillId="0" borderId="3" xfId="0" applyNumberFormat="1" applyFont="1" applyBorder="1"/>
    <xf numFmtId="187" fontId="38" fillId="0" borderId="1" xfId="0" applyNumberFormat="1" applyFont="1" applyBorder="1"/>
    <xf numFmtId="187" fontId="38" fillId="0" borderId="2" xfId="0" applyNumberFormat="1" applyFont="1" applyBorder="1"/>
    <xf numFmtId="187" fontId="38" fillId="0" borderId="4" xfId="0" applyNumberFormat="1" applyFont="1" applyBorder="1"/>
    <xf numFmtId="187" fontId="38" fillId="0" borderId="0" xfId="1" applyNumberFormat="1" applyFont="1" applyFill="1" applyBorder="1"/>
    <xf numFmtId="187" fontId="38" fillId="0" borderId="7" xfId="0" applyNumberFormat="1" applyFont="1" applyBorder="1"/>
    <xf numFmtId="187" fontId="38" fillId="0" borderId="8" xfId="0" applyNumberFormat="1" applyFont="1" applyBorder="1"/>
    <xf numFmtId="0" fontId="29" fillId="0" borderId="7" xfId="0" applyFont="1" applyBorder="1"/>
    <xf numFmtId="0" fontId="67" fillId="0" borderId="8" xfId="0" applyFont="1" applyBorder="1"/>
    <xf numFmtId="0" fontId="66" fillId="0" borderId="8" xfId="5" applyFont="1" applyBorder="1" applyAlignment="1">
      <alignment horizontal="center"/>
    </xf>
    <xf numFmtId="0" fontId="29" fillId="0" borderId="8" xfId="0" applyFont="1" applyBorder="1"/>
    <xf numFmtId="187" fontId="38" fillId="0" borderId="9" xfId="0" applyNumberFormat="1" applyFont="1" applyBorder="1"/>
    <xf numFmtId="0" fontId="29" fillId="0" borderId="4" xfId="0" applyFont="1" applyBorder="1" applyAlignment="1">
      <alignment horizontal="center" vertical="center"/>
    </xf>
    <xf numFmtId="190" fontId="38" fillId="0" borderId="6" xfId="1" applyNumberFormat="1" applyFont="1" applyFill="1" applyBorder="1"/>
    <xf numFmtId="164" fontId="38" fillId="0" borderId="6" xfId="0" applyNumberFormat="1" applyFont="1" applyBorder="1"/>
    <xf numFmtId="165" fontId="38" fillId="0" borderId="8" xfId="1" applyFont="1" applyBorder="1"/>
    <xf numFmtId="14" fontId="19" fillId="0" borderId="0" xfId="0" applyNumberFormat="1" applyFont="1"/>
    <xf numFmtId="191" fontId="20" fillId="12" borderId="39" xfId="1" applyNumberFormat="1" applyFont="1" applyFill="1" applyBorder="1"/>
    <xf numFmtId="191" fontId="20" fillId="12" borderId="76" xfId="1" applyNumberFormat="1" applyFont="1" applyFill="1" applyBorder="1"/>
    <xf numFmtId="191" fontId="20" fillId="12" borderId="73" xfId="1" applyNumberFormat="1" applyFont="1" applyFill="1" applyBorder="1"/>
    <xf numFmtId="173" fontId="19" fillId="12" borderId="80" xfId="0" applyNumberFormat="1" applyFont="1" applyFill="1" applyBorder="1"/>
    <xf numFmtId="173" fontId="19" fillId="12" borderId="81" xfId="0" applyNumberFormat="1" applyFont="1" applyFill="1" applyBorder="1"/>
    <xf numFmtId="173" fontId="19" fillId="12" borderId="82" xfId="0" applyNumberFormat="1" applyFont="1" applyFill="1" applyBorder="1"/>
    <xf numFmtId="173" fontId="20" fillId="12" borderId="71" xfId="1" applyNumberFormat="1" applyFont="1" applyFill="1" applyBorder="1" applyAlignment="1"/>
    <xf numFmtId="173" fontId="20" fillId="12" borderId="93" xfId="1" applyNumberFormat="1" applyFont="1" applyFill="1" applyBorder="1" applyAlignment="1"/>
    <xf numFmtId="173" fontId="20" fillId="12" borderId="74" xfId="1" applyNumberFormat="1" applyFont="1" applyFill="1" applyBorder="1" applyAlignment="1"/>
    <xf numFmtId="0" fontId="19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89" fillId="11" borderId="0" xfId="10" applyFont="1" applyFill="1" applyAlignment="1">
      <alignment horizontal="left" vertical="top"/>
    </xf>
    <xf numFmtId="169" fontId="89" fillId="11" borderId="0" xfId="1" applyNumberFormat="1" applyFont="1" applyFill="1" applyBorder="1" applyAlignment="1">
      <alignment horizontal="center" vertical="center"/>
    </xf>
    <xf numFmtId="169" fontId="19" fillId="11" borderId="0" xfId="1" applyNumberFormat="1" applyFont="1" applyFill="1" applyBorder="1" applyAlignment="1">
      <alignment horizontal="center" vertical="center"/>
    </xf>
    <xf numFmtId="0" fontId="96" fillId="11" borderId="0" xfId="10" applyFont="1" applyFill="1" applyAlignment="1">
      <alignment horizontal="left" vertical="top"/>
    </xf>
    <xf numFmtId="0" fontId="96" fillId="11" borderId="0" xfId="10" applyFont="1" applyFill="1" applyAlignment="1">
      <alignment vertical="center"/>
    </xf>
    <xf numFmtId="167" fontId="19" fillId="2" borderId="94" xfId="1" applyNumberFormat="1" applyFont="1" applyFill="1" applyBorder="1"/>
    <xf numFmtId="167" fontId="19" fillId="2" borderId="95" xfId="1" applyNumberFormat="1" applyFont="1" applyFill="1" applyBorder="1"/>
    <xf numFmtId="167" fontId="19" fillId="12" borderId="94" xfId="1" applyNumberFormat="1" applyFont="1" applyFill="1" applyBorder="1"/>
    <xf numFmtId="167" fontId="19" fillId="12" borderId="95" xfId="1" applyNumberFormat="1" applyFont="1" applyFill="1" applyBorder="1"/>
    <xf numFmtId="167" fontId="19" fillId="2" borderId="47" xfId="1" applyNumberFormat="1" applyFont="1" applyFill="1" applyBorder="1"/>
    <xf numFmtId="167" fontId="19" fillId="2" borderId="44" xfId="1" applyNumberFormat="1" applyFont="1" applyFill="1" applyBorder="1"/>
    <xf numFmtId="9" fontId="46" fillId="13" borderId="0" xfId="0" applyNumberFormat="1" applyFont="1" applyFill="1"/>
    <xf numFmtId="0" fontId="97" fillId="0" borderId="0" xfId="0" applyFont="1" applyAlignment="1">
      <alignment vertical="center" wrapText="1"/>
    </xf>
    <xf numFmtId="0" fontId="67" fillId="0" borderId="1" xfId="0" applyFont="1" applyBorder="1" applyAlignment="1">
      <alignment wrapText="1"/>
    </xf>
    <xf numFmtId="0" fontId="38" fillId="8" borderId="3" xfId="0" applyFont="1" applyFill="1" applyBorder="1" applyAlignment="1">
      <alignment horizontal="left" vertical="top"/>
    </xf>
    <xf numFmtId="0" fontId="38" fillId="8" borderId="0" xfId="0" applyFont="1" applyFill="1" applyAlignment="1">
      <alignment horizontal="left" vertical="top"/>
    </xf>
    <xf numFmtId="0" fontId="38" fillId="8" borderId="5" xfId="0" applyFont="1" applyFill="1" applyBorder="1" applyAlignment="1">
      <alignment horizontal="left" vertical="top"/>
    </xf>
    <xf numFmtId="14" fontId="38" fillId="8" borderId="9" xfId="0" applyNumberFormat="1" applyFont="1" applyFill="1" applyBorder="1" applyAlignment="1">
      <alignment horizontal="left" vertical="top"/>
    </xf>
    <xf numFmtId="165" fontId="72" fillId="0" borderId="8" xfId="1" applyFont="1" applyFill="1" applyBorder="1"/>
    <xf numFmtId="0" fontId="72" fillId="0" borderId="9" xfId="0" applyFont="1" applyBorder="1"/>
    <xf numFmtId="0" fontId="72" fillId="0" borderId="0" xfId="0" applyFont="1"/>
    <xf numFmtId="0" fontId="72" fillId="0" borderId="7" xfId="0" applyFont="1" applyBorder="1"/>
    <xf numFmtId="0" fontId="16" fillId="0" borderId="0" xfId="0" applyFont="1" applyAlignment="1">
      <alignment horizontal="left" vertical="top"/>
    </xf>
    <xf numFmtId="14" fontId="62" fillId="0" borderId="0" xfId="0" applyNumberFormat="1" applyFont="1" applyAlignment="1">
      <alignment horizontal="center" vertical="center"/>
    </xf>
    <xf numFmtId="167" fontId="62" fillId="0" borderId="0" xfId="0" applyNumberFormat="1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168" fontId="65" fillId="0" borderId="0" xfId="0" applyNumberFormat="1" applyFont="1"/>
    <xf numFmtId="0" fontId="3" fillId="0" borderId="0" xfId="0" applyFont="1"/>
    <xf numFmtId="167" fontId="38" fillId="0" borderId="0" xfId="0" applyNumberFormat="1" applyFont="1"/>
    <xf numFmtId="0" fontId="64" fillId="0" borderId="0" xfId="0" applyFont="1" applyAlignment="1">
      <alignment horizontal="center"/>
    </xf>
    <xf numFmtId="173" fontId="64" fillId="0" borderId="0" xfId="0" applyNumberFormat="1" applyFont="1"/>
    <xf numFmtId="20" fontId="4" fillId="0" borderId="0" xfId="0" applyNumberFormat="1" applyFont="1"/>
    <xf numFmtId="20" fontId="64" fillId="0" borderId="0" xfId="0" applyNumberFormat="1" applyFont="1"/>
    <xf numFmtId="20" fontId="38" fillId="0" borderId="0" xfId="0" applyNumberFormat="1" applyFont="1"/>
    <xf numFmtId="0" fontId="66" fillId="0" borderId="0" xfId="5" applyFont="1" applyFill="1" applyBorder="1" applyAlignment="1">
      <alignment horizontal="center" vertical="center"/>
    </xf>
    <xf numFmtId="0" fontId="2" fillId="0" borderId="0" xfId="0" applyFont="1"/>
    <xf numFmtId="20" fontId="2" fillId="0" borderId="0" xfId="0" applyNumberFormat="1" applyFont="1"/>
    <xf numFmtId="0" fontId="38" fillId="0" borderId="0" xfId="0" quotePrefix="1" applyFont="1" applyAlignment="1">
      <alignment horizontal="center"/>
    </xf>
    <xf numFmtId="0" fontId="38" fillId="0" borderId="0" xfId="0" quotePrefix="1" applyFont="1"/>
    <xf numFmtId="20" fontId="38" fillId="0" borderId="0" xfId="0" applyNumberFormat="1" applyFont="1" applyAlignment="1">
      <alignment horizontal="center"/>
    </xf>
    <xf numFmtId="20" fontId="70" fillId="0" borderId="0" xfId="0" applyNumberFormat="1" applyFont="1"/>
    <xf numFmtId="168" fontId="64" fillId="0" borderId="0" xfId="0" applyNumberFormat="1" applyFont="1"/>
    <xf numFmtId="168" fontId="67" fillId="0" borderId="0" xfId="0" applyNumberFormat="1" applyFont="1"/>
    <xf numFmtId="190" fontId="38" fillId="0" borderId="0" xfId="0" applyNumberFormat="1" applyFont="1"/>
    <xf numFmtId="168" fontId="70" fillId="0" borderId="0" xfId="0" applyNumberFormat="1" applyFont="1"/>
    <xf numFmtId="0" fontId="98" fillId="0" borderId="0" xfId="0" applyFont="1" applyAlignment="1">
      <alignment horizontal="center" vertical="center"/>
    </xf>
    <xf numFmtId="0" fontId="68" fillId="0" borderId="5" xfId="0" applyFont="1" applyBorder="1" applyAlignment="1">
      <alignment horizontal="center" vertical="center"/>
    </xf>
    <xf numFmtId="14" fontId="62" fillId="0" borderId="5" xfId="0" applyNumberFormat="1" applyFont="1" applyBorder="1" applyAlignment="1">
      <alignment horizontal="center" vertical="center"/>
    </xf>
    <xf numFmtId="0" fontId="62" fillId="0" borderId="5" xfId="0" applyFont="1" applyBorder="1" applyAlignment="1">
      <alignment horizontal="center" vertical="center"/>
    </xf>
    <xf numFmtId="168" fontId="64" fillId="0" borderId="5" xfId="0" applyNumberFormat="1" applyFont="1" applyBorder="1"/>
    <xf numFmtId="168" fontId="38" fillId="0" borderId="5" xfId="0" applyNumberFormat="1" applyFont="1" applyBorder="1"/>
    <xf numFmtId="168" fontId="67" fillId="0" borderId="5" xfId="0" applyNumberFormat="1" applyFont="1" applyBorder="1"/>
    <xf numFmtId="168" fontId="38" fillId="0" borderId="5" xfId="2" applyNumberFormat="1" applyFont="1" applyFill="1" applyBorder="1"/>
    <xf numFmtId="190" fontId="38" fillId="0" borderId="5" xfId="0" applyNumberFormat="1" applyFont="1" applyBorder="1"/>
    <xf numFmtId="176" fontId="38" fillId="0" borderId="5" xfId="0" applyNumberFormat="1" applyFont="1" applyBorder="1"/>
    <xf numFmtId="165" fontId="72" fillId="0" borderId="9" xfId="1" applyFont="1" applyFill="1" applyBorder="1"/>
    <xf numFmtId="173" fontId="38" fillId="0" borderId="5" xfId="0" applyNumberFormat="1" applyFont="1" applyBorder="1"/>
    <xf numFmtId="165" fontId="38" fillId="0" borderId="9" xfId="1" applyFont="1" applyBorder="1"/>
    <xf numFmtId="168" fontId="70" fillId="0" borderId="5" xfId="0" applyNumberFormat="1" applyFont="1" applyBorder="1"/>
    <xf numFmtId="0" fontId="98" fillId="0" borderId="5" xfId="0" applyFont="1" applyBorder="1" applyAlignment="1">
      <alignment horizontal="center" vertical="center"/>
    </xf>
    <xf numFmtId="0" fontId="99" fillId="0" borderId="8" xfId="0" applyFont="1" applyBorder="1" applyAlignment="1">
      <alignment horizontal="center" vertical="center"/>
    </xf>
    <xf numFmtId="0" fontId="99" fillId="0" borderId="8" xfId="0" applyFont="1" applyBorder="1"/>
    <xf numFmtId="165" fontId="101" fillId="0" borderId="8" xfId="1" applyFont="1" applyFill="1" applyBorder="1"/>
    <xf numFmtId="165" fontId="99" fillId="0" borderId="8" xfId="1" applyFont="1" applyBorder="1"/>
    <xf numFmtId="169" fontId="84" fillId="0" borderId="10" xfId="1" applyNumberFormat="1" applyFont="1" applyFill="1" applyBorder="1" applyAlignment="1">
      <alignment horizontal="right" vertical="center" wrapText="1"/>
    </xf>
    <xf numFmtId="0" fontId="96" fillId="8" borderId="63" xfId="10" applyFont="1" applyFill="1" applyBorder="1" applyAlignment="1">
      <alignment vertical="center"/>
    </xf>
    <xf numFmtId="0" fontId="96" fillId="8" borderId="6" xfId="10" applyFont="1" applyFill="1" applyBorder="1" applyAlignment="1">
      <alignment vertical="center"/>
    </xf>
    <xf numFmtId="0" fontId="96" fillId="8" borderId="68" xfId="10" applyFont="1" applyFill="1" applyBorder="1" applyAlignment="1">
      <alignment vertical="center"/>
    </xf>
    <xf numFmtId="0" fontId="104" fillId="0" borderId="0" xfId="0" applyFont="1"/>
    <xf numFmtId="168" fontId="29" fillId="0" borderId="0" xfId="3" applyNumberFormat="1" applyFont="1"/>
    <xf numFmtId="0" fontId="1" fillId="0" borderId="0" xfId="0" applyFont="1"/>
    <xf numFmtId="20" fontId="1" fillId="0" borderId="0" xfId="0" applyNumberFormat="1" applyFont="1"/>
    <xf numFmtId="173" fontId="38" fillId="0" borderId="0" xfId="0" applyNumberFormat="1" applyFont="1" applyAlignment="1">
      <alignment horizontal="center"/>
    </xf>
    <xf numFmtId="173" fontId="38" fillId="0" borderId="0" xfId="1" applyNumberFormat="1" applyFont="1" applyFill="1" applyBorder="1"/>
    <xf numFmtId="0" fontId="108" fillId="15" borderId="96" xfId="0" applyFont="1" applyFill="1" applyBorder="1" applyAlignment="1">
      <alignment horizontal="center" vertical="top" wrapText="1"/>
    </xf>
    <xf numFmtId="0" fontId="37" fillId="15" borderId="96" xfId="0" applyFont="1" applyFill="1" applyBorder="1" applyAlignment="1">
      <alignment horizontal="center" vertical="top" wrapText="1"/>
    </xf>
    <xf numFmtId="0" fontId="108" fillId="15" borderId="96" xfId="0" applyFont="1" applyFill="1" applyBorder="1" applyAlignment="1">
      <alignment vertical="top" wrapText="1"/>
    </xf>
    <xf numFmtId="0" fontId="108" fillId="15" borderId="97" xfId="0" applyFont="1" applyFill="1" applyBorder="1" applyAlignment="1">
      <alignment horizontal="center" vertical="top" wrapText="1"/>
    </xf>
    <xf numFmtId="0" fontId="37" fillId="15" borderId="97" xfId="0" applyFont="1" applyFill="1" applyBorder="1" applyAlignment="1">
      <alignment horizontal="center" vertical="top" wrapText="1"/>
    </xf>
    <xf numFmtId="0" fontId="108" fillId="15" borderId="97" xfId="0" applyFont="1" applyFill="1" applyBorder="1" applyAlignment="1">
      <alignment vertical="top" wrapText="1"/>
    </xf>
    <xf numFmtId="0" fontId="37" fillId="15" borderId="97" xfId="0" applyFont="1" applyFill="1" applyBorder="1" applyAlignment="1">
      <alignment vertical="top" wrapText="1"/>
    </xf>
    <xf numFmtId="0" fontId="37" fillId="15" borderId="98" xfId="0" applyFont="1" applyFill="1" applyBorder="1" applyAlignment="1">
      <alignment vertical="top" wrapText="1"/>
    </xf>
    <xf numFmtId="165" fontId="22" fillId="0" borderId="0" xfId="1" applyFont="1" applyFill="1" applyBorder="1" applyAlignment="1">
      <alignment horizontal="right" vertical="center" wrapText="1"/>
    </xf>
    <xf numFmtId="165" fontId="0" fillId="0" borderId="0" xfId="1" applyFont="1"/>
    <xf numFmtId="168" fontId="38" fillId="8" borderId="6" xfId="2" applyNumberFormat="1" applyFont="1" applyFill="1" applyBorder="1" applyAlignment="1">
      <alignment horizontal="center"/>
    </xf>
    <xf numFmtId="0" fontId="37" fillId="15" borderId="97" xfId="0" applyFont="1" applyFill="1" applyBorder="1" applyAlignment="1">
      <alignment horizontal="left" vertical="top" wrapText="1"/>
    </xf>
    <xf numFmtId="0" fontId="110" fillId="15" borderId="97" xfId="0" applyFont="1" applyFill="1" applyBorder="1" applyAlignment="1">
      <alignment vertical="top" wrapText="1"/>
    </xf>
    <xf numFmtId="0" fontId="80" fillId="9" borderId="16" xfId="10" applyFont="1" applyFill="1" applyBorder="1" applyAlignment="1">
      <alignment horizontal="left" vertical="top" wrapText="1"/>
    </xf>
    <xf numFmtId="0" fontId="20" fillId="8" borderId="26" xfId="10" applyFont="1" applyFill="1" applyBorder="1" applyAlignment="1">
      <alignment horizontal="left" vertical="top"/>
    </xf>
    <xf numFmtId="0" fontId="20" fillId="8" borderId="26" xfId="10" applyFont="1" applyFill="1" applyBorder="1" applyAlignment="1">
      <alignment horizontal="left" vertical="top" wrapText="1"/>
    </xf>
    <xf numFmtId="169" fontId="28" fillId="8" borderId="60" xfId="1" applyNumberFormat="1" applyFont="1" applyFill="1" applyBorder="1" applyAlignment="1" applyProtection="1">
      <alignment horizontal="right"/>
      <protection locked="0"/>
    </xf>
    <xf numFmtId="0" fontId="80" fillId="9" borderId="6" xfId="10" applyFont="1" applyFill="1" applyBorder="1" applyAlignment="1">
      <alignment horizontal="left" vertical="top" wrapText="1"/>
    </xf>
    <xf numFmtId="169" fontId="19" fillId="6" borderId="43" xfId="1" applyNumberFormat="1" applyFont="1" applyFill="1" applyBorder="1" applyAlignment="1" applyProtection="1">
      <alignment horizontal="right"/>
      <protection locked="0"/>
    </xf>
    <xf numFmtId="0" fontId="80" fillId="9" borderId="68" xfId="10" applyFont="1" applyFill="1" applyBorder="1" applyAlignment="1">
      <alignment horizontal="left" vertical="top" wrapText="1"/>
    </xf>
    <xf numFmtId="0" fontId="80" fillId="9" borderId="2" xfId="10" applyFont="1" applyFill="1" applyBorder="1" applyAlignment="1">
      <alignment horizontal="left" vertical="top" wrapText="1"/>
    </xf>
    <xf numFmtId="0" fontId="80" fillId="9" borderId="0" xfId="10" applyFont="1" applyFill="1" applyAlignment="1">
      <alignment horizontal="left" vertical="top" wrapText="1"/>
    </xf>
    <xf numFmtId="0" fontId="80" fillId="9" borderId="53" xfId="10" applyFont="1" applyFill="1" applyBorder="1" applyAlignment="1">
      <alignment horizontal="left" vertical="top" wrapText="1"/>
    </xf>
    <xf numFmtId="0" fontId="89" fillId="8" borderId="99" xfId="10" applyFont="1" applyFill="1" applyBorder="1" applyAlignment="1">
      <alignment vertical="center"/>
    </xf>
    <xf numFmtId="0" fontId="89" fillId="8" borderId="100" xfId="10" applyFont="1" applyFill="1" applyBorder="1" applyAlignment="1">
      <alignment vertical="center"/>
    </xf>
    <xf numFmtId="0" fontId="96" fillId="8" borderId="100" xfId="10" applyFont="1" applyFill="1" applyBorder="1" applyAlignment="1">
      <alignment horizontal="center" vertical="center"/>
    </xf>
    <xf numFmtId="169" fontId="19" fillId="6" borderId="100" xfId="1" applyNumberFormat="1" applyFont="1" applyFill="1" applyBorder="1" applyAlignment="1" applyProtection="1">
      <alignment horizontal="left" vertical="top"/>
      <protection locked="0"/>
    </xf>
    <xf numFmtId="0" fontId="31" fillId="6" borderId="15" xfId="6" applyFont="1" applyBorder="1" applyAlignment="1">
      <alignment horizontal="center" vertical="center"/>
    </xf>
    <xf numFmtId="0" fontId="31" fillId="6" borderId="17" xfId="6" applyFont="1" applyBorder="1" applyAlignment="1">
      <alignment horizontal="center" vertical="center"/>
    </xf>
    <xf numFmtId="0" fontId="30" fillId="7" borderId="15" xfId="4" applyFont="1" applyFill="1" applyBorder="1" applyAlignment="1">
      <alignment horizontal="center" vertical="center"/>
    </xf>
    <xf numFmtId="0" fontId="30" fillId="7" borderId="17" xfId="4" applyFont="1" applyFill="1" applyBorder="1" applyAlignment="1">
      <alignment horizontal="center" vertical="center"/>
    </xf>
    <xf numFmtId="0" fontId="38" fillId="0" borderId="8" xfId="0" applyFont="1" applyBorder="1" applyAlignment="1">
      <alignment horizontal="left" vertical="top" wrapText="1"/>
    </xf>
    <xf numFmtId="0" fontId="67" fillId="0" borderId="4" xfId="0" applyFont="1" applyBorder="1" applyAlignment="1">
      <alignment horizontal="left" vertical="top" wrapText="1"/>
    </xf>
    <xf numFmtId="0" fontId="67" fillId="0" borderId="0" xfId="0" applyFont="1" applyAlignment="1">
      <alignment horizontal="left" vertical="top" wrapText="1"/>
    </xf>
    <xf numFmtId="0" fontId="67" fillId="0" borderId="7" xfId="0" applyFont="1" applyBorder="1" applyAlignment="1">
      <alignment horizontal="left" vertical="top" wrapText="1"/>
    </xf>
    <xf numFmtId="0" fontId="67" fillId="0" borderId="8" xfId="0" applyFont="1" applyBorder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38" fillId="0" borderId="2" xfId="0" applyFont="1" applyBorder="1" applyAlignment="1">
      <alignment horizontal="left" vertical="top"/>
    </xf>
    <xf numFmtId="0" fontId="38" fillId="0" borderId="0" xfId="0" applyFont="1" applyAlignment="1">
      <alignment horizontal="left" vertical="top"/>
    </xf>
    <xf numFmtId="0" fontId="102" fillId="0" borderId="0" xfId="0" applyFont="1" applyAlignment="1">
      <alignment horizontal="left" vertical="top" wrapText="1"/>
    </xf>
    <xf numFmtId="0" fontId="31" fillId="6" borderId="6" xfId="6" applyFont="1" applyBorder="1" applyAlignment="1">
      <alignment horizontal="center" vertical="center"/>
    </xf>
    <xf numFmtId="0" fontId="29" fillId="0" borderId="15" xfId="0" applyFont="1" applyBorder="1" applyAlignment="1">
      <alignment horizontal="left" vertical="top"/>
    </xf>
    <xf numFmtId="0" fontId="29" fillId="0" borderId="16" xfId="0" applyFont="1" applyBorder="1" applyAlignment="1">
      <alignment horizontal="left" vertical="top"/>
    </xf>
    <xf numFmtId="0" fontId="29" fillId="0" borderId="17" xfId="0" applyFont="1" applyBorder="1" applyAlignment="1">
      <alignment horizontal="left" vertical="top"/>
    </xf>
    <xf numFmtId="14" fontId="29" fillId="0" borderId="15" xfId="0" applyNumberFormat="1" applyFont="1" applyBorder="1" applyAlignment="1">
      <alignment horizontal="left" vertical="top"/>
    </xf>
    <xf numFmtId="14" fontId="29" fillId="0" borderId="16" xfId="0" applyNumberFormat="1" applyFont="1" applyBorder="1" applyAlignment="1">
      <alignment horizontal="left" vertical="top"/>
    </xf>
    <xf numFmtId="0" fontId="40" fillId="6" borderId="15" xfId="6" applyFont="1" applyBorder="1" applyAlignment="1">
      <alignment horizontal="center"/>
    </xf>
    <xf numFmtId="0" fontId="40" fillId="6" borderId="16" xfId="6" applyFont="1" applyBorder="1" applyAlignment="1">
      <alignment horizontal="center"/>
    </xf>
    <xf numFmtId="0" fontId="40" fillId="6" borderId="17" xfId="6" applyFont="1" applyBorder="1" applyAlignment="1">
      <alignment horizontal="center"/>
    </xf>
    <xf numFmtId="0" fontId="80" fillId="9" borderId="7" xfId="10" applyFont="1" applyFill="1" applyBorder="1" applyAlignment="1">
      <alignment horizontal="center" vertical="center"/>
    </xf>
    <xf numFmtId="0" fontId="80" fillId="9" borderId="8" xfId="10" applyFont="1" applyFill="1" applyBorder="1" applyAlignment="1">
      <alignment horizontal="center" vertical="center"/>
    </xf>
    <xf numFmtId="0" fontId="80" fillId="9" borderId="4" xfId="10" applyFont="1" applyFill="1" applyBorder="1" applyAlignment="1">
      <alignment horizontal="left" wrapText="1"/>
    </xf>
    <xf numFmtId="0" fontId="80" fillId="9" borderId="7" xfId="10" applyFont="1" applyFill="1" applyBorder="1" applyAlignment="1">
      <alignment horizontal="left" wrapText="1"/>
    </xf>
    <xf numFmtId="0" fontId="89" fillId="11" borderId="27" xfId="10" applyFont="1" applyFill="1" applyBorder="1" applyAlignment="1">
      <alignment horizontal="left" vertical="top"/>
    </xf>
    <xf numFmtId="0" fontId="89" fillId="11" borderId="52" xfId="10" applyFont="1" applyFill="1" applyBorder="1" applyAlignment="1">
      <alignment horizontal="left" vertical="top"/>
    </xf>
    <xf numFmtId="0" fontId="80" fillId="9" borderId="15" xfId="10" applyFont="1" applyFill="1" applyBorder="1" applyAlignment="1">
      <alignment horizontal="left" vertical="top"/>
    </xf>
    <xf numFmtId="0" fontId="80" fillId="9" borderId="16" xfId="10" applyFont="1" applyFill="1" applyBorder="1" applyAlignment="1">
      <alignment horizontal="left" vertical="top"/>
    </xf>
    <xf numFmtId="0" fontId="80" fillId="9" borderId="17" xfId="10" applyFont="1" applyFill="1" applyBorder="1" applyAlignment="1">
      <alignment horizontal="left" vertical="top"/>
    </xf>
    <xf numFmtId="0" fontId="80" fillId="9" borderId="15" xfId="10" applyFont="1" applyFill="1" applyBorder="1" applyAlignment="1">
      <alignment horizontal="left" vertical="top" wrapText="1"/>
    </xf>
    <xf numFmtId="0" fontId="80" fillId="9" borderId="16" xfId="10" applyFont="1" applyFill="1" applyBorder="1" applyAlignment="1">
      <alignment horizontal="left" vertical="top" wrapText="1"/>
    </xf>
    <xf numFmtId="0" fontId="80" fillId="9" borderId="17" xfId="10" applyFont="1" applyFill="1" applyBorder="1" applyAlignment="1">
      <alignment horizontal="left" vertical="top" wrapText="1"/>
    </xf>
    <xf numFmtId="0" fontId="80" fillId="9" borderId="15" xfId="10" applyFont="1" applyFill="1" applyBorder="1" applyAlignment="1">
      <alignment horizontal="center" vertical="center"/>
    </xf>
    <xf numFmtId="0" fontId="80" fillId="9" borderId="16" xfId="10" applyFont="1" applyFill="1" applyBorder="1" applyAlignment="1">
      <alignment horizontal="center" vertical="center"/>
    </xf>
    <xf numFmtId="0" fontId="80" fillId="9" borderId="17" xfId="10" applyFont="1" applyFill="1" applyBorder="1" applyAlignment="1">
      <alignment horizontal="center" vertical="center"/>
    </xf>
    <xf numFmtId="0" fontId="20" fillId="8" borderId="0" xfId="10" applyFont="1" applyFill="1" applyAlignment="1">
      <alignment horizontal="right"/>
    </xf>
    <xf numFmtId="169" fontId="20" fillId="8" borderId="0" xfId="10" applyNumberFormat="1" applyFont="1" applyFill="1" applyAlignment="1">
      <alignment horizontal="left" vertical="top"/>
    </xf>
    <xf numFmtId="0" fontId="19" fillId="8" borderId="0" xfId="10" applyFont="1" applyFill="1" applyAlignment="1">
      <alignment horizontal="center"/>
    </xf>
    <xf numFmtId="0" fontId="19" fillId="8" borderId="0" xfId="10" applyFont="1" applyFill="1" applyAlignment="1">
      <alignment horizontal="center" vertical="center"/>
    </xf>
  </cellXfs>
  <cellStyles count="17">
    <cellStyle name="Hyperlink" xfId="5" builtinId="8"/>
    <cellStyle name="Invoer" xfId="6" builtinId="20"/>
    <cellStyle name="Komma" xfId="1" builtinId="3"/>
    <cellStyle name="Komma 2" xfId="8" xr:uid="{8C1D469A-BC20-49F8-895D-CECCCD068309}"/>
    <cellStyle name="Komma 3" xfId="12" xr:uid="{8865B622-BF8F-40D5-8198-A7BDC4F6BEE5}"/>
    <cellStyle name="Procent" xfId="3" builtinId="5"/>
    <cellStyle name="Procent 2" xfId="9" xr:uid="{21ECCA4F-BB9B-4E23-AB72-C984912A5133}"/>
    <cellStyle name="Procent 3" xfId="13" xr:uid="{4F7CCC30-38A1-4DC4-91DF-A4F71F4508CB}"/>
    <cellStyle name="Standaard" xfId="0" builtinId="0"/>
    <cellStyle name="Standaard 2" xfId="4" xr:uid="{00000000-0005-0000-0000-000005000000}"/>
    <cellStyle name="Standaard 2 2" xfId="10" xr:uid="{2901861F-685A-43FE-B57D-52ACCFFEF254}"/>
    <cellStyle name="Standaard 3" xfId="15" xr:uid="{60866033-28F6-4605-BA8C-A969142F0A40}"/>
    <cellStyle name="Standaard 4" xfId="7" xr:uid="{6C75D79A-F805-4411-AD81-50D520FCA21D}"/>
    <cellStyle name="Standaard 5" xfId="14" xr:uid="{0C81E1CC-1F6C-4B3B-ADFA-C92907513A36}"/>
    <cellStyle name="Valuta" xfId="2" builtinId="4"/>
    <cellStyle name="Valuta 2" xfId="11" xr:uid="{47F7C578-CF24-41FB-9DCF-F4664AAF4A0E}"/>
    <cellStyle name="Valuta 3" xfId="16" xr:uid="{6A66E565-0260-4A19-BECC-7651D621BED7}"/>
  </cellStyles>
  <dxfs count="0"/>
  <tableStyles count="0" defaultTableStyle="TableStyleMedium9" defaultPivotStyle="PivotStyleLight16"/>
  <colors>
    <mruColors>
      <color rgb="FFFFCC99"/>
      <color rgb="FFFFFF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customXml" Target="../ink/ink115.xml"/><Relationship Id="rId21" Type="http://schemas.openxmlformats.org/officeDocument/2006/relationships/customXml" Target="../ink/ink19.xml"/><Relationship Id="rId42" Type="http://schemas.openxmlformats.org/officeDocument/2006/relationships/customXml" Target="../ink/ink40.xml"/><Relationship Id="rId63" Type="http://schemas.openxmlformats.org/officeDocument/2006/relationships/customXml" Target="../ink/ink61.xml"/><Relationship Id="rId84" Type="http://schemas.openxmlformats.org/officeDocument/2006/relationships/customXml" Target="../ink/ink82.xml"/><Relationship Id="rId138" Type="http://schemas.openxmlformats.org/officeDocument/2006/relationships/customXml" Target="../ink/ink136.xml"/><Relationship Id="rId159" Type="http://schemas.openxmlformats.org/officeDocument/2006/relationships/customXml" Target="../ink/ink157.xml"/><Relationship Id="rId107" Type="http://schemas.openxmlformats.org/officeDocument/2006/relationships/customXml" Target="../ink/ink105.xml"/><Relationship Id="rId11" Type="http://schemas.openxmlformats.org/officeDocument/2006/relationships/customXml" Target="../ink/ink9.xml"/><Relationship Id="rId32" Type="http://schemas.openxmlformats.org/officeDocument/2006/relationships/customXml" Target="../ink/ink30.xml"/><Relationship Id="rId53" Type="http://schemas.openxmlformats.org/officeDocument/2006/relationships/customXml" Target="../ink/ink51.xml"/><Relationship Id="rId74" Type="http://schemas.openxmlformats.org/officeDocument/2006/relationships/customXml" Target="../ink/ink72.xml"/><Relationship Id="rId128" Type="http://schemas.openxmlformats.org/officeDocument/2006/relationships/customXml" Target="../ink/ink126.xml"/><Relationship Id="rId149" Type="http://schemas.openxmlformats.org/officeDocument/2006/relationships/customXml" Target="../ink/ink147.xml"/><Relationship Id="rId5" Type="http://schemas.openxmlformats.org/officeDocument/2006/relationships/customXml" Target="../ink/ink3.xml"/><Relationship Id="rId95" Type="http://schemas.openxmlformats.org/officeDocument/2006/relationships/customXml" Target="../ink/ink93.xml"/><Relationship Id="rId160" Type="http://schemas.openxmlformats.org/officeDocument/2006/relationships/customXml" Target="../ink/ink158.xml"/><Relationship Id="rId22" Type="http://schemas.openxmlformats.org/officeDocument/2006/relationships/customXml" Target="../ink/ink20.xml"/><Relationship Id="rId43" Type="http://schemas.openxmlformats.org/officeDocument/2006/relationships/customXml" Target="../ink/ink41.xml"/><Relationship Id="rId64" Type="http://schemas.openxmlformats.org/officeDocument/2006/relationships/customXml" Target="../ink/ink62.xml"/><Relationship Id="rId118" Type="http://schemas.openxmlformats.org/officeDocument/2006/relationships/customXml" Target="../ink/ink116.xml"/><Relationship Id="rId139" Type="http://schemas.openxmlformats.org/officeDocument/2006/relationships/customXml" Target="../ink/ink137.xml"/><Relationship Id="rId85" Type="http://schemas.openxmlformats.org/officeDocument/2006/relationships/customXml" Target="../ink/ink83.xml"/><Relationship Id="rId150" Type="http://schemas.openxmlformats.org/officeDocument/2006/relationships/customXml" Target="../ink/ink148.xml"/><Relationship Id="rId12" Type="http://schemas.openxmlformats.org/officeDocument/2006/relationships/customXml" Target="../ink/ink10.xml"/><Relationship Id="rId17" Type="http://schemas.openxmlformats.org/officeDocument/2006/relationships/customXml" Target="../ink/ink15.xml"/><Relationship Id="rId33" Type="http://schemas.openxmlformats.org/officeDocument/2006/relationships/customXml" Target="../ink/ink31.xml"/><Relationship Id="rId38" Type="http://schemas.openxmlformats.org/officeDocument/2006/relationships/customXml" Target="../ink/ink36.xml"/><Relationship Id="rId59" Type="http://schemas.openxmlformats.org/officeDocument/2006/relationships/customXml" Target="../ink/ink57.xml"/><Relationship Id="rId103" Type="http://schemas.openxmlformats.org/officeDocument/2006/relationships/customXml" Target="../ink/ink101.xml"/><Relationship Id="rId108" Type="http://schemas.openxmlformats.org/officeDocument/2006/relationships/customXml" Target="../ink/ink106.xml"/><Relationship Id="rId124" Type="http://schemas.openxmlformats.org/officeDocument/2006/relationships/customXml" Target="../ink/ink122.xml"/><Relationship Id="rId129" Type="http://schemas.openxmlformats.org/officeDocument/2006/relationships/customXml" Target="../ink/ink127.xml"/><Relationship Id="rId54" Type="http://schemas.openxmlformats.org/officeDocument/2006/relationships/customXml" Target="../ink/ink52.xml"/><Relationship Id="rId70" Type="http://schemas.openxmlformats.org/officeDocument/2006/relationships/customXml" Target="../ink/ink68.xml"/><Relationship Id="rId75" Type="http://schemas.openxmlformats.org/officeDocument/2006/relationships/customXml" Target="../ink/ink73.xml"/><Relationship Id="rId91" Type="http://schemas.openxmlformats.org/officeDocument/2006/relationships/customXml" Target="../ink/ink89.xml"/><Relationship Id="rId96" Type="http://schemas.openxmlformats.org/officeDocument/2006/relationships/customXml" Target="../ink/ink94.xml"/><Relationship Id="rId140" Type="http://schemas.openxmlformats.org/officeDocument/2006/relationships/customXml" Target="../ink/ink138.xml"/><Relationship Id="rId145" Type="http://schemas.openxmlformats.org/officeDocument/2006/relationships/customXml" Target="../ink/ink143.xml"/><Relationship Id="rId161" Type="http://schemas.openxmlformats.org/officeDocument/2006/relationships/customXml" Target="../ink/ink159.xml"/><Relationship Id="rId166" Type="http://schemas.openxmlformats.org/officeDocument/2006/relationships/customXml" Target="../ink/ink164.xml"/><Relationship Id="rId1" Type="http://schemas.openxmlformats.org/officeDocument/2006/relationships/customXml" Target="../ink/ink1.xml"/><Relationship Id="rId6" Type="http://schemas.openxmlformats.org/officeDocument/2006/relationships/customXml" Target="../ink/ink4.xml"/><Relationship Id="rId23" Type="http://schemas.openxmlformats.org/officeDocument/2006/relationships/customXml" Target="../ink/ink21.xml"/><Relationship Id="rId28" Type="http://schemas.openxmlformats.org/officeDocument/2006/relationships/customXml" Target="../ink/ink26.xml"/><Relationship Id="rId49" Type="http://schemas.openxmlformats.org/officeDocument/2006/relationships/customXml" Target="../ink/ink47.xml"/><Relationship Id="rId114" Type="http://schemas.openxmlformats.org/officeDocument/2006/relationships/customXml" Target="../ink/ink112.xml"/><Relationship Id="rId119" Type="http://schemas.openxmlformats.org/officeDocument/2006/relationships/customXml" Target="../ink/ink117.xml"/><Relationship Id="rId44" Type="http://schemas.openxmlformats.org/officeDocument/2006/relationships/customXml" Target="../ink/ink42.xml"/><Relationship Id="rId60" Type="http://schemas.openxmlformats.org/officeDocument/2006/relationships/customXml" Target="../ink/ink58.xml"/><Relationship Id="rId65" Type="http://schemas.openxmlformats.org/officeDocument/2006/relationships/customXml" Target="../ink/ink63.xml"/><Relationship Id="rId81" Type="http://schemas.openxmlformats.org/officeDocument/2006/relationships/customXml" Target="../ink/ink79.xml"/><Relationship Id="rId86" Type="http://schemas.openxmlformats.org/officeDocument/2006/relationships/customXml" Target="../ink/ink84.xml"/><Relationship Id="rId130" Type="http://schemas.openxmlformats.org/officeDocument/2006/relationships/customXml" Target="../ink/ink128.xml"/><Relationship Id="rId135" Type="http://schemas.openxmlformats.org/officeDocument/2006/relationships/customXml" Target="../ink/ink133.xml"/><Relationship Id="rId151" Type="http://schemas.openxmlformats.org/officeDocument/2006/relationships/customXml" Target="../ink/ink149.xml"/><Relationship Id="rId156" Type="http://schemas.openxmlformats.org/officeDocument/2006/relationships/customXml" Target="../ink/ink154.xml"/><Relationship Id="rId13" Type="http://schemas.openxmlformats.org/officeDocument/2006/relationships/customXml" Target="../ink/ink11.xml"/><Relationship Id="rId18" Type="http://schemas.openxmlformats.org/officeDocument/2006/relationships/customXml" Target="../ink/ink16.xml"/><Relationship Id="rId39" Type="http://schemas.openxmlformats.org/officeDocument/2006/relationships/customXml" Target="../ink/ink37.xml"/><Relationship Id="rId109" Type="http://schemas.openxmlformats.org/officeDocument/2006/relationships/customXml" Target="../ink/ink107.xml"/><Relationship Id="rId34" Type="http://schemas.openxmlformats.org/officeDocument/2006/relationships/customXml" Target="../ink/ink32.xml"/><Relationship Id="rId50" Type="http://schemas.openxmlformats.org/officeDocument/2006/relationships/customXml" Target="../ink/ink48.xml"/><Relationship Id="rId55" Type="http://schemas.openxmlformats.org/officeDocument/2006/relationships/customXml" Target="../ink/ink53.xml"/><Relationship Id="rId76" Type="http://schemas.openxmlformats.org/officeDocument/2006/relationships/customXml" Target="../ink/ink74.xml"/><Relationship Id="rId97" Type="http://schemas.openxmlformats.org/officeDocument/2006/relationships/customXml" Target="../ink/ink95.xml"/><Relationship Id="rId104" Type="http://schemas.openxmlformats.org/officeDocument/2006/relationships/customXml" Target="../ink/ink102.xml"/><Relationship Id="rId120" Type="http://schemas.openxmlformats.org/officeDocument/2006/relationships/customXml" Target="../ink/ink118.xml"/><Relationship Id="rId125" Type="http://schemas.openxmlformats.org/officeDocument/2006/relationships/customXml" Target="../ink/ink123.xml"/><Relationship Id="rId141" Type="http://schemas.openxmlformats.org/officeDocument/2006/relationships/customXml" Target="../ink/ink139.xml"/><Relationship Id="rId146" Type="http://schemas.openxmlformats.org/officeDocument/2006/relationships/customXml" Target="../ink/ink144.xml"/><Relationship Id="rId167" Type="http://schemas.openxmlformats.org/officeDocument/2006/relationships/customXml" Target="../ink/ink165.xml"/><Relationship Id="rId7" Type="http://schemas.openxmlformats.org/officeDocument/2006/relationships/customXml" Target="../ink/ink5.xml"/><Relationship Id="rId71" Type="http://schemas.openxmlformats.org/officeDocument/2006/relationships/customXml" Target="../ink/ink69.xml"/><Relationship Id="rId92" Type="http://schemas.openxmlformats.org/officeDocument/2006/relationships/customXml" Target="../ink/ink90.xml"/><Relationship Id="rId162" Type="http://schemas.openxmlformats.org/officeDocument/2006/relationships/customXml" Target="../ink/ink160.xml"/><Relationship Id="rId2" Type="http://schemas.openxmlformats.org/officeDocument/2006/relationships/image" Target="../media/image1.png"/><Relationship Id="rId29" Type="http://schemas.openxmlformats.org/officeDocument/2006/relationships/customXml" Target="../ink/ink27.xml"/><Relationship Id="rId24" Type="http://schemas.openxmlformats.org/officeDocument/2006/relationships/customXml" Target="../ink/ink22.xml"/><Relationship Id="rId40" Type="http://schemas.openxmlformats.org/officeDocument/2006/relationships/customXml" Target="../ink/ink38.xml"/><Relationship Id="rId45" Type="http://schemas.openxmlformats.org/officeDocument/2006/relationships/customXml" Target="../ink/ink43.xml"/><Relationship Id="rId66" Type="http://schemas.openxmlformats.org/officeDocument/2006/relationships/customXml" Target="../ink/ink64.xml"/><Relationship Id="rId87" Type="http://schemas.openxmlformats.org/officeDocument/2006/relationships/customXml" Target="../ink/ink85.xml"/><Relationship Id="rId110" Type="http://schemas.openxmlformats.org/officeDocument/2006/relationships/customXml" Target="../ink/ink108.xml"/><Relationship Id="rId115" Type="http://schemas.openxmlformats.org/officeDocument/2006/relationships/customXml" Target="../ink/ink113.xml"/><Relationship Id="rId131" Type="http://schemas.openxmlformats.org/officeDocument/2006/relationships/customXml" Target="../ink/ink129.xml"/><Relationship Id="rId136" Type="http://schemas.openxmlformats.org/officeDocument/2006/relationships/customXml" Target="../ink/ink134.xml"/><Relationship Id="rId157" Type="http://schemas.openxmlformats.org/officeDocument/2006/relationships/customXml" Target="../ink/ink155.xml"/><Relationship Id="rId61" Type="http://schemas.openxmlformats.org/officeDocument/2006/relationships/customXml" Target="../ink/ink59.xml"/><Relationship Id="rId82" Type="http://schemas.openxmlformats.org/officeDocument/2006/relationships/customXml" Target="../ink/ink80.xml"/><Relationship Id="rId152" Type="http://schemas.openxmlformats.org/officeDocument/2006/relationships/customXml" Target="../ink/ink150.xml"/><Relationship Id="rId19" Type="http://schemas.openxmlformats.org/officeDocument/2006/relationships/customXml" Target="../ink/ink17.xml"/><Relationship Id="rId14" Type="http://schemas.openxmlformats.org/officeDocument/2006/relationships/customXml" Target="../ink/ink12.xml"/><Relationship Id="rId30" Type="http://schemas.openxmlformats.org/officeDocument/2006/relationships/customXml" Target="../ink/ink28.xml"/><Relationship Id="rId35" Type="http://schemas.openxmlformats.org/officeDocument/2006/relationships/customXml" Target="../ink/ink33.xml"/><Relationship Id="rId56" Type="http://schemas.openxmlformats.org/officeDocument/2006/relationships/customXml" Target="../ink/ink54.xml"/><Relationship Id="rId77" Type="http://schemas.openxmlformats.org/officeDocument/2006/relationships/customXml" Target="../ink/ink75.xml"/><Relationship Id="rId100" Type="http://schemas.openxmlformats.org/officeDocument/2006/relationships/customXml" Target="../ink/ink98.xml"/><Relationship Id="rId105" Type="http://schemas.openxmlformats.org/officeDocument/2006/relationships/customXml" Target="../ink/ink103.xml"/><Relationship Id="rId126" Type="http://schemas.openxmlformats.org/officeDocument/2006/relationships/customXml" Target="../ink/ink124.xml"/><Relationship Id="rId147" Type="http://schemas.openxmlformats.org/officeDocument/2006/relationships/customXml" Target="../ink/ink145.xml"/><Relationship Id="rId8" Type="http://schemas.openxmlformats.org/officeDocument/2006/relationships/customXml" Target="../ink/ink6.xml"/><Relationship Id="rId51" Type="http://schemas.openxmlformats.org/officeDocument/2006/relationships/customXml" Target="../ink/ink49.xml"/><Relationship Id="rId72" Type="http://schemas.openxmlformats.org/officeDocument/2006/relationships/customXml" Target="../ink/ink70.xml"/><Relationship Id="rId93" Type="http://schemas.openxmlformats.org/officeDocument/2006/relationships/customXml" Target="../ink/ink91.xml"/><Relationship Id="rId98" Type="http://schemas.openxmlformats.org/officeDocument/2006/relationships/customXml" Target="../ink/ink96.xml"/><Relationship Id="rId121" Type="http://schemas.openxmlformats.org/officeDocument/2006/relationships/customXml" Target="../ink/ink119.xml"/><Relationship Id="rId142" Type="http://schemas.openxmlformats.org/officeDocument/2006/relationships/customXml" Target="../ink/ink140.xml"/><Relationship Id="rId163" Type="http://schemas.openxmlformats.org/officeDocument/2006/relationships/customXml" Target="../ink/ink161.xml"/><Relationship Id="rId3" Type="http://schemas.openxmlformats.org/officeDocument/2006/relationships/customXml" Target="../ink/ink2.xml"/><Relationship Id="rId25" Type="http://schemas.openxmlformats.org/officeDocument/2006/relationships/customXml" Target="../ink/ink23.xml"/><Relationship Id="rId46" Type="http://schemas.openxmlformats.org/officeDocument/2006/relationships/customXml" Target="../ink/ink44.xml"/><Relationship Id="rId67" Type="http://schemas.openxmlformats.org/officeDocument/2006/relationships/customXml" Target="../ink/ink65.xml"/><Relationship Id="rId116" Type="http://schemas.openxmlformats.org/officeDocument/2006/relationships/customXml" Target="../ink/ink114.xml"/><Relationship Id="rId137" Type="http://schemas.openxmlformats.org/officeDocument/2006/relationships/customXml" Target="../ink/ink135.xml"/><Relationship Id="rId158" Type="http://schemas.openxmlformats.org/officeDocument/2006/relationships/customXml" Target="../ink/ink156.xml"/><Relationship Id="rId20" Type="http://schemas.openxmlformats.org/officeDocument/2006/relationships/customXml" Target="../ink/ink18.xml"/><Relationship Id="rId41" Type="http://schemas.openxmlformats.org/officeDocument/2006/relationships/customXml" Target="../ink/ink39.xml"/><Relationship Id="rId62" Type="http://schemas.openxmlformats.org/officeDocument/2006/relationships/customXml" Target="../ink/ink60.xml"/><Relationship Id="rId83" Type="http://schemas.openxmlformats.org/officeDocument/2006/relationships/customXml" Target="../ink/ink81.xml"/><Relationship Id="rId88" Type="http://schemas.openxmlformats.org/officeDocument/2006/relationships/customXml" Target="../ink/ink86.xml"/><Relationship Id="rId111" Type="http://schemas.openxmlformats.org/officeDocument/2006/relationships/customXml" Target="../ink/ink109.xml"/><Relationship Id="rId132" Type="http://schemas.openxmlformats.org/officeDocument/2006/relationships/customXml" Target="../ink/ink130.xml"/><Relationship Id="rId153" Type="http://schemas.openxmlformats.org/officeDocument/2006/relationships/customXml" Target="../ink/ink151.xml"/><Relationship Id="rId15" Type="http://schemas.openxmlformats.org/officeDocument/2006/relationships/customXml" Target="../ink/ink13.xml"/><Relationship Id="rId36" Type="http://schemas.openxmlformats.org/officeDocument/2006/relationships/customXml" Target="../ink/ink34.xml"/><Relationship Id="rId57" Type="http://schemas.openxmlformats.org/officeDocument/2006/relationships/customXml" Target="../ink/ink55.xml"/><Relationship Id="rId106" Type="http://schemas.openxmlformats.org/officeDocument/2006/relationships/customXml" Target="../ink/ink104.xml"/><Relationship Id="rId127" Type="http://schemas.openxmlformats.org/officeDocument/2006/relationships/customXml" Target="../ink/ink125.xml"/><Relationship Id="rId10" Type="http://schemas.openxmlformats.org/officeDocument/2006/relationships/customXml" Target="../ink/ink8.xml"/><Relationship Id="rId31" Type="http://schemas.openxmlformats.org/officeDocument/2006/relationships/customXml" Target="../ink/ink29.xml"/><Relationship Id="rId52" Type="http://schemas.openxmlformats.org/officeDocument/2006/relationships/customXml" Target="../ink/ink50.xml"/><Relationship Id="rId73" Type="http://schemas.openxmlformats.org/officeDocument/2006/relationships/customXml" Target="../ink/ink71.xml"/><Relationship Id="rId78" Type="http://schemas.openxmlformats.org/officeDocument/2006/relationships/customXml" Target="../ink/ink76.xml"/><Relationship Id="rId94" Type="http://schemas.openxmlformats.org/officeDocument/2006/relationships/customXml" Target="../ink/ink92.xml"/><Relationship Id="rId99" Type="http://schemas.openxmlformats.org/officeDocument/2006/relationships/customXml" Target="../ink/ink97.xml"/><Relationship Id="rId101" Type="http://schemas.openxmlformats.org/officeDocument/2006/relationships/customXml" Target="../ink/ink99.xml"/><Relationship Id="rId122" Type="http://schemas.openxmlformats.org/officeDocument/2006/relationships/customXml" Target="../ink/ink120.xml"/><Relationship Id="rId143" Type="http://schemas.openxmlformats.org/officeDocument/2006/relationships/customXml" Target="../ink/ink141.xml"/><Relationship Id="rId148" Type="http://schemas.openxmlformats.org/officeDocument/2006/relationships/customXml" Target="../ink/ink146.xml"/><Relationship Id="rId164" Type="http://schemas.openxmlformats.org/officeDocument/2006/relationships/customXml" Target="../ink/ink162.xml"/><Relationship Id="rId4" Type="http://schemas.openxmlformats.org/officeDocument/2006/relationships/image" Target="../media/image2.png"/><Relationship Id="rId9" Type="http://schemas.openxmlformats.org/officeDocument/2006/relationships/customXml" Target="../ink/ink7.xml"/><Relationship Id="rId26" Type="http://schemas.openxmlformats.org/officeDocument/2006/relationships/customXml" Target="../ink/ink24.xml"/><Relationship Id="rId47" Type="http://schemas.openxmlformats.org/officeDocument/2006/relationships/customXml" Target="../ink/ink45.xml"/><Relationship Id="rId68" Type="http://schemas.openxmlformats.org/officeDocument/2006/relationships/customXml" Target="../ink/ink66.xml"/><Relationship Id="rId89" Type="http://schemas.openxmlformats.org/officeDocument/2006/relationships/customXml" Target="../ink/ink87.xml"/><Relationship Id="rId112" Type="http://schemas.openxmlformats.org/officeDocument/2006/relationships/customXml" Target="../ink/ink110.xml"/><Relationship Id="rId133" Type="http://schemas.openxmlformats.org/officeDocument/2006/relationships/customXml" Target="../ink/ink131.xml"/><Relationship Id="rId154" Type="http://schemas.openxmlformats.org/officeDocument/2006/relationships/customXml" Target="../ink/ink152.xml"/><Relationship Id="rId16" Type="http://schemas.openxmlformats.org/officeDocument/2006/relationships/customXml" Target="../ink/ink14.xml"/><Relationship Id="rId37" Type="http://schemas.openxmlformats.org/officeDocument/2006/relationships/customXml" Target="../ink/ink35.xml"/><Relationship Id="rId58" Type="http://schemas.openxmlformats.org/officeDocument/2006/relationships/customXml" Target="../ink/ink56.xml"/><Relationship Id="rId79" Type="http://schemas.openxmlformats.org/officeDocument/2006/relationships/customXml" Target="../ink/ink77.xml"/><Relationship Id="rId102" Type="http://schemas.openxmlformats.org/officeDocument/2006/relationships/customXml" Target="../ink/ink100.xml"/><Relationship Id="rId123" Type="http://schemas.openxmlformats.org/officeDocument/2006/relationships/customXml" Target="../ink/ink121.xml"/><Relationship Id="rId144" Type="http://schemas.openxmlformats.org/officeDocument/2006/relationships/customXml" Target="../ink/ink142.xml"/><Relationship Id="rId90" Type="http://schemas.openxmlformats.org/officeDocument/2006/relationships/customXml" Target="../ink/ink88.xml"/><Relationship Id="rId165" Type="http://schemas.openxmlformats.org/officeDocument/2006/relationships/customXml" Target="../ink/ink163.xml"/><Relationship Id="rId27" Type="http://schemas.openxmlformats.org/officeDocument/2006/relationships/customXml" Target="../ink/ink25.xml"/><Relationship Id="rId48" Type="http://schemas.openxmlformats.org/officeDocument/2006/relationships/customXml" Target="../ink/ink46.xml"/><Relationship Id="rId69" Type="http://schemas.openxmlformats.org/officeDocument/2006/relationships/customXml" Target="../ink/ink67.xml"/><Relationship Id="rId113" Type="http://schemas.openxmlformats.org/officeDocument/2006/relationships/customXml" Target="../ink/ink111.xml"/><Relationship Id="rId134" Type="http://schemas.openxmlformats.org/officeDocument/2006/relationships/customXml" Target="../ink/ink132.xml"/><Relationship Id="rId80" Type="http://schemas.openxmlformats.org/officeDocument/2006/relationships/customXml" Target="../ink/ink78.xml"/><Relationship Id="rId155" Type="http://schemas.openxmlformats.org/officeDocument/2006/relationships/customXml" Target="../ink/ink15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9210</xdr:colOff>
      <xdr:row>118</xdr:row>
      <xdr:rowOff>0</xdr:rowOff>
    </xdr:from>
    <xdr:to>
      <xdr:col>8</xdr:col>
      <xdr:colOff>9570</xdr:colOff>
      <xdr:row>118</xdr:row>
      <xdr:rowOff>4170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752190</xdr:colOff>
      <xdr:row>139</xdr:row>
      <xdr:rowOff>154215</xdr:rowOff>
    </xdr:from>
    <xdr:to>
      <xdr:col>6</xdr:col>
      <xdr:colOff>758265</xdr:colOff>
      <xdr:row>140</xdr:row>
      <xdr:rowOff>35784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t 2">
              <a:extLst>
                <a:ext uri="{FF2B5EF4-FFF2-40B4-BE49-F238E27FC236}">
                  <a16:creationId xmlns:a16="http://schemas.microsoft.com/office/drawing/2014/main" id="{26E02E05-EEC1-46C0-B735-CC3220B99778}"/>
                </a:ext>
              </a:extLst>
            </xdr14:cNvPr>
            <xdr14:cNvContentPartPr/>
          </xdr14:nvContentPartPr>
          <xdr14:nvPr macro=""/>
          <xdr14:xfrm>
            <a:off x="6105240" y="22061715"/>
            <a:ext cx="360" cy="17640"/>
          </xdr14:xfrm>
        </xdr:contentPart>
      </mc:Choice>
      <mc:Fallback xmlns="">
        <xdr:pic>
          <xdr:nvPicPr>
            <xdr:cNvPr id="3" name="Inkt 2">
              <a:extLst>
                <a:ext uri="{FF2B5EF4-FFF2-40B4-BE49-F238E27FC236}">
                  <a16:creationId xmlns:a16="http://schemas.microsoft.com/office/drawing/2014/main" id="{26E02E05-EEC1-46C0-B735-CC3220B99778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6096600" y="22052715"/>
              <a:ext cx="18000" cy="352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475785</xdr:colOff>
      <xdr:row>134</xdr:row>
      <xdr:rowOff>0</xdr:rowOff>
    </xdr:from>
    <xdr:to>
      <xdr:col>2</xdr:col>
      <xdr:colOff>491385</xdr:colOff>
      <xdr:row>134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4" name="Inkt 3">
              <a:extLst>
                <a:ext uri="{FF2B5EF4-FFF2-40B4-BE49-F238E27FC236}">
                  <a16:creationId xmlns:a16="http://schemas.microsoft.com/office/drawing/2014/main" id="{2CDE3E89-11EF-44B9-A648-B4AFC1241670}"/>
                </a:ext>
              </a:extLst>
            </xdr14:cNvPr>
            <xdr14:cNvContentPartPr/>
          </xdr14:nvContentPartPr>
          <xdr14:nvPr macro=""/>
          <xdr14:xfrm>
            <a:off x="961560" y="16839555"/>
            <a:ext cx="360" cy="360"/>
          </xdr14:xfrm>
        </xdr:contentPart>
      </mc:Choice>
      <mc:Fallback xmlns="">
        <xdr:pic>
          <xdr:nvPicPr>
            <xdr:cNvPr id="4" name="Inkt 3">
              <a:extLst>
                <a:ext uri="{FF2B5EF4-FFF2-40B4-BE49-F238E27FC236}">
                  <a16:creationId xmlns:a16="http://schemas.microsoft.com/office/drawing/2014/main" id="{2CDE3E89-11EF-44B9-A648-B4AFC124167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52920" y="168309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1971225</xdr:colOff>
      <xdr:row>110</xdr:row>
      <xdr:rowOff>152010</xdr:rowOff>
    </xdr:from>
    <xdr:to>
      <xdr:col>2</xdr:col>
      <xdr:colOff>1977300</xdr:colOff>
      <xdr:row>111</xdr:row>
      <xdr:rowOff>4415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5" name="Inkt 4">
              <a:extLst>
                <a:ext uri="{FF2B5EF4-FFF2-40B4-BE49-F238E27FC236}">
                  <a16:creationId xmlns:a16="http://schemas.microsoft.com/office/drawing/2014/main" id="{5AA5C036-FC4A-4693-860A-F398B872D467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5" name="Inkt 4">
              <a:extLst>
                <a:ext uri="{FF2B5EF4-FFF2-40B4-BE49-F238E27FC236}">
                  <a16:creationId xmlns:a16="http://schemas.microsoft.com/office/drawing/2014/main" id="{5AA5C036-FC4A-4693-860A-F398B872D46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0</xdr:colOff>
      <xdr:row>116</xdr:row>
      <xdr:rowOff>85365</xdr:rowOff>
    </xdr:from>
    <xdr:to>
      <xdr:col>6</xdr:col>
      <xdr:colOff>360</xdr:colOff>
      <xdr:row>116</xdr:row>
      <xdr:rowOff>85725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942690</xdr:colOff>
      <xdr:row>110</xdr:row>
      <xdr:rowOff>180450</xdr:rowOff>
    </xdr:from>
    <xdr:to>
      <xdr:col>8</xdr:col>
      <xdr:colOff>921375</xdr:colOff>
      <xdr:row>111</xdr:row>
      <xdr:rowOff>4280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7" name="Inkt 6">
              <a:extLst>
                <a:ext uri="{FF2B5EF4-FFF2-40B4-BE49-F238E27FC236}">
                  <a16:creationId xmlns:a16="http://schemas.microsoft.com/office/drawing/2014/main" id="{066BFBF2-EBF1-411B-9821-BACE70C9FFB5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7" name="Inkt 6">
              <a:extLst>
                <a:ext uri="{FF2B5EF4-FFF2-40B4-BE49-F238E27FC236}">
                  <a16:creationId xmlns:a16="http://schemas.microsoft.com/office/drawing/2014/main" id="{066BFBF2-EBF1-411B-9821-BACE70C9FFB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0</xdr:colOff>
      <xdr:row>112</xdr:row>
      <xdr:rowOff>123480</xdr:rowOff>
    </xdr:from>
    <xdr:to>
      <xdr:col>6</xdr:col>
      <xdr:colOff>360</xdr:colOff>
      <xdr:row>112</xdr:row>
      <xdr:rowOff>125025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8" name="Inkt 7">
              <a:extLst>
                <a:ext uri="{FF2B5EF4-FFF2-40B4-BE49-F238E27FC236}">
                  <a16:creationId xmlns:a16="http://schemas.microsoft.com/office/drawing/2014/main" id="{77B27B3E-808F-4A47-A919-6110D6061AAF}"/>
                </a:ext>
              </a:extLst>
            </xdr14:cNvPr>
            <xdr14:cNvContentPartPr/>
          </xdr14:nvContentPartPr>
          <xdr14:nvPr macro=""/>
          <xdr14:xfrm>
            <a:off x="4752720" y="18401955"/>
            <a:ext cx="360" cy="360"/>
          </xdr14:xfrm>
        </xdr:contentPart>
      </mc:Choice>
      <mc:Fallback xmlns="">
        <xdr:pic>
          <xdr:nvPicPr>
            <xdr:cNvPr id="8" name="Inkt 7">
              <a:extLst>
                <a:ext uri="{FF2B5EF4-FFF2-40B4-BE49-F238E27FC236}">
                  <a16:creationId xmlns:a16="http://schemas.microsoft.com/office/drawing/2014/main" id="{77B27B3E-808F-4A47-A919-6110D6061A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44080" y="183933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599820</xdr:colOff>
      <xdr:row>137</xdr:row>
      <xdr:rowOff>132705</xdr:rowOff>
    </xdr:from>
    <xdr:to>
      <xdr:col>9</xdr:col>
      <xdr:colOff>605895</xdr:colOff>
      <xdr:row>138</xdr:row>
      <xdr:rowOff>4614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9" name="Inkt 8">
              <a:extLst>
                <a:ext uri="{FF2B5EF4-FFF2-40B4-BE49-F238E27FC236}">
                  <a16:creationId xmlns:a16="http://schemas.microsoft.com/office/drawing/2014/main" id="{EFE93DED-420A-4A61-AFCA-29755A0471F3}"/>
                </a:ext>
              </a:extLst>
            </xdr14:cNvPr>
            <xdr14:cNvContentPartPr/>
          </xdr14:nvContentPartPr>
          <xdr14:nvPr macro=""/>
          <xdr14:xfrm>
            <a:off x="9096120" y="21640155"/>
            <a:ext cx="360" cy="360"/>
          </xdr14:xfrm>
        </xdr:contentPart>
      </mc:Choice>
      <mc:Fallback xmlns="">
        <xdr:pic>
          <xdr:nvPicPr>
            <xdr:cNvPr id="9" name="Inkt 8">
              <a:extLst>
                <a:ext uri="{FF2B5EF4-FFF2-40B4-BE49-F238E27FC236}">
                  <a16:creationId xmlns:a16="http://schemas.microsoft.com/office/drawing/2014/main" id="{EFE93DED-420A-4A61-AFCA-29755A0471F3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087480" y="216315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2</xdr:col>
      <xdr:colOff>1971225</xdr:colOff>
      <xdr:row>136</xdr:row>
      <xdr:rowOff>152010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0" name="Inkt 9">
              <a:extLst>
                <a:ext uri="{FF2B5EF4-FFF2-40B4-BE49-F238E27FC236}">
                  <a16:creationId xmlns:a16="http://schemas.microsoft.com/office/drawing/2014/main" id="{AC82CEA8-3F9C-4EB6-8562-687F8C0DE6BC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10" name="Inkt 9">
              <a:extLst>
                <a:ext uri="{FF2B5EF4-FFF2-40B4-BE49-F238E27FC236}">
                  <a16:creationId xmlns:a16="http://schemas.microsoft.com/office/drawing/2014/main" id="{AC82CEA8-3F9C-4EB6-8562-687F8C0DE6B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136</xdr:row>
      <xdr:rowOff>180450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1" name="Inkt 10">
              <a:extLst>
                <a:ext uri="{FF2B5EF4-FFF2-40B4-BE49-F238E27FC236}">
                  <a16:creationId xmlns:a16="http://schemas.microsoft.com/office/drawing/2014/main" id="{36075B28-8A77-46D7-AF68-0E89A81F07E0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11" name="Inkt 10">
              <a:extLst>
                <a:ext uri="{FF2B5EF4-FFF2-40B4-BE49-F238E27FC236}">
                  <a16:creationId xmlns:a16="http://schemas.microsoft.com/office/drawing/2014/main" id="{36075B28-8A77-46D7-AF68-0E89A81F07E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599820</xdr:colOff>
      <xdr:row>149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2" name="Inkt 11">
              <a:extLst>
                <a:ext uri="{FF2B5EF4-FFF2-40B4-BE49-F238E27FC236}">
                  <a16:creationId xmlns:a16="http://schemas.microsoft.com/office/drawing/2014/main" id="{9AD502DA-0A84-4ADB-BF58-1D8208268771}"/>
                </a:ext>
              </a:extLst>
            </xdr14:cNvPr>
            <xdr14:cNvContentPartPr/>
          </xdr14:nvContentPartPr>
          <xdr14:nvPr macro=""/>
          <xdr14:xfrm>
            <a:off x="9096120" y="21640155"/>
            <a:ext cx="360" cy="360"/>
          </xdr14:xfrm>
        </xdr:contentPart>
      </mc:Choice>
      <mc:Fallback xmlns="">
        <xdr:pic>
          <xdr:nvPicPr>
            <xdr:cNvPr id="12" name="Inkt 11">
              <a:extLst>
                <a:ext uri="{FF2B5EF4-FFF2-40B4-BE49-F238E27FC236}">
                  <a16:creationId xmlns:a16="http://schemas.microsoft.com/office/drawing/2014/main" id="{9AD502DA-0A84-4ADB-BF58-1D8208268771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087480" y="216315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148</xdr:row>
      <xdr:rowOff>152010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3" name="Inkt 12">
              <a:extLst>
                <a:ext uri="{FF2B5EF4-FFF2-40B4-BE49-F238E27FC236}">
                  <a16:creationId xmlns:a16="http://schemas.microsoft.com/office/drawing/2014/main" id="{20D3F07A-357A-412F-94DA-7BFB47367C02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13" name="Inkt 12">
              <a:extLst>
                <a:ext uri="{FF2B5EF4-FFF2-40B4-BE49-F238E27FC236}">
                  <a16:creationId xmlns:a16="http://schemas.microsoft.com/office/drawing/2014/main" id="{20D3F07A-357A-412F-94DA-7BFB47367C0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148</xdr:row>
      <xdr:rowOff>180450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4" name="Inkt 13">
              <a:extLst>
                <a:ext uri="{FF2B5EF4-FFF2-40B4-BE49-F238E27FC236}">
                  <a16:creationId xmlns:a16="http://schemas.microsoft.com/office/drawing/2014/main" id="{885ACF91-72B2-4405-8134-D8DC60FC227A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14" name="Inkt 13">
              <a:extLst>
                <a:ext uri="{FF2B5EF4-FFF2-40B4-BE49-F238E27FC236}">
                  <a16:creationId xmlns:a16="http://schemas.microsoft.com/office/drawing/2014/main" id="{885ACF91-72B2-4405-8134-D8DC60FC227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599820</xdr:colOff>
      <xdr:row>149</xdr:row>
      <xdr:rowOff>132705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5" name="Inkt 14">
              <a:extLst>
                <a:ext uri="{FF2B5EF4-FFF2-40B4-BE49-F238E27FC236}">
                  <a16:creationId xmlns:a16="http://schemas.microsoft.com/office/drawing/2014/main" id="{70D83D7E-BCDF-4226-8934-B503F74BBC18}"/>
                </a:ext>
              </a:extLst>
            </xdr14:cNvPr>
            <xdr14:cNvContentPartPr/>
          </xdr14:nvContentPartPr>
          <xdr14:nvPr macro=""/>
          <xdr14:xfrm>
            <a:off x="9096120" y="21640155"/>
            <a:ext cx="360" cy="360"/>
          </xdr14:xfrm>
        </xdr:contentPart>
      </mc:Choice>
      <mc:Fallback xmlns="">
        <xdr:pic>
          <xdr:nvPicPr>
            <xdr:cNvPr id="15" name="Inkt 14">
              <a:extLst>
                <a:ext uri="{FF2B5EF4-FFF2-40B4-BE49-F238E27FC236}">
                  <a16:creationId xmlns:a16="http://schemas.microsoft.com/office/drawing/2014/main" id="{70D83D7E-BCDF-4226-8934-B503F74BBC1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087480" y="216315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149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6" name="Inkt 15">
              <a:extLst>
                <a:ext uri="{FF2B5EF4-FFF2-40B4-BE49-F238E27FC236}">
                  <a16:creationId xmlns:a16="http://schemas.microsoft.com/office/drawing/2014/main" id="{BCA6E2F8-36DF-4E5F-B22D-C235D645849C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16" name="Inkt 15">
              <a:extLst>
                <a:ext uri="{FF2B5EF4-FFF2-40B4-BE49-F238E27FC236}">
                  <a16:creationId xmlns:a16="http://schemas.microsoft.com/office/drawing/2014/main" id="{BCA6E2F8-36DF-4E5F-B22D-C235D645849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149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7" name="Inkt 16">
              <a:extLst>
                <a:ext uri="{FF2B5EF4-FFF2-40B4-BE49-F238E27FC236}">
                  <a16:creationId xmlns:a16="http://schemas.microsoft.com/office/drawing/2014/main" id="{9EE5437D-DC50-4CA8-AEFD-0120121A8840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17" name="Inkt 16">
              <a:extLst>
                <a:ext uri="{FF2B5EF4-FFF2-40B4-BE49-F238E27FC236}">
                  <a16:creationId xmlns:a16="http://schemas.microsoft.com/office/drawing/2014/main" id="{9EE5437D-DC50-4CA8-AEFD-0120121A884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599820</xdr:colOff>
      <xdr:row>78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8" name="Inkt 17">
              <a:extLst>
                <a:ext uri="{FF2B5EF4-FFF2-40B4-BE49-F238E27FC236}">
                  <a16:creationId xmlns:a16="http://schemas.microsoft.com/office/drawing/2014/main" id="{C8B28719-E646-4315-B663-F4B06F96DCA3}"/>
                </a:ext>
              </a:extLst>
            </xdr14:cNvPr>
            <xdr14:cNvContentPartPr/>
          </xdr14:nvContentPartPr>
          <xdr14:nvPr macro=""/>
          <xdr14:xfrm>
            <a:off x="9096120" y="21640155"/>
            <a:ext cx="360" cy="360"/>
          </xdr14:xfrm>
        </xdr:contentPart>
      </mc:Choice>
      <mc:Fallback xmlns="">
        <xdr:pic>
          <xdr:nvPicPr>
            <xdr:cNvPr id="18" name="Inkt 17">
              <a:extLst>
                <a:ext uri="{FF2B5EF4-FFF2-40B4-BE49-F238E27FC236}">
                  <a16:creationId xmlns:a16="http://schemas.microsoft.com/office/drawing/2014/main" id="{C8B28719-E646-4315-B663-F4B06F96DCA3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087480" y="216315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78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19" name="Inkt 18">
              <a:extLst>
                <a:ext uri="{FF2B5EF4-FFF2-40B4-BE49-F238E27FC236}">
                  <a16:creationId xmlns:a16="http://schemas.microsoft.com/office/drawing/2014/main" id="{97471D0C-DAFE-4FFF-A8FE-08465F57F958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19" name="Inkt 18">
              <a:extLst>
                <a:ext uri="{FF2B5EF4-FFF2-40B4-BE49-F238E27FC236}">
                  <a16:creationId xmlns:a16="http://schemas.microsoft.com/office/drawing/2014/main" id="{97471D0C-DAFE-4FFF-A8FE-08465F57F95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78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0" name="Inkt 19">
              <a:extLst>
                <a:ext uri="{FF2B5EF4-FFF2-40B4-BE49-F238E27FC236}">
                  <a16:creationId xmlns:a16="http://schemas.microsoft.com/office/drawing/2014/main" id="{1C8BBB93-EDE4-4F7B-A17C-ED4947D1118C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20" name="Inkt 19">
              <a:extLst>
                <a:ext uri="{FF2B5EF4-FFF2-40B4-BE49-F238E27FC236}">
                  <a16:creationId xmlns:a16="http://schemas.microsoft.com/office/drawing/2014/main" id="{1C8BBB93-EDE4-4F7B-A17C-ED4947D1118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9210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1" name="Inkt 20">
              <a:extLst>
                <a:ext uri="{FF2B5EF4-FFF2-40B4-BE49-F238E27FC236}">
                  <a16:creationId xmlns:a16="http://schemas.microsoft.com/office/drawing/2014/main" id="{1BEC3723-9278-4017-A242-03AB44A87EA3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2" name="Inkt 21">
              <a:extLst>
                <a:ext uri="{FF2B5EF4-FFF2-40B4-BE49-F238E27FC236}">
                  <a16:creationId xmlns:a16="http://schemas.microsoft.com/office/drawing/2014/main" id="{DC42E096-2DBB-4127-90E0-390339D455F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599820</xdr:colOff>
      <xdr:row>79</xdr:row>
      <xdr:rowOff>132705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25" name="Inkt 24">
              <a:extLst>
                <a:ext uri="{FF2B5EF4-FFF2-40B4-BE49-F238E27FC236}">
                  <a16:creationId xmlns:a16="http://schemas.microsoft.com/office/drawing/2014/main" id="{8B5285B2-308B-45EA-A000-94D208300830}"/>
                </a:ext>
              </a:extLst>
            </xdr14:cNvPr>
            <xdr14:cNvContentPartPr/>
          </xdr14:nvContentPartPr>
          <xdr14:nvPr macro=""/>
          <xdr14:xfrm>
            <a:off x="9096120" y="21640155"/>
            <a:ext cx="360" cy="360"/>
          </xdr14:xfrm>
        </xdr:contentPart>
      </mc:Choice>
      <mc:Fallback xmlns="">
        <xdr:pic>
          <xdr:nvPicPr>
            <xdr:cNvPr id="18" name="Inkt 17">
              <a:extLst>
                <a:ext uri="{FF2B5EF4-FFF2-40B4-BE49-F238E27FC236}">
                  <a16:creationId xmlns:a16="http://schemas.microsoft.com/office/drawing/2014/main" id="{C8B28719-E646-4315-B663-F4B06F96DCA3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087480" y="216315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78</xdr:row>
      <xdr:rowOff>152010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6" name="Inkt 25">
              <a:extLst>
                <a:ext uri="{FF2B5EF4-FFF2-40B4-BE49-F238E27FC236}">
                  <a16:creationId xmlns:a16="http://schemas.microsoft.com/office/drawing/2014/main" id="{A59A8663-857B-4F7B-BDCF-46ADCEA4938B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19" name="Inkt 18">
              <a:extLst>
                <a:ext uri="{FF2B5EF4-FFF2-40B4-BE49-F238E27FC236}">
                  <a16:creationId xmlns:a16="http://schemas.microsoft.com/office/drawing/2014/main" id="{97471D0C-DAFE-4FFF-A8FE-08465F57F95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78</xdr:row>
      <xdr:rowOff>180450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7" name="Inkt 26">
              <a:extLst>
                <a:ext uri="{FF2B5EF4-FFF2-40B4-BE49-F238E27FC236}">
                  <a16:creationId xmlns:a16="http://schemas.microsoft.com/office/drawing/2014/main" id="{9ED3B9D8-024F-4279-8BD4-4DE8F5041978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20" name="Inkt 19">
              <a:extLst>
                <a:ext uri="{FF2B5EF4-FFF2-40B4-BE49-F238E27FC236}">
                  <a16:creationId xmlns:a16="http://schemas.microsoft.com/office/drawing/2014/main" id="{1C8BBB93-EDE4-4F7B-A17C-ED4947D1118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9210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8" name="Inkt 27">
              <a:extLst>
                <a:ext uri="{FF2B5EF4-FFF2-40B4-BE49-F238E27FC236}">
                  <a16:creationId xmlns:a16="http://schemas.microsoft.com/office/drawing/2014/main" id="{47D3173B-2EA4-4EAF-B324-3BA4DA40D617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9210</xdr:colOff>
      <xdr:row>130</xdr:row>
      <xdr:rowOff>66060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9" name="Inkt 28">
              <a:extLst>
                <a:ext uri="{FF2B5EF4-FFF2-40B4-BE49-F238E27FC236}">
                  <a16:creationId xmlns:a16="http://schemas.microsoft.com/office/drawing/2014/main" id="{30C53E1D-6CAE-425F-AB3F-9AEAA9DAEB55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162</xdr:row>
      <xdr:rowOff>152010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30" name="Inkt 29">
              <a:extLst>
                <a:ext uri="{FF2B5EF4-FFF2-40B4-BE49-F238E27FC236}">
                  <a16:creationId xmlns:a16="http://schemas.microsoft.com/office/drawing/2014/main" id="{62AED2D5-38CD-492B-AC00-33635B265D17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19" name="Inkt 18">
              <a:extLst>
                <a:ext uri="{FF2B5EF4-FFF2-40B4-BE49-F238E27FC236}">
                  <a16:creationId xmlns:a16="http://schemas.microsoft.com/office/drawing/2014/main" id="{97471D0C-DAFE-4FFF-A8FE-08465F57F95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162</xdr:row>
      <xdr:rowOff>180450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31" name="Inkt 30">
              <a:extLst>
                <a:ext uri="{FF2B5EF4-FFF2-40B4-BE49-F238E27FC236}">
                  <a16:creationId xmlns:a16="http://schemas.microsoft.com/office/drawing/2014/main" id="{4DBE756E-15E5-4329-9FF9-F4E9F4B9D26B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20" name="Inkt 19">
              <a:extLst>
                <a:ext uri="{FF2B5EF4-FFF2-40B4-BE49-F238E27FC236}">
                  <a16:creationId xmlns:a16="http://schemas.microsoft.com/office/drawing/2014/main" id="{1C8BBB93-EDE4-4F7B-A17C-ED4947D1118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9210</xdr:colOff>
      <xdr:row>133</xdr:row>
      <xdr:rowOff>66060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23" name="Inkt 22">
              <a:extLst>
                <a:ext uri="{FF2B5EF4-FFF2-40B4-BE49-F238E27FC236}">
                  <a16:creationId xmlns:a16="http://schemas.microsoft.com/office/drawing/2014/main" id="{1DACF7BD-1F7E-412E-ACD9-EA1B952C77C5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9210</xdr:colOff>
      <xdr:row>132</xdr:row>
      <xdr:rowOff>66060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24" name="Inkt 23">
              <a:extLst>
                <a:ext uri="{FF2B5EF4-FFF2-40B4-BE49-F238E27FC236}">
                  <a16:creationId xmlns:a16="http://schemas.microsoft.com/office/drawing/2014/main" id="{A28F217D-411E-47EF-BB0E-48DC89537AAC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9210</xdr:colOff>
      <xdr:row>119</xdr:row>
      <xdr:rowOff>66060</xdr:rowOff>
    </xdr:from>
    <xdr:ext cx="1545" cy="417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32" name="Inkt 31">
              <a:extLst>
                <a:ext uri="{FF2B5EF4-FFF2-40B4-BE49-F238E27FC236}">
                  <a16:creationId xmlns:a16="http://schemas.microsoft.com/office/drawing/2014/main" id="{93FA60CC-0E77-41AC-BEF5-C98A35A667ED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3" name="Inkt 32">
              <a:extLst>
                <a:ext uri="{FF2B5EF4-FFF2-40B4-BE49-F238E27FC236}">
                  <a16:creationId xmlns:a16="http://schemas.microsoft.com/office/drawing/2014/main" id="{45768AAF-C3D5-4285-86D5-072E007FB67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4" name="Inkt 33">
              <a:extLst>
                <a:ext uri="{FF2B5EF4-FFF2-40B4-BE49-F238E27FC236}">
                  <a16:creationId xmlns:a16="http://schemas.microsoft.com/office/drawing/2014/main" id="{EE73BC49-E134-450C-805E-485D05BBB58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35" name="Inkt 34">
              <a:extLst>
                <a:ext uri="{FF2B5EF4-FFF2-40B4-BE49-F238E27FC236}">
                  <a16:creationId xmlns:a16="http://schemas.microsoft.com/office/drawing/2014/main" id="{87EA4A4D-A84D-4F30-B904-087120E77EB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6" name="Inkt 35">
              <a:extLst>
                <a:ext uri="{FF2B5EF4-FFF2-40B4-BE49-F238E27FC236}">
                  <a16:creationId xmlns:a16="http://schemas.microsoft.com/office/drawing/2014/main" id="{B106724B-41C2-4885-965B-2156DE06D87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37" name="Inkt 36">
              <a:extLst>
                <a:ext uri="{FF2B5EF4-FFF2-40B4-BE49-F238E27FC236}">
                  <a16:creationId xmlns:a16="http://schemas.microsoft.com/office/drawing/2014/main" id="{063FED77-0566-4DC8-9F0A-8FE0CEF2D13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38" name="Inkt 37">
              <a:extLst>
                <a:ext uri="{FF2B5EF4-FFF2-40B4-BE49-F238E27FC236}">
                  <a16:creationId xmlns:a16="http://schemas.microsoft.com/office/drawing/2014/main" id="{FDD116EB-F250-453B-BC4F-BBDE84ABF1D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39" name="Inkt 38">
              <a:extLst>
                <a:ext uri="{FF2B5EF4-FFF2-40B4-BE49-F238E27FC236}">
                  <a16:creationId xmlns:a16="http://schemas.microsoft.com/office/drawing/2014/main" id="{FAC06C45-CD55-4A99-B5E2-767DD42CD51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40" name="Inkt 39">
              <a:extLst>
                <a:ext uri="{FF2B5EF4-FFF2-40B4-BE49-F238E27FC236}">
                  <a16:creationId xmlns:a16="http://schemas.microsoft.com/office/drawing/2014/main" id="{AB93B48F-4D53-4D2C-A7DE-E0FB13FC2185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41" name="Inkt 40">
              <a:extLst>
                <a:ext uri="{FF2B5EF4-FFF2-40B4-BE49-F238E27FC236}">
                  <a16:creationId xmlns:a16="http://schemas.microsoft.com/office/drawing/2014/main" id="{1A91F2EE-9CB9-4384-9DD3-AFDE880DA651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42" name="Inkt 41">
              <a:extLst>
                <a:ext uri="{FF2B5EF4-FFF2-40B4-BE49-F238E27FC236}">
                  <a16:creationId xmlns:a16="http://schemas.microsoft.com/office/drawing/2014/main" id="{72A5BCB9-BFCC-4709-BE9F-EF507FAA9F2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43" name="Inkt 42">
              <a:extLst>
                <a:ext uri="{FF2B5EF4-FFF2-40B4-BE49-F238E27FC236}">
                  <a16:creationId xmlns:a16="http://schemas.microsoft.com/office/drawing/2014/main" id="{2E121D72-C5C9-474D-9C56-29C3FF36378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44" name="Inkt 43">
              <a:extLst>
                <a:ext uri="{FF2B5EF4-FFF2-40B4-BE49-F238E27FC236}">
                  <a16:creationId xmlns:a16="http://schemas.microsoft.com/office/drawing/2014/main" id="{1E845A79-7223-4C05-BBF9-D839687A3371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45" name="Inkt 44">
              <a:extLst>
                <a:ext uri="{FF2B5EF4-FFF2-40B4-BE49-F238E27FC236}">
                  <a16:creationId xmlns:a16="http://schemas.microsoft.com/office/drawing/2014/main" id="{0854533B-BAE9-467A-93D1-84E44A749DE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46" name="Inkt 45">
              <a:extLst>
                <a:ext uri="{FF2B5EF4-FFF2-40B4-BE49-F238E27FC236}">
                  <a16:creationId xmlns:a16="http://schemas.microsoft.com/office/drawing/2014/main" id="{84FECB65-2376-4B2D-9C2B-A7D0F8DB135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47" name="Inkt 46">
              <a:extLst>
                <a:ext uri="{FF2B5EF4-FFF2-40B4-BE49-F238E27FC236}">
                  <a16:creationId xmlns:a16="http://schemas.microsoft.com/office/drawing/2014/main" id="{6B23C16F-0504-4EA5-BB83-BA18B215DA6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48" name="Inkt 47">
              <a:extLst>
                <a:ext uri="{FF2B5EF4-FFF2-40B4-BE49-F238E27FC236}">
                  <a16:creationId xmlns:a16="http://schemas.microsoft.com/office/drawing/2014/main" id="{128D3C68-8AE2-437E-B8D0-0EC96091F79B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49" name="Inkt 48">
              <a:extLst>
                <a:ext uri="{FF2B5EF4-FFF2-40B4-BE49-F238E27FC236}">
                  <a16:creationId xmlns:a16="http://schemas.microsoft.com/office/drawing/2014/main" id="{7087647B-A92E-44C4-A80E-8BD69C65B23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50" name="Inkt 49">
              <a:extLst>
                <a:ext uri="{FF2B5EF4-FFF2-40B4-BE49-F238E27FC236}">
                  <a16:creationId xmlns:a16="http://schemas.microsoft.com/office/drawing/2014/main" id="{7887DBF2-5163-4403-B041-F9B4DCD29548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51" name="Inkt 50">
              <a:extLst>
                <a:ext uri="{FF2B5EF4-FFF2-40B4-BE49-F238E27FC236}">
                  <a16:creationId xmlns:a16="http://schemas.microsoft.com/office/drawing/2014/main" id="{93AC89E0-2F3E-4F32-83A7-E6D7594CE33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52" name="Inkt 51">
              <a:extLst>
                <a:ext uri="{FF2B5EF4-FFF2-40B4-BE49-F238E27FC236}">
                  <a16:creationId xmlns:a16="http://schemas.microsoft.com/office/drawing/2014/main" id="{4A3F6A33-9686-45A7-A2C3-E72B3C59928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53" name="Inkt 52">
              <a:extLst>
                <a:ext uri="{FF2B5EF4-FFF2-40B4-BE49-F238E27FC236}">
                  <a16:creationId xmlns:a16="http://schemas.microsoft.com/office/drawing/2014/main" id="{32C8F043-1DBD-4641-9163-369BC8D21CD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54" name="Inkt 53">
              <a:extLst>
                <a:ext uri="{FF2B5EF4-FFF2-40B4-BE49-F238E27FC236}">
                  <a16:creationId xmlns:a16="http://schemas.microsoft.com/office/drawing/2014/main" id="{72970348-013C-486C-883A-0B46AE0BC1A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55" name="Inkt 54">
              <a:extLst>
                <a:ext uri="{FF2B5EF4-FFF2-40B4-BE49-F238E27FC236}">
                  <a16:creationId xmlns:a16="http://schemas.microsoft.com/office/drawing/2014/main" id="{B808F2D2-2161-4749-9A20-138917F47F5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56" name="Inkt 55">
              <a:extLst>
                <a:ext uri="{FF2B5EF4-FFF2-40B4-BE49-F238E27FC236}">
                  <a16:creationId xmlns:a16="http://schemas.microsoft.com/office/drawing/2014/main" id="{C7C9821A-A9CD-4E30-8326-64F8E0047BD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57" name="Inkt 56">
              <a:extLst>
                <a:ext uri="{FF2B5EF4-FFF2-40B4-BE49-F238E27FC236}">
                  <a16:creationId xmlns:a16="http://schemas.microsoft.com/office/drawing/2014/main" id="{C8211C36-D58C-49D4-803D-56B57389AAA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58" name="Inkt 57">
              <a:extLst>
                <a:ext uri="{FF2B5EF4-FFF2-40B4-BE49-F238E27FC236}">
                  <a16:creationId xmlns:a16="http://schemas.microsoft.com/office/drawing/2014/main" id="{DDC40551-0AC0-433C-9AF1-06760F30176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59" name="Inkt 58">
              <a:extLst>
                <a:ext uri="{FF2B5EF4-FFF2-40B4-BE49-F238E27FC236}">
                  <a16:creationId xmlns:a16="http://schemas.microsoft.com/office/drawing/2014/main" id="{3458DE2A-6350-4167-AF9F-E5389E6EF63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60" name="Inkt 59">
              <a:extLst>
                <a:ext uri="{FF2B5EF4-FFF2-40B4-BE49-F238E27FC236}">
                  <a16:creationId xmlns:a16="http://schemas.microsoft.com/office/drawing/2014/main" id="{6886C7B2-A7EB-4B2D-B2B4-CA22E1657FD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61" name="Inkt 60">
              <a:extLst>
                <a:ext uri="{FF2B5EF4-FFF2-40B4-BE49-F238E27FC236}">
                  <a16:creationId xmlns:a16="http://schemas.microsoft.com/office/drawing/2014/main" id="{C334D61D-3F39-41AB-997C-CC8CF55EA07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62" name="Inkt 61">
              <a:extLst>
                <a:ext uri="{FF2B5EF4-FFF2-40B4-BE49-F238E27FC236}">
                  <a16:creationId xmlns:a16="http://schemas.microsoft.com/office/drawing/2014/main" id="{3D8ECBD8-C003-44F3-B65C-292AD4F105E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63" name="Inkt 62">
              <a:extLst>
                <a:ext uri="{FF2B5EF4-FFF2-40B4-BE49-F238E27FC236}">
                  <a16:creationId xmlns:a16="http://schemas.microsoft.com/office/drawing/2014/main" id="{90A0BFA6-0E09-49B6-8CBF-275921E8728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64" name="Inkt 63">
              <a:extLst>
                <a:ext uri="{FF2B5EF4-FFF2-40B4-BE49-F238E27FC236}">
                  <a16:creationId xmlns:a16="http://schemas.microsoft.com/office/drawing/2014/main" id="{E08E4257-CAB9-472D-9E24-1C2BA907006A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65" name="Inkt 64">
              <a:extLst>
                <a:ext uri="{FF2B5EF4-FFF2-40B4-BE49-F238E27FC236}">
                  <a16:creationId xmlns:a16="http://schemas.microsoft.com/office/drawing/2014/main" id="{BEAA6654-E9AD-4C4D-994A-443963C0497D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66" name="Inkt 65">
              <a:extLst>
                <a:ext uri="{FF2B5EF4-FFF2-40B4-BE49-F238E27FC236}">
                  <a16:creationId xmlns:a16="http://schemas.microsoft.com/office/drawing/2014/main" id="{8AF1B73F-FFED-4672-9221-3E23DA6339B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67" name="Inkt 66">
              <a:extLst>
                <a:ext uri="{FF2B5EF4-FFF2-40B4-BE49-F238E27FC236}">
                  <a16:creationId xmlns:a16="http://schemas.microsoft.com/office/drawing/2014/main" id="{AEEB933C-D3DE-4CB7-8F88-14127072F36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68" name="Inkt 67">
              <a:extLst>
                <a:ext uri="{FF2B5EF4-FFF2-40B4-BE49-F238E27FC236}">
                  <a16:creationId xmlns:a16="http://schemas.microsoft.com/office/drawing/2014/main" id="{401B9D60-70BB-484E-B586-3ABF7C8750A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69" name="Inkt 68">
              <a:extLst>
                <a:ext uri="{FF2B5EF4-FFF2-40B4-BE49-F238E27FC236}">
                  <a16:creationId xmlns:a16="http://schemas.microsoft.com/office/drawing/2014/main" id="{2244F26A-9D4D-425B-BE45-CDBC72AAD0C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70" name="Inkt 69">
              <a:extLst>
                <a:ext uri="{FF2B5EF4-FFF2-40B4-BE49-F238E27FC236}">
                  <a16:creationId xmlns:a16="http://schemas.microsoft.com/office/drawing/2014/main" id="{58AFA119-A999-476B-9FDB-805171D9E15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71" name="Inkt 70">
              <a:extLst>
                <a:ext uri="{FF2B5EF4-FFF2-40B4-BE49-F238E27FC236}">
                  <a16:creationId xmlns:a16="http://schemas.microsoft.com/office/drawing/2014/main" id="{2BFCFCB1-A52C-4003-BA65-FA55386E082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72" name="Inkt 71">
              <a:extLst>
                <a:ext uri="{FF2B5EF4-FFF2-40B4-BE49-F238E27FC236}">
                  <a16:creationId xmlns:a16="http://schemas.microsoft.com/office/drawing/2014/main" id="{F351E16A-BDCB-42A5-A69D-D66DCE93EA5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73" name="Inkt 72">
              <a:extLst>
                <a:ext uri="{FF2B5EF4-FFF2-40B4-BE49-F238E27FC236}">
                  <a16:creationId xmlns:a16="http://schemas.microsoft.com/office/drawing/2014/main" id="{029FCA4C-DF84-4FF7-A950-CA98F8E0C251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74" name="Inkt 73">
              <a:extLst>
                <a:ext uri="{FF2B5EF4-FFF2-40B4-BE49-F238E27FC236}">
                  <a16:creationId xmlns:a16="http://schemas.microsoft.com/office/drawing/2014/main" id="{3C15C3D0-9645-40C5-8A9D-8FD04C689D0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">
          <xdr14:nvContentPartPr>
            <xdr14:cNvPr id="75" name="Inkt 74">
              <a:extLst>
                <a:ext uri="{FF2B5EF4-FFF2-40B4-BE49-F238E27FC236}">
                  <a16:creationId xmlns:a16="http://schemas.microsoft.com/office/drawing/2014/main" id="{818F1FB8-41C2-49A2-A795-8B5EC704FC48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">
          <xdr14:nvContentPartPr>
            <xdr14:cNvPr id="76" name="Inkt 75">
              <a:extLst>
                <a:ext uri="{FF2B5EF4-FFF2-40B4-BE49-F238E27FC236}">
                  <a16:creationId xmlns:a16="http://schemas.microsoft.com/office/drawing/2014/main" id="{3028A013-16F0-4361-A973-B717D03547ED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">
          <xdr14:nvContentPartPr>
            <xdr14:cNvPr id="77" name="Inkt 76">
              <a:extLst>
                <a:ext uri="{FF2B5EF4-FFF2-40B4-BE49-F238E27FC236}">
                  <a16:creationId xmlns:a16="http://schemas.microsoft.com/office/drawing/2014/main" id="{F01A9B3D-2A41-4C07-8CCF-E24D327DDDD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">
          <xdr14:nvContentPartPr>
            <xdr14:cNvPr id="78" name="Inkt 77">
              <a:extLst>
                <a:ext uri="{FF2B5EF4-FFF2-40B4-BE49-F238E27FC236}">
                  <a16:creationId xmlns:a16="http://schemas.microsoft.com/office/drawing/2014/main" id="{3CAC31EE-398B-4BF2-A234-EF9A765A35C8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">
          <xdr14:nvContentPartPr>
            <xdr14:cNvPr id="79" name="Inkt 78">
              <a:extLst>
                <a:ext uri="{FF2B5EF4-FFF2-40B4-BE49-F238E27FC236}">
                  <a16:creationId xmlns:a16="http://schemas.microsoft.com/office/drawing/2014/main" id="{F5E7D89D-1304-437D-82F0-5A6DDBEE796A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">
          <xdr14:nvContentPartPr>
            <xdr14:cNvPr id="80" name="Inkt 79">
              <a:extLst>
                <a:ext uri="{FF2B5EF4-FFF2-40B4-BE49-F238E27FC236}">
                  <a16:creationId xmlns:a16="http://schemas.microsoft.com/office/drawing/2014/main" id="{D44CFFD5-21E5-42EE-A5A0-A05A01B02F0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">
          <xdr14:nvContentPartPr>
            <xdr14:cNvPr id="81" name="Inkt 80">
              <a:extLst>
                <a:ext uri="{FF2B5EF4-FFF2-40B4-BE49-F238E27FC236}">
                  <a16:creationId xmlns:a16="http://schemas.microsoft.com/office/drawing/2014/main" id="{7E263C66-220B-4E34-8275-21CE12F3C9EA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">
          <xdr14:nvContentPartPr>
            <xdr14:cNvPr id="82" name="Inkt 81">
              <a:extLst>
                <a:ext uri="{FF2B5EF4-FFF2-40B4-BE49-F238E27FC236}">
                  <a16:creationId xmlns:a16="http://schemas.microsoft.com/office/drawing/2014/main" id="{A456F735-AF15-47EF-9BBE-FB28D05FE4B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">
          <xdr14:nvContentPartPr>
            <xdr14:cNvPr id="83" name="Inkt 82">
              <a:extLst>
                <a:ext uri="{FF2B5EF4-FFF2-40B4-BE49-F238E27FC236}">
                  <a16:creationId xmlns:a16="http://schemas.microsoft.com/office/drawing/2014/main" id="{2E3C634F-F956-4A5C-990F-98C891EB365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">
          <xdr14:nvContentPartPr>
            <xdr14:cNvPr id="84" name="Inkt 83">
              <a:extLst>
                <a:ext uri="{FF2B5EF4-FFF2-40B4-BE49-F238E27FC236}">
                  <a16:creationId xmlns:a16="http://schemas.microsoft.com/office/drawing/2014/main" id="{07EE7E39-FE8C-4C58-8F62-B2F3DD5081C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">
          <xdr14:nvContentPartPr>
            <xdr14:cNvPr id="85" name="Inkt 84">
              <a:extLst>
                <a:ext uri="{FF2B5EF4-FFF2-40B4-BE49-F238E27FC236}">
                  <a16:creationId xmlns:a16="http://schemas.microsoft.com/office/drawing/2014/main" id="{CB7027F2-C68F-481A-9BD7-EE498DDEEA7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">
          <xdr14:nvContentPartPr>
            <xdr14:cNvPr id="86" name="Inkt 85">
              <a:extLst>
                <a:ext uri="{FF2B5EF4-FFF2-40B4-BE49-F238E27FC236}">
                  <a16:creationId xmlns:a16="http://schemas.microsoft.com/office/drawing/2014/main" id="{CBCEF877-2066-4BDD-981F-92E6FAA64EF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">
          <xdr14:nvContentPartPr>
            <xdr14:cNvPr id="87" name="Inkt 86">
              <a:extLst>
                <a:ext uri="{FF2B5EF4-FFF2-40B4-BE49-F238E27FC236}">
                  <a16:creationId xmlns:a16="http://schemas.microsoft.com/office/drawing/2014/main" id="{A0F67C54-A4BF-4CB5-9C29-801970E4986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">
          <xdr14:nvContentPartPr>
            <xdr14:cNvPr id="88" name="Inkt 87">
              <a:extLst>
                <a:ext uri="{FF2B5EF4-FFF2-40B4-BE49-F238E27FC236}">
                  <a16:creationId xmlns:a16="http://schemas.microsoft.com/office/drawing/2014/main" id="{879CA26D-4F81-44D4-9FFC-2393CC396F5D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">
          <xdr14:nvContentPartPr>
            <xdr14:cNvPr id="89" name="Inkt 88">
              <a:extLst>
                <a:ext uri="{FF2B5EF4-FFF2-40B4-BE49-F238E27FC236}">
                  <a16:creationId xmlns:a16="http://schemas.microsoft.com/office/drawing/2014/main" id="{C473CA41-1F10-431F-98FE-784ED19085C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">
          <xdr14:nvContentPartPr>
            <xdr14:cNvPr id="90" name="Inkt 89">
              <a:extLst>
                <a:ext uri="{FF2B5EF4-FFF2-40B4-BE49-F238E27FC236}">
                  <a16:creationId xmlns:a16="http://schemas.microsoft.com/office/drawing/2014/main" id="{C8D3A305-29E0-4A54-A24C-FE2C633C4F8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">
          <xdr14:nvContentPartPr>
            <xdr14:cNvPr id="91" name="Inkt 90">
              <a:extLst>
                <a:ext uri="{FF2B5EF4-FFF2-40B4-BE49-F238E27FC236}">
                  <a16:creationId xmlns:a16="http://schemas.microsoft.com/office/drawing/2014/main" id="{247A8A0A-4384-4916-9119-85009D163F9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">
          <xdr14:nvContentPartPr>
            <xdr14:cNvPr id="92" name="Inkt 91">
              <a:extLst>
                <a:ext uri="{FF2B5EF4-FFF2-40B4-BE49-F238E27FC236}">
                  <a16:creationId xmlns:a16="http://schemas.microsoft.com/office/drawing/2014/main" id="{39D3B479-DB52-457C-95B6-ACCFF9092DE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">
          <xdr14:nvContentPartPr>
            <xdr14:cNvPr id="93" name="Inkt 92">
              <a:extLst>
                <a:ext uri="{FF2B5EF4-FFF2-40B4-BE49-F238E27FC236}">
                  <a16:creationId xmlns:a16="http://schemas.microsoft.com/office/drawing/2014/main" id="{A79E9571-97A2-48DF-89D7-FF5E9D4893E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">
          <xdr14:nvContentPartPr>
            <xdr14:cNvPr id="94" name="Inkt 93">
              <a:extLst>
                <a:ext uri="{FF2B5EF4-FFF2-40B4-BE49-F238E27FC236}">
                  <a16:creationId xmlns:a16="http://schemas.microsoft.com/office/drawing/2014/main" id="{065D8B31-6DFD-40EF-BB7E-EC7EB18D0BF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">
          <xdr14:nvContentPartPr>
            <xdr14:cNvPr id="95" name="Inkt 94">
              <a:extLst>
                <a:ext uri="{FF2B5EF4-FFF2-40B4-BE49-F238E27FC236}">
                  <a16:creationId xmlns:a16="http://schemas.microsoft.com/office/drawing/2014/main" id="{C7AC1E77-2085-4F79-AC30-69DC541B640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">
          <xdr14:nvContentPartPr>
            <xdr14:cNvPr id="96" name="Inkt 95">
              <a:extLst>
                <a:ext uri="{FF2B5EF4-FFF2-40B4-BE49-F238E27FC236}">
                  <a16:creationId xmlns:a16="http://schemas.microsoft.com/office/drawing/2014/main" id="{ACE87ACC-4DDB-4E1E-8E33-57D7E7CE7A9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">
          <xdr14:nvContentPartPr>
            <xdr14:cNvPr id="97" name="Inkt 96">
              <a:extLst>
                <a:ext uri="{FF2B5EF4-FFF2-40B4-BE49-F238E27FC236}">
                  <a16:creationId xmlns:a16="http://schemas.microsoft.com/office/drawing/2014/main" id="{9EF1BE4E-8CEE-4D02-BEF5-FE1C8DE65CA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">
          <xdr14:nvContentPartPr>
            <xdr14:cNvPr id="98" name="Inkt 97">
              <a:extLst>
                <a:ext uri="{FF2B5EF4-FFF2-40B4-BE49-F238E27FC236}">
                  <a16:creationId xmlns:a16="http://schemas.microsoft.com/office/drawing/2014/main" id="{5B788478-0578-45A3-B1BE-5EAF8891B5C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">
          <xdr14:nvContentPartPr>
            <xdr14:cNvPr id="99" name="Inkt 98">
              <a:extLst>
                <a:ext uri="{FF2B5EF4-FFF2-40B4-BE49-F238E27FC236}">
                  <a16:creationId xmlns:a16="http://schemas.microsoft.com/office/drawing/2014/main" id="{A47AA9AB-C8D9-4E52-A3CA-C7E17EAA9DB1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">
          <xdr14:nvContentPartPr>
            <xdr14:cNvPr id="100" name="Inkt 99">
              <a:extLst>
                <a:ext uri="{FF2B5EF4-FFF2-40B4-BE49-F238E27FC236}">
                  <a16:creationId xmlns:a16="http://schemas.microsoft.com/office/drawing/2014/main" id="{C92D64D9-3039-4A54-8E54-C5C6AD5D9A21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">
          <xdr14:nvContentPartPr>
            <xdr14:cNvPr id="101" name="Inkt 100">
              <a:extLst>
                <a:ext uri="{FF2B5EF4-FFF2-40B4-BE49-F238E27FC236}">
                  <a16:creationId xmlns:a16="http://schemas.microsoft.com/office/drawing/2014/main" id="{E3360D49-CB9E-47B2-A6AD-90D929467B65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">
          <xdr14:nvContentPartPr>
            <xdr14:cNvPr id="102" name="Inkt 101">
              <a:extLst>
                <a:ext uri="{FF2B5EF4-FFF2-40B4-BE49-F238E27FC236}">
                  <a16:creationId xmlns:a16="http://schemas.microsoft.com/office/drawing/2014/main" id="{A2A25DB2-F8DA-4026-BC56-00FF6706BA4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">
          <xdr14:nvContentPartPr>
            <xdr14:cNvPr id="103" name="Inkt 102">
              <a:extLst>
                <a:ext uri="{FF2B5EF4-FFF2-40B4-BE49-F238E27FC236}">
                  <a16:creationId xmlns:a16="http://schemas.microsoft.com/office/drawing/2014/main" id="{A8A9FAB9-0D0F-4E0A-AD2B-93636A9B8CB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">
          <xdr14:nvContentPartPr>
            <xdr14:cNvPr id="104" name="Inkt 103">
              <a:extLst>
                <a:ext uri="{FF2B5EF4-FFF2-40B4-BE49-F238E27FC236}">
                  <a16:creationId xmlns:a16="http://schemas.microsoft.com/office/drawing/2014/main" id="{4203E91F-B9D8-4C67-81D0-973F8F93FF5B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">
          <xdr14:nvContentPartPr>
            <xdr14:cNvPr id="105" name="Inkt 104">
              <a:extLst>
                <a:ext uri="{FF2B5EF4-FFF2-40B4-BE49-F238E27FC236}">
                  <a16:creationId xmlns:a16="http://schemas.microsoft.com/office/drawing/2014/main" id="{77A739CE-B654-4E55-89EF-C69E47CE361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">
          <xdr14:nvContentPartPr>
            <xdr14:cNvPr id="106" name="Inkt 105">
              <a:extLst>
                <a:ext uri="{FF2B5EF4-FFF2-40B4-BE49-F238E27FC236}">
                  <a16:creationId xmlns:a16="http://schemas.microsoft.com/office/drawing/2014/main" id="{EFA4E4CE-D6D1-491D-A8B7-E290353767C1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">
          <xdr14:nvContentPartPr>
            <xdr14:cNvPr id="107" name="Inkt 106">
              <a:extLst>
                <a:ext uri="{FF2B5EF4-FFF2-40B4-BE49-F238E27FC236}">
                  <a16:creationId xmlns:a16="http://schemas.microsoft.com/office/drawing/2014/main" id="{BBCC95C8-1E0A-4A0D-B427-39B859707525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">
          <xdr14:nvContentPartPr>
            <xdr14:cNvPr id="108" name="Inkt 107">
              <a:extLst>
                <a:ext uri="{FF2B5EF4-FFF2-40B4-BE49-F238E27FC236}">
                  <a16:creationId xmlns:a16="http://schemas.microsoft.com/office/drawing/2014/main" id="{5F685090-71BC-40C9-8F13-ECC6200DEFD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">
          <xdr14:nvContentPartPr>
            <xdr14:cNvPr id="109" name="Inkt 108">
              <a:extLst>
                <a:ext uri="{FF2B5EF4-FFF2-40B4-BE49-F238E27FC236}">
                  <a16:creationId xmlns:a16="http://schemas.microsoft.com/office/drawing/2014/main" id="{EAF1CE16-1F00-48C5-94AC-D769F98DA85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">
          <xdr14:nvContentPartPr>
            <xdr14:cNvPr id="110" name="Inkt 109">
              <a:extLst>
                <a:ext uri="{FF2B5EF4-FFF2-40B4-BE49-F238E27FC236}">
                  <a16:creationId xmlns:a16="http://schemas.microsoft.com/office/drawing/2014/main" id="{D9CAC23B-14E5-4EEA-AC05-0C90EFD31A5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">
          <xdr14:nvContentPartPr>
            <xdr14:cNvPr id="111" name="Inkt 110">
              <a:extLst>
                <a:ext uri="{FF2B5EF4-FFF2-40B4-BE49-F238E27FC236}">
                  <a16:creationId xmlns:a16="http://schemas.microsoft.com/office/drawing/2014/main" id="{A1E91A7A-9112-4B5B-930C-9B360343F1C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">
          <xdr14:nvContentPartPr>
            <xdr14:cNvPr id="112" name="Inkt 111">
              <a:extLst>
                <a:ext uri="{FF2B5EF4-FFF2-40B4-BE49-F238E27FC236}">
                  <a16:creationId xmlns:a16="http://schemas.microsoft.com/office/drawing/2014/main" id="{EC817F85-12F4-43A1-9255-0FCE228F6FA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">
          <xdr14:nvContentPartPr>
            <xdr14:cNvPr id="113" name="Inkt 112">
              <a:extLst>
                <a:ext uri="{FF2B5EF4-FFF2-40B4-BE49-F238E27FC236}">
                  <a16:creationId xmlns:a16="http://schemas.microsoft.com/office/drawing/2014/main" id="{79A5298F-7801-4819-8C66-2735A2A7A08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">
          <xdr14:nvContentPartPr>
            <xdr14:cNvPr id="114" name="Inkt 113">
              <a:extLst>
                <a:ext uri="{FF2B5EF4-FFF2-40B4-BE49-F238E27FC236}">
                  <a16:creationId xmlns:a16="http://schemas.microsoft.com/office/drawing/2014/main" id="{845AF7CF-CE86-4926-8D4D-CA6712F0C2C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">
          <xdr14:nvContentPartPr>
            <xdr14:cNvPr id="115" name="Inkt 114">
              <a:extLst>
                <a:ext uri="{FF2B5EF4-FFF2-40B4-BE49-F238E27FC236}">
                  <a16:creationId xmlns:a16="http://schemas.microsoft.com/office/drawing/2014/main" id="{B18E6B74-EC51-4BAB-AE32-829DE6AEAD4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">
          <xdr14:nvContentPartPr>
            <xdr14:cNvPr id="116" name="Inkt 115">
              <a:extLst>
                <a:ext uri="{FF2B5EF4-FFF2-40B4-BE49-F238E27FC236}">
                  <a16:creationId xmlns:a16="http://schemas.microsoft.com/office/drawing/2014/main" id="{BFE67E7B-B1FD-4278-B3BA-7FBE5190B7D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">
          <xdr14:nvContentPartPr>
            <xdr14:cNvPr id="117" name="Inkt 116">
              <a:extLst>
                <a:ext uri="{FF2B5EF4-FFF2-40B4-BE49-F238E27FC236}">
                  <a16:creationId xmlns:a16="http://schemas.microsoft.com/office/drawing/2014/main" id="{0ACD995B-7B8E-4E0B-9C23-FBA09B08B10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">
          <xdr14:nvContentPartPr>
            <xdr14:cNvPr id="118" name="Inkt 117">
              <a:extLst>
                <a:ext uri="{FF2B5EF4-FFF2-40B4-BE49-F238E27FC236}">
                  <a16:creationId xmlns:a16="http://schemas.microsoft.com/office/drawing/2014/main" id="{9438B524-4CE8-4589-8A1E-D70B3C2952A5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">
          <xdr14:nvContentPartPr>
            <xdr14:cNvPr id="119" name="Inkt 118">
              <a:extLst>
                <a:ext uri="{FF2B5EF4-FFF2-40B4-BE49-F238E27FC236}">
                  <a16:creationId xmlns:a16="http://schemas.microsoft.com/office/drawing/2014/main" id="{565C8E22-AFF6-4AC8-BEF1-550D83AE6245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">
          <xdr14:nvContentPartPr>
            <xdr14:cNvPr id="120" name="Inkt 119">
              <a:extLst>
                <a:ext uri="{FF2B5EF4-FFF2-40B4-BE49-F238E27FC236}">
                  <a16:creationId xmlns:a16="http://schemas.microsoft.com/office/drawing/2014/main" id="{977178A6-7203-4351-BAF6-2021DDA7062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">
          <xdr14:nvContentPartPr>
            <xdr14:cNvPr id="121" name="Inkt 120">
              <a:extLst>
                <a:ext uri="{FF2B5EF4-FFF2-40B4-BE49-F238E27FC236}">
                  <a16:creationId xmlns:a16="http://schemas.microsoft.com/office/drawing/2014/main" id="{B1563134-4EE6-43B4-BADE-9416597BC43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">
          <xdr14:nvContentPartPr>
            <xdr14:cNvPr id="122" name="Inkt 121">
              <a:extLst>
                <a:ext uri="{FF2B5EF4-FFF2-40B4-BE49-F238E27FC236}">
                  <a16:creationId xmlns:a16="http://schemas.microsoft.com/office/drawing/2014/main" id="{EA120691-9E9F-42F1-B684-8AF2D675EF98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">
          <xdr14:nvContentPartPr>
            <xdr14:cNvPr id="123" name="Inkt 122">
              <a:extLst>
                <a:ext uri="{FF2B5EF4-FFF2-40B4-BE49-F238E27FC236}">
                  <a16:creationId xmlns:a16="http://schemas.microsoft.com/office/drawing/2014/main" id="{D549C350-857B-4753-9C49-7B1D3CD1C24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">
          <xdr14:nvContentPartPr>
            <xdr14:cNvPr id="124" name="Inkt 123">
              <a:extLst>
                <a:ext uri="{FF2B5EF4-FFF2-40B4-BE49-F238E27FC236}">
                  <a16:creationId xmlns:a16="http://schemas.microsoft.com/office/drawing/2014/main" id="{F7CE5084-0442-4772-91EC-150DB11C890B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">
          <xdr14:nvContentPartPr>
            <xdr14:cNvPr id="125" name="Inkt 124">
              <a:extLst>
                <a:ext uri="{FF2B5EF4-FFF2-40B4-BE49-F238E27FC236}">
                  <a16:creationId xmlns:a16="http://schemas.microsoft.com/office/drawing/2014/main" id="{D7907884-A17C-46D8-B591-C95A01C65E7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">
          <xdr14:nvContentPartPr>
            <xdr14:cNvPr id="126" name="Inkt 125">
              <a:extLst>
                <a:ext uri="{FF2B5EF4-FFF2-40B4-BE49-F238E27FC236}">
                  <a16:creationId xmlns:a16="http://schemas.microsoft.com/office/drawing/2014/main" id="{C8F6660F-8850-4642-A913-F278BE412A6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">
          <xdr14:nvContentPartPr>
            <xdr14:cNvPr id="127" name="Inkt 126">
              <a:extLst>
                <a:ext uri="{FF2B5EF4-FFF2-40B4-BE49-F238E27FC236}">
                  <a16:creationId xmlns:a16="http://schemas.microsoft.com/office/drawing/2014/main" id="{DF0F7C48-6A73-47E5-8D7A-2F4CADDE09D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">
          <xdr14:nvContentPartPr>
            <xdr14:cNvPr id="128" name="Inkt 127">
              <a:extLst>
                <a:ext uri="{FF2B5EF4-FFF2-40B4-BE49-F238E27FC236}">
                  <a16:creationId xmlns:a16="http://schemas.microsoft.com/office/drawing/2014/main" id="{C71C56C6-AFD2-46A7-88B3-605586FF0E7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">
          <xdr14:nvContentPartPr>
            <xdr14:cNvPr id="129" name="Inkt 128">
              <a:extLst>
                <a:ext uri="{FF2B5EF4-FFF2-40B4-BE49-F238E27FC236}">
                  <a16:creationId xmlns:a16="http://schemas.microsoft.com/office/drawing/2014/main" id="{60752DE8-C2A6-4741-88C3-3676B15DA2A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">
          <xdr14:nvContentPartPr>
            <xdr14:cNvPr id="130" name="Inkt 129">
              <a:extLst>
                <a:ext uri="{FF2B5EF4-FFF2-40B4-BE49-F238E27FC236}">
                  <a16:creationId xmlns:a16="http://schemas.microsoft.com/office/drawing/2014/main" id="{BABA9E1A-F180-47F8-B0BE-99248487397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">
          <xdr14:nvContentPartPr>
            <xdr14:cNvPr id="131" name="Inkt 130">
              <a:extLst>
                <a:ext uri="{FF2B5EF4-FFF2-40B4-BE49-F238E27FC236}">
                  <a16:creationId xmlns:a16="http://schemas.microsoft.com/office/drawing/2014/main" id="{D1A87FA5-25BA-4BD0-B917-87BE62DD025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">
          <xdr14:nvContentPartPr>
            <xdr14:cNvPr id="132" name="Inkt 131">
              <a:extLst>
                <a:ext uri="{FF2B5EF4-FFF2-40B4-BE49-F238E27FC236}">
                  <a16:creationId xmlns:a16="http://schemas.microsoft.com/office/drawing/2014/main" id="{EB1040E0-56F5-4253-AF8C-5E9E3B92880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">
          <xdr14:nvContentPartPr>
            <xdr14:cNvPr id="133" name="Inkt 132">
              <a:extLst>
                <a:ext uri="{FF2B5EF4-FFF2-40B4-BE49-F238E27FC236}">
                  <a16:creationId xmlns:a16="http://schemas.microsoft.com/office/drawing/2014/main" id="{EFFEDBFD-BA28-456D-A023-1468140B8DC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">
          <xdr14:nvContentPartPr>
            <xdr14:cNvPr id="134" name="Inkt 133">
              <a:extLst>
                <a:ext uri="{FF2B5EF4-FFF2-40B4-BE49-F238E27FC236}">
                  <a16:creationId xmlns:a16="http://schemas.microsoft.com/office/drawing/2014/main" id="{9F2C574E-C5CC-4D4E-9462-E1C1A9F9AD0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">
          <xdr14:nvContentPartPr>
            <xdr14:cNvPr id="135" name="Inkt 134">
              <a:extLst>
                <a:ext uri="{FF2B5EF4-FFF2-40B4-BE49-F238E27FC236}">
                  <a16:creationId xmlns:a16="http://schemas.microsoft.com/office/drawing/2014/main" id="{C28B8527-7695-4EC4-AAD0-82F27D40666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">
          <xdr14:nvContentPartPr>
            <xdr14:cNvPr id="136" name="Inkt 135">
              <a:extLst>
                <a:ext uri="{FF2B5EF4-FFF2-40B4-BE49-F238E27FC236}">
                  <a16:creationId xmlns:a16="http://schemas.microsoft.com/office/drawing/2014/main" id="{3318B422-5E31-47C5-B2DD-89CBC1DC15B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">
          <xdr14:nvContentPartPr>
            <xdr14:cNvPr id="137" name="Inkt 136">
              <a:extLst>
                <a:ext uri="{FF2B5EF4-FFF2-40B4-BE49-F238E27FC236}">
                  <a16:creationId xmlns:a16="http://schemas.microsoft.com/office/drawing/2014/main" id="{9B6E9B1F-C2CC-41C1-9876-B34713AD6CB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">
          <xdr14:nvContentPartPr>
            <xdr14:cNvPr id="138" name="Inkt 137">
              <a:extLst>
                <a:ext uri="{FF2B5EF4-FFF2-40B4-BE49-F238E27FC236}">
                  <a16:creationId xmlns:a16="http://schemas.microsoft.com/office/drawing/2014/main" id="{17F43ED4-CD80-4CFF-AA8B-9B3DF933329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">
          <xdr14:nvContentPartPr>
            <xdr14:cNvPr id="139" name="Inkt 138">
              <a:extLst>
                <a:ext uri="{FF2B5EF4-FFF2-40B4-BE49-F238E27FC236}">
                  <a16:creationId xmlns:a16="http://schemas.microsoft.com/office/drawing/2014/main" id="{3278729C-D019-43B8-9F24-71EFD1E3299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">
          <xdr14:nvContentPartPr>
            <xdr14:cNvPr id="140" name="Inkt 139">
              <a:extLst>
                <a:ext uri="{FF2B5EF4-FFF2-40B4-BE49-F238E27FC236}">
                  <a16:creationId xmlns:a16="http://schemas.microsoft.com/office/drawing/2014/main" id="{3DF335BD-55B6-462D-A4AB-F9A24CD9249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">
          <xdr14:nvContentPartPr>
            <xdr14:cNvPr id="141" name="Inkt 140">
              <a:extLst>
                <a:ext uri="{FF2B5EF4-FFF2-40B4-BE49-F238E27FC236}">
                  <a16:creationId xmlns:a16="http://schemas.microsoft.com/office/drawing/2014/main" id="{67E0EED0-BD74-4470-8F42-EAD55C3530E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">
          <xdr14:nvContentPartPr>
            <xdr14:cNvPr id="142" name="Inkt 141">
              <a:extLst>
                <a:ext uri="{FF2B5EF4-FFF2-40B4-BE49-F238E27FC236}">
                  <a16:creationId xmlns:a16="http://schemas.microsoft.com/office/drawing/2014/main" id="{BE5643C2-E6AC-4585-8447-F086FD50754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100</xdr:row>
      <xdr:rowOff>152010</xdr:rowOff>
    </xdr:from>
    <xdr:ext cx="6075" cy="48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">
          <xdr14:nvContentPartPr>
            <xdr14:cNvPr id="143" name="Inkt 142">
              <a:extLst>
                <a:ext uri="{FF2B5EF4-FFF2-40B4-BE49-F238E27FC236}">
                  <a16:creationId xmlns:a16="http://schemas.microsoft.com/office/drawing/2014/main" id="{4FC261CF-25E2-4D2A-B470-E30B336F9AD2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5" name="Inkt 4">
              <a:extLst>
                <a:ext uri="{FF2B5EF4-FFF2-40B4-BE49-F238E27FC236}">
                  <a16:creationId xmlns:a16="http://schemas.microsoft.com/office/drawing/2014/main" id="{5AA5C036-FC4A-4693-860A-F398B872D46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100</xdr:row>
      <xdr:rowOff>180450</xdr:rowOff>
    </xdr:from>
    <xdr:ext cx="6075" cy="48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">
          <xdr14:nvContentPartPr>
            <xdr14:cNvPr id="144" name="Inkt 143">
              <a:extLst>
                <a:ext uri="{FF2B5EF4-FFF2-40B4-BE49-F238E27FC236}">
                  <a16:creationId xmlns:a16="http://schemas.microsoft.com/office/drawing/2014/main" id="{60C0C9E8-998E-428E-AC40-F4F8DEB864E4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7" name="Inkt 6">
              <a:extLst>
                <a:ext uri="{FF2B5EF4-FFF2-40B4-BE49-F238E27FC236}">
                  <a16:creationId xmlns:a16="http://schemas.microsoft.com/office/drawing/2014/main" id="{066BFBF2-EBF1-411B-9821-BACE70C9FFB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90</xdr:row>
      <xdr:rowOff>152010</xdr:rowOff>
    </xdr:from>
    <xdr:ext cx="6075" cy="48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">
          <xdr14:nvContentPartPr>
            <xdr14:cNvPr id="145" name="Inkt 144">
              <a:extLst>
                <a:ext uri="{FF2B5EF4-FFF2-40B4-BE49-F238E27FC236}">
                  <a16:creationId xmlns:a16="http://schemas.microsoft.com/office/drawing/2014/main" id="{7B51461D-43DC-4920-B025-27A0B589BA3C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5" name="Inkt 4">
              <a:extLst>
                <a:ext uri="{FF2B5EF4-FFF2-40B4-BE49-F238E27FC236}">
                  <a16:creationId xmlns:a16="http://schemas.microsoft.com/office/drawing/2014/main" id="{5AA5C036-FC4A-4693-860A-F398B872D46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90</xdr:row>
      <xdr:rowOff>180450</xdr:rowOff>
    </xdr:from>
    <xdr:ext cx="6075" cy="48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">
          <xdr14:nvContentPartPr>
            <xdr14:cNvPr id="146" name="Inkt 145">
              <a:extLst>
                <a:ext uri="{FF2B5EF4-FFF2-40B4-BE49-F238E27FC236}">
                  <a16:creationId xmlns:a16="http://schemas.microsoft.com/office/drawing/2014/main" id="{7833A61C-2E30-49F9-9DFF-29541C9B3D92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7" name="Inkt 6">
              <a:extLst>
                <a:ext uri="{FF2B5EF4-FFF2-40B4-BE49-F238E27FC236}">
                  <a16:creationId xmlns:a16="http://schemas.microsoft.com/office/drawing/2014/main" id="{066BFBF2-EBF1-411B-9821-BACE70C9FFB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942690</xdr:colOff>
      <xdr:row>100</xdr:row>
      <xdr:rowOff>180450</xdr:rowOff>
    </xdr:from>
    <xdr:ext cx="6075" cy="48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">
          <xdr14:nvContentPartPr>
            <xdr14:cNvPr id="147" name="Inkt 146">
              <a:extLst>
                <a:ext uri="{FF2B5EF4-FFF2-40B4-BE49-F238E27FC236}">
                  <a16:creationId xmlns:a16="http://schemas.microsoft.com/office/drawing/2014/main" id="{EA57DDC6-9E24-409D-87D9-A19DE7634E4A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7" name="Inkt 6">
              <a:extLst>
                <a:ext uri="{FF2B5EF4-FFF2-40B4-BE49-F238E27FC236}">
                  <a16:creationId xmlns:a16="http://schemas.microsoft.com/office/drawing/2014/main" id="{066BFBF2-EBF1-411B-9821-BACE70C9FFB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">
          <xdr14:nvContentPartPr>
            <xdr14:cNvPr id="148" name="Inkt 147">
              <a:extLst>
                <a:ext uri="{FF2B5EF4-FFF2-40B4-BE49-F238E27FC236}">
                  <a16:creationId xmlns:a16="http://schemas.microsoft.com/office/drawing/2014/main" id="{2971C514-997D-4A8B-94E0-1720FCC4D79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">
          <xdr14:nvContentPartPr>
            <xdr14:cNvPr id="149" name="Inkt 148">
              <a:extLst>
                <a:ext uri="{FF2B5EF4-FFF2-40B4-BE49-F238E27FC236}">
                  <a16:creationId xmlns:a16="http://schemas.microsoft.com/office/drawing/2014/main" id="{E16D6741-4511-4526-BC21-49951697719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">
          <xdr14:nvContentPartPr>
            <xdr14:cNvPr id="150" name="Inkt 149">
              <a:extLst>
                <a:ext uri="{FF2B5EF4-FFF2-40B4-BE49-F238E27FC236}">
                  <a16:creationId xmlns:a16="http://schemas.microsoft.com/office/drawing/2014/main" id="{01A4B1CD-2CFF-437C-AB4B-76D1BC1C789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">
          <xdr14:nvContentPartPr>
            <xdr14:cNvPr id="151" name="Inkt 150">
              <a:extLst>
                <a:ext uri="{FF2B5EF4-FFF2-40B4-BE49-F238E27FC236}">
                  <a16:creationId xmlns:a16="http://schemas.microsoft.com/office/drawing/2014/main" id="{EEF07538-2403-4EB5-8D8D-6F970BDCC93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">
          <xdr14:nvContentPartPr>
            <xdr14:cNvPr id="152" name="Inkt 151">
              <a:extLst>
                <a:ext uri="{FF2B5EF4-FFF2-40B4-BE49-F238E27FC236}">
                  <a16:creationId xmlns:a16="http://schemas.microsoft.com/office/drawing/2014/main" id="{0A548954-7DD0-419F-A30B-C6E644EA7EF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">
          <xdr14:nvContentPartPr>
            <xdr14:cNvPr id="153" name="Inkt 152">
              <a:extLst>
                <a:ext uri="{FF2B5EF4-FFF2-40B4-BE49-F238E27FC236}">
                  <a16:creationId xmlns:a16="http://schemas.microsoft.com/office/drawing/2014/main" id="{99F48521-7997-41DF-A027-19AFD7AD810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">
          <xdr14:nvContentPartPr>
            <xdr14:cNvPr id="154" name="Inkt 153">
              <a:extLst>
                <a:ext uri="{FF2B5EF4-FFF2-40B4-BE49-F238E27FC236}">
                  <a16:creationId xmlns:a16="http://schemas.microsoft.com/office/drawing/2014/main" id="{B43CDF04-3B22-42F9-AE4D-8CC1FFB7B2C5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">
          <xdr14:nvContentPartPr>
            <xdr14:cNvPr id="155" name="Inkt 154">
              <a:extLst>
                <a:ext uri="{FF2B5EF4-FFF2-40B4-BE49-F238E27FC236}">
                  <a16:creationId xmlns:a16="http://schemas.microsoft.com/office/drawing/2014/main" id="{57D0B173-C9E9-4924-9A9D-1B9EDE7EEE0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">
          <xdr14:nvContentPartPr>
            <xdr14:cNvPr id="156" name="Inkt 155">
              <a:extLst>
                <a:ext uri="{FF2B5EF4-FFF2-40B4-BE49-F238E27FC236}">
                  <a16:creationId xmlns:a16="http://schemas.microsoft.com/office/drawing/2014/main" id="{9123223F-122A-4A26-A201-63EC723B724D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">
          <xdr14:nvContentPartPr>
            <xdr14:cNvPr id="157" name="Inkt 156">
              <a:extLst>
                <a:ext uri="{FF2B5EF4-FFF2-40B4-BE49-F238E27FC236}">
                  <a16:creationId xmlns:a16="http://schemas.microsoft.com/office/drawing/2014/main" id="{77772CA2-28E6-4FE4-BA29-885E0655BA5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">
          <xdr14:nvContentPartPr>
            <xdr14:cNvPr id="158" name="Inkt 157">
              <a:extLst>
                <a:ext uri="{FF2B5EF4-FFF2-40B4-BE49-F238E27FC236}">
                  <a16:creationId xmlns:a16="http://schemas.microsoft.com/office/drawing/2014/main" id="{473B09CA-6CAD-4458-9850-6391434A622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">
          <xdr14:nvContentPartPr>
            <xdr14:cNvPr id="159" name="Inkt 158">
              <a:extLst>
                <a:ext uri="{FF2B5EF4-FFF2-40B4-BE49-F238E27FC236}">
                  <a16:creationId xmlns:a16="http://schemas.microsoft.com/office/drawing/2014/main" id="{45456F86-413E-4A1E-97E1-AF85D9C05B3D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">
          <xdr14:nvContentPartPr>
            <xdr14:cNvPr id="160" name="Inkt 159">
              <a:extLst>
                <a:ext uri="{FF2B5EF4-FFF2-40B4-BE49-F238E27FC236}">
                  <a16:creationId xmlns:a16="http://schemas.microsoft.com/office/drawing/2014/main" id="{9BD5A4B1-0964-4BD2-AD26-434AD43F6F8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">
          <xdr14:nvContentPartPr>
            <xdr14:cNvPr id="161" name="Inkt 160">
              <a:extLst>
                <a:ext uri="{FF2B5EF4-FFF2-40B4-BE49-F238E27FC236}">
                  <a16:creationId xmlns:a16="http://schemas.microsoft.com/office/drawing/2014/main" id="{26819083-DCCB-4D53-BD82-971C64E6EA1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">
          <xdr14:nvContentPartPr>
            <xdr14:cNvPr id="162" name="Inkt 161">
              <a:extLst>
                <a:ext uri="{FF2B5EF4-FFF2-40B4-BE49-F238E27FC236}">
                  <a16:creationId xmlns:a16="http://schemas.microsoft.com/office/drawing/2014/main" id="{E9CEFB95-124B-4AF3-9ADD-ADAFA8F626E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102</xdr:row>
      <xdr:rowOff>123480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">
          <xdr14:nvContentPartPr>
            <xdr14:cNvPr id="163" name="Inkt 162">
              <a:extLst>
                <a:ext uri="{FF2B5EF4-FFF2-40B4-BE49-F238E27FC236}">
                  <a16:creationId xmlns:a16="http://schemas.microsoft.com/office/drawing/2014/main" id="{A4C92F1D-4AB9-427C-86DA-B503E24F210C}"/>
                </a:ext>
              </a:extLst>
            </xdr14:cNvPr>
            <xdr14:cNvContentPartPr/>
          </xdr14:nvContentPartPr>
          <xdr14:nvPr macro=""/>
          <xdr14:xfrm>
            <a:off x="4752720" y="18401955"/>
            <a:ext cx="360" cy="360"/>
          </xdr14:xfrm>
        </xdr:contentPart>
      </mc:Choice>
      <mc:Fallback xmlns="">
        <xdr:pic>
          <xdr:nvPicPr>
            <xdr:cNvPr id="8" name="Inkt 7">
              <a:extLst>
                <a:ext uri="{FF2B5EF4-FFF2-40B4-BE49-F238E27FC236}">
                  <a16:creationId xmlns:a16="http://schemas.microsoft.com/office/drawing/2014/main" id="{77B27B3E-808F-4A47-A919-6110D6061A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44080" y="183933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92</xdr:row>
      <xdr:rowOff>123480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">
          <xdr14:nvContentPartPr>
            <xdr14:cNvPr id="164" name="Inkt 163">
              <a:extLst>
                <a:ext uri="{FF2B5EF4-FFF2-40B4-BE49-F238E27FC236}">
                  <a16:creationId xmlns:a16="http://schemas.microsoft.com/office/drawing/2014/main" id="{9E8B8423-9B4C-4EE5-A136-F60E0FA3D83C}"/>
                </a:ext>
              </a:extLst>
            </xdr14:cNvPr>
            <xdr14:cNvContentPartPr/>
          </xdr14:nvContentPartPr>
          <xdr14:nvPr macro=""/>
          <xdr14:xfrm>
            <a:off x="4752720" y="18401955"/>
            <a:ext cx="360" cy="360"/>
          </xdr14:xfrm>
        </xdr:contentPart>
      </mc:Choice>
      <mc:Fallback xmlns="">
        <xdr:pic>
          <xdr:nvPicPr>
            <xdr:cNvPr id="8" name="Inkt 7">
              <a:extLst>
                <a:ext uri="{FF2B5EF4-FFF2-40B4-BE49-F238E27FC236}">
                  <a16:creationId xmlns:a16="http://schemas.microsoft.com/office/drawing/2014/main" id="{77B27B3E-808F-4A47-A919-6110D6061A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44080" y="183933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80</xdr:row>
      <xdr:rowOff>123480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">
          <xdr14:nvContentPartPr>
            <xdr14:cNvPr id="165" name="Inkt 164">
              <a:extLst>
                <a:ext uri="{FF2B5EF4-FFF2-40B4-BE49-F238E27FC236}">
                  <a16:creationId xmlns:a16="http://schemas.microsoft.com/office/drawing/2014/main" id="{843F4126-2D18-44D6-A339-95AC0D867470}"/>
                </a:ext>
              </a:extLst>
            </xdr14:cNvPr>
            <xdr14:cNvContentPartPr/>
          </xdr14:nvContentPartPr>
          <xdr14:nvPr macro=""/>
          <xdr14:xfrm>
            <a:off x="4752720" y="18401955"/>
            <a:ext cx="360" cy="360"/>
          </xdr14:xfrm>
        </xdr:contentPart>
      </mc:Choice>
      <mc:Fallback xmlns="">
        <xdr:pic>
          <xdr:nvPicPr>
            <xdr:cNvPr id="8" name="Inkt 7">
              <a:extLst>
                <a:ext uri="{FF2B5EF4-FFF2-40B4-BE49-F238E27FC236}">
                  <a16:creationId xmlns:a16="http://schemas.microsoft.com/office/drawing/2014/main" id="{77B27B3E-808F-4A47-A919-6110D6061A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44080" y="183933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150</xdr:row>
      <xdr:rowOff>123480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">
          <xdr14:nvContentPartPr>
            <xdr14:cNvPr id="166" name="Inkt 165">
              <a:extLst>
                <a:ext uri="{FF2B5EF4-FFF2-40B4-BE49-F238E27FC236}">
                  <a16:creationId xmlns:a16="http://schemas.microsoft.com/office/drawing/2014/main" id="{2691B9F0-9384-4565-A9DC-4417716C9D7D}"/>
                </a:ext>
              </a:extLst>
            </xdr14:cNvPr>
            <xdr14:cNvContentPartPr/>
          </xdr14:nvContentPartPr>
          <xdr14:nvPr macro=""/>
          <xdr14:xfrm>
            <a:off x="4752720" y="18401955"/>
            <a:ext cx="360" cy="360"/>
          </xdr14:xfrm>
        </xdr:contentPart>
      </mc:Choice>
      <mc:Fallback xmlns="">
        <xdr:pic>
          <xdr:nvPicPr>
            <xdr:cNvPr id="8" name="Inkt 7">
              <a:extLst>
                <a:ext uri="{FF2B5EF4-FFF2-40B4-BE49-F238E27FC236}">
                  <a16:creationId xmlns:a16="http://schemas.microsoft.com/office/drawing/2014/main" id="{77B27B3E-808F-4A47-A919-6110D6061A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44080" y="183933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11.24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8:12.88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0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0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1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1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2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2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3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3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3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3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34.24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4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4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27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27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28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28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29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29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0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0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34.24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1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1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2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2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3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3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4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4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5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5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34.24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6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6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7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7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8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9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9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40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41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41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43.69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42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42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8:08:24.39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8:08:24.39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8:10:23.22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8:10:23.23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8:33:40.74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2.12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3.06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3.58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43.69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1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2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3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3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4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5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5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6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7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8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43.69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8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9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8:19.53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8:21.57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8:27.38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8:40.26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54.77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54.77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54.77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13.07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1 104,'0'-11,"0"-11,0-14,0 1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2-16T14:56:17.28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2-16T14:56:17.28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2-17T11:46:57.69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2-17T11:46:57.69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2-17T11:46:57.69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3-24T12:55:22.30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3-24T12:55:23.51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4-14T13:54:07.56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4-14T13:54:07.56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2:12:41.25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24.58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2:12:41.25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2:15:08.90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78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78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79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0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1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2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3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4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25.44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5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6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7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8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9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90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91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43.42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44.53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45.13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28.29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45.97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46.61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4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4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5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5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6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6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7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7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29.43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7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7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8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8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9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9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0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0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1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1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42.66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2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2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2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2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3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3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4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4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5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5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44.46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6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6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2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2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3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3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4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4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5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5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8:12.88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6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6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6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6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7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7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8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8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9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9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K52"/>
  <sheetViews>
    <sheetView workbookViewId="0"/>
  </sheetViews>
  <sheetFormatPr defaultRowHeight="10.199999999999999" outlineLevelCol="2" x14ac:dyDescent="0.2"/>
  <cols>
    <col min="1" max="1" width="3" customWidth="1"/>
    <col min="2" max="2" width="20.875" bestFit="1" customWidth="1"/>
    <col min="3" max="3" width="26.75" bestFit="1" customWidth="1"/>
    <col min="4" max="4" width="10.875" bestFit="1" customWidth="1"/>
    <col min="5" max="8" width="9.25" bestFit="1" customWidth="1"/>
    <col min="9" max="18" width="9.25" hidden="1" customWidth="1" outlineLevel="1"/>
    <col min="19" max="19" width="9.25" bestFit="1" customWidth="1" collapsed="1"/>
    <col min="20" max="20" width="9.875" customWidth="1"/>
    <col min="21" max="30" width="9.125" hidden="1" customWidth="1" outlineLevel="1"/>
    <col min="31" max="31" width="9.375" bestFit="1" customWidth="1" collapsed="1"/>
    <col min="32" max="37" width="10.875" hidden="1" customWidth="1" outlineLevel="1"/>
    <col min="38" max="38" width="12" hidden="1" customWidth="1" outlineLevel="1"/>
    <col min="39" max="41" width="10.875" hidden="1" customWidth="1" outlineLevel="1"/>
    <col min="42" max="42" width="12" bestFit="1" customWidth="1" collapsed="1"/>
    <col min="43" max="48" width="13.25" hidden="1" customWidth="1" outlineLevel="1"/>
    <col min="49" max="49" width="15" hidden="1" customWidth="1" outlineLevel="1"/>
    <col min="50" max="52" width="13.25" hidden="1" customWidth="1" outlineLevel="1"/>
    <col min="53" max="53" width="15.125" bestFit="1" customWidth="1" collapsed="1"/>
    <col min="55" max="57" width="14.375" customWidth="1"/>
    <col min="58" max="67" width="12.125" hidden="1" customWidth="1" outlineLevel="1"/>
    <col min="68" max="68" width="13.125" bestFit="1" customWidth="1" collapsed="1"/>
    <col min="69" max="70" width="11.875" customWidth="1"/>
    <col min="71" max="80" width="10.125" hidden="1" customWidth="1" outlineLevel="1"/>
    <col min="81" max="81" width="13.125" bestFit="1" customWidth="1" collapsed="1"/>
    <col min="82" max="83" width="11" hidden="1" customWidth="1" outlineLevel="1"/>
    <col min="84" max="91" width="12.125" hidden="1" customWidth="1" outlineLevel="1"/>
    <col min="92" max="92" width="9.25" bestFit="1" customWidth="1" collapsed="1"/>
    <col min="94" max="97" width="12.375" customWidth="1"/>
    <col min="98" max="107" width="13.75" hidden="1" customWidth="1" outlineLevel="1"/>
    <col min="108" max="108" width="13.625" customWidth="1" collapsed="1"/>
    <col min="109" max="110" width="11.125" customWidth="1"/>
    <col min="111" max="120" width="11.125" hidden="1" customWidth="1" outlineLevel="1"/>
    <col min="121" max="121" width="13.125" bestFit="1" customWidth="1" collapsed="1"/>
    <col min="122" max="131" width="13.125" hidden="1" customWidth="1" outlineLevel="1"/>
    <col min="132" max="132" width="13.125" customWidth="1" collapsed="1"/>
    <col min="134" max="134" width="9.25" bestFit="1" customWidth="1"/>
    <col min="135" max="139" width="11.25" hidden="1" customWidth="1" outlineLevel="2"/>
    <col min="140" max="142" width="13.125" hidden="1" customWidth="1" outlineLevel="2"/>
    <col min="143" max="144" width="11.25" hidden="1" customWidth="1" outlineLevel="2"/>
    <col min="145" max="145" width="11.625" bestFit="1" customWidth="1" collapsed="1"/>
    <col min="146" max="155" width="10.75" hidden="1" customWidth="1" outlineLevel="1"/>
    <col min="156" max="156" width="11.375" bestFit="1" customWidth="1" collapsed="1"/>
    <col min="158" max="158" width="12" customWidth="1"/>
    <col min="159" max="164" width="10.25" hidden="1" customWidth="1" outlineLevel="1"/>
    <col min="165" max="165" width="11.375" hidden="1" customWidth="1" outlineLevel="1"/>
    <col min="166" max="168" width="10.25" hidden="1" customWidth="1" outlineLevel="1"/>
    <col min="169" max="169" width="11.375" bestFit="1" customWidth="1" collapsed="1"/>
    <col min="171" max="171" width="12.25" customWidth="1"/>
    <col min="172" max="174" width="10.875" customWidth="1"/>
    <col min="175" max="179" width="12.25" customWidth="1"/>
    <col min="180" max="189" width="11.375" hidden="1" customWidth="1" outlineLevel="1"/>
    <col min="190" max="190" width="13.25" bestFit="1" customWidth="1" collapsed="1"/>
    <col min="192" max="192" width="9.25" bestFit="1" customWidth="1"/>
    <col min="193" max="193" width="12.375" customWidth="1"/>
    <col min="194" max="194" width="13.75" customWidth="1"/>
    <col min="195" max="196" width="13.625" customWidth="1"/>
    <col min="197" max="206" width="13.25" hidden="1" customWidth="1" outlineLevel="1"/>
    <col min="207" max="207" width="14.375" bestFit="1" customWidth="1" collapsed="1"/>
    <col min="209" max="218" width="13.25" hidden="1" customWidth="1" outlineLevel="1"/>
    <col min="219" max="219" width="14.25" bestFit="1" customWidth="1" collapsed="1"/>
  </cols>
  <sheetData>
    <row r="2" spans="1:219" ht="15.6" x14ac:dyDescent="0.3">
      <c r="B2" s="19" t="s">
        <v>0</v>
      </c>
    </row>
    <row r="3" spans="1:219" ht="15.6" x14ac:dyDescent="0.3">
      <c r="B3" t="s">
        <v>1</v>
      </c>
      <c r="C3" s="20">
        <v>2030</v>
      </c>
      <c r="E3" s="6"/>
      <c r="F3" t="s">
        <v>2</v>
      </c>
      <c r="ED3" s="21" t="s">
        <v>3</v>
      </c>
    </row>
    <row r="4" spans="1:219" ht="16.2" x14ac:dyDescent="0.3">
      <c r="A4" s="12"/>
      <c r="B4" s="1"/>
      <c r="E4" s="26"/>
      <c r="F4" t="s">
        <v>4</v>
      </c>
      <c r="I4" s="22"/>
      <c r="U4" s="22"/>
      <c r="AF4" s="22"/>
      <c r="AQ4" s="22"/>
      <c r="BF4" s="22"/>
      <c r="BS4" s="22"/>
      <c r="CD4" s="22" t="s">
        <v>5</v>
      </c>
      <c r="CT4" s="22"/>
      <c r="DG4" s="22"/>
      <c r="DR4" s="23"/>
      <c r="EE4" s="22"/>
      <c r="FC4" s="22"/>
      <c r="FX4" s="22"/>
      <c r="GO4" s="22"/>
      <c r="HA4" s="22"/>
    </row>
    <row r="5" spans="1:219" ht="16.2" x14ac:dyDescent="0.3">
      <c r="A5" s="12"/>
      <c r="B5" s="24" t="s">
        <v>6</v>
      </c>
      <c r="BC5" s="24" t="s">
        <v>7</v>
      </c>
      <c r="CP5" s="24" t="s">
        <v>8</v>
      </c>
      <c r="CQ5" s="24"/>
      <c r="CR5" s="24"/>
      <c r="CS5" s="24"/>
      <c r="ED5" s="24" t="s">
        <v>9</v>
      </c>
      <c r="FB5" s="24" t="s">
        <v>10</v>
      </c>
      <c r="FO5" s="24" t="s">
        <v>11</v>
      </c>
      <c r="GJ5" s="24" t="s">
        <v>12</v>
      </c>
      <c r="HA5" s="24" t="s">
        <v>13</v>
      </c>
    </row>
    <row r="6" spans="1:219" x14ac:dyDescent="0.2">
      <c r="A6" s="12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</row>
    <row r="7" spans="1:219" s="15" customFormat="1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</row>
    <row r="8" spans="1:219" s="18" customFormat="1" x14ac:dyDescent="0.2">
      <c r="A8" s="16"/>
      <c r="B8" s="16"/>
      <c r="C8" s="16"/>
      <c r="D8" s="16"/>
      <c r="E8" s="16"/>
      <c r="F8" s="16"/>
      <c r="G8" s="16"/>
      <c r="H8" s="16"/>
      <c r="I8" s="17"/>
      <c r="J8" s="17"/>
      <c r="K8" s="17"/>
      <c r="L8" s="17"/>
      <c r="M8" s="17"/>
      <c r="N8" s="17"/>
      <c r="O8" s="17"/>
      <c r="P8" s="17"/>
      <c r="Q8" s="17"/>
      <c r="R8" s="17"/>
      <c r="S8" s="16"/>
      <c r="T8" s="16"/>
      <c r="U8" s="17"/>
      <c r="V8" s="17"/>
      <c r="W8" s="17"/>
      <c r="X8" s="17"/>
      <c r="Y8" s="17"/>
      <c r="Z8" s="17"/>
      <c r="AA8" s="17"/>
      <c r="AB8" s="17"/>
      <c r="AC8" s="17"/>
      <c r="AD8" s="17"/>
      <c r="AE8" s="16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6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6"/>
      <c r="BB8" s="16"/>
      <c r="BC8" s="16"/>
      <c r="BD8" s="16"/>
      <c r="BE8" s="16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6"/>
      <c r="BQ8" s="16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6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6"/>
      <c r="CO8" s="16"/>
      <c r="CP8" s="16"/>
      <c r="CQ8" s="16"/>
      <c r="CR8" s="16"/>
      <c r="CS8" s="16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6"/>
      <c r="DE8" s="16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6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6"/>
      <c r="EC8" s="16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6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6"/>
      <c r="FA8" s="16"/>
      <c r="FB8" s="16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6"/>
      <c r="FN8" s="16"/>
      <c r="FO8" s="16"/>
      <c r="FP8" s="16"/>
      <c r="FQ8" s="16"/>
      <c r="FR8" s="16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6"/>
      <c r="GI8" s="16"/>
      <c r="GJ8" s="16"/>
      <c r="GK8" s="16"/>
      <c r="GL8" s="16"/>
      <c r="GM8" s="16"/>
      <c r="GN8" s="16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6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6"/>
    </row>
    <row r="9" spans="1:219" ht="51" x14ac:dyDescent="0.2">
      <c r="A9" s="12"/>
      <c r="B9" s="9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9" t="s">
        <v>19</v>
      </c>
      <c r="H9" s="9" t="s">
        <v>20</v>
      </c>
      <c r="I9" s="25">
        <v>2021</v>
      </c>
      <c r="J9" s="25">
        <v>2022</v>
      </c>
      <c r="K9" s="25">
        <v>2023</v>
      </c>
      <c r="L9" s="25">
        <v>2024</v>
      </c>
      <c r="M9" s="25">
        <v>2025</v>
      </c>
      <c r="N9" s="25">
        <v>2026</v>
      </c>
      <c r="O9" s="25">
        <v>2027</v>
      </c>
      <c r="P9" s="25">
        <v>2028</v>
      </c>
      <c r="Q9" s="25">
        <v>2029</v>
      </c>
      <c r="R9" s="25">
        <v>2030</v>
      </c>
      <c r="S9" s="9" t="s">
        <v>21</v>
      </c>
      <c r="T9" s="9" t="s">
        <v>22</v>
      </c>
      <c r="U9" s="25">
        <f>$I$9</f>
        <v>2021</v>
      </c>
      <c r="V9" s="25">
        <f>U9+1</f>
        <v>2022</v>
      </c>
      <c r="W9" s="25">
        <f t="shared" ref="W9:AD9" si="0">V9+1</f>
        <v>2023</v>
      </c>
      <c r="X9" s="25">
        <f t="shared" si="0"/>
        <v>2024</v>
      </c>
      <c r="Y9" s="25">
        <f t="shared" si="0"/>
        <v>2025</v>
      </c>
      <c r="Z9" s="25">
        <f t="shared" si="0"/>
        <v>2026</v>
      </c>
      <c r="AA9" s="25">
        <f t="shared" si="0"/>
        <v>2027</v>
      </c>
      <c r="AB9" s="25">
        <f t="shared" si="0"/>
        <v>2028</v>
      </c>
      <c r="AC9" s="25">
        <f t="shared" si="0"/>
        <v>2029</v>
      </c>
      <c r="AD9" s="25">
        <f t="shared" si="0"/>
        <v>2030</v>
      </c>
      <c r="AE9" s="9" t="s">
        <v>23</v>
      </c>
      <c r="AF9" s="25">
        <f>$I$9</f>
        <v>2021</v>
      </c>
      <c r="AG9" s="25">
        <f>AF9+1</f>
        <v>2022</v>
      </c>
      <c r="AH9" s="25">
        <f t="shared" ref="AH9:AO9" si="1">AG9+1</f>
        <v>2023</v>
      </c>
      <c r="AI9" s="25">
        <f t="shared" si="1"/>
        <v>2024</v>
      </c>
      <c r="AJ9" s="25">
        <f t="shared" si="1"/>
        <v>2025</v>
      </c>
      <c r="AK9" s="25">
        <f t="shared" si="1"/>
        <v>2026</v>
      </c>
      <c r="AL9" s="25">
        <f t="shared" si="1"/>
        <v>2027</v>
      </c>
      <c r="AM9" s="25">
        <f t="shared" si="1"/>
        <v>2028</v>
      </c>
      <c r="AN9" s="25">
        <f t="shared" si="1"/>
        <v>2029</v>
      </c>
      <c r="AO9" s="25">
        <f t="shared" si="1"/>
        <v>2030</v>
      </c>
      <c r="AP9" s="9" t="s">
        <v>24</v>
      </c>
      <c r="AQ9" s="25">
        <f>$I$9</f>
        <v>2021</v>
      </c>
      <c r="AR9" s="25">
        <f>AQ9+1</f>
        <v>2022</v>
      </c>
      <c r="AS9" s="25">
        <f t="shared" ref="AS9:AZ9" si="2">AR9+1</f>
        <v>2023</v>
      </c>
      <c r="AT9" s="25">
        <f t="shared" si="2"/>
        <v>2024</v>
      </c>
      <c r="AU9" s="25">
        <f t="shared" si="2"/>
        <v>2025</v>
      </c>
      <c r="AV9" s="25">
        <f t="shared" si="2"/>
        <v>2026</v>
      </c>
      <c r="AW9" s="25">
        <f t="shared" si="2"/>
        <v>2027</v>
      </c>
      <c r="AX9" s="25">
        <f t="shared" si="2"/>
        <v>2028</v>
      </c>
      <c r="AY9" s="25">
        <f t="shared" si="2"/>
        <v>2029</v>
      </c>
      <c r="AZ9" s="25">
        <f t="shared" si="2"/>
        <v>2030</v>
      </c>
      <c r="BA9" s="9" t="s">
        <v>25</v>
      </c>
      <c r="BC9" s="9" t="s">
        <v>26</v>
      </c>
      <c r="BD9" s="9" t="s">
        <v>27</v>
      </c>
      <c r="BE9" s="9" t="s">
        <v>28</v>
      </c>
      <c r="BF9" s="25">
        <f>$I$9</f>
        <v>2021</v>
      </c>
      <c r="BG9" s="25">
        <f>BF9+1</f>
        <v>2022</v>
      </c>
      <c r="BH9" s="25">
        <f t="shared" ref="BH9:BO9" si="3">BG9+1</f>
        <v>2023</v>
      </c>
      <c r="BI9" s="25">
        <f t="shared" si="3"/>
        <v>2024</v>
      </c>
      <c r="BJ9" s="25">
        <f t="shared" si="3"/>
        <v>2025</v>
      </c>
      <c r="BK9" s="25">
        <f t="shared" si="3"/>
        <v>2026</v>
      </c>
      <c r="BL9" s="25">
        <f t="shared" si="3"/>
        <v>2027</v>
      </c>
      <c r="BM9" s="25">
        <f t="shared" si="3"/>
        <v>2028</v>
      </c>
      <c r="BN9" s="25">
        <f t="shared" si="3"/>
        <v>2029</v>
      </c>
      <c r="BO9" s="25">
        <f t="shared" si="3"/>
        <v>2030</v>
      </c>
      <c r="BP9" s="9" t="s">
        <v>29</v>
      </c>
      <c r="BQ9" s="9" t="s">
        <v>30</v>
      </c>
      <c r="BR9" s="9" t="s">
        <v>31</v>
      </c>
      <c r="BS9" s="25">
        <f>$I$9</f>
        <v>2021</v>
      </c>
      <c r="BT9" s="25">
        <f>BS9+1</f>
        <v>2022</v>
      </c>
      <c r="BU9" s="25">
        <f t="shared" ref="BU9:CB9" si="4">BT9+1</f>
        <v>2023</v>
      </c>
      <c r="BV9" s="25">
        <f t="shared" si="4"/>
        <v>2024</v>
      </c>
      <c r="BW9" s="25">
        <f t="shared" si="4"/>
        <v>2025</v>
      </c>
      <c r="BX9" s="25">
        <f t="shared" si="4"/>
        <v>2026</v>
      </c>
      <c r="BY9" s="25">
        <f t="shared" si="4"/>
        <v>2027</v>
      </c>
      <c r="BZ9" s="25">
        <f t="shared" si="4"/>
        <v>2028</v>
      </c>
      <c r="CA9" s="25">
        <f t="shared" si="4"/>
        <v>2029</v>
      </c>
      <c r="CB9" s="25">
        <f t="shared" si="4"/>
        <v>2030</v>
      </c>
      <c r="CC9" s="9" t="s">
        <v>32</v>
      </c>
      <c r="CD9" s="25">
        <f>$I$9</f>
        <v>2021</v>
      </c>
      <c r="CE9" s="25">
        <f>CD9+1</f>
        <v>2022</v>
      </c>
      <c r="CF9" s="25">
        <f t="shared" ref="CF9:CM9" si="5">CE9+1</f>
        <v>2023</v>
      </c>
      <c r="CG9" s="25">
        <f t="shared" si="5"/>
        <v>2024</v>
      </c>
      <c r="CH9" s="25">
        <f t="shared" si="5"/>
        <v>2025</v>
      </c>
      <c r="CI9" s="25">
        <f t="shared" si="5"/>
        <v>2026</v>
      </c>
      <c r="CJ9" s="25">
        <f t="shared" si="5"/>
        <v>2027</v>
      </c>
      <c r="CK9" s="25">
        <f t="shared" si="5"/>
        <v>2028</v>
      </c>
      <c r="CL9" s="25">
        <f t="shared" si="5"/>
        <v>2029</v>
      </c>
      <c r="CM9" s="25">
        <f t="shared" si="5"/>
        <v>2030</v>
      </c>
      <c r="CN9" s="9" t="s">
        <v>33</v>
      </c>
      <c r="CP9" s="9" t="s">
        <v>34</v>
      </c>
      <c r="CQ9" s="9" t="s">
        <v>35</v>
      </c>
      <c r="CR9" s="9" t="s">
        <v>36</v>
      </c>
      <c r="CS9" s="9" t="s">
        <v>37</v>
      </c>
      <c r="CT9" s="25">
        <f>$I$9</f>
        <v>2021</v>
      </c>
      <c r="CU9" s="25">
        <f>CT9+1</f>
        <v>2022</v>
      </c>
      <c r="CV9" s="25">
        <f t="shared" ref="CV9:DC9" si="6">CU9+1</f>
        <v>2023</v>
      </c>
      <c r="CW9" s="25">
        <f t="shared" si="6"/>
        <v>2024</v>
      </c>
      <c r="CX9" s="25">
        <f t="shared" si="6"/>
        <v>2025</v>
      </c>
      <c r="CY9" s="25">
        <f t="shared" si="6"/>
        <v>2026</v>
      </c>
      <c r="CZ9" s="25">
        <f t="shared" si="6"/>
        <v>2027</v>
      </c>
      <c r="DA9" s="25">
        <f t="shared" si="6"/>
        <v>2028</v>
      </c>
      <c r="DB9" s="25">
        <f t="shared" si="6"/>
        <v>2029</v>
      </c>
      <c r="DC9" s="25">
        <f t="shared" si="6"/>
        <v>2030</v>
      </c>
      <c r="DD9" s="9" t="s">
        <v>38</v>
      </c>
      <c r="DE9" s="9" t="s">
        <v>39</v>
      </c>
      <c r="DF9" s="9" t="s">
        <v>40</v>
      </c>
      <c r="DG9" s="25">
        <f>$I$9</f>
        <v>2021</v>
      </c>
      <c r="DH9" s="25">
        <f>DG9+1</f>
        <v>2022</v>
      </c>
      <c r="DI9" s="25">
        <f t="shared" ref="DI9:DP9" si="7">DH9+1</f>
        <v>2023</v>
      </c>
      <c r="DJ9" s="25">
        <f t="shared" si="7"/>
        <v>2024</v>
      </c>
      <c r="DK9" s="25">
        <f t="shared" si="7"/>
        <v>2025</v>
      </c>
      <c r="DL9" s="25">
        <f t="shared" si="7"/>
        <v>2026</v>
      </c>
      <c r="DM9" s="25">
        <f t="shared" si="7"/>
        <v>2027</v>
      </c>
      <c r="DN9" s="25">
        <f t="shared" si="7"/>
        <v>2028</v>
      </c>
      <c r="DO9" s="25">
        <f t="shared" si="7"/>
        <v>2029</v>
      </c>
      <c r="DP9" s="25">
        <f t="shared" si="7"/>
        <v>2030</v>
      </c>
      <c r="DQ9" s="9" t="s">
        <v>41</v>
      </c>
      <c r="DR9" s="25">
        <f>$I$9</f>
        <v>2021</v>
      </c>
      <c r="DS9" s="25">
        <f>DR9+1</f>
        <v>2022</v>
      </c>
      <c r="DT9" s="25">
        <f t="shared" ref="DT9:EA9" si="8">DS9+1</f>
        <v>2023</v>
      </c>
      <c r="DU9" s="25">
        <f t="shared" si="8"/>
        <v>2024</v>
      </c>
      <c r="DV9" s="25">
        <f t="shared" si="8"/>
        <v>2025</v>
      </c>
      <c r="DW9" s="25">
        <f t="shared" si="8"/>
        <v>2026</v>
      </c>
      <c r="DX9" s="25">
        <f t="shared" si="8"/>
        <v>2027</v>
      </c>
      <c r="DY9" s="25">
        <f t="shared" si="8"/>
        <v>2028</v>
      </c>
      <c r="DZ9" s="25">
        <f t="shared" si="8"/>
        <v>2029</v>
      </c>
      <c r="EA9" s="25">
        <f t="shared" si="8"/>
        <v>2030</v>
      </c>
      <c r="EB9" s="9" t="s">
        <v>42</v>
      </c>
      <c r="ED9" s="9" t="s">
        <v>43</v>
      </c>
      <c r="EE9" s="25">
        <f>$I$9</f>
        <v>2021</v>
      </c>
      <c r="EF9" s="25">
        <f>EE9+1</f>
        <v>2022</v>
      </c>
      <c r="EG9" s="25">
        <f t="shared" ref="EG9:EN9" si="9">EF9+1</f>
        <v>2023</v>
      </c>
      <c r="EH9" s="25">
        <f t="shared" si="9"/>
        <v>2024</v>
      </c>
      <c r="EI9" s="25">
        <f t="shared" si="9"/>
        <v>2025</v>
      </c>
      <c r="EJ9" s="25">
        <f t="shared" si="9"/>
        <v>2026</v>
      </c>
      <c r="EK9" s="25">
        <f t="shared" si="9"/>
        <v>2027</v>
      </c>
      <c r="EL9" s="25">
        <f t="shared" si="9"/>
        <v>2028</v>
      </c>
      <c r="EM9" s="25">
        <f t="shared" si="9"/>
        <v>2029</v>
      </c>
      <c r="EN9" s="25">
        <f t="shared" si="9"/>
        <v>2030</v>
      </c>
      <c r="EO9" s="9" t="s">
        <v>44</v>
      </c>
      <c r="EP9" s="25">
        <f>$I$9</f>
        <v>2021</v>
      </c>
      <c r="EQ9" s="25">
        <f>EP9+1</f>
        <v>2022</v>
      </c>
      <c r="ER9" s="25">
        <f t="shared" ref="ER9:EY9" si="10">EQ9+1</f>
        <v>2023</v>
      </c>
      <c r="ES9" s="25">
        <f t="shared" si="10"/>
        <v>2024</v>
      </c>
      <c r="ET9" s="25">
        <f t="shared" si="10"/>
        <v>2025</v>
      </c>
      <c r="EU9" s="25">
        <f t="shared" si="10"/>
        <v>2026</v>
      </c>
      <c r="EV9" s="25">
        <f t="shared" si="10"/>
        <v>2027</v>
      </c>
      <c r="EW9" s="25">
        <f t="shared" si="10"/>
        <v>2028</v>
      </c>
      <c r="EX9" s="25">
        <f t="shared" si="10"/>
        <v>2029</v>
      </c>
      <c r="EY9" s="25">
        <f t="shared" si="10"/>
        <v>2030</v>
      </c>
      <c r="EZ9" s="9" t="s">
        <v>45</v>
      </c>
      <c r="FB9" s="9" t="s">
        <v>46</v>
      </c>
      <c r="FC9" s="25">
        <f>$I$9</f>
        <v>2021</v>
      </c>
      <c r="FD9" s="25">
        <f>FC9+1</f>
        <v>2022</v>
      </c>
      <c r="FE9" s="25">
        <f t="shared" ref="FE9:FL9" si="11">FD9+1</f>
        <v>2023</v>
      </c>
      <c r="FF9" s="25">
        <f t="shared" si="11"/>
        <v>2024</v>
      </c>
      <c r="FG9" s="25">
        <f t="shared" si="11"/>
        <v>2025</v>
      </c>
      <c r="FH9" s="25">
        <f t="shared" si="11"/>
        <v>2026</v>
      </c>
      <c r="FI9" s="25">
        <f t="shared" si="11"/>
        <v>2027</v>
      </c>
      <c r="FJ9" s="25">
        <f t="shared" si="11"/>
        <v>2028</v>
      </c>
      <c r="FK9" s="25">
        <f t="shared" si="11"/>
        <v>2029</v>
      </c>
      <c r="FL9" s="25">
        <f t="shared" si="11"/>
        <v>2030</v>
      </c>
      <c r="FM9" s="9" t="s">
        <v>47</v>
      </c>
      <c r="FO9" s="9" t="s">
        <v>48</v>
      </c>
      <c r="FP9" s="9" t="s">
        <v>49</v>
      </c>
      <c r="FQ9" s="9" t="s">
        <v>50</v>
      </c>
      <c r="FR9" s="9" t="s">
        <v>51</v>
      </c>
      <c r="FS9" s="9" t="s">
        <v>52</v>
      </c>
      <c r="FT9" s="9" t="s">
        <v>53</v>
      </c>
      <c r="FU9" s="9" t="s">
        <v>54</v>
      </c>
      <c r="FV9" s="9" t="s">
        <v>55</v>
      </c>
      <c r="FW9" s="9" t="s">
        <v>56</v>
      </c>
      <c r="FX9" s="25">
        <f>$I$9</f>
        <v>2021</v>
      </c>
      <c r="FY9" s="25">
        <f>FX9+1</f>
        <v>2022</v>
      </c>
      <c r="FZ9" s="25">
        <f t="shared" ref="FZ9:GG9" si="12">FY9+1</f>
        <v>2023</v>
      </c>
      <c r="GA9" s="25">
        <f t="shared" si="12"/>
        <v>2024</v>
      </c>
      <c r="GB9" s="25">
        <f t="shared" si="12"/>
        <v>2025</v>
      </c>
      <c r="GC9" s="25">
        <f t="shared" si="12"/>
        <v>2026</v>
      </c>
      <c r="GD9" s="25">
        <f t="shared" si="12"/>
        <v>2027</v>
      </c>
      <c r="GE9" s="25">
        <f t="shared" si="12"/>
        <v>2028</v>
      </c>
      <c r="GF9" s="25">
        <f t="shared" si="12"/>
        <v>2029</v>
      </c>
      <c r="GG9" s="25">
        <f t="shared" si="12"/>
        <v>2030</v>
      </c>
      <c r="GH9" s="9" t="s">
        <v>57</v>
      </c>
      <c r="GI9" s="9"/>
      <c r="GJ9" s="9" t="s">
        <v>58</v>
      </c>
      <c r="GK9" s="9" t="s">
        <v>59</v>
      </c>
      <c r="GL9" s="9" t="s">
        <v>60</v>
      </c>
      <c r="GM9" s="9" t="s">
        <v>61</v>
      </c>
      <c r="GN9" s="9" t="s">
        <v>62</v>
      </c>
      <c r="GO9" s="25">
        <f>$I$9</f>
        <v>2021</v>
      </c>
      <c r="GP9" s="25">
        <f>GO9+1</f>
        <v>2022</v>
      </c>
      <c r="GQ9" s="25">
        <f t="shared" ref="GQ9:GX9" si="13">GP9+1</f>
        <v>2023</v>
      </c>
      <c r="GR9" s="25">
        <f t="shared" si="13"/>
        <v>2024</v>
      </c>
      <c r="GS9" s="25">
        <f t="shared" si="13"/>
        <v>2025</v>
      </c>
      <c r="GT9" s="25">
        <f t="shared" si="13"/>
        <v>2026</v>
      </c>
      <c r="GU9" s="25">
        <f t="shared" si="13"/>
        <v>2027</v>
      </c>
      <c r="GV9" s="25">
        <f t="shared" si="13"/>
        <v>2028</v>
      </c>
      <c r="GW9" s="25">
        <f t="shared" si="13"/>
        <v>2029</v>
      </c>
      <c r="GX9" s="25">
        <f t="shared" si="13"/>
        <v>2030</v>
      </c>
      <c r="GY9" s="9" t="s">
        <v>63</v>
      </c>
      <c r="HA9" s="25">
        <f>$I$9</f>
        <v>2021</v>
      </c>
      <c r="HB9" s="25">
        <f>HA9+1</f>
        <v>2022</v>
      </c>
      <c r="HC9" s="25">
        <f t="shared" ref="HC9:HJ9" si="14">HB9+1</f>
        <v>2023</v>
      </c>
      <c r="HD9" s="25">
        <f t="shared" si="14"/>
        <v>2024</v>
      </c>
      <c r="HE9" s="25">
        <f t="shared" si="14"/>
        <v>2025</v>
      </c>
      <c r="HF9" s="25">
        <f t="shared" si="14"/>
        <v>2026</v>
      </c>
      <c r="HG9" s="25">
        <f t="shared" si="14"/>
        <v>2027</v>
      </c>
      <c r="HH9" s="25">
        <f t="shared" si="14"/>
        <v>2028</v>
      </c>
      <c r="HI9" s="25">
        <f t="shared" si="14"/>
        <v>2029</v>
      </c>
      <c r="HJ9" s="25">
        <f t="shared" si="14"/>
        <v>2030</v>
      </c>
      <c r="HK9" s="9" t="s">
        <v>64</v>
      </c>
    </row>
    <row r="10" spans="1:219" x14ac:dyDescent="0.2">
      <c r="A10" s="12"/>
      <c r="B10" s="6" t="s">
        <v>65</v>
      </c>
      <c r="C10" s="6" t="s">
        <v>66</v>
      </c>
      <c r="D10" s="6" t="s">
        <v>67</v>
      </c>
      <c r="E10" s="6">
        <v>50</v>
      </c>
      <c r="F10" s="6">
        <v>40</v>
      </c>
      <c r="G10" s="36">
        <v>2016</v>
      </c>
      <c r="H10" s="36">
        <v>2021</v>
      </c>
      <c r="I10" s="38">
        <f t="shared" ref="I10:R18" si="15">IF($H10="",0,IF($H10&lt;=I$9,IF((I$9-$G10)&lt;$BQ10,IF(I$9&lt;=$C$3,1,0),0),0))</f>
        <v>1</v>
      </c>
      <c r="J10" s="38">
        <f t="shared" si="15"/>
        <v>1</v>
      </c>
      <c r="K10" s="38">
        <f t="shared" si="15"/>
        <v>1</v>
      </c>
      <c r="L10" s="38">
        <f t="shared" si="15"/>
        <v>1</v>
      </c>
      <c r="M10" s="38">
        <f t="shared" si="15"/>
        <v>1</v>
      </c>
      <c r="N10" s="38">
        <f t="shared" si="15"/>
        <v>0</v>
      </c>
      <c r="O10" s="38">
        <f t="shared" si="15"/>
        <v>0</v>
      </c>
      <c r="P10" s="38">
        <f t="shared" si="15"/>
        <v>0</v>
      </c>
      <c r="Q10" s="38">
        <f t="shared" si="15"/>
        <v>0</v>
      </c>
      <c r="R10" s="38">
        <f t="shared" si="15"/>
        <v>0</v>
      </c>
      <c r="S10" s="39">
        <f t="shared" ref="S10:S18" si="16">SUM(I10:R10)</f>
        <v>5</v>
      </c>
      <c r="T10" s="6">
        <v>25</v>
      </c>
      <c r="U10" s="38">
        <f t="shared" ref="U10:U18" si="17">I10*$T10</f>
        <v>25</v>
      </c>
      <c r="V10" s="38">
        <f t="shared" ref="V10:V18" si="18">J10*$T10</f>
        <v>25</v>
      </c>
      <c r="W10" s="38">
        <f t="shared" ref="W10:W18" si="19">K10*$T10</f>
        <v>25</v>
      </c>
      <c r="X10" s="38">
        <f t="shared" ref="X10:X18" si="20">L10*$T10</f>
        <v>25</v>
      </c>
      <c r="Y10" s="38">
        <f t="shared" ref="Y10:Y18" si="21">M10*$T10</f>
        <v>25</v>
      </c>
      <c r="Z10" s="38">
        <f t="shared" ref="Z10:Z18" si="22">N10*$T10</f>
        <v>0</v>
      </c>
      <c r="AA10" s="38">
        <f t="shared" ref="AA10:AA18" si="23">O10*$T10</f>
        <v>0</v>
      </c>
      <c r="AB10" s="38">
        <f t="shared" ref="AB10:AB18" si="24">P10*$T10</f>
        <v>0</v>
      </c>
      <c r="AC10" s="38">
        <f t="shared" ref="AC10:AC18" si="25">Q10*$T10</f>
        <v>0</v>
      </c>
      <c r="AD10" s="38">
        <f t="shared" ref="AD10:AD18" si="26">R10*$T10</f>
        <v>0</v>
      </c>
      <c r="AE10" s="27"/>
      <c r="AF10" s="40">
        <v>3250</v>
      </c>
      <c r="AG10" s="40">
        <v>3250</v>
      </c>
      <c r="AH10" s="40">
        <v>3250</v>
      </c>
      <c r="AI10" s="40">
        <v>3250</v>
      </c>
      <c r="AJ10" s="40">
        <v>3250</v>
      </c>
      <c r="AK10" s="40"/>
      <c r="AL10" s="40"/>
      <c r="AM10" s="40"/>
      <c r="AN10" s="40"/>
      <c r="AO10" s="40"/>
      <c r="AP10" s="38">
        <f t="shared" ref="AP10:AP18" si="27">SUM(AF10:AO10)</f>
        <v>16250</v>
      </c>
      <c r="AQ10" s="40">
        <f t="shared" ref="AQ10:AU11" si="28">AF10*28</f>
        <v>91000</v>
      </c>
      <c r="AR10" s="40">
        <f t="shared" si="28"/>
        <v>91000</v>
      </c>
      <c r="AS10" s="40">
        <f t="shared" si="28"/>
        <v>91000</v>
      </c>
      <c r="AT10" s="40">
        <f t="shared" si="28"/>
        <v>91000</v>
      </c>
      <c r="AU10" s="40">
        <f t="shared" si="28"/>
        <v>91000</v>
      </c>
      <c r="AV10" s="40"/>
      <c r="AW10" s="40"/>
      <c r="AX10" s="40"/>
      <c r="AY10" s="40"/>
      <c r="AZ10" s="40"/>
      <c r="BA10" s="38">
        <f t="shared" ref="BA10:BA18" si="29">SUM(AQ10:AZ10)</f>
        <v>455000</v>
      </c>
      <c r="BC10" s="8">
        <v>250000</v>
      </c>
      <c r="BD10" s="8">
        <v>15000</v>
      </c>
      <c r="BE10" s="28">
        <v>20000</v>
      </c>
      <c r="BF10" s="29">
        <f t="shared" ref="BF10:BF18" si="30">IF(BF$9=$H10,SUM($BC10:$BD10)-((SUM($BC10:$BD10)-BE10)/$BQ10)*(I$9-$G10),0)-IF((I$9-$G10)=$BQ10,$BE10,0)</f>
        <v>142500</v>
      </c>
      <c r="BG10" s="29">
        <f>IF(BG$9=$H10,SUM($BC10:$BD10)-((SUM($BC10:$BD10)-#REF!)/$BQ10)*(J$9-$G10),0)-IF((J$9-$G10)=$BQ10,$BE10,0)</f>
        <v>0</v>
      </c>
      <c r="BH10" s="29">
        <f t="shared" ref="BH10:BH18" si="31">IF(BH$9=$H10,SUM($BC10:$BD10)-((SUM($BC10:$BD10)-BF10)/$BQ10)*(K$9-$G10),0)-IF((K$9-$G10)=$BQ10,$BE10,0)</f>
        <v>0</v>
      </c>
      <c r="BI10" s="29">
        <f t="shared" ref="BI10:BI18" si="32">IF(BI$9=$H10,SUM($BC10:$BD10)-((SUM($BC10:$BD10)-BG10)/$BQ10)*(L$9-$G10),0)-IF((L$9-$G10)=$BQ10,$BE10,0)</f>
        <v>0</v>
      </c>
      <c r="BJ10" s="29">
        <f t="shared" ref="BJ10:BJ18" si="33">IF(BJ$9=$H10,SUM($BC10:$BD10)-((SUM($BC10:$BD10)-BH10)/$BQ10)*(M$9-$G10),0)-IF((M$9-$G10)=$BQ10,$BE10,0)</f>
        <v>0</v>
      </c>
      <c r="BK10" s="29">
        <f t="shared" ref="BK10:BK18" si="34">IF(BK$9=$H10,SUM($BC10:$BD10)-((SUM($BC10:$BD10)-BI10)/$BQ10)*(N$9-$G10),0)-IF((N$9-$G10)=$BQ10,$BE10,0)</f>
        <v>-20000</v>
      </c>
      <c r="BL10" s="29">
        <f t="shared" ref="BL10:BL18" si="35">IF(BL$9=$H10,SUM($BC10:$BD10)-((SUM($BC10:$BD10)-BJ10)/$BQ10)*(O$9-$G10),0)-IF((O$9-$G10)=$BQ10,$BE10,0)</f>
        <v>0</v>
      </c>
      <c r="BM10" s="29">
        <f t="shared" ref="BM10:BM18" si="36">IF(BM$9=$H10,SUM($BC10:$BD10)-((SUM($BC10:$BD10)-BK10)/$BQ10)*(P$9-$G10),0)-IF((P$9-$G10)=$BQ10,$BE10,0)</f>
        <v>0</v>
      </c>
      <c r="BN10" s="29">
        <f t="shared" ref="BN10:BN18" si="37">IF(BN$9=$H10,SUM($BC10:$BD10)-((SUM($BC10:$BD10)-BL10)/$BQ10)*(Q$9-$G10),0)-IF((Q$9-$G10)=$BQ10,$BE10,0)</f>
        <v>0</v>
      </c>
      <c r="BO10" s="29">
        <f t="shared" ref="BO10:BO18" si="38">IF(BO$9=$H10,SUM($BC10:$BD10)-((SUM($BC10:$BD10)-BM10)/$BQ10)*(R$9-$G10),0)-IF((R$9-$G10)=$BQ10,$BE10,0)</f>
        <v>0</v>
      </c>
      <c r="BP10" s="11">
        <f t="shared" ref="BP10:BP18" si="39">SUM(BF10:BO10)</f>
        <v>122500</v>
      </c>
      <c r="BQ10" s="6">
        <v>10</v>
      </c>
      <c r="BR10" s="11">
        <f t="shared" ref="BR10:BR18" si="40">(BC10+BD10-BE10)/BQ10</f>
        <v>24500</v>
      </c>
      <c r="BS10" s="30">
        <f t="shared" ref="BS10:BS18" si="41">$BR10*I10</f>
        <v>24500</v>
      </c>
      <c r="BT10" s="30">
        <f t="shared" ref="BT10:BT18" si="42">$BR10*J10</f>
        <v>24500</v>
      </c>
      <c r="BU10" s="30">
        <f t="shared" ref="BU10:BU18" si="43">$BR10*K10</f>
        <v>24500</v>
      </c>
      <c r="BV10" s="30">
        <f t="shared" ref="BV10:BV18" si="44">$BR10*L10</f>
        <v>24500</v>
      </c>
      <c r="BW10" s="30">
        <f t="shared" ref="BW10:BW18" si="45">$BR10*M10</f>
        <v>24500</v>
      </c>
      <c r="BX10" s="30">
        <f t="shared" ref="BX10:BX18" si="46">$BR10*N10</f>
        <v>0</v>
      </c>
      <c r="BY10" s="30">
        <f t="shared" ref="BY10:BY18" si="47">$BR10*O10</f>
        <v>0</v>
      </c>
      <c r="BZ10" s="30">
        <f t="shared" ref="BZ10:BZ18" si="48">$BR10*P10</f>
        <v>0</v>
      </c>
      <c r="CA10" s="30">
        <f t="shared" ref="CA10:CA18" si="49">$BR10*Q10</f>
        <v>0</v>
      </c>
      <c r="CB10" s="30">
        <f t="shared" ref="CB10:CB18" si="50">$BR10*R10</f>
        <v>0</v>
      </c>
      <c r="CC10" s="11">
        <f t="shared" ref="CC10:CC18" si="51">SUM(BS10:CB10)</f>
        <v>122500</v>
      </c>
      <c r="CD10" s="30">
        <f>SUM($BF10:BF10)-SUM($BS10:BS10)</f>
        <v>118000</v>
      </c>
      <c r="CE10" s="30">
        <f>SUM($BF10:BG10)-SUM($BS10:BT10)</f>
        <v>93500</v>
      </c>
      <c r="CF10" s="30">
        <f>SUM($BF10:BH10)-SUM($BS10:BU10)</f>
        <v>69000</v>
      </c>
      <c r="CG10" s="30">
        <f>SUM($BF10:BI10)-SUM($BS10:BV10)</f>
        <v>44500</v>
      </c>
      <c r="CH10" s="30">
        <f>SUM($BF10:BJ10)-SUM($BS10:BW10)</f>
        <v>20000</v>
      </c>
      <c r="CI10" s="30">
        <f>SUM($BF10:BK10)-SUM($BS10:BX10)</f>
        <v>0</v>
      </c>
      <c r="CJ10" s="30">
        <f>SUM($BF10:BL10)-SUM($BS10:BY10)</f>
        <v>0</v>
      </c>
      <c r="CK10" s="30">
        <f>SUM($BF10:BM10)-SUM($BS10:BZ10)</f>
        <v>0</v>
      </c>
      <c r="CL10" s="30">
        <f>SUM($BF10:BN10)-SUM($BS10:CA10)</f>
        <v>0</v>
      </c>
      <c r="CM10" s="30">
        <f>SUM($BF10:BO10)-SUM($BS10:CB10)</f>
        <v>0</v>
      </c>
      <c r="CN10" s="11"/>
      <c r="CP10" s="8">
        <v>0</v>
      </c>
      <c r="CQ10" s="8">
        <v>0</v>
      </c>
      <c r="CR10" s="41">
        <f t="shared" ref="CR10:CR18" si="52">CP10*T10</f>
        <v>0</v>
      </c>
      <c r="CS10" s="41">
        <f t="shared" ref="CS10:CS18" si="53">CQ10*T10</f>
        <v>0</v>
      </c>
      <c r="CT10" s="29">
        <f t="shared" ref="CT10:DC12" si="54">IF(CT$9=$H10,$CR10-(($CR10-$CS10)/$DE10)*(I$9-$G10),0)-IF((I$9-$G10)=$DE10,$CS10,0)</f>
        <v>0</v>
      </c>
      <c r="CU10" s="29">
        <f t="shared" si="54"/>
        <v>0</v>
      </c>
      <c r="CV10" s="29">
        <f t="shared" si="54"/>
        <v>0</v>
      </c>
      <c r="CW10" s="29">
        <f t="shared" si="54"/>
        <v>0</v>
      </c>
      <c r="CX10" s="29">
        <f t="shared" si="54"/>
        <v>0</v>
      </c>
      <c r="CY10" s="29">
        <f t="shared" si="54"/>
        <v>0</v>
      </c>
      <c r="CZ10" s="29">
        <f t="shared" si="54"/>
        <v>0</v>
      </c>
      <c r="DA10" s="29">
        <f t="shared" si="54"/>
        <v>0</v>
      </c>
      <c r="DB10" s="29">
        <f t="shared" si="54"/>
        <v>0</v>
      </c>
      <c r="DC10" s="29">
        <f t="shared" si="54"/>
        <v>0</v>
      </c>
      <c r="DD10" s="11">
        <f t="shared" ref="DD10:DD18" si="55">SUM(CT10:DC10)</f>
        <v>0</v>
      </c>
      <c r="DE10" s="31">
        <v>7.5</v>
      </c>
      <c r="DF10" s="37">
        <f t="shared" ref="DF10:DF18" si="56">IF(CR10=0,0,CR10/DE10)</f>
        <v>0</v>
      </c>
      <c r="DG10" s="29">
        <f t="shared" ref="DG10:DG18" si="57">$DF10*I10</f>
        <v>0</v>
      </c>
      <c r="DH10" s="29">
        <f t="shared" ref="DH10:DH18" si="58">$DF10*J10</f>
        <v>0</v>
      </c>
      <c r="DI10" s="29">
        <f t="shared" ref="DI10:DI18" si="59">$DF10*K10</f>
        <v>0</v>
      </c>
      <c r="DJ10" s="29">
        <f t="shared" ref="DJ10:DJ18" si="60">$DF10*L10</f>
        <v>0</v>
      </c>
      <c r="DK10" s="29">
        <f t="shared" ref="DK10:DK18" si="61">$DF10*M10</f>
        <v>0</v>
      </c>
      <c r="DL10" s="29">
        <f t="shared" ref="DL10:DL18" si="62">$DF10*N10</f>
        <v>0</v>
      </c>
      <c r="DM10" s="29">
        <f t="shared" ref="DM10:DM18" si="63">$DF10*O10</f>
        <v>0</v>
      </c>
      <c r="DN10" s="29">
        <f t="shared" ref="DN10:DN18" si="64">$DF10*P10</f>
        <v>0</v>
      </c>
      <c r="DO10" s="29">
        <f t="shared" ref="DO10:DO18" si="65">$DF10*Q10</f>
        <v>0</v>
      </c>
      <c r="DP10" s="29">
        <f t="shared" ref="DP10:DP18" si="66">$DF10*R10</f>
        <v>0</v>
      </c>
      <c r="DQ10" s="11">
        <f t="shared" ref="DQ10:DQ18" si="67">SUM(DG10:DP10)</f>
        <v>0</v>
      </c>
      <c r="DR10" s="29">
        <f>SUM($CT10:CT10)-SUM($DG10:DG10)</f>
        <v>0</v>
      </c>
      <c r="DS10" s="29">
        <f>SUM($CT10:CU10)-SUM($DG10:DH10)</f>
        <v>0</v>
      </c>
      <c r="DT10" s="29">
        <f>SUM($CT10:CV10)-SUM($DG10:DI10)</f>
        <v>0</v>
      </c>
      <c r="DU10" s="29">
        <f>SUM($CT10:CW10)-SUM($DG10:DJ10)</f>
        <v>0</v>
      </c>
      <c r="DV10" s="29">
        <f>SUM($CT10:CX10)-SUM($DG10:DK10)</f>
        <v>0</v>
      </c>
      <c r="DW10" s="29">
        <f>SUM($CT10:CY10)-SUM($DG10:DL10)</f>
        <v>0</v>
      </c>
      <c r="DX10" s="29">
        <f>SUM($CT10:CZ10)-SUM($DG10:DM10)</f>
        <v>0</v>
      </c>
      <c r="DY10" s="29">
        <f>SUM($CT10:DA10)-SUM($DG10:DN10)</f>
        <v>0</v>
      </c>
      <c r="DZ10" s="29">
        <f>SUM($CT10:DB10)-SUM($DG10:DO10)</f>
        <v>0</v>
      </c>
      <c r="EA10" s="29">
        <f>SUM($CT10:DC10)-SUM($DG10:DP10)</f>
        <v>0</v>
      </c>
      <c r="EB10" s="11"/>
      <c r="ED10" s="32">
        <v>0.03</v>
      </c>
      <c r="EE10" s="30">
        <f t="shared" ref="EE10:EN12" si="68">CD10+BS10/2+DG10+DR10/2</f>
        <v>130250</v>
      </c>
      <c r="EF10" s="30">
        <f t="shared" si="68"/>
        <v>105750</v>
      </c>
      <c r="EG10" s="30">
        <f t="shared" si="68"/>
        <v>81250</v>
      </c>
      <c r="EH10" s="30">
        <f t="shared" si="68"/>
        <v>56750</v>
      </c>
      <c r="EI10" s="30">
        <f t="shared" si="68"/>
        <v>32250</v>
      </c>
      <c r="EJ10" s="30">
        <f t="shared" si="68"/>
        <v>0</v>
      </c>
      <c r="EK10" s="30">
        <f t="shared" si="68"/>
        <v>0</v>
      </c>
      <c r="EL10" s="30">
        <f t="shared" si="68"/>
        <v>0</v>
      </c>
      <c r="EM10" s="30">
        <f t="shared" si="68"/>
        <v>0</v>
      </c>
      <c r="EN10" s="30">
        <f t="shared" si="68"/>
        <v>0</v>
      </c>
      <c r="EO10" s="11"/>
      <c r="EP10" s="30">
        <f t="shared" ref="EP10:EP18" si="69">IF(EP$9&lt;=$C$3,EE10*$ED10,0)</f>
        <v>3907.5</v>
      </c>
      <c r="EQ10" s="30">
        <f t="shared" ref="EQ10:EQ18" si="70">IF(EQ$9&lt;=$C$3,EF10*$ED10,0)</f>
        <v>3172.5</v>
      </c>
      <c r="ER10" s="30">
        <f t="shared" ref="ER10:ER18" si="71">IF(ER$9&lt;=$C$3,EG10*$ED10,0)</f>
        <v>2437.5</v>
      </c>
      <c r="ES10" s="30">
        <f t="shared" ref="ES10:ES18" si="72">IF(ES$9&lt;=$C$3,EH10*$ED10,0)</f>
        <v>1702.5</v>
      </c>
      <c r="ET10" s="30">
        <f t="shared" ref="ET10:ET18" si="73">IF(ET$9&lt;=$C$3,EI10*$ED10,0)</f>
        <v>967.5</v>
      </c>
      <c r="EU10" s="30">
        <f t="shared" ref="EU10:EU18" si="74">IF(EU$9&lt;=$C$3,EJ10*$ED10,0)</f>
        <v>0</v>
      </c>
      <c r="EV10" s="30">
        <f t="shared" ref="EV10:EV18" si="75">IF(EV$9&lt;=$C$3,EK10*$ED10,0)</f>
        <v>0</v>
      </c>
      <c r="EW10" s="30">
        <f t="shared" ref="EW10:EW18" si="76">IF(EW$9&lt;=$C$3,EL10*$ED10,0)</f>
        <v>0</v>
      </c>
      <c r="EX10" s="30">
        <f t="shared" ref="EX10:EX18" si="77">IF(EX$9&lt;=$C$3,EM10*$ED10,0)</f>
        <v>0</v>
      </c>
      <c r="EY10" s="30">
        <f t="shared" ref="EY10:EY18" si="78">IF(EY$9&lt;=$C$3,EN10*$ED10,0)</f>
        <v>0</v>
      </c>
      <c r="EZ10" s="11">
        <f t="shared" ref="EZ10:EZ18" si="79">SUM(EP10:EY10)</f>
        <v>12187.5</v>
      </c>
      <c r="FB10" s="7">
        <v>0.16</v>
      </c>
      <c r="FC10" s="30">
        <f t="shared" ref="FC10:FC18" si="80">$FB10*AQ10</f>
        <v>14560</v>
      </c>
      <c r="FD10" s="30">
        <f t="shared" ref="FD10:FD18" si="81">$FB10*AR10</f>
        <v>14560</v>
      </c>
      <c r="FE10" s="30">
        <f t="shared" ref="FE10:FE18" si="82">$FB10*AS10</f>
        <v>14560</v>
      </c>
      <c r="FF10" s="30">
        <f t="shared" ref="FF10:FF18" si="83">$FB10*AT10</f>
        <v>14560</v>
      </c>
      <c r="FG10" s="30">
        <f t="shared" ref="FG10:FG18" si="84">$FB10*AU10</f>
        <v>14560</v>
      </c>
      <c r="FH10" s="30">
        <f t="shared" ref="FH10:FH18" si="85">$FB10*AV10</f>
        <v>0</v>
      </c>
      <c r="FI10" s="30">
        <f t="shared" ref="FI10:FI18" si="86">$FB10*AW10</f>
        <v>0</v>
      </c>
      <c r="FJ10" s="30">
        <f t="shared" ref="FJ10:FJ18" si="87">$FB10*AX10</f>
        <v>0</v>
      </c>
      <c r="FK10" s="30">
        <f t="shared" ref="FK10:FK18" si="88">$FB10*AY10</f>
        <v>0</v>
      </c>
      <c r="FL10" s="30">
        <f t="shared" ref="FL10:FL18" si="89">$FB10*AZ10</f>
        <v>0</v>
      </c>
      <c r="FM10" s="11">
        <f t="shared" ref="FM10:FM18" si="90">SUM(FC10:FL10)</f>
        <v>72800</v>
      </c>
      <c r="FO10" s="8">
        <v>500</v>
      </c>
      <c r="FP10" s="8">
        <v>1000</v>
      </c>
      <c r="FQ10" s="8">
        <v>1000</v>
      </c>
      <c r="FR10" s="8">
        <v>100</v>
      </c>
      <c r="FS10" s="13">
        <f t="shared" ref="FS10:FS18" si="91">FO10*$T10</f>
        <v>12500</v>
      </c>
      <c r="FT10" s="13">
        <f t="shared" ref="FT10:FT18" si="92">FP10*$T10</f>
        <v>25000</v>
      </c>
      <c r="FU10" s="13">
        <f t="shared" ref="FU10:FU18" si="93">FQ10*$T10</f>
        <v>25000</v>
      </c>
      <c r="FV10" s="13">
        <f t="shared" ref="FV10:FV18" si="94">FR10*$T10</f>
        <v>2500</v>
      </c>
      <c r="FW10" s="3">
        <f t="shared" ref="FW10:FW18" si="95">SUM(FS10:FV10)</f>
        <v>65000</v>
      </c>
      <c r="FX10" s="30">
        <f t="shared" ref="FX10:FX18" si="96">$FW10*I10</f>
        <v>65000</v>
      </c>
      <c r="FY10" s="30">
        <f t="shared" ref="FY10:FY18" si="97">$FW10*J10</f>
        <v>65000</v>
      </c>
      <c r="FZ10" s="30">
        <f t="shared" ref="FZ10:FZ18" si="98">$FW10*K10</f>
        <v>65000</v>
      </c>
      <c r="GA10" s="30">
        <f t="shared" ref="GA10:GA18" si="99">$FW10*L10</f>
        <v>65000</v>
      </c>
      <c r="GB10" s="30">
        <f t="shared" ref="GB10:GB18" si="100">$FW10*M10</f>
        <v>65000</v>
      </c>
      <c r="GC10" s="30">
        <f t="shared" ref="GC10:GC18" si="101">$FW10*N10</f>
        <v>0</v>
      </c>
      <c r="GD10" s="30">
        <f t="shared" ref="GD10:GD18" si="102">$FW10*O10</f>
        <v>0</v>
      </c>
      <c r="GE10" s="30">
        <f t="shared" ref="GE10:GE18" si="103">$FW10*P10</f>
        <v>0</v>
      </c>
      <c r="GF10" s="30">
        <f t="shared" ref="GF10:GF18" si="104">$FW10*Q10</f>
        <v>0</v>
      </c>
      <c r="GG10" s="30">
        <f t="shared" ref="GG10:GG18" si="105">$FW10*R10</f>
        <v>0</v>
      </c>
      <c r="GH10" s="11">
        <f t="shared" ref="GH10:GH18" si="106">SUM(FX10:GG10)</f>
        <v>325000</v>
      </c>
      <c r="GI10" s="11"/>
      <c r="GJ10" s="6" t="s">
        <v>68</v>
      </c>
      <c r="GK10" s="6">
        <v>20</v>
      </c>
      <c r="GL10" s="7">
        <v>1.1000000000000001</v>
      </c>
      <c r="GM10" s="3">
        <f t="shared" ref="GM10:GM18" si="107">BA10/100*GK10</f>
        <v>91000</v>
      </c>
      <c r="GN10" s="33">
        <f t="shared" ref="GN10:GN18" si="108">GL10*GM10</f>
        <v>100100.00000000001</v>
      </c>
      <c r="GO10" s="30">
        <f t="shared" ref="GO10:GO18" si="109">$GN10*I10</f>
        <v>100100.00000000001</v>
      </c>
      <c r="GP10" s="30">
        <f t="shared" ref="GP10:GP18" si="110">$GN10*J10</f>
        <v>100100.00000000001</v>
      </c>
      <c r="GQ10" s="30">
        <f t="shared" ref="GQ10:GQ18" si="111">$GN10*K10</f>
        <v>100100.00000000001</v>
      </c>
      <c r="GR10" s="30">
        <f t="shared" ref="GR10:GR18" si="112">$GN10*L10</f>
        <v>100100.00000000001</v>
      </c>
      <c r="GS10" s="30">
        <f t="shared" ref="GS10:GS18" si="113">$GN10*M10</f>
        <v>100100.00000000001</v>
      </c>
      <c r="GT10" s="30">
        <f t="shared" ref="GT10:GT18" si="114">$GN10*N10</f>
        <v>0</v>
      </c>
      <c r="GU10" s="30">
        <f t="shared" ref="GU10:GU18" si="115">$GN10*O10</f>
        <v>0</v>
      </c>
      <c r="GV10" s="30">
        <f t="shared" ref="GV10:GV18" si="116">$GN10*P10</f>
        <v>0</v>
      </c>
      <c r="GW10" s="30">
        <f t="shared" ref="GW10:GW18" si="117">$GN10*Q10</f>
        <v>0</v>
      </c>
      <c r="GX10" s="30">
        <f t="shared" ref="GX10:GX18" si="118">$GN10*R10</f>
        <v>0</v>
      </c>
      <c r="GY10" s="11">
        <f t="shared" ref="GY10:GY18" si="119">SUM(GO10:GX10)</f>
        <v>500500.00000000006</v>
      </c>
      <c r="HA10" s="30">
        <f t="shared" ref="HA10:HA18" si="120">BS10+DG10+EE10+FX10+GO10</f>
        <v>319850</v>
      </c>
      <c r="HB10" s="30">
        <f t="shared" ref="HB10:HB18" si="121">BT10+DH10+EF10+FY10+GP10</f>
        <v>295350</v>
      </c>
      <c r="HC10" s="30">
        <f t="shared" ref="HC10:HC18" si="122">BU10+DI10+EG10+FZ10+GQ10</f>
        <v>270850</v>
      </c>
      <c r="HD10" s="30">
        <f t="shared" ref="HD10:HD18" si="123">BV10+DJ10+EH10+GA10+GR10</f>
        <v>246350</v>
      </c>
      <c r="HE10" s="30">
        <f t="shared" ref="HE10:HE18" si="124">BW10+DK10+EI10+GB10+GS10</f>
        <v>221850</v>
      </c>
      <c r="HF10" s="30">
        <f t="shared" ref="HF10:HF18" si="125">BX10+DL10+EJ10+GC10+GT10</f>
        <v>0</v>
      </c>
      <c r="HG10" s="30">
        <f t="shared" ref="HG10:HG18" si="126">BY10+DM10+EK10+GD10+GU10</f>
        <v>0</v>
      </c>
      <c r="HH10" s="30">
        <f t="shared" ref="HH10:HH18" si="127">BZ10+DN10+EL10+GE10+GV10</f>
        <v>0</v>
      </c>
      <c r="HI10" s="30">
        <f t="shared" ref="HI10:HI18" si="128">CA10+DO10+EM10+GF10+GW10</f>
        <v>0</v>
      </c>
      <c r="HJ10" s="30">
        <f t="shared" ref="HJ10:HJ18" si="129">CB10+DP10+EN10+GG10+GX10</f>
        <v>0</v>
      </c>
      <c r="HK10" s="11">
        <f t="shared" ref="HK10:HK18" si="130">SUM(HA10:HJ10)</f>
        <v>1354250</v>
      </c>
    </row>
    <row r="11" spans="1:219" x14ac:dyDescent="0.2">
      <c r="A11" s="12"/>
      <c r="B11" s="6" t="s">
        <v>65</v>
      </c>
      <c r="C11" s="6" t="s">
        <v>66</v>
      </c>
      <c r="D11" s="6" t="s">
        <v>67</v>
      </c>
      <c r="E11" s="6">
        <v>50</v>
      </c>
      <c r="F11" s="6">
        <v>40</v>
      </c>
      <c r="G11" s="36">
        <v>2021</v>
      </c>
      <c r="H11" s="36">
        <v>2021</v>
      </c>
      <c r="I11" s="38">
        <f t="shared" si="15"/>
        <v>1</v>
      </c>
      <c r="J11" s="38">
        <f t="shared" si="15"/>
        <v>1</v>
      </c>
      <c r="K11" s="38">
        <f t="shared" si="15"/>
        <v>1</v>
      </c>
      <c r="L11" s="38">
        <f t="shared" si="15"/>
        <v>1</v>
      </c>
      <c r="M11" s="38">
        <f t="shared" si="15"/>
        <v>1</v>
      </c>
      <c r="N11" s="38">
        <f t="shared" si="15"/>
        <v>1</v>
      </c>
      <c r="O11" s="38">
        <f t="shared" si="15"/>
        <v>1</v>
      </c>
      <c r="P11" s="38">
        <f t="shared" si="15"/>
        <v>1</v>
      </c>
      <c r="Q11" s="38">
        <f t="shared" si="15"/>
        <v>1</v>
      </c>
      <c r="R11" s="38">
        <f t="shared" si="15"/>
        <v>1</v>
      </c>
      <c r="S11" s="39">
        <f t="shared" si="16"/>
        <v>10</v>
      </c>
      <c r="T11" s="6">
        <v>25</v>
      </c>
      <c r="U11" s="38">
        <f t="shared" si="17"/>
        <v>25</v>
      </c>
      <c r="V11" s="38">
        <f t="shared" si="18"/>
        <v>25</v>
      </c>
      <c r="W11" s="38">
        <f t="shared" si="19"/>
        <v>25</v>
      </c>
      <c r="X11" s="38">
        <f t="shared" si="20"/>
        <v>25</v>
      </c>
      <c r="Y11" s="38">
        <f t="shared" si="21"/>
        <v>25</v>
      </c>
      <c r="Z11" s="38">
        <f t="shared" si="22"/>
        <v>25</v>
      </c>
      <c r="AA11" s="38">
        <f t="shared" si="23"/>
        <v>25</v>
      </c>
      <c r="AB11" s="38">
        <f t="shared" si="24"/>
        <v>25</v>
      </c>
      <c r="AC11" s="38">
        <f t="shared" si="25"/>
        <v>25</v>
      </c>
      <c r="AD11" s="38">
        <f t="shared" si="26"/>
        <v>25</v>
      </c>
      <c r="AE11" s="27"/>
      <c r="AF11" s="40">
        <v>3250</v>
      </c>
      <c r="AG11" s="40">
        <v>3250</v>
      </c>
      <c r="AH11" s="40">
        <v>3250</v>
      </c>
      <c r="AI11" s="40">
        <v>3250</v>
      </c>
      <c r="AJ11" s="40">
        <v>3250</v>
      </c>
      <c r="AK11" s="40">
        <v>3250</v>
      </c>
      <c r="AL11" s="40">
        <v>33250</v>
      </c>
      <c r="AM11" s="40">
        <v>3250</v>
      </c>
      <c r="AN11" s="40">
        <v>3250</v>
      </c>
      <c r="AO11" s="40">
        <v>3250</v>
      </c>
      <c r="AP11" s="38">
        <f t="shared" si="27"/>
        <v>62500</v>
      </c>
      <c r="AQ11" s="40">
        <f t="shared" si="28"/>
        <v>91000</v>
      </c>
      <c r="AR11" s="40">
        <f t="shared" si="28"/>
        <v>91000</v>
      </c>
      <c r="AS11" s="40">
        <f t="shared" si="28"/>
        <v>91000</v>
      </c>
      <c r="AT11" s="40">
        <f t="shared" si="28"/>
        <v>91000</v>
      </c>
      <c r="AU11" s="40">
        <f t="shared" si="28"/>
        <v>91000</v>
      </c>
      <c r="AV11" s="40">
        <f t="shared" ref="AV11:AZ12" si="131">AK11*28</f>
        <v>91000</v>
      </c>
      <c r="AW11" s="40">
        <f t="shared" si="131"/>
        <v>931000</v>
      </c>
      <c r="AX11" s="40">
        <f t="shared" si="131"/>
        <v>91000</v>
      </c>
      <c r="AY11" s="40">
        <f t="shared" si="131"/>
        <v>91000</v>
      </c>
      <c r="AZ11" s="40">
        <f t="shared" si="131"/>
        <v>91000</v>
      </c>
      <c r="BA11" s="38">
        <f t="shared" si="29"/>
        <v>1750000</v>
      </c>
      <c r="BC11" s="8">
        <v>250000</v>
      </c>
      <c r="BD11" s="8">
        <v>15000</v>
      </c>
      <c r="BE11" s="28">
        <v>20000</v>
      </c>
      <c r="BF11" s="29">
        <f t="shared" si="30"/>
        <v>265000</v>
      </c>
      <c r="BG11" s="29">
        <f>IF(BG$9=$H11,SUM($BC11:$BD11)-((SUM($BC11:$BD11)-#REF!)/$BQ11)*(J$9-$G11),0)-IF((J$9-$G11)=$BQ11,$BE11,0)</f>
        <v>0</v>
      </c>
      <c r="BH11" s="29">
        <f t="shared" si="31"/>
        <v>0</v>
      </c>
      <c r="BI11" s="29">
        <f t="shared" si="32"/>
        <v>0</v>
      </c>
      <c r="BJ11" s="29">
        <f t="shared" si="33"/>
        <v>0</v>
      </c>
      <c r="BK11" s="29">
        <f t="shared" si="34"/>
        <v>0</v>
      </c>
      <c r="BL11" s="29">
        <f t="shared" si="35"/>
        <v>0</v>
      </c>
      <c r="BM11" s="29">
        <f t="shared" si="36"/>
        <v>0</v>
      </c>
      <c r="BN11" s="29">
        <f t="shared" si="37"/>
        <v>0</v>
      </c>
      <c r="BO11" s="29">
        <f t="shared" si="38"/>
        <v>0</v>
      </c>
      <c r="BP11" s="11">
        <f t="shared" si="39"/>
        <v>265000</v>
      </c>
      <c r="BQ11" s="6">
        <v>10</v>
      </c>
      <c r="BR11" s="11">
        <f t="shared" si="40"/>
        <v>24500</v>
      </c>
      <c r="BS11" s="30">
        <f t="shared" si="41"/>
        <v>24500</v>
      </c>
      <c r="BT11" s="30">
        <f t="shared" si="42"/>
        <v>24500</v>
      </c>
      <c r="BU11" s="30">
        <f t="shared" si="43"/>
        <v>24500</v>
      </c>
      <c r="BV11" s="30">
        <f t="shared" si="44"/>
        <v>24500</v>
      </c>
      <c r="BW11" s="30">
        <f t="shared" si="45"/>
        <v>24500</v>
      </c>
      <c r="BX11" s="30">
        <f t="shared" si="46"/>
        <v>24500</v>
      </c>
      <c r="BY11" s="30">
        <f t="shared" si="47"/>
        <v>24500</v>
      </c>
      <c r="BZ11" s="30">
        <f t="shared" si="48"/>
        <v>24500</v>
      </c>
      <c r="CA11" s="30">
        <f t="shared" si="49"/>
        <v>24500</v>
      </c>
      <c r="CB11" s="30">
        <f t="shared" si="50"/>
        <v>24500</v>
      </c>
      <c r="CC11" s="11">
        <f t="shared" si="51"/>
        <v>245000</v>
      </c>
      <c r="CD11" s="30">
        <f>SUM($BF11:BF11)-SUM($BS11:BS11)</f>
        <v>240500</v>
      </c>
      <c r="CE11" s="30">
        <f>SUM($BF11:BG11)-SUM($BS11:BT11)</f>
        <v>216000</v>
      </c>
      <c r="CF11" s="30">
        <f>SUM($BF11:BH11)-SUM($BS11:BU11)</f>
        <v>191500</v>
      </c>
      <c r="CG11" s="30">
        <f>SUM($BF11:BI11)-SUM($BS11:BV11)</f>
        <v>167000</v>
      </c>
      <c r="CH11" s="30">
        <f>SUM($BF11:BJ11)-SUM($BS11:BW11)</f>
        <v>142500</v>
      </c>
      <c r="CI11" s="30">
        <f>SUM($BF11:BK11)-SUM($BS11:BX11)</f>
        <v>118000</v>
      </c>
      <c r="CJ11" s="30">
        <f>SUM($BF11:BL11)-SUM($BS11:BY11)</f>
        <v>93500</v>
      </c>
      <c r="CK11" s="30">
        <f>SUM($BF11:BM11)-SUM($BS11:BZ11)</f>
        <v>69000</v>
      </c>
      <c r="CL11" s="30">
        <f>SUM($BF11:BN11)-SUM($BS11:CA11)</f>
        <v>44500</v>
      </c>
      <c r="CM11" s="30">
        <f>SUM($BF11:BO11)-SUM($BS11:CB11)</f>
        <v>20000</v>
      </c>
      <c r="CN11" s="11"/>
      <c r="CP11" s="8">
        <v>0</v>
      </c>
      <c r="CQ11" s="8">
        <v>0</v>
      </c>
      <c r="CR11" s="41">
        <f t="shared" si="52"/>
        <v>0</v>
      </c>
      <c r="CS11" s="41">
        <f t="shared" si="53"/>
        <v>0</v>
      </c>
      <c r="CT11" s="29">
        <f t="shared" si="54"/>
        <v>0</v>
      </c>
      <c r="CU11" s="29">
        <f t="shared" si="54"/>
        <v>0</v>
      </c>
      <c r="CV11" s="29">
        <f t="shared" si="54"/>
        <v>0</v>
      </c>
      <c r="CW11" s="29">
        <f t="shared" si="54"/>
        <v>0</v>
      </c>
      <c r="CX11" s="29">
        <f t="shared" si="54"/>
        <v>0</v>
      </c>
      <c r="CY11" s="29">
        <f t="shared" si="54"/>
        <v>0</v>
      </c>
      <c r="CZ11" s="29">
        <f t="shared" si="54"/>
        <v>0</v>
      </c>
      <c r="DA11" s="29">
        <f t="shared" si="54"/>
        <v>0</v>
      </c>
      <c r="DB11" s="29">
        <f t="shared" si="54"/>
        <v>0</v>
      </c>
      <c r="DC11" s="29">
        <f t="shared" si="54"/>
        <v>0</v>
      </c>
      <c r="DD11" s="11">
        <f t="shared" si="55"/>
        <v>0</v>
      </c>
      <c r="DE11" s="31">
        <v>7.5</v>
      </c>
      <c r="DF11" s="37">
        <f t="shared" si="56"/>
        <v>0</v>
      </c>
      <c r="DG11" s="29">
        <f t="shared" si="57"/>
        <v>0</v>
      </c>
      <c r="DH11" s="29">
        <f t="shared" si="58"/>
        <v>0</v>
      </c>
      <c r="DI11" s="29">
        <f t="shared" si="59"/>
        <v>0</v>
      </c>
      <c r="DJ11" s="29">
        <f t="shared" si="60"/>
        <v>0</v>
      </c>
      <c r="DK11" s="29">
        <f t="shared" si="61"/>
        <v>0</v>
      </c>
      <c r="DL11" s="29">
        <f t="shared" si="62"/>
        <v>0</v>
      </c>
      <c r="DM11" s="29">
        <f t="shared" si="63"/>
        <v>0</v>
      </c>
      <c r="DN11" s="29">
        <f t="shared" si="64"/>
        <v>0</v>
      </c>
      <c r="DO11" s="29">
        <f t="shared" si="65"/>
        <v>0</v>
      </c>
      <c r="DP11" s="29">
        <f t="shared" si="66"/>
        <v>0</v>
      </c>
      <c r="DQ11" s="11">
        <f t="shared" si="67"/>
        <v>0</v>
      </c>
      <c r="DR11" s="29">
        <f>SUM($CT11:CT11)-SUM($DG11:DG11)</f>
        <v>0</v>
      </c>
      <c r="DS11" s="29">
        <f>SUM($CT11:CU11)-SUM($DG11:DH11)</f>
        <v>0</v>
      </c>
      <c r="DT11" s="29">
        <f>SUM($CT11:CV11)-SUM($DG11:DI11)</f>
        <v>0</v>
      </c>
      <c r="DU11" s="29">
        <f>SUM($CT11:CW11)-SUM($DG11:DJ11)</f>
        <v>0</v>
      </c>
      <c r="DV11" s="29">
        <f>SUM($CT11:CX11)-SUM($DG11:DK11)</f>
        <v>0</v>
      </c>
      <c r="DW11" s="29">
        <f>SUM($CT11:CY11)-SUM($DG11:DL11)</f>
        <v>0</v>
      </c>
      <c r="DX11" s="29">
        <f>SUM($CT11:CZ11)-SUM($DG11:DM11)</f>
        <v>0</v>
      </c>
      <c r="DY11" s="29">
        <f>SUM($CT11:DA11)-SUM($DG11:DN11)</f>
        <v>0</v>
      </c>
      <c r="DZ11" s="29">
        <f>SUM($CT11:DB11)-SUM($DG11:DO11)</f>
        <v>0</v>
      </c>
      <c r="EA11" s="29">
        <f>SUM($CT11:DC11)-SUM($DG11:DP11)</f>
        <v>0</v>
      </c>
      <c r="EB11" s="11"/>
      <c r="ED11" s="32">
        <v>0.03</v>
      </c>
      <c r="EE11" s="30">
        <f t="shared" si="68"/>
        <v>252750</v>
      </c>
      <c r="EF11" s="30">
        <f t="shared" si="68"/>
        <v>228250</v>
      </c>
      <c r="EG11" s="30">
        <f t="shared" si="68"/>
        <v>203750</v>
      </c>
      <c r="EH11" s="30">
        <f t="shared" si="68"/>
        <v>179250</v>
      </c>
      <c r="EI11" s="30">
        <f t="shared" si="68"/>
        <v>154750</v>
      </c>
      <c r="EJ11" s="30">
        <f t="shared" si="68"/>
        <v>130250</v>
      </c>
      <c r="EK11" s="30">
        <f t="shared" si="68"/>
        <v>105750</v>
      </c>
      <c r="EL11" s="30">
        <f t="shared" si="68"/>
        <v>81250</v>
      </c>
      <c r="EM11" s="30">
        <f t="shared" si="68"/>
        <v>56750</v>
      </c>
      <c r="EN11" s="30">
        <f t="shared" si="68"/>
        <v>32250</v>
      </c>
      <c r="EO11" s="11"/>
      <c r="EP11" s="30">
        <f t="shared" si="69"/>
        <v>7582.5</v>
      </c>
      <c r="EQ11" s="30">
        <f t="shared" si="70"/>
        <v>6847.5</v>
      </c>
      <c r="ER11" s="30">
        <f t="shared" si="71"/>
        <v>6112.5</v>
      </c>
      <c r="ES11" s="30">
        <f t="shared" si="72"/>
        <v>5377.5</v>
      </c>
      <c r="ET11" s="30">
        <f t="shared" si="73"/>
        <v>4642.5</v>
      </c>
      <c r="EU11" s="30">
        <f t="shared" si="74"/>
        <v>3907.5</v>
      </c>
      <c r="EV11" s="30">
        <f t="shared" si="75"/>
        <v>3172.5</v>
      </c>
      <c r="EW11" s="30">
        <f t="shared" si="76"/>
        <v>2437.5</v>
      </c>
      <c r="EX11" s="30">
        <f t="shared" si="77"/>
        <v>1702.5</v>
      </c>
      <c r="EY11" s="30">
        <f t="shared" si="78"/>
        <v>967.5</v>
      </c>
      <c r="EZ11" s="11">
        <f t="shared" si="79"/>
        <v>42750</v>
      </c>
      <c r="FB11" s="7">
        <v>0.16</v>
      </c>
      <c r="FC11" s="30">
        <f t="shared" si="80"/>
        <v>14560</v>
      </c>
      <c r="FD11" s="30">
        <f t="shared" si="81"/>
        <v>14560</v>
      </c>
      <c r="FE11" s="30">
        <f t="shared" si="82"/>
        <v>14560</v>
      </c>
      <c r="FF11" s="30">
        <f t="shared" si="83"/>
        <v>14560</v>
      </c>
      <c r="FG11" s="30">
        <f t="shared" si="84"/>
        <v>14560</v>
      </c>
      <c r="FH11" s="30">
        <f t="shared" si="85"/>
        <v>14560</v>
      </c>
      <c r="FI11" s="30">
        <f t="shared" si="86"/>
        <v>148960</v>
      </c>
      <c r="FJ11" s="30">
        <f t="shared" si="87"/>
        <v>14560</v>
      </c>
      <c r="FK11" s="30">
        <f t="shared" si="88"/>
        <v>14560</v>
      </c>
      <c r="FL11" s="30">
        <f t="shared" si="89"/>
        <v>14560</v>
      </c>
      <c r="FM11" s="11">
        <f t="shared" si="90"/>
        <v>280000</v>
      </c>
      <c r="FO11" s="8">
        <v>500</v>
      </c>
      <c r="FP11" s="8">
        <v>1000</v>
      </c>
      <c r="FQ11" s="8">
        <v>1000</v>
      </c>
      <c r="FR11" s="8">
        <v>100</v>
      </c>
      <c r="FS11" s="13">
        <f t="shared" si="91"/>
        <v>12500</v>
      </c>
      <c r="FT11" s="13">
        <f t="shared" si="92"/>
        <v>25000</v>
      </c>
      <c r="FU11" s="13">
        <f t="shared" si="93"/>
        <v>25000</v>
      </c>
      <c r="FV11" s="13">
        <f t="shared" si="94"/>
        <v>2500</v>
      </c>
      <c r="FW11" s="3">
        <f t="shared" si="95"/>
        <v>65000</v>
      </c>
      <c r="FX11" s="30">
        <f t="shared" si="96"/>
        <v>65000</v>
      </c>
      <c r="FY11" s="30">
        <f t="shared" si="97"/>
        <v>65000</v>
      </c>
      <c r="FZ11" s="30">
        <f t="shared" si="98"/>
        <v>65000</v>
      </c>
      <c r="GA11" s="30">
        <f t="shared" si="99"/>
        <v>65000</v>
      </c>
      <c r="GB11" s="30">
        <f t="shared" si="100"/>
        <v>65000</v>
      </c>
      <c r="GC11" s="30">
        <f t="shared" si="101"/>
        <v>65000</v>
      </c>
      <c r="GD11" s="30">
        <f t="shared" si="102"/>
        <v>65000</v>
      </c>
      <c r="GE11" s="30">
        <f t="shared" si="103"/>
        <v>65000</v>
      </c>
      <c r="GF11" s="30">
        <f t="shared" si="104"/>
        <v>65000</v>
      </c>
      <c r="GG11" s="30">
        <f t="shared" si="105"/>
        <v>65000</v>
      </c>
      <c r="GH11" s="11">
        <f t="shared" si="106"/>
        <v>650000</v>
      </c>
      <c r="GI11" s="11"/>
      <c r="GJ11" s="6" t="s">
        <v>68</v>
      </c>
      <c r="GK11" s="6">
        <v>20</v>
      </c>
      <c r="GL11" s="7">
        <v>1.1000000000000001</v>
      </c>
      <c r="GM11" s="3">
        <f t="shared" si="107"/>
        <v>350000</v>
      </c>
      <c r="GN11" s="33">
        <f t="shared" si="108"/>
        <v>385000.00000000006</v>
      </c>
      <c r="GO11" s="30">
        <f t="shared" si="109"/>
        <v>385000.00000000006</v>
      </c>
      <c r="GP11" s="30">
        <f t="shared" si="110"/>
        <v>385000.00000000006</v>
      </c>
      <c r="GQ11" s="30">
        <f t="shared" si="111"/>
        <v>385000.00000000006</v>
      </c>
      <c r="GR11" s="30">
        <f t="shared" si="112"/>
        <v>385000.00000000006</v>
      </c>
      <c r="GS11" s="30">
        <f t="shared" si="113"/>
        <v>385000.00000000006</v>
      </c>
      <c r="GT11" s="30">
        <f t="shared" si="114"/>
        <v>385000.00000000006</v>
      </c>
      <c r="GU11" s="30">
        <f t="shared" si="115"/>
        <v>385000.00000000006</v>
      </c>
      <c r="GV11" s="30">
        <f t="shared" si="116"/>
        <v>385000.00000000006</v>
      </c>
      <c r="GW11" s="30">
        <f t="shared" si="117"/>
        <v>385000.00000000006</v>
      </c>
      <c r="GX11" s="30">
        <f t="shared" si="118"/>
        <v>385000.00000000006</v>
      </c>
      <c r="GY11" s="11">
        <f t="shared" si="119"/>
        <v>3850000.0000000005</v>
      </c>
      <c r="HA11" s="30">
        <f t="shared" si="120"/>
        <v>727250</v>
      </c>
      <c r="HB11" s="30">
        <f t="shared" si="121"/>
        <v>702750</v>
      </c>
      <c r="HC11" s="30">
        <f t="shared" si="122"/>
        <v>678250</v>
      </c>
      <c r="HD11" s="30">
        <f t="shared" si="123"/>
        <v>653750</v>
      </c>
      <c r="HE11" s="30">
        <f t="shared" si="124"/>
        <v>629250</v>
      </c>
      <c r="HF11" s="30">
        <f t="shared" si="125"/>
        <v>604750</v>
      </c>
      <c r="HG11" s="30">
        <f t="shared" si="126"/>
        <v>580250</v>
      </c>
      <c r="HH11" s="30">
        <f t="shared" si="127"/>
        <v>555750</v>
      </c>
      <c r="HI11" s="30">
        <f t="shared" si="128"/>
        <v>531250</v>
      </c>
      <c r="HJ11" s="30">
        <f t="shared" si="129"/>
        <v>506750.00000000006</v>
      </c>
      <c r="HK11" s="11">
        <f t="shared" si="130"/>
        <v>6170000</v>
      </c>
    </row>
    <row r="12" spans="1:219" x14ac:dyDescent="0.2">
      <c r="A12" s="12"/>
      <c r="B12" s="6" t="s">
        <v>69</v>
      </c>
      <c r="C12" s="6" t="s">
        <v>70</v>
      </c>
      <c r="D12" s="6" t="s">
        <v>71</v>
      </c>
      <c r="E12" s="6">
        <v>50</v>
      </c>
      <c r="F12" s="6">
        <v>40</v>
      </c>
      <c r="G12" s="36">
        <v>2026</v>
      </c>
      <c r="H12" s="36">
        <v>2026</v>
      </c>
      <c r="I12" s="38">
        <f t="shared" si="15"/>
        <v>0</v>
      </c>
      <c r="J12" s="38">
        <f t="shared" si="15"/>
        <v>0</v>
      </c>
      <c r="K12" s="38">
        <f t="shared" si="15"/>
        <v>0</v>
      </c>
      <c r="L12" s="38">
        <f t="shared" si="15"/>
        <v>0</v>
      </c>
      <c r="M12" s="38">
        <f t="shared" si="15"/>
        <v>0</v>
      </c>
      <c r="N12" s="38">
        <f t="shared" si="15"/>
        <v>1</v>
      </c>
      <c r="O12" s="38">
        <f t="shared" si="15"/>
        <v>1</v>
      </c>
      <c r="P12" s="38">
        <f t="shared" si="15"/>
        <v>1</v>
      </c>
      <c r="Q12" s="38">
        <f t="shared" si="15"/>
        <v>1</v>
      </c>
      <c r="R12" s="38">
        <f t="shared" si="15"/>
        <v>1</v>
      </c>
      <c r="S12" s="39">
        <f t="shared" si="16"/>
        <v>5</v>
      </c>
      <c r="T12" s="6">
        <v>25</v>
      </c>
      <c r="U12" s="38">
        <f t="shared" si="17"/>
        <v>0</v>
      </c>
      <c r="V12" s="38">
        <f t="shared" si="18"/>
        <v>0</v>
      </c>
      <c r="W12" s="38">
        <f t="shared" si="19"/>
        <v>0</v>
      </c>
      <c r="X12" s="38">
        <f t="shared" si="20"/>
        <v>0</v>
      </c>
      <c r="Y12" s="38">
        <f t="shared" si="21"/>
        <v>0</v>
      </c>
      <c r="Z12" s="38">
        <f t="shared" si="22"/>
        <v>25</v>
      </c>
      <c r="AA12" s="38">
        <f t="shared" si="23"/>
        <v>25</v>
      </c>
      <c r="AB12" s="38">
        <f t="shared" si="24"/>
        <v>25</v>
      </c>
      <c r="AC12" s="38">
        <f t="shared" si="25"/>
        <v>25</v>
      </c>
      <c r="AD12" s="38">
        <f t="shared" si="26"/>
        <v>25</v>
      </c>
      <c r="AE12" s="27"/>
      <c r="AF12" s="40"/>
      <c r="AG12" s="40"/>
      <c r="AH12" s="40"/>
      <c r="AI12" s="40"/>
      <c r="AJ12" s="40"/>
      <c r="AK12" s="40">
        <v>3250</v>
      </c>
      <c r="AL12" s="40">
        <v>3250</v>
      </c>
      <c r="AM12" s="40">
        <v>3250</v>
      </c>
      <c r="AN12" s="40">
        <v>3250</v>
      </c>
      <c r="AO12" s="40">
        <v>3250</v>
      </c>
      <c r="AP12" s="38">
        <f t="shared" si="27"/>
        <v>16250</v>
      </c>
      <c r="AQ12" s="40"/>
      <c r="AR12" s="40"/>
      <c r="AS12" s="40"/>
      <c r="AT12" s="40"/>
      <c r="AU12" s="40"/>
      <c r="AV12" s="40">
        <f t="shared" si="131"/>
        <v>91000</v>
      </c>
      <c r="AW12" s="40">
        <f t="shared" si="131"/>
        <v>91000</v>
      </c>
      <c r="AX12" s="40">
        <f t="shared" si="131"/>
        <v>91000</v>
      </c>
      <c r="AY12" s="40">
        <f t="shared" si="131"/>
        <v>91000</v>
      </c>
      <c r="AZ12" s="40">
        <f t="shared" si="131"/>
        <v>91000</v>
      </c>
      <c r="BA12" s="38">
        <f t="shared" si="29"/>
        <v>455000</v>
      </c>
      <c r="BC12" s="8">
        <v>450000</v>
      </c>
      <c r="BD12" s="8">
        <v>15000</v>
      </c>
      <c r="BE12" s="28">
        <v>0</v>
      </c>
      <c r="BF12" s="29">
        <f t="shared" si="30"/>
        <v>0</v>
      </c>
      <c r="BG12" s="29">
        <f>IF(BG$9=$H12,SUM($BC12:$BD12)-((SUM($BC12:$BD12)-#REF!)/$BQ12)*(J$9-$G12),0)-IF((J$9-$G12)=$BQ12,$BE12,0)</f>
        <v>0</v>
      </c>
      <c r="BH12" s="29">
        <f t="shared" si="31"/>
        <v>0</v>
      </c>
      <c r="BI12" s="29">
        <f t="shared" si="32"/>
        <v>0</v>
      </c>
      <c r="BJ12" s="29">
        <f t="shared" si="33"/>
        <v>0</v>
      </c>
      <c r="BK12" s="29">
        <f t="shared" si="34"/>
        <v>465000</v>
      </c>
      <c r="BL12" s="29">
        <f t="shared" si="35"/>
        <v>0</v>
      </c>
      <c r="BM12" s="29">
        <f t="shared" si="36"/>
        <v>0</v>
      </c>
      <c r="BN12" s="29">
        <f t="shared" si="37"/>
        <v>0</v>
      </c>
      <c r="BO12" s="29">
        <f t="shared" si="38"/>
        <v>0</v>
      </c>
      <c r="BP12" s="11">
        <f t="shared" si="39"/>
        <v>465000</v>
      </c>
      <c r="BQ12" s="6">
        <v>15</v>
      </c>
      <c r="BR12" s="11">
        <f t="shared" si="40"/>
        <v>31000</v>
      </c>
      <c r="BS12" s="30">
        <f t="shared" si="41"/>
        <v>0</v>
      </c>
      <c r="BT12" s="30">
        <f t="shared" si="42"/>
        <v>0</v>
      </c>
      <c r="BU12" s="30">
        <f t="shared" si="43"/>
        <v>0</v>
      </c>
      <c r="BV12" s="30">
        <f t="shared" si="44"/>
        <v>0</v>
      </c>
      <c r="BW12" s="30">
        <f t="shared" si="45"/>
        <v>0</v>
      </c>
      <c r="BX12" s="30">
        <f t="shared" si="46"/>
        <v>31000</v>
      </c>
      <c r="BY12" s="30">
        <f t="shared" si="47"/>
        <v>31000</v>
      </c>
      <c r="BZ12" s="30">
        <f t="shared" si="48"/>
        <v>31000</v>
      </c>
      <c r="CA12" s="30">
        <f t="shared" si="49"/>
        <v>31000</v>
      </c>
      <c r="CB12" s="30">
        <f t="shared" si="50"/>
        <v>31000</v>
      </c>
      <c r="CC12" s="11">
        <f t="shared" si="51"/>
        <v>155000</v>
      </c>
      <c r="CD12" s="30">
        <f>SUM($BF12:BF12)-SUM($BS12:BS12)</f>
        <v>0</v>
      </c>
      <c r="CE12" s="30">
        <f>SUM($BF12:BG12)-SUM($BS12:BT12)</f>
        <v>0</v>
      </c>
      <c r="CF12" s="30">
        <f>SUM($BF12:BH12)-SUM($BS12:BU12)</f>
        <v>0</v>
      </c>
      <c r="CG12" s="30">
        <f>SUM($BF12:BI12)-SUM($BS12:BV12)</f>
        <v>0</v>
      </c>
      <c r="CH12" s="30">
        <f>SUM($BF12:BJ12)-SUM($BS12:BW12)</f>
        <v>0</v>
      </c>
      <c r="CI12" s="30">
        <f>SUM($BF12:BK12)-SUM($BS12:BX12)</f>
        <v>434000</v>
      </c>
      <c r="CJ12" s="30">
        <f>SUM($BF12:BL12)-SUM($BS12:BY12)</f>
        <v>403000</v>
      </c>
      <c r="CK12" s="30">
        <f>SUM($BF12:BM12)-SUM($BS12:BZ12)</f>
        <v>372000</v>
      </c>
      <c r="CL12" s="30">
        <f>SUM($BF12:BN12)-SUM($BS12:CA12)</f>
        <v>341000</v>
      </c>
      <c r="CM12" s="30">
        <f>SUM($BF12:BO12)-SUM($BS12:CB12)</f>
        <v>310000</v>
      </c>
      <c r="CN12" s="11"/>
      <c r="CP12" s="8">
        <v>50000</v>
      </c>
      <c r="CQ12" s="8">
        <v>0</v>
      </c>
      <c r="CR12" s="41">
        <f t="shared" si="52"/>
        <v>1250000</v>
      </c>
      <c r="CS12" s="41">
        <f t="shared" si="53"/>
        <v>0</v>
      </c>
      <c r="CT12" s="29">
        <f t="shared" si="54"/>
        <v>0</v>
      </c>
      <c r="CU12" s="29">
        <f t="shared" si="54"/>
        <v>0</v>
      </c>
      <c r="CV12" s="29">
        <f t="shared" si="54"/>
        <v>0</v>
      </c>
      <c r="CW12" s="29">
        <f t="shared" si="54"/>
        <v>0</v>
      </c>
      <c r="CX12" s="29">
        <f t="shared" si="54"/>
        <v>0</v>
      </c>
      <c r="CY12" s="29">
        <f t="shared" si="54"/>
        <v>1250000</v>
      </c>
      <c r="CZ12" s="29">
        <f t="shared" si="54"/>
        <v>0</v>
      </c>
      <c r="DA12" s="29">
        <f t="shared" si="54"/>
        <v>0</v>
      </c>
      <c r="DB12" s="29">
        <f t="shared" si="54"/>
        <v>0</v>
      </c>
      <c r="DC12" s="29">
        <f t="shared" si="54"/>
        <v>0</v>
      </c>
      <c r="DD12" s="11">
        <f t="shared" si="55"/>
        <v>1250000</v>
      </c>
      <c r="DE12" s="31">
        <v>7.5</v>
      </c>
      <c r="DF12" s="37">
        <f t="shared" si="56"/>
        <v>166666.66666666666</v>
      </c>
      <c r="DG12" s="29">
        <f t="shared" si="57"/>
        <v>0</v>
      </c>
      <c r="DH12" s="29">
        <f t="shared" si="58"/>
        <v>0</v>
      </c>
      <c r="DI12" s="29">
        <f t="shared" si="59"/>
        <v>0</v>
      </c>
      <c r="DJ12" s="29">
        <f t="shared" si="60"/>
        <v>0</v>
      </c>
      <c r="DK12" s="29">
        <f t="shared" si="61"/>
        <v>0</v>
      </c>
      <c r="DL12" s="29">
        <f t="shared" si="62"/>
        <v>166666.66666666666</v>
      </c>
      <c r="DM12" s="29">
        <f t="shared" si="63"/>
        <v>166666.66666666666</v>
      </c>
      <c r="DN12" s="29">
        <f t="shared" si="64"/>
        <v>166666.66666666666</v>
      </c>
      <c r="DO12" s="29">
        <f t="shared" si="65"/>
        <v>166666.66666666666</v>
      </c>
      <c r="DP12" s="29">
        <f t="shared" si="66"/>
        <v>166666.66666666666</v>
      </c>
      <c r="DQ12" s="11">
        <f t="shared" si="67"/>
        <v>833333.33333333326</v>
      </c>
      <c r="DR12" s="29">
        <f>SUM($CT12:CT12)-SUM($DG12:DG12)</f>
        <v>0</v>
      </c>
      <c r="DS12" s="29">
        <f>SUM($CT12:CU12)-SUM($DG12:DH12)</f>
        <v>0</v>
      </c>
      <c r="DT12" s="29">
        <f>SUM($CT12:CV12)-SUM($DG12:DI12)</f>
        <v>0</v>
      </c>
      <c r="DU12" s="29">
        <f>SUM($CT12:CW12)-SUM($DG12:DJ12)</f>
        <v>0</v>
      </c>
      <c r="DV12" s="29">
        <f>SUM($CT12:CX12)-SUM($DG12:DK12)</f>
        <v>0</v>
      </c>
      <c r="DW12" s="29">
        <f>SUM($CT12:CY12)-SUM($DG12:DL12)</f>
        <v>1083333.3333333333</v>
      </c>
      <c r="DX12" s="29">
        <f>SUM($CT12:CZ12)-SUM($DG12:DM12)</f>
        <v>916666.66666666674</v>
      </c>
      <c r="DY12" s="29">
        <f>SUM($CT12:DA12)-SUM($DG12:DN12)</f>
        <v>750000</v>
      </c>
      <c r="DZ12" s="29">
        <f>SUM($CT12:DB12)-SUM($DG12:DO12)</f>
        <v>583333.33333333337</v>
      </c>
      <c r="EA12" s="29">
        <f>SUM($CT12:DC12)-SUM($DG12:DP12)</f>
        <v>416666.66666666674</v>
      </c>
      <c r="EB12" s="11"/>
      <c r="ED12" s="32">
        <v>0.03</v>
      </c>
      <c r="EE12" s="30">
        <f t="shared" si="68"/>
        <v>0</v>
      </c>
      <c r="EF12" s="30">
        <f t="shared" si="68"/>
        <v>0</v>
      </c>
      <c r="EG12" s="30">
        <f t="shared" si="68"/>
        <v>0</v>
      </c>
      <c r="EH12" s="30">
        <f t="shared" si="68"/>
        <v>0</v>
      </c>
      <c r="EI12" s="30">
        <f t="shared" si="68"/>
        <v>0</v>
      </c>
      <c r="EJ12" s="30">
        <f t="shared" si="68"/>
        <v>1157833.3333333333</v>
      </c>
      <c r="EK12" s="30">
        <f t="shared" si="68"/>
        <v>1043500</v>
      </c>
      <c r="EL12" s="30">
        <f t="shared" si="68"/>
        <v>929166.66666666663</v>
      </c>
      <c r="EM12" s="30">
        <f t="shared" si="68"/>
        <v>814833.33333333326</v>
      </c>
      <c r="EN12" s="30">
        <f t="shared" si="68"/>
        <v>700500</v>
      </c>
      <c r="EO12" s="11"/>
      <c r="EP12" s="30">
        <f t="shared" si="69"/>
        <v>0</v>
      </c>
      <c r="EQ12" s="30">
        <f t="shared" si="70"/>
        <v>0</v>
      </c>
      <c r="ER12" s="30">
        <f t="shared" si="71"/>
        <v>0</v>
      </c>
      <c r="ES12" s="30">
        <f t="shared" si="72"/>
        <v>0</v>
      </c>
      <c r="ET12" s="30">
        <f t="shared" si="73"/>
        <v>0</v>
      </c>
      <c r="EU12" s="30">
        <f t="shared" si="74"/>
        <v>34735</v>
      </c>
      <c r="EV12" s="30">
        <f t="shared" si="75"/>
        <v>31305</v>
      </c>
      <c r="EW12" s="30">
        <f t="shared" si="76"/>
        <v>27874.999999999996</v>
      </c>
      <c r="EX12" s="30">
        <f t="shared" si="77"/>
        <v>24444.999999999996</v>
      </c>
      <c r="EY12" s="30">
        <f t="shared" si="78"/>
        <v>21015</v>
      </c>
      <c r="EZ12" s="11">
        <f t="shared" si="79"/>
        <v>139375</v>
      </c>
      <c r="FB12" s="7">
        <v>0.16</v>
      </c>
      <c r="FC12" s="30">
        <f t="shared" si="80"/>
        <v>0</v>
      </c>
      <c r="FD12" s="30">
        <f t="shared" si="81"/>
        <v>0</v>
      </c>
      <c r="FE12" s="30">
        <f t="shared" si="82"/>
        <v>0</v>
      </c>
      <c r="FF12" s="30">
        <f t="shared" si="83"/>
        <v>0</v>
      </c>
      <c r="FG12" s="30">
        <f t="shared" si="84"/>
        <v>0</v>
      </c>
      <c r="FH12" s="30">
        <f t="shared" si="85"/>
        <v>14560</v>
      </c>
      <c r="FI12" s="30">
        <f t="shared" si="86"/>
        <v>14560</v>
      </c>
      <c r="FJ12" s="30">
        <f t="shared" si="87"/>
        <v>14560</v>
      </c>
      <c r="FK12" s="30">
        <f t="shared" si="88"/>
        <v>14560</v>
      </c>
      <c r="FL12" s="30">
        <f t="shared" si="89"/>
        <v>14560</v>
      </c>
      <c r="FM12" s="11">
        <f t="shared" si="90"/>
        <v>72800</v>
      </c>
      <c r="FO12" s="8">
        <v>500</v>
      </c>
      <c r="FP12" s="8">
        <v>1000</v>
      </c>
      <c r="FQ12" s="8">
        <v>1000</v>
      </c>
      <c r="FR12" s="8">
        <v>100</v>
      </c>
      <c r="FS12" s="13">
        <f t="shared" si="91"/>
        <v>12500</v>
      </c>
      <c r="FT12" s="13">
        <f t="shared" si="92"/>
        <v>25000</v>
      </c>
      <c r="FU12" s="13">
        <f t="shared" si="93"/>
        <v>25000</v>
      </c>
      <c r="FV12" s="13">
        <f t="shared" si="94"/>
        <v>2500</v>
      </c>
      <c r="FW12" s="3">
        <f t="shared" si="95"/>
        <v>65000</v>
      </c>
      <c r="FX12" s="30">
        <f t="shared" si="96"/>
        <v>0</v>
      </c>
      <c r="FY12" s="30">
        <f t="shared" si="97"/>
        <v>0</v>
      </c>
      <c r="FZ12" s="30">
        <f t="shared" si="98"/>
        <v>0</v>
      </c>
      <c r="GA12" s="30">
        <f t="shared" si="99"/>
        <v>0</v>
      </c>
      <c r="GB12" s="30">
        <f t="shared" si="100"/>
        <v>0</v>
      </c>
      <c r="GC12" s="30">
        <f t="shared" si="101"/>
        <v>65000</v>
      </c>
      <c r="GD12" s="30">
        <f t="shared" si="102"/>
        <v>65000</v>
      </c>
      <c r="GE12" s="30">
        <f t="shared" si="103"/>
        <v>65000</v>
      </c>
      <c r="GF12" s="30">
        <f t="shared" si="104"/>
        <v>65000</v>
      </c>
      <c r="GG12" s="30">
        <f t="shared" si="105"/>
        <v>65000</v>
      </c>
      <c r="GH12" s="11">
        <f t="shared" si="106"/>
        <v>325000</v>
      </c>
      <c r="GI12" s="11"/>
      <c r="GJ12" s="6" t="s">
        <v>72</v>
      </c>
      <c r="GK12" s="6">
        <v>500</v>
      </c>
      <c r="GL12" s="7">
        <v>0.15</v>
      </c>
      <c r="GM12" s="3">
        <f t="shared" si="107"/>
        <v>2275000</v>
      </c>
      <c r="GN12" s="33">
        <f t="shared" si="108"/>
        <v>341250</v>
      </c>
      <c r="GO12" s="30">
        <f t="shared" si="109"/>
        <v>0</v>
      </c>
      <c r="GP12" s="30">
        <f t="shared" si="110"/>
        <v>0</v>
      </c>
      <c r="GQ12" s="30">
        <f t="shared" si="111"/>
        <v>0</v>
      </c>
      <c r="GR12" s="30">
        <f t="shared" si="112"/>
        <v>0</v>
      </c>
      <c r="GS12" s="30">
        <f t="shared" si="113"/>
        <v>0</v>
      </c>
      <c r="GT12" s="30">
        <f t="shared" si="114"/>
        <v>341250</v>
      </c>
      <c r="GU12" s="30">
        <f t="shared" si="115"/>
        <v>341250</v>
      </c>
      <c r="GV12" s="30">
        <f t="shared" si="116"/>
        <v>341250</v>
      </c>
      <c r="GW12" s="30">
        <f t="shared" si="117"/>
        <v>341250</v>
      </c>
      <c r="GX12" s="30">
        <f t="shared" si="118"/>
        <v>341250</v>
      </c>
      <c r="GY12" s="11">
        <f t="shared" si="119"/>
        <v>1706250</v>
      </c>
      <c r="HA12" s="30">
        <f t="shared" si="120"/>
        <v>0</v>
      </c>
      <c r="HB12" s="30">
        <f t="shared" si="121"/>
        <v>0</v>
      </c>
      <c r="HC12" s="30">
        <f t="shared" si="122"/>
        <v>0</v>
      </c>
      <c r="HD12" s="30">
        <f t="shared" si="123"/>
        <v>0</v>
      </c>
      <c r="HE12" s="30">
        <f t="shared" si="124"/>
        <v>0</v>
      </c>
      <c r="HF12" s="30">
        <f t="shared" si="125"/>
        <v>1761750</v>
      </c>
      <c r="HG12" s="30">
        <f t="shared" si="126"/>
        <v>1647416.6666666667</v>
      </c>
      <c r="HH12" s="30">
        <f t="shared" si="127"/>
        <v>1533083.3333333333</v>
      </c>
      <c r="HI12" s="30">
        <f t="shared" si="128"/>
        <v>1418750</v>
      </c>
      <c r="HJ12" s="30">
        <f t="shared" si="129"/>
        <v>1304416.6666666665</v>
      </c>
      <c r="HK12" s="11">
        <f t="shared" si="130"/>
        <v>7665416.666666666</v>
      </c>
    </row>
    <row r="13" spans="1:219" x14ac:dyDescent="0.2">
      <c r="A13" s="12"/>
      <c r="B13" s="6" t="s">
        <v>69</v>
      </c>
      <c r="C13" s="6" t="s">
        <v>70</v>
      </c>
      <c r="D13" s="6" t="s">
        <v>71</v>
      </c>
      <c r="E13" s="6">
        <v>50</v>
      </c>
      <c r="F13" s="6">
        <v>40</v>
      </c>
      <c r="G13" s="36">
        <v>2021</v>
      </c>
      <c r="H13" s="36">
        <v>2021</v>
      </c>
      <c r="I13" s="38">
        <f t="shared" si="15"/>
        <v>1</v>
      </c>
      <c r="J13" s="38">
        <f t="shared" si="15"/>
        <v>1</v>
      </c>
      <c r="K13" s="38">
        <f t="shared" si="15"/>
        <v>1</v>
      </c>
      <c r="L13" s="38">
        <f t="shared" si="15"/>
        <v>1</v>
      </c>
      <c r="M13" s="38">
        <f t="shared" si="15"/>
        <v>1</v>
      </c>
      <c r="N13" s="38">
        <f t="shared" si="15"/>
        <v>1</v>
      </c>
      <c r="O13" s="38">
        <f t="shared" si="15"/>
        <v>1</v>
      </c>
      <c r="P13" s="38">
        <f t="shared" si="15"/>
        <v>1</v>
      </c>
      <c r="Q13" s="38">
        <f t="shared" si="15"/>
        <v>1</v>
      </c>
      <c r="R13" s="38">
        <f t="shared" si="15"/>
        <v>1</v>
      </c>
      <c r="S13" s="39">
        <f t="shared" si="16"/>
        <v>10</v>
      </c>
      <c r="T13" s="6">
        <v>25</v>
      </c>
      <c r="U13" s="38">
        <f t="shared" si="17"/>
        <v>25</v>
      </c>
      <c r="V13" s="38">
        <f t="shared" si="18"/>
        <v>25</v>
      </c>
      <c r="W13" s="38">
        <f t="shared" si="19"/>
        <v>25</v>
      </c>
      <c r="X13" s="38">
        <f t="shared" si="20"/>
        <v>25</v>
      </c>
      <c r="Y13" s="38">
        <f t="shared" si="21"/>
        <v>25</v>
      </c>
      <c r="Z13" s="38">
        <f t="shared" si="22"/>
        <v>25</v>
      </c>
      <c r="AA13" s="38">
        <f t="shared" si="23"/>
        <v>25</v>
      </c>
      <c r="AB13" s="38">
        <f t="shared" si="24"/>
        <v>25</v>
      </c>
      <c r="AC13" s="38">
        <f t="shared" si="25"/>
        <v>25</v>
      </c>
      <c r="AD13" s="38">
        <f t="shared" si="26"/>
        <v>25</v>
      </c>
      <c r="AE13" s="27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38">
        <f t="shared" si="27"/>
        <v>0</v>
      </c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38">
        <f t="shared" si="29"/>
        <v>0</v>
      </c>
      <c r="BC13" s="8">
        <v>450000</v>
      </c>
      <c r="BD13" s="8">
        <v>15000</v>
      </c>
      <c r="BE13" s="28">
        <v>0</v>
      </c>
      <c r="BF13" s="29">
        <f t="shared" si="30"/>
        <v>465000</v>
      </c>
      <c r="BG13" s="29">
        <f>IF(BG$9=$H13,SUM($BC13:$BD13)-((SUM($BC13:$BD13)-#REF!)/$BQ13)*(J$9-$G13),0)-IF((J$9-$G13)=$BQ13,$BE13,0)</f>
        <v>0</v>
      </c>
      <c r="BH13" s="29">
        <f t="shared" si="31"/>
        <v>0</v>
      </c>
      <c r="BI13" s="29">
        <f t="shared" si="32"/>
        <v>0</v>
      </c>
      <c r="BJ13" s="29">
        <f t="shared" si="33"/>
        <v>0</v>
      </c>
      <c r="BK13" s="29">
        <f t="shared" si="34"/>
        <v>0</v>
      </c>
      <c r="BL13" s="29">
        <f t="shared" si="35"/>
        <v>0</v>
      </c>
      <c r="BM13" s="29">
        <f t="shared" si="36"/>
        <v>0</v>
      </c>
      <c r="BN13" s="29">
        <f t="shared" si="37"/>
        <v>0</v>
      </c>
      <c r="BO13" s="29">
        <f t="shared" si="38"/>
        <v>0</v>
      </c>
      <c r="BP13" s="11">
        <f t="shared" si="39"/>
        <v>465000</v>
      </c>
      <c r="BQ13" s="6">
        <v>15</v>
      </c>
      <c r="BR13" s="11">
        <f t="shared" si="40"/>
        <v>31000</v>
      </c>
      <c r="BS13" s="30">
        <f t="shared" si="41"/>
        <v>31000</v>
      </c>
      <c r="BT13" s="30">
        <f t="shared" si="42"/>
        <v>31000</v>
      </c>
      <c r="BU13" s="30">
        <f t="shared" si="43"/>
        <v>31000</v>
      </c>
      <c r="BV13" s="30">
        <f t="shared" si="44"/>
        <v>31000</v>
      </c>
      <c r="BW13" s="30">
        <f t="shared" si="45"/>
        <v>31000</v>
      </c>
      <c r="BX13" s="30">
        <f t="shared" si="46"/>
        <v>31000</v>
      </c>
      <c r="BY13" s="30">
        <f t="shared" si="47"/>
        <v>31000</v>
      </c>
      <c r="BZ13" s="30">
        <f t="shared" si="48"/>
        <v>31000</v>
      </c>
      <c r="CA13" s="30">
        <f t="shared" si="49"/>
        <v>31000</v>
      </c>
      <c r="CB13" s="30">
        <f t="shared" si="50"/>
        <v>31000</v>
      </c>
      <c r="CC13" s="11">
        <f t="shared" si="51"/>
        <v>310000</v>
      </c>
      <c r="CD13" s="30">
        <f>SUM($BF13:BF13)-SUM($BS13:BS13)</f>
        <v>434000</v>
      </c>
      <c r="CE13" s="30">
        <f>SUM($BF13:BG13)-SUM($BS13:BT13)</f>
        <v>403000</v>
      </c>
      <c r="CF13" s="30">
        <f>SUM($BF13:BH13)-SUM($BS13:BU13)</f>
        <v>372000</v>
      </c>
      <c r="CG13" s="30">
        <f>SUM($BF13:BI13)-SUM($BS13:BV13)</f>
        <v>341000</v>
      </c>
      <c r="CH13" s="30">
        <f>SUM($BF13:BJ13)-SUM($BS13:BW13)</f>
        <v>310000</v>
      </c>
      <c r="CI13" s="30">
        <f>SUM($BF13:BK13)-SUM($BS13:BX13)</f>
        <v>279000</v>
      </c>
      <c r="CJ13" s="30">
        <f>SUM($BF13:BL13)-SUM($BS13:BY13)</f>
        <v>248000</v>
      </c>
      <c r="CK13" s="30">
        <f>SUM($BF13:BM13)-SUM($BS13:BZ13)</f>
        <v>217000</v>
      </c>
      <c r="CL13" s="30">
        <f>SUM($BF13:BN13)-SUM($BS13:CA13)</f>
        <v>186000</v>
      </c>
      <c r="CM13" s="30">
        <f>SUM($BF13:BO13)-SUM($BS13:CB13)</f>
        <v>155000</v>
      </c>
      <c r="CN13" s="11"/>
      <c r="CP13" s="8">
        <v>50000</v>
      </c>
      <c r="CQ13" s="8">
        <v>10000</v>
      </c>
      <c r="CR13" s="41">
        <f t="shared" si="52"/>
        <v>1250000</v>
      </c>
      <c r="CS13" s="41">
        <f t="shared" si="53"/>
        <v>250000</v>
      </c>
      <c r="CT13" s="29">
        <f t="shared" ref="CT13:CT18" si="132">IF(CT$9=$H13,$CR13-(($CR13-$CS13)/$DE13)*(I$9-$G13),0)-IF((I$9-$G13)=$DE13,$CS13,0)</f>
        <v>1250000</v>
      </c>
      <c r="CU13" s="29">
        <f t="shared" ref="CU13:CU18" si="133">IF(CU$9=$H13,$CR13-(($CR13-$CS13)/$DE13)*(J$9-$G13),0)-IF((J$9-$G13)=$DE13,$CS13,0)</f>
        <v>0</v>
      </c>
      <c r="CV13" s="29">
        <f t="shared" ref="CV13:CV18" si="134">IF(CV$9=$H13,$CR13-(($CR13-$CS13)/$DE13)*(K$9-$G13),0)-IF((K$9-$G13)=$DE13,$CS13,0)</f>
        <v>0</v>
      </c>
      <c r="CW13" s="29">
        <f t="shared" ref="CW13:CW18" si="135">IF(CW$9=$H13,$CR13-(($CR13-$CS13)/$DE13)*(L$9-$G13),0)-IF((L$9-$G13)=$DE13,$CS13,0)</f>
        <v>0</v>
      </c>
      <c r="CX13" s="29">
        <f t="shared" ref="CX13:CX18" si="136">IF(CX$9=$H13,$CR13-(($CR13-$CS13)/$DE13)*(M$9-$G13),0)-IF((M$9-$G13)=$DE13,$CS13,0)</f>
        <v>0</v>
      </c>
      <c r="CY13" s="29">
        <f t="shared" ref="CY13:CY18" si="137">IF(CY$9=$H13,$CR13-(($CR13-$CS13)/$DE13)*(N$9-$G13),0)-IF((N$9-$G13)=$DE13,$CS13,0)</f>
        <v>0</v>
      </c>
      <c r="CZ13" s="29">
        <f t="shared" ref="CZ13:CZ18" si="138">IF(CZ$9=$H13,$CR13-(($CR13-$CS13)/$DE13)*(O$9-$G13),0)-IF((O$9-$G13)=$DE13,$CS13,0)</f>
        <v>0</v>
      </c>
      <c r="DA13" s="29">
        <f t="shared" ref="DA13:DA18" si="139">IF(DA$9=$H13,$CR13-(($CR13-$CS13)/$DE13)*(P$9-$G13),0)-IF((P$9-$G13)=$DE13,$CS13,0)</f>
        <v>0</v>
      </c>
      <c r="DB13" s="29">
        <f t="shared" ref="DB13:DB18" si="140">IF(DB$9=$H13,$CR13-(($CR13-$CS13)/$DE13)*(Q$9-$G13),0)-IF((Q$9-$G13)=$DE13,$CS13,0)</f>
        <v>0</v>
      </c>
      <c r="DC13" s="29">
        <f t="shared" ref="DC13:DC18" si="141">IF(DC$9=$H13,$CR13-(($CR13-$CS13)/$DE13)*(R$9-$G13),0)-IF((R$9-$G13)=$DE13,$CS13,0)</f>
        <v>0</v>
      </c>
      <c r="DD13" s="11">
        <f t="shared" si="55"/>
        <v>1250000</v>
      </c>
      <c r="DE13" s="31">
        <v>7.5</v>
      </c>
      <c r="DF13" s="37">
        <f t="shared" si="56"/>
        <v>166666.66666666666</v>
      </c>
      <c r="DG13" s="29">
        <f t="shared" si="57"/>
        <v>166666.66666666666</v>
      </c>
      <c r="DH13" s="29">
        <f t="shared" si="58"/>
        <v>166666.66666666666</v>
      </c>
      <c r="DI13" s="29">
        <f t="shared" si="59"/>
        <v>166666.66666666666</v>
      </c>
      <c r="DJ13" s="29">
        <f t="shared" si="60"/>
        <v>166666.66666666666</v>
      </c>
      <c r="DK13" s="29">
        <f t="shared" si="61"/>
        <v>166666.66666666666</v>
      </c>
      <c r="DL13" s="29">
        <f t="shared" si="62"/>
        <v>166666.66666666666</v>
      </c>
      <c r="DM13" s="29">
        <f t="shared" si="63"/>
        <v>166666.66666666666</v>
      </c>
      <c r="DN13" s="29">
        <f t="shared" si="64"/>
        <v>166666.66666666666</v>
      </c>
      <c r="DO13" s="29">
        <f t="shared" si="65"/>
        <v>166666.66666666666</v>
      </c>
      <c r="DP13" s="29">
        <f t="shared" si="66"/>
        <v>166666.66666666666</v>
      </c>
      <c r="DQ13" s="11">
        <f t="shared" si="67"/>
        <v>1666666.6666666667</v>
      </c>
      <c r="DR13" s="29">
        <f>SUM($CT13:CT13)-SUM($DG13:DG13)</f>
        <v>1083333.3333333333</v>
      </c>
      <c r="DS13" s="29">
        <f>SUM($CT13:CU13)-SUM($DG13:DH13)</f>
        <v>916666.66666666674</v>
      </c>
      <c r="DT13" s="29">
        <f>SUM($CT13:CV13)-SUM($DG13:DI13)</f>
        <v>750000</v>
      </c>
      <c r="DU13" s="29">
        <f>SUM($CT13:CW13)-SUM($DG13:DJ13)</f>
        <v>583333.33333333337</v>
      </c>
      <c r="DV13" s="29">
        <f>SUM($CT13:CX13)-SUM($DG13:DK13)</f>
        <v>416666.66666666674</v>
      </c>
      <c r="DW13" s="29">
        <f>SUM($CT13:CY13)-SUM($DG13:DL13)</f>
        <v>250000.00000000012</v>
      </c>
      <c r="DX13" s="29">
        <f>SUM($CT13:CZ13)-SUM($DG13:DM13)</f>
        <v>83333.333333333489</v>
      </c>
      <c r="DY13" s="29">
        <f>SUM($CT13:DA13)-SUM($DG13:DN13)</f>
        <v>-83333.333333333256</v>
      </c>
      <c r="DZ13" s="29">
        <f>SUM($CT13:DB13)-SUM($DG13:DO13)</f>
        <v>-250000</v>
      </c>
      <c r="EA13" s="29">
        <f>SUM($CT13:DC13)-SUM($DG13:DP13)</f>
        <v>-416666.66666666674</v>
      </c>
      <c r="EB13" s="11"/>
      <c r="ED13" s="32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11"/>
      <c r="EP13" s="30">
        <f t="shared" si="69"/>
        <v>0</v>
      </c>
      <c r="EQ13" s="30">
        <f t="shared" si="70"/>
        <v>0</v>
      </c>
      <c r="ER13" s="30">
        <f t="shared" si="71"/>
        <v>0</v>
      </c>
      <c r="ES13" s="30">
        <f t="shared" si="72"/>
        <v>0</v>
      </c>
      <c r="ET13" s="30">
        <f t="shared" si="73"/>
        <v>0</v>
      </c>
      <c r="EU13" s="30">
        <f t="shared" si="74"/>
        <v>0</v>
      </c>
      <c r="EV13" s="30">
        <f t="shared" si="75"/>
        <v>0</v>
      </c>
      <c r="EW13" s="30">
        <f t="shared" si="76"/>
        <v>0</v>
      </c>
      <c r="EX13" s="30">
        <f t="shared" si="77"/>
        <v>0</v>
      </c>
      <c r="EY13" s="30">
        <f t="shared" si="78"/>
        <v>0</v>
      </c>
      <c r="EZ13" s="11">
        <f t="shared" si="79"/>
        <v>0</v>
      </c>
      <c r="FB13" s="7"/>
      <c r="FC13" s="30">
        <f t="shared" si="80"/>
        <v>0</v>
      </c>
      <c r="FD13" s="30">
        <f t="shared" si="81"/>
        <v>0</v>
      </c>
      <c r="FE13" s="30">
        <f t="shared" si="82"/>
        <v>0</v>
      </c>
      <c r="FF13" s="30">
        <f t="shared" si="83"/>
        <v>0</v>
      </c>
      <c r="FG13" s="30">
        <f t="shared" si="84"/>
        <v>0</v>
      </c>
      <c r="FH13" s="30">
        <f t="shared" si="85"/>
        <v>0</v>
      </c>
      <c r="FI13" s="30">
        <f t="shared" si="86"/>
        <v>0</v>
      </c>
      <c r="FJ13" s="30">
        <f t="shared" si="87"/>
        <v>0</v>
      </c>
      <c r="FK13" s="30">
        <f t="shared" si="88"/>
        <v>0</v>
      </c>
      <c r="FL13" s="30">
        <f t="shared" si="89"/>
        <v>0</v>
      </c>
      <c r="FM13" s="11">
        <f t="shared" si="90"/>
        <v>0</v>
      </c>
      <c r="FO13" s="8"/>
      <c r="FP13" s="8"/>
      <c r="FQ13" s="8"/>
      <c r="FR13" s="8"/>
      <c r="FS13" s="13">
        <f t="shared" si="91"/>
        <v>0</v>
      </c>
      <c r="FT13" s="13">
        <f t="shared" si="92"/>
        <v>0</v>
      </c>
      <c r="FU13" s="13">
        <f t="shared" si="93"/>
        <v>0</v>
      </c>
      <c r="FV13" s="13">
        <f t="shared" si="94"/>
        <v>0</v>
      </c>
      <c r="FW13" s="3">
        <f t="shared" si="95"/>
        <v>0</v>
      </c>
      <c r="FX13" s="30">
        <f t="shared" si="96"/>
        <v>0</v>
      </c>
      <c r="FY13" s="30">
        <f t="shared" si="97"/>
        <v>0</v>
      </c>
      <c r="FZ13" s="30">
        <f t="shared" si="98"/>
        <v>0</v>
      </c>
      <c r="GA13" s="30">
        <f t="shared" si="99"/>
        <v>0</v>
      </c>
      <c r="GB13" s="30">
        <f t="shared" si="100"/>
        <v>0</v>
      </c>
      <c r="GC13" s="30">
        <f t="shared" si="101"/>
        <v>0</v>
      </c>
      <c r="GD13" s="30">
        <f t="shared" si="102"/>
        <v>0</v>
      </c>
      <c r="GE13" s="30">
        <f t="shared" si="103"/>
        <v>0</v>
      </c>
      <c r="GF13" s="30">
        <f t="shared" si="104"/>
        <v>0</v>
      </c>
      <c r="GG13" s="30">
        <f t="shared" si="105"/>
        <v>0</v>
      </c>
      <c r="GH13" s="11">
        <f t="shared" si="106"/>
        <v>0</v>
      </c>
      <c r="GI13" s="11"/>
      <c r="GJ13" s="6"/>
      <c r="GK13" s="6"/>
      <c r="GL13" s="7"/>
      <c r="GM13" s="3">
        <f t="shared" si="107"/>
        <v>0</v>
      </c>
      <c r="GN13" s="33">
        <f t="shared" si="108"/>
        <v>0</v>
      </c>
      <c r="GO13" s="30">
        <f t="shared" si="109"/>
        <v>0</v>
      </c>
      <c r="GP13" s="30">
        <f t="shared" si="110"/>
        <v>0</v>
      </c>
      <c r="GQ13" s="30">
        <f t="shared" si="111"/>
        <v>0</v>
      </c>
      <c r="GR13" s="30">
        <f t="shared" si="112"/>
        <v>0</v>
      </c>
      <c r="GS13" s="30">
        <f t="shared" si="113"/>
        <v>0</v>
      </c>
      <c r="GT13" s="30">
        <f t="shared" si="114"/>
        <v>0</v>
      </c>
      <c r="GU13" s="30">
        <f t="shared" si="115"/>
        <v>0</v>
      </c>
      <c r="GV13" s="30">
        <f t="shared" si="116"/>
        <v>0</v>
      </c>
      <c r="GW13" s="30">
        <f t="shared" si="117"/>
        <v>0</v>
      </c>
      <c r="GX13" s="30">
        <f t="shared" si="118"/>
        <v>0</v>
      </c>
      <c r="GY13" s="11">
        <f t="shared" si="119"/>
        <v>0</v>
      </c>
      <c r="HA13" s="30">
        <f t="shared" si="120"/>
        <v>197666.66666666666</v>
      </c>
      <c r="HB13" s="30">
        <f t="shared" si="121"/>
        <v>197666.66666666666</v>
      </c>
      <c r="HC13" s="30">
        <f t="shared" si="122"/>
        <v>197666.66666666666</v>
      </c>
      <c r="HD13" s="30">
        <f t="shared" si="123"/>
        <v>197666.66666666666</v>
      </c>
      <c r="HE13" s="30">
        <f t="shared" si="124"/>
        <v>197666.66666666666</v>
      </c>
      <c r="HF13" s="30">
        <f t="shared" si="125"/>
        <v>197666.66666666666</v>
      </c>
      <c r="HG13" s="30">
        <f t="shared" si="126"/>
        <v>197666.66666666666</v>
      </c>
      <c r="HH13" s="30">
        <f t="shared" si="127"/>
        <v>197666.66666666666</v>
      </c>
      <c r="HI13" s="30">
        <f t="shared" si="128"/>
        <v>197666.66666666666</v>
      </c>
      <c r="HJ13" s="30">
        <f t="shared" si="129"/>
        <v>197666.66666666666</v>
      </c>
      <c r="HK13" s="11">
        <f t="shared" si="130"/>
        <v>1976666.666666667</v>
      </c>
    </row>
    <row r="14" spans="1:219" x14ac:dyDescent="0.2">
      <c r="A14" s="12"/>
      <c r="B14" s="6"/>
      <c r="C14" s="6"/>
      <c r="D14" s="6"/>
      <c r="E14" s="6"/>
      <c r="F14" s="6"/>
      <c r="G14" s="36">
        <v>0</v>
      </c>
      <c r="H14" s="36">
        <v>0</v>
      </c>
      <c r="I14" s="38">
        <f t="shared" si="15"/>
        <v>0</v>
      </c>
      <c r="J14" s="38">
        <f t="shared" si="15"/>
        <v>0</v>
      </c>
      <c r="K14" s="38">
        <f t="shared" si="15"/>
        <v>0</v>
      </c>
      <c r="L14" s="38">
        <f t="shared" si="15"/>
        <v>0</v>
      </c>
      <c r="M14" s="38">
        <f t="shared" si="15"/>
        <v>0</v>
      </c>
      <c r="N14" s="38">
        <f t="shared" si="15"/>
        <v>0</v>
      </c>
      <c r="O14" s="38">
        <f t="shared" si="15"/>
        <v>0</v>
      </c>
      <c r="P14" s="38">
        <f t="shared" si="15"/>
        <v>0</v>
      </c>
      <c r="Q14" s="38">
        <f t="shared" si="15"/>
        <v>0</v>
      </c>
      <c r="R14" s="38">
        <f t="shared" si="15"/>
        <v>0</v>
      </c>
      <c r="S14" s="39">
        <f t="shared" si="16"/>
        <v>0</v>
      </c>
      <c r="T14" s="6"/>
      <c r="U14" s="38">
        <f t="shared" si="17"/>
        <v>0</v>
      </c>
      <c r="V14" s="38">
        <f t="shared" si="18"/>
        <v>0</v>
      </c>
      <c r="W14" s="38">
        <f t="shared" si="19"/>
        <v>0</v>
      </c>
      <c r="X14" s="38">
        <f t="shared" si="20"/>
        <v>0</v>
      </c>
      <c r="Y14" s="38">
        <f t="shared" si="21"/>
        <v>0</v>
      </c>
      <c r="Z14" s="38">
        <f t="shared" si="22"/>
        <v>0</v>
      </c>
      <c r="AA14" s="38">
        <f t="shared" si="23"/>
        <v>0</v>
      </c>
      <c r="AB14" s="38">
        <f t="shared" si="24"/>
        <v>0</v>
      </c>
      <c r="AC14" s="38">
        <f t="shared" si="25"/>
        <v>0</v>
      </c>
      <c r="AD14" s="38">
        <f t="shared" si="26"/>
        <v>0</v>
      </c>
      <c r="AE14" s="27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38">
        <f t="shared" si="27"/>
        <v>0</v>
      </c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38">
        <f t="shared" si="29"/>
        <v>0</v>
      </c>
      <c r="BC14" s="8"/>
      <c r="BD14" s="8"/>
      <c r="BE14" s="28"/>
      <c r="BF14" s="29">
        <f t="shared" si="30"/>
        <v>0</v>
      </c>
      <c r="BG14" s="29">
        <f>IF(BG$9=$H14,SUM($BC14:$BD14)-((SUM($BC14:$BD14)-#REF!)/$BQ14)*(J$9-$G14),0)-IF((J$9-$G14)=$BQ14,$BE14,0)</f>
        <v>0</v>
      </c>
      <c r="BH14" s="29">
        <f t="shared" si="31"/>
        <v>0</v>
      </c>
      <c r="BI14" s="29">
        <f t="shared" si="32"/>
        <v>0</v>
      </c>
      <c r="BJ14" s="29">
        <f t="shared" si="33"/>
        <v>0</v>
      </c>
      <c r="BK14" s="29">
        <f t="shared" si="34"/>
        <v>0</v>
      </c>
      <c r="BL14" s="29">
        <f t="shared" si="35"/>
        <v>0</v>
      </c>
      <c r="BM14" s="29">
        <f t="shared" si="36"/>
        <v>0</v>
      </c>
      <c r="BN14" s="29">
        <f t="shared" si="37"/>
        <v>0</v>
      </c>
      <c r="BO14" s="29">
        <f t="shared" si="38"/>
        <v>0</v>
      </c>
      <c r="BP14" s="11">
        <f t="shared" si="39"/>
        <v>0</v>
      </c>
      <c r="BQ14" s="6">
        <v>1</v>
      </c>
      <c r="BR14" s="11">
        <f t="shared" si="40"/>
        <v>0</v>
      </c>
      <c r="BS14" s="30">
        <f t="shared" si="41"/>
        <v>0</v>
      </c>
      <c r="BT14" s="30">
        <f t="shared" si="42"/>
        <v>0</v>
      </c>
      <c r="BU14" s="30">
        <f t="shared" si="43"/>
        <v>0</v>
      </c>
      <c r="BV14" s="30">
        <f t="shared" si="44"/>
        <v>0</v>
      </c>
      <c r="BW14" s="30">
        <f t="shared" si="45"/>
        <v>0</v>
      </c>
      <c r="BX14" s="30">
        <f t="shared" si="46"/>
        <v>0</v>
      </c>
      <c r="BY14" s="30">
        <f t="shared" si="47"/>
        <v>0</v>
      </c>
      <c r="BZ14" s="30">
        <f t="shared" si="48"/>
        <v>0</v>
      </c>
      <c r="CA14" s="30">
        <f t="shared" si="49"/>
        <v>0</v>
      </c>
      <c r="CB14" s="30">
        <f t="shared" si="50"/>
        <v>0</v>
      </c>
      <c r="CC14" s="11">
        <f t="shared" si="51"/>
        <v>0</v>
      </c>
      <c r="CD14" s="30">
        <f>SUM($BF14:BF14)-SUM($BS14:BS14)</f>
        <v>0</v>
      </c>
      <c r="CE14" s="30">
        <f>SUM($BF14:BG14)-SUM($BS14:BT14)</f>
        <v>0</v>
      </c>
      <c r="CF14" s="30">
        <f>SUM($BF14:BH14)-SUM($BS14:BU14)</f>
        <v>0</v>
      </c>
      <c r="CG14" s="30">
        <f>SUM($BF14:BI14)-SUM($BS14:BV14)</f>
        <v>0</v>
      </c>
      <c r="CH14" s="30">
        <f>SUM($BF14:BJ14)-SUM($BS14:BW14)</f>
        <v>0</v>
      </c>
      <c r="CI14" s="30">
        <f>SUM($BF14:BK14)-SUM($BS14:BX14)</f>
        <v>0</v>
      </c>
      <c r="CJ14" s="30">
        <f>SUM($BF14:BL14)-SUM($BS14:BY14)</f>
        <v>0</v>
      </c>
      <c r="CK14" s="30">
        <f>SUM($BF14:BM14)-SUM($BS14:BZ14)</f>
        <v>0</v>
      </c>
      <c r="CL14" s="30">
        <f>SUM($BF14:BN14)-SUM($BS14:CA14)</f>
        <v>0</v>
      </c>
      <c r="CM14" s="30">
        <f>SUM($BF14:BO14)-SUM($BS14:CB14)</f>
        <v>0</v>
      </c>
      <c r="CN14" s="11"/>
      <c r="CP14" s="8">
        <v>0</v>
      </c>
      <c r="CQ14" s="8">
        <v>0</v>
      </c>
      <c r="CR14" s="41">
        <f t="shared" si="52"/>
        <v>0</v>
      </c>
      <c r="CS14" s="41">
        <f t="shared" si="53"/>
        <v>0</v>
      </c>
      <c r="CT14" s="29">
        <f t="shared" si="132"/>
        <v>0</v>
      </c>
      <c r="CU14" s="29">
        <f t="shared" si="133"/>
        <v>0</v>
      </c>
      <c r="CV14" s="29">
        <f t="shared" si="134"/>
        <v>0</v>
      </c>
      <c r="CW14" s="29">
        <f t="shared" si="135"/>
        <v>0</v>
      </c>
      <c r="CX14" s="29">
        <f t="shared" si="136"/>
        <v>0</v>
      </c>
      <c r="CY14" s="29">
        <f t="shared" si="137"/>
        <v>0</v>
      </c>
      <c r="CZ14" s="29">
        <f t="shared" si="138"/>
        <v>0</v>
      </c>
      <c r="DA14" s="29">
        <f t="shared" si="139"/>
        <v>0</v>
      </c>
      <c r="DB14" s="29">
        <f t="shared" si="140"/>
        <v>0</v>
      </c>
      <c r="DC14" s="29">
        <f t="shared" si="141"/>
        <v>0</v>
      </c>
      <c r="DD14" s="11">
        <f t="shared" si="55"/>
        <v>0</v>
      </c>
      <c r="DE14" s="31"/>
      <c r="DF14" s="37">
        <f t="shared" si="56"/>
        <v>0</v>
      </c>
      <c r="DG14" s="29">
        <f t="shared" si="57"/>
        <v>0</v>
      </c>
      <c r="DH14" s="29">
        <f t="shared" si="58"/>
        <v>0</v>
      </c>
      <c r="DI14" s="29">
        <f t="shared" si="59"/>
        <v>0</v>
      </c>
      <c r="DJ14" s="29">
        <f t="shared" si="60"/>
        <v>0</v>
      </c>
      <c r="DK14" s="29">
        <f t="shared" si="61"/>
        <v>0</v>
      </c>
      <c r="DL14" s="29">
        <f t="shared" si="62"/>
        <v>0</v>
      </c>
      <c r="DM14" s="29">
        <f t="shared" si="63"/>
        <v>0</v>
      </c>
      <c r="DN14" s="29">
        <f t="shared" si="64"/>
        <v>0</v>
      </c>
      <c r="DO14" s="29">
        <f t="shared" si="65"/>
        <v>0</v>
      </c>
      <c r="DP14" s="29">
        <f t="shared" si="66"/>
        <v>0</v>
      </c>
      <c r="DQ14" s="11">
        <f t="shared" si="67"/>
        <v>0</v>
      </c>
      <c r="DR14" s="29">
        <f>SUM($CT14:CT14)-SUM($DG14:DG14)</f>
        <v>0</v>
      </c>
      <c r="DS14" s="29">
        <f>SUM($CT14:CU14)-SUM($DG14:DH14)</f>
        <v>0</v>
      </c>
      <c r="DT14" s="29">
        <f>SUM($CT14:CV14)-SUM($DG14:DI14)</f>
        <v>0</v>
      </c>
      <c r="DU14" s="29">
        <f>SUM($CT14:CW14)-SUM($DG14:DJ14)</f>
        <v>0</v>
      </c>
      <c r="DV14" s="29">
        <f>SUM($CT14:CX14)-SUM($DG14:DK14)</f>
        <v>0</v>
      </c>
      <c r="DW14" s="29">
        <f>SUM($CT14:CY14)-SUM($DG14:DL14)</f>
        <v>0</v>
      </c>
      <c r="DX14" s="29">
        <f>SUM($CT14:CZ14)-SUM($DG14:DM14)</f>
        <v>0</v>
      </c>
      <c r="DY14" s="29">
        <f>SUM($CT14:DA14)-SUM($DG14:DN14)</f>
        <v>0</v>
      </c>
      <c r="DZ14" s="29">
        <f>SUM($CT14:DB14)-SUM($DG14:DO14)</f>
        <v>0</v>
      </c>
      <c r="EA14" s="29">
        <f>SUM($CT14:DC14)-SUM($DG14:DP14)</f>
        <v>0</v>
      </c>
      <c r="EB14" s="11"/>
      <c r="ED14" s="32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11"/>
      <c r="EP14" s="30">
        <f t="shared" si="69"/>
        <v>0</v>
      </c>
      <c r="EQ14" s="30">
        <f t="shared" si="70"/>
        <v>0</v>
      </c>
      <c r="ER14" s="30">
        <f t="shared" si="71"/>
        <v>0</v>
      </c>
      <c r="ES14" s="30">
        <f t="shared" si="72"/>
        <v>0</v>
      </c>
      <c r="ET14" s="30">
        <f t="shared" si="73"/>
        <v>0</v>
      </c>
      <c r="EU14" s="30">
        <f t="shared" si="74"/>
        <v>0</v>
      </c>
      <c r="EV14" s="30">
        <f t="shared" si="75"/>
        <v>0</v>
      </c>
      <c r="EW14" s="30">
        <f t="shared" si="76"/>
        <v>0</v>
      </c>
      <c r="EX14" s="30">
        <f t="shared" si="77"/>
        <v>0</v>
      </c>
      <c r="EY14" s="30">
        <f t="shared" si="78"/>
        <v>0</v>
      </c>
      <c r="EZ14" s="11">
        <f t="shared" si="79"/>
        <v>0</v>
      </c>
      <c r="FB14" s="7"/>
      <c r="FC14" s="30">
        <f t="shared" si="80"/>
        <v>0</v>
      </c>
      <c r="FD14" s="30">
        <f t="shared" si="81"/>
        <v>0</v>
      </c>
      <c r="FE14" s="30">
        <f t="shared" si="82"/>
        <v>0</v>
      </c>
      <c r="FF14" s="30">
        <f t="shared" si="83"/>
        <v>0</v>
      </c>
      <c r="FG14" s="30">
        <f t="shared" si="84"/>
        <v>0</v>
      </c>
      <c r="FH14" s="30">
        <f t="shared" si="85"/>
        <v>0</v>
      </c>
      <c r="FI14" s="30">
        <f t="shared" si="86"/>
        <v>0</v>
      </c>
      <c r="FJ14" s="30">
        <f t="shared" si="87"/>
        <v>0</v>
      </c>
      <c r="FK14" s="30">
        <f t="shared" si="88"/>
        <v>0</v>
      </c>
      <c r="FL14" s="30">
        <f t="shared" si="89"/>
        <v>0</v>
      </c>
      <c r="FM14" s="11">
        <f t="shared" si="90"/>
        <v>0</v>
      </c>
      <c r="FO14" s="8"/>
      <c r="FP14" s="8"/>
      <c r="FQ14" s="8"/>
      <c r="FR14" s="8"/>
      <c r="FS14" s="13">
        <f t="shared" si="91"/>
        <v>0</v>
      </c>
      <c r="FT14" s="13">
        <f t="shared" si="92"/>
        <v>0</v>
      </c>
      <c r="FU14" s="13">
        <f t="shared" si="93"/>
        <v>0</v>
      </c>
      <c r="FV14" s="13">
        <f t="shared" si="94"/>
        <v>0</v>
      </c>
      <c r="FW14" s="3">
        <f t="shared" si="95"/>
        <v>0</v>
      </c>
      <c r="FX14" s="30">
        <f t="shared" si="96"/>
        <v>0</v>
      </c>
      <c r="FY14" s="30">
        <f t="shared" si="97"/>
        <v>0</v>
      </c>
      <c r="FZ14" s="30">
        <f t="shared" si="98"/>
        <v>0</v>
      </c>
      <c r="GA14" s="30">
        <f t="shared" si="99"/>
        <v>0</v>
      </c>
      <c r="GB14" s="30">
        <f t="shared" si="100"/>
        <v>0</v>
      </c>
      <c r="GC14" s="30">
        <f t="shared" si="101"/>
        <v>0</v>
      </c>
      <c r="GD14" s="30">
        <f t="shared" si="102"/>
        <v>0</v>
      </c>
      <c r="GE14" s="30">
        <f t="shared" si="103"/>
        <v>0</v>
      </c>
      <c r="GF14" s="30">
        <f t="shared" si="104"/>
        <v>0</v>
      </c>
      <c r="GG14" s="30">
        <f t="shared" si="105"/>
        <v>0</v>
      </c>
      <c r="GH14" s="11">
        <f t="shared" si="106"/>
        <v>0</v>
      </c>
      <c r="GI14" s="11"/>
      <c r="GJ14" s="6"/>
      <c r="GK14" s="6"/>
      <c r="GL14" s="7"/>
      <c r="GM14" s="3">
        <f t="shared" si="107"/>
        <v>0</v>
      </c>
      <c r="GN14" s="33">
        <f t="shared" si="108"/>
        <v>0</v>
      </c>
      <c r="GO14" s="30">
        <f t="shared" si="109"/>
        <v>0</v>
      </c>
      <c r="GP14" s="30">
        <f t="shared" si="110"/>
        <v>0</v>
      </c>
      <c r="GQ14" s="30">
        <f t="shared" si="111"/>
        <v>0</v>
      </c>
      <c r="GR14" s="30">
        <f t="shared" si="112"/>
        <v>0</v>
      </c>
      <c r="GS14" s="30">
        <f t="shared" si="113"/>
        <v>0</v>
      </c>
      <c r="GT14" s="30">
        <f t="shared" si="114"/>
        <v>0</v>
      </c>
      <c r="GU14" s="30">
        <f t="shared" si="115"/>
        <v>0</v>
      </c>
      <c r="GV14" s="30">
        <f t="shared" si="116"/>
        <v>0</v>
      </c>
      <c r="GW14" s="30">
        <f t="shared" si="117"/>
        <v>0</v>
      </c>
      <c r="GX14" s="30">
        <f t="shared" si="118"/>
        <v>0</v>
      </c>
      <c r="GY14" s="11">
        <f t="shared" si="119"/>
        <v>0</v>
      </c>
      <c r="HA14" s="30">
        <f t="shared" si="120"/>
        <v>0</v>
      </c>
      <c r="HB14" s="30">
        <f t="shared" si="121"/>
        <v>0</v>
      </c>
      <c r="HC14" s="30">
        <f t="shared" si="122"/>
        <v>0</v>
      </c>
      <c r="HD14" s="30">
        <f t="shared" si="123"/>
        <v>0</v>
      </c>
      <c r="HE14" s="30">
        <f t="shared" si="124"/>
        <v>0</v>
      </c>
      <c r="HF14" s="30">
        <f t="shared" si="125"/>
        <v>0</v>
      </c>
      <c r="HG14" s="30">
        <f t="shared" si="126"/>
        <v>0</v>
      </c>
      <c r="HH14" s="30">
        <f t="shared" si="127"/>
        <v>0</v>
      </c>
      <c r="HI14" s="30">
        <f t="shared" si="128"/>
        <v>0</v>
      </c>
      <c r="HJ14" s="30">
        <f t="shared" si="129"/>
        <v>0</v>
      </c>
      <c r="HK14" s="11">
        <f t="shared" si="130"/>
        <v>0</v>
      </c>
    </row>
    <row r="15" spans="1:219" x14ac:dyDescent="0.2">
      <c r="A15" s="12"/>
      <c r="B15" s="6"/>
      <c r="C15" s="6"/>
      <c r="D15" s="6"/>
      <c r="E15" s="6"/>
      <c r="F15" s="6"/>
      <c r="G15" s="36">
        <v>0</v>
      </c>
      <c r="H15" s="36">
        <v>0</v>
      </c>
      <c r="I15" s="38">
        <f t="shared" si="15"/>
        <v>0</v>
      </c>
      <c r="J15" s="38">
        <f t="shared" si="15"/>
        <v>0</v>
      </c>
      <c r="K15" s="38">
        <f t="shared" si="15"/>
        <v>0</v>
      </c>
      <c r="L15" s="38">
        <f t="shared" si="15"/>
        <v>0</v>
      </c>
      <c r="M15" s="38">
        <f t="shared" si="15"/>
        <v>0</v>
      </c>
      <c r="N15" s="38">
        <f t="shared" si="15"/>
        <v>0</v>
      </c>
      <c r="O15" s="38">
        <f t="shared" si="15"/>
        <v>0</v>
      </c>
      <c r="P15" s="38">
        <f t="shared" si="15"/>
        <v>0</v>
      </c>
      <c r="Q15" s="38">
        <f t="shared" si="15"/>
        <v>0</v>
      </c>
      <c r="R15" s="38">
        <f t="shared" si="15"/>
        <v>0</v>
      </c>
      <c r="S15" s="39">
        <f t="shared" si="16"/>
        <v>0</v>
      </c>
      <c r="T15" s="6"/>
      <c r="U15" s="38">
        <f t="shared" si="17"/>
        <v>0</v>
      </c>
      <c r="V15" s="38">
        <f t="shared" si="18"/>
        <v>0</v>
      </c>
      <c r="W15" s="38">
        <f t="shared" si="19"/>
        <v>0</v>
      </c>
      <c r="X15" s="38">
        <f t="shared" si="20"/>
        <v>0</v>
      </c>
      <c r="Y15" s="38">
        <f t="shared" si="21"/>
        <v>0</v>
      </c>
      <c r="Z15" s="38">
        <f t="shared" si="22"/>
        <v>0</v>
      </c>
      <c r="AA15" s="38">
        <f t="shared" si="23"/>
        <v>0</v>
      </c>
      <c r="AB15" s="38">
        <f t="shared" si="24"/>
        <v>0</v>
      </c>
      <c r="AC15" s="38">
        <f t="shared" si="25"/>
        <v>0</v>
      </c>
      <c r="AD15" s="38">
        <f t="shared" si="26"/>
        <v>0</v>
      </c>
      <c r="AE15" s="27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38">
        <f t="shared" si="27"/>
        <v>0</v>
      </c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38">
        <f t="shared" si="29"/>
        <v>0</v>
      </c>
      <c r="BC15" s="8"/>
      <c r="BD15" s="8"/>
      <c r="BE15" s="28"/>
      <c r="BF15" s="29">
        <f t="shared" si="30"/>
        <v>0</v>
      </c>
      <c r="BG15" s="29">
        <f>IF(BG$9=$H15,SUM($BC15:$BD15)-((SUM($BC15:$BD15)-#REF!)/$BQ15)*(J$9-$G15),0)-IF((J$9-$G15)=$BQ15,$BE15,0)</f>
        <v>0</v>
      </c>
      <c r="BH15" s="29">
        <f t="shared" si="31"/>
        <v>0</v>
      </c>
      <c r="BI15" s="29">
        <f t="shared" si="32"/>
        <v>0</v>
      </c>
      <c r="BJ15" s="29">
        <f t="shared" si="33"/>
        <v>0</v>
      </c>
      <c r="BK15" s="29">
        <f t="shared" si="34"/>
        <v>0</v>
      </c>
      <c r="BL15" s="29">
        <f t="shared" si="35"/>
        <v>0</v>
      </c>
      <c r="BM15" s="29">
        <f t="shared" si="36"/>
        <v>0</v>
      </c>
      <c r="BN15" s="29">
        <f t="shared" si="37"/>
        <v>0</v>
      </c>
      <c r="BO15" s="29">
        <f t="shared" si="38"/>
        <v>0</v>
      </c>
      <c r="BP15" s="11">
        <f t="shared" si="39"/>
        <v>0</v>
      </c>
      <c r="BQ15" s="6">
        <v>1</v>
      </c>
      <c r="BR15" s="11">
        <f t="shared" si="40"/>
        <v>0</v>
      </c>
      <c r="BS15" s="30">
        <f t="shared" si="41"/>
        <v>0</v>
      </c>
      <c r="BT15" s="30">
        <f t="shared" si="42"/>
        <v>0</v>
      </c>
      <c r="BU15" s="30">
        <f t="shared" si="43"/>
        <v>0</v>
      </c>
      <c r="BV15" s="30">
        <f t="shared" si="44"/>
        <v>0</v>
      </c>
      <c r="BW15" s="30">
        <f t="shared" si="45"/>
        <v>0</v>
      </c>
      <c r="BX15" s="30">
        <f t="shared" si="46"/>
        <v>0</v>
      </c>
      <c r="BY15" s="30">
        <f t="shared" si="47"/>
        <v>0</v>
      </c>
      <c r="BZ15" s="30">
        <f t="shared" si="48"/>
        <v>0</v>
      </c>
      <c r="CA15" s="30">
        <f t="shared" si="49"/>
        <v>0</v>
      </c>
      <c r="CB15" s="30">
        <f t="shared" si="50"/>
        <v>0</v>
      </c>
      <c r="CC15" s="11">
        <f t="shared" si="51"/>
        <v>0</v>
      </c>
      <c r="CD15" s="30">
        <f>SUM($BF15:BF15)-SUM($BS15:BS15)</f>
        <v>0</v>
      </c>
      <c r="CE15" s="30">
        <f>SUM($BF15:BG15)-SUM($BS15:BT15)</f>
        <v>0</v>
      </c>
      <c r="CF15" s="30">
        <f>SUM($BF15:BH15)-SUM($BS15:BU15)</f>
        <v>0</v>
      </c>
      <c r="CG15" s="30">
        <f>SUM($BF15:BI15)-SUM($BS15:BV15)</f>
        <v>0</v>
      </c>
      <c r="CH15" s="30">
        <f>SUM($BF15:BJ15)-SUM($BS15:BW15)</f>
        <v>0</v>
      </c>
      <c r="CI15" s="30">
        <f>SUM($BF15:BK15)-SUM($BS15:BX15)</f>
        <v>0</v>
      </c>
      <c r="CJ15" s="30">
        <f>SUM($BF15:BL15)-SUM($BS15:BY15)</f>
        <v>0</v>
      </c>
      <c r="CK15" s="30">
        <f>SUM($BF15:BM15)-SUM($BS15:BZ15)</f>
        <v>0</v>
      </c>
      <c r="CL15" s="30">
        <f>SUM($BF15:BN15)-SUM($BS15:CA15)</f>
        <v>0</v>
      </c>
      <c r="CM15" s="30">
        <f>SUM($BF15:BO15)-SUM($BS15:CB15)</f>
        <v>0</v>
      </c>
      <c r="CN15" s="11"/>
      <c r="CP15" s="8">
        <v>0</v>
      </c>
      <c r="CQ15" s="8">
        <v>0</v>
      </c>
      <c r="CR15" s="41">
        <f t="shared" si="52"/>
        <v>0</v>
      </c>
      <c r="CS15" s="41">
        <f t="shared" si="53"/>
        <v>0</v>
      </c>
      <c r="CT15" s="29">
        <f t="shared" si="132"/>
        <v>0</v>
      </c>
      <c r="CU15" s="29">
        <f t="shared" si="133"/>
        <v>0</v>
      </c>
      <c r="CV15" s="29">
        <f t="shared" si="134"/>
        <v>0</v>
      </c>
      <c r="CW15" s="29">
        <f t="shared" si="135"/>
        <v>0</v>
      </c>
      <c r="CX15" s="29">
        <f t="shared" si="136"/>
        <v>0</v>
      </c>
      <c r="CY15" s="29">
        <f t="shared" si="137"/>
        <v>0</v>
      </c>
      <c r="CZ15" s="29">
        <f t="shared" si="138"/>
        <v>0</v>
      </c>
      <c r="DA15" s="29">
        <f t="shared" si="139"/>
        <v>0</v>
      </c>
      <c r="DB15" s="29">
        <f t="shared" si="140"/>
        <v>0</v>
      </c>
      <c r="DC15" s="29">
        <f t="shared" si="141"/>
        <v>0</v>
      </c>
      <c r="DD15" s="11">
        <f t="shared" si="55"/>
        <v>0</v>
      </c>
      <c r="DE15" s="31"/>
      <c r="DF15" s="37">
        <f t="shared" si="56"/>
        <v>0</v>
      </c>
      <c r="DG15" s="29">
        <f t="shared" si="57"/>
        <v>0</v>
      </c>
      <c r="DH15" s="29">
        <f t="shared" si="58"/>
        <v>0</v>
      </c>
      <c r="DI15" s="29">
        <f t="shared" si="59"/>
        <v>0</v>
      </c>
      <c r="DJ15" s="29">
        <f t="shared" si="60"/>
        <v>0</v>
      </c>
      <c r="DK15" s="29">
        <f t="shared" si="61"/>
        <v>0</v>
      </c>
      <c r="DL15" s="29">
        <f t="shared" si="62"/>
        <v>0</v>
      </c>
      <c r="DM15" s="29">
        <f t="shared" si="63"/>
        <v>0</v>
      </c>
      <c r="DN15" s="29">
        <f t="shared" si="64"/>
        <v>0</v>
      </c>
      <c r="DO15" s="29">
        <f t="shared" si="65"/>
        <v>0</v>
      </c>
      <c r="DP15" s="29">
        <f t="shared" si="66"/>
        <v>0</v>
      </c>
      <c r="DQ15" s="11">
        <f t="shared" si="67"/>
        <v>0</v>
      </c>
      <c r="DR15" s="29">
        <f>SUM($CT15:CT15)-SUM($DG15:DG15)</f>
        <v>0</v>
      </c>
      <c r="DS15" s="29">
        <f>SUM($CT15:CU15)-SUM($DG15:DH15)</f>
        <v>0</v>
      </c>
      <c r="DT15" s="29">
        <f>SUM($CT15:CV15)-SUM($DG15:DI15)</f>
        <v>0</v>
      </c>
      <c r="DU15" s="29">
        <f>SUM($CT15:CW15)-SUM($DG15:DJ15)</f>
        <v>0</v>
      </c>
      <c r="DV15" s="29">
        <f>SUM($CT15:CX15)-SUM($DG15:DK15)</f>
        <v>0</v>
      </c>
      <c r="DW15" s="29">
        <f>SUM($CT15:CY15)-SUM($DG15:DL15)</f>
        <v>0</v>
      </c>
      <c r="DX15" s="29">
        <f>SUM($CT15:CZ15)-SUM($DG15:DM15)</f>
        <v>0</v>
      </c>
      <c r="DY15" s="29">
        <f>SUM($CT15:DA15)-SUM($DG15:DN15)</f>
        <v>0</v>
      </c>
      <c r="DZ15" s="29">
        <f>SUM($CT15:DB15)-SUM($DG15:DO15)</f>
        <v>0</v>
      </c>
      <c r="EA15" s="29">
        <f>SUM($CT15:DC15)-SUM($DG15:DP15)</f>
        <v>0</v>
      </c>
      <c r="EB15" s="11"/>
      <c r="ED15" s="32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11"/>
      <c r="EP15" s="30">
        <f t="shared" si="69"/>
        <v>0</v>
      </c>
      <c r="EQ15" s="30">
        <f t="shared" si="70"/>
        <v>0</v>
      </c>
      <c r="ER15" s="30">
        <f t="shared" si="71"/>
        <v>0</v>
      </c>
      <c r="ES15" s="30">
        <f t="shared" si="72"/>
        <v>0</v>
      </c>
      <c r="ET15" s="30">
        <f t="shared" si="73"/>
        <v>0</v>
      </c>
      <c r="EU15" s="30">
        <f t="shared" si="74"/>
        <v>0</v>
      </c>
      <c r="EV15" s="30">
        <f t="shared" si="75"/>
        <v>0</v>
      </c>
      <c r="EW15" s="30">
        <f t="shared" si="76"/>
        <v>0</v>
      </c>
      <c r="EX15" s="30">
        <f t="shared" si="77"/>
        <v>0</v>
      </c>
      <c r="EY15" s="30">
        <f t="shared" si="78"/>
        <v>0</v>
      </c>
      <c r="EZ15" s="11">
        <f t="shared" si="79"/>
        <v>0</v>
      </c>
      <c r="FB15" s="7"/>
      <c r="FC15" s="30">
        <f t="shared" si="80"/>
        <v>0</v>
      </c>
      <c r="FD15" s="30">
        <f t="shared" si="81"/>
        <v>0</v>
      </c>
      <c r="FE15" s="30">
        <f t="shared" si="82"/>
        <v>0</v>
      </c>
      <c r="FF15" s="30">
        <f t="shared" si="83"/>
        <v>0</v>
      </c>
      <c r="FG15" s="30">
        <f t="shared" si="84"/>
        <v>0</v>
      </c>
      <c r="FH15" s="30">
        <f t="shared" si="85"/>
        <v>0</v>
      </c>
      <c r="FI15" s="30">
        <f t="shared" si="86"/>
        <v>0</v>
      </c>
      <c r="FJ15" s="30">
        <f t="shared" si="87"/>
        <v>0</v>
      </c>
      <c r="FK15" s="30">
        <f t="shared" si="88"/>
        <v>0</v>
      </c>
      <c r="FL15" s="30">
        <f t="shared" si="89"/>
        <v>0</v>
      </c>
      <c r="FM15" s="11">
        <f t="shared" si="90"/>
        <v>0</v>
      </c>
      <c r="FO15" s="8"/>
      <c r="FP15" s="8"/>
      <c r="FQ15" s="8"/>
      <c r="FR15" s="8"/>
      <c r="FS15" s="13">
        <f t="shared" si="91"/>
        <v>0</v>
      </c>
      <c r="FT15" s="13">
        <f t="shared" si="92"/>
        <v>0</v>
      </c>
      <c r="FU15" s="13">
        <f t="shared" si="93"/>
        <v>0</v>
      </c>
      <c r="FV15" s="13">
        <f t="shared" si="94"/>
        <v>0</v>
      </c>
      <c r="FW15" s="3">
        <f t="shared" si="95"/>
        <v>0</v>
      </c>
      <c r="FX15" s="30">
        <f t="shared" si="96"/>
        <v>0</v>
      </c>
      <c r="FY15" s="30">
        <f t="shared" si="97"/>
        <v>0</v>
      </c>
      <c r="FZ15" s="30">
        <f t="shared" si="98"/>
        <v>0</v>
      </c>
      <c r="GA15" s="30">
        <f t="shared" si="99"/>
        <v>0</v>
      </c>
      <c r="GB15" s="30">
        <f t="shared" si="100"/>
        <v>0</v>
      </c>
      <c r="GC15" s="30">
        <f t="shared" si="101"/>
        <v>0</v>
      </c>
      <c r="GD15" s="30">
        <f t="shared" si="102"/>
        <v>0</v>
      </c>
      <c r="GE15" s="30">
        <f t="shared" si="103"/>
        <v>0</v>
      </c>
      <c r="GF15" s="30">
        <f t="shared" si="104"/>
        <v>0</v>
      </c>
      <c r="GG15" s="30">
        <f t="shared" si="105"/>
        <v>0</v>
      </c>
      <c r="GH15" s="11">
        <f t="shared" si="106"/>
        <v>0</v>
      </c>
      <c r="GI15" s="11"/>
      <c r="GJ15" s="6"/>
      <c r="GK15" s="6"/>
      <c r="GL15" s="7"/>
      <c r="GM15" s="3">
        <f t="shared" si="107"/>
        <v>0</v>
      </c>
      <c r="GN15" s="33">
        <f t="shared" si="108"/>
        <v>0</v>
      </c>
      <c r="GO15" s="30">
        <f t="shared" si="109"/>
        <v>0</v>
      </c>
      <c r="GP15" s="30">
        <f t="shared" si="110"/>
        <v>0</v>
      </c>
      <c r="GQ15" s="30">
        <f t="shared" si="111"/>
        <v>0</v>
      </c>
      <c r="GR15" s="30">
        <f t="shared" si="112"/>
        <v>0</v>
      </c>
      <c r="GS15" s="30">
        <f t="shared" si="113"/>
        <v>0</v>
      </c>
      <c r="GT15" s="30">
        <f t="shared" si="114"/>
        <v>0</v>
      </c>
      <c r="GU15" s="30">
        <f t="shared" si="115"/>
        <v>0</v>
      </c>
      <c r="GV15" s="30">
        <f t="shared" si="116"/>
        <v>0</v>
      </c>
      <c r="GW15" s="30">
        <f t="shared" si="117"/>
        <v>0</v>
      </c>
      <c r="GX15" s="30">
        <f t="shared" si="118"/>
        <v>0</v>
      </c>
      <c r="GY15" s="11">
        <f t="shared" si="119"/>
        <v>0</v>
      </c>
      <c r="HA15" s="30">
        <f t="shared" si="120"/>
        <v>0</v>
      </c>
      <c r="HB15" s="30">
        <f t="shared" si="121"/>
        <v>0</v>
      </c>
      <c r="HC15" s="30">
        <f t="shared" si="122"/>
        <v>0</v>
      </c>
      <c r="HD15" s="30">
        <f t="shared" si="123"/>
        <v>0</v>
      </c>
      <c r="HE15" s="30">
        <f t="shared" si="124"/>
        <v>0</v>
      </c>
      <c r="HF15" s="30">
        <f t="shared" si="125"/>
        <v>0</v>
      </c>
      <c r="HG15" s="30">
        <f t="shared" si="126"/>
        <v>0</v>
      </c>
      <c r="HH15" s="30">
        <f t="shared" si="127"/>
        <v>0</v>
      </c>
      <c r="HI15" s="30">
        <f t="shared" si="128"/>
        <v>0</v>
      </c>
      <c r="HJ15" s="30">
        <f t="shared" si="129"/>
        <v>0</v>
      </c>
      <c r="HK15" s="11">
        <f t="shared" si="130"/>
        <v>0</v>
      </c>
    </row>
    <row r="16" spans="1:219" x14ac:dyDescent="0.2">
      <c r="A16" s="12"/>
      <c r="B16" s="6"/>
      <c r="C16" s="6"/>
      <c r="D16" s="6"/>
      <c r="E16" s="6"/>
      <c r="F16" s="6"/>
      <c r="G16" s="36">
        <v>0</v>
      </c>
      <c r="H16" s="36">
        <v>0</v>
      </c>
      <c r="I16" s="38">
        <f t="shared" si="15"/>
        <v>0</v>
      </c>
      <c r="J16" s="38">
        <f t="shared" si="15"/>
        <v>0</v>
      </c>
      <c r="K16" s="38">
        <f t="shared" si="15"/>
        <v>0</v>
      </c>
      <c r="L16" s="38">
        <f t="shared" si="15"/>
        <v>0</v>
      </c>
      <c r="M16" s="38">
        <f t="shared" si="15"/>
        <v>0</v>
      </c>
      <c r="N16" s="38">
        <f t="shared" si="15"/>
        <v>0</v>
      </c>
      <c r="O16" s="38">
        <f t="shared" si="15"/>
        <v>0</v>
      </c>
      <c r="P16" s="38">
        <f t="shared" si="15"/>
        <v>0</v>
      </c>
      <c r="Q16" s="38">
        <f t="shared" si="15"/>
        <v>0</v>
      </c>
      <c r="R16" s="38">
        <f t="shared" si="15"/>
        <v>0</v>
      </c>
      <c r="S16" s="39">
        <f t="shared" si="16"/>
        <v>0</v>
      </c>
      <c r="T16" s="6"/>
      <c r="U16" s="38">
        <f t="shared" si="17"/>
        <v>0</v>
      </c>
      <c r="V16" s="38">
        <f t="shared" si="18"/>
        <v>0</v>
      </c>
      <c r="W16" s="38">
        <f t="shared" si="19"/>
        <v>0</v>
      </c>
      <c r="X16" s="38">
        <f t="shared" si="20"/>
        <v>0</v>
      </c>
      <c r="Y16" s="38">
        <f t="shared" si="21"/>
        <v>0</v>
      </c>
      <c r="Z16" s="38">
        <f t="shared" si="22"/>
        <v>0</v>
      </c>
      <c r="AA16" s="38">
        <f t="shared" si="23"/>
        <v>0</v>
      </c>
      <c r="AB16" s="38">
        <f t="shared" si="24"/>
        <v>0</v>
      </c>
      <c r="AC16" s="38">
        <f t="shared" si="25"/>
        <v>0</v>
      </c>
      <c r="AD16" s="38">
        <f t="shared" si="26"/>
        <v>0</v>
      </c>
      <c r="AE16" s="27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38">
        <f t="shared" si="27"/>
        <v>0</v>
      </c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38">
        <f t="shared" si="29"/>
        <v>0</v>
      </c>
      <c r="BC16" s="8"/>
      <c r="BD16" s="8"/>
      <c r="BE16" s="28"/>
      <c r="BF16" s="29">
        <f t="shared" si="30"/>
        <v>0</v>
      </c>
      <c r="BG16" s="29">
        <f>IF(BG$9=$H16,SUM($BC16:$BD16)-((SUM($BC16:$BD16)-#REF!)/$BQ16)*(J$9-$G16),0)-IF((J$9-$G16)=$BQ16,$BE16,0)</f>
        <v>0</v>
      </c>
      <c r="BH16" s="29">
        <f t="shared" si="31"/>
        <v>0</v>
      </c>
      <c r="BI16" s="29">
        <f t="shared" si="32"/>
        <v>0</v>
      </c>
      <c r="BJ16" s="29">
        <f t="shared" si="33"/>
        <v>0</v>
      </c>
      <c r="BK16" s="29">
        <f t="shared" si="34"/>
        <v>0</v>
      </c>
      <c r="BL16" s="29">
        <f t="shared" si="35"/>
        <v>0</v>
      </c>
      <c r="BM16" s="29">
        <f t="shared" si="36"/>
        <v>0</v>
      </c>
      <c r="BN16" s="29">
        <f t="shared" si="37"/>
        <v>0</v>
      </c>
      <c r="BO16" s="29">
        <f t="shared" si="38"/>
        <v>0</v>
      </c>
      <c r="BP16" s="11">
        <f t="shared" si="39"/>
        <v>0</v>
      </c>
      <c r="BQ16" s="6">
        <v>1</v>
      </c>
      <c r="BR16" s="11">
        <f t="shared" si="40"/>
        <v>0</v>
      </c>
      <c r="BS16" s="30">
        <f t="shared" si="41"/>
        <v>0</v>
      </c>
      <c r="BT16" s="30">
        <f t="shared" si="42"/>
        <v>0</v>
      </c>
      <c r="BU16" s="30">
        <f t="shared" si="43"/>
        <v>0</v>
      </c>
      <c r="BV16" s="30">
        <f t="shared" si="44"/>
        <v>0</v>
      </c>
      <c r="BW16" s="30">
        <f t="shared" si="45"/>
        <v>0</v>
      </c>
      <c r="BX16" s="30">
        <f t="shared" si="46"/>
        <v>0</v>
      </c>
      <c r="BY16" s="30">
        <f t="shared" si="47"/>
        <v>0</v>
      </c>
      <c r="BZ16" s="30">
        <f t="shared" si="48"/>
        <v>0</v>
      </c>
      <c r="CA16" s="30">
        <f t="shared" si="49"/>
        <v>0</v>
      </c>
      <c r="CB16" s="30">
        <f t="shared" si="50"/>
        <v>0</v>
      </c>
      <c r="CC16" s="11">
        <f t="shared" si="51"/>
        <v>0</v>
      </c>
      <c r="CD16" s="30">
        <f>SUM($BF16:BF16)-SUM($BS16:BS16)</f>
        <v>0</v>
      </c>
      <c r="CE16" s="30">
        <f>SUM($BF16:BG16)-SUM($BS16:BT16)</f>
        <v>0</v>
      </c>
      <c r="CF16" s="30">
        <f>SUM($BF16:BH16)-SUM($BS16:BU16)</f>
        <v>0</v>
      </c>
      <c r="CG16" s="30">
        <f>SUM($BF16:BI16)-SUM($BS16:BV16)</f>
        <v>0</v>
      </c>
      <c r="CH16" s="30">
        <f>SUM($BF16:BJ16)-SUM($BS16:BW16)</f>
        <v>0</v>
      </c>
      <c r="CI16" s="30">
        <f>SUM($BF16:BK16)-SUM($BS16:BX16)</f>
        <v>0</v>
      </c>
      <c r="CJ16" s="30">
        <f>SUM($BF16:BL16)-SUM($BS16:BY16)</f>
        <v>0</v>
      </c>
      <c r="CK16" s="30">
        <f>SUM($BF16:BM16)-SUM($BS16:BZ16)</f>
        <v>0</v>
      </c>
      <c r="CL16" s="30">
        <f>SUM($BF16:BN16)-SUM($BS16:CA16)</f>
        <v>0</v>
      </c>
      <c r="CM16" s="30">
        <f>SUM($BF16:BO16)-SUM($BS16:CB16)</f>
        <v>0</v>
      </c>
      <c r="CN16" s="11"/>
      <c r="CP16" s="8">
        <v>0</v>
      </c>
      <c r="CQ16" s="8">
        <v>0</v>
      </c>
      <c r="CR16" s="41">
        <f t="shared" si="52"/>
        <v>0</v>
      </c>
      <c r="CS16" s="41">
        <f t="shared" si="53"/>
        <v>0</v>
      </c>
      <c r="CT16" s="29">
        <f t="shared" si="132"/>
        <v>0</v>
      </c>
      <c r="CU16" s="29">
        <f t="shared" si="133"/>
        <v>0</v>
      </c>
      <c r="CV16" s="29">
        <f t="shared" si="134"/>
        <v>0</v>
      </c>
      <c r="CW16" s="29">
        <f t="shared" si="135"/>
        <v>0</v>
      </c>
      <c r="CX16" s="29">
        <f t="shared" si="136"/>
        <v>0</v>
      </c>
      <c r="CY16" s="29">
        <f t="shared" si="137"/>
        <v>0</v>
      </c>
      <c r="CZ16" s="29">
        <f t="shared" si="138"/>
        <v>0</v>
      </c>
      <c r="DA16" s="29">
        <f t="shared" si="139"/>
        <v>0</v>
      </c>
      <c r="DB16" s="29">
        <f t="shared" si="140"/>
        <v>0</v>
      </c>
      <c r="DC16" s="29">
        <f t="shared" si="141"/>
        <v>0</v>
      </c>
      <c r="DD16" s="11">
        <f t="shared" si="55"/>
        <v>0</v>
      </c>
      <c r="DE16" s="31"/>
      <c r="DF16" s="37">
        <f t="shared" si="56"/>
        <v>0</v>
      </c>
      <c r="DG16" s="29">
        <f t="shared" si="57"/>
        <v>0</v>
      </c>
      <c r="DH16" s="29">
        <f t="shared" si="58"/>
        <v>0</v>
      </c>
      <c r="DI16" s="29">
        <f t="shared" si="59"/>
        <v>0</v>
      </c>
      <c r="DJ16" s="29">
        <f t="shared" si="60"/>
        <v>0</v>
      </c>
      <c r="DK16" s="29">
        <f t="shared" si="61"/>
        <v>0</v>
      </c>
      <c r="DL16" s="29">
        <f t="shared" si="62"/>
        <v>0</v>
      </c>
      <c r="DM16" s="29">
        <f t="shared" si="63"/>
        <v>0</v>
      </c>
      <c r="DN16" s="29">
        <f t="shared" si="64"/>
        <v>0</v>
      </c>
      <c r="DO16" s="29">
        <f t="shared" si="65"/>
        <v>0</v>
      </c>
      <c r="DP16" s="29">
        <f t="shared" si="66"/>
        <v>0</v>
      </c>
      <c r="DQ16" s="11">
        <f t="shared" si="67"/>
        <v>0</v>
      </c>
      <c r="DR16" s="29">
        <f>SUM($CT16:CT16)-SUM($DG16:DG16)</f>
        <v>0</v>
      </c>
      <c r="DS16" s="29">
        <f>SUM($CT16:CU16)-SUM($DG16:DH16)</f>
        <v>0</v>
      </c>
      <c r="DT16" s="29">
        <f>SUM($CT16:CV16)-SUM($DG16:DI16)</f>
        <v>0</v>
      </c>
      <c r="DU16" s="29">
        <f>SUM($CT16:CW16)-SUM($DG16:DJ16)</f>
        <v>0</v>
      </c>
      <c r="DV16" s="29">
        <f>SUM($CT16:CX16)-SUM($DG16:DK16)</f>
        <v>0</v>
      </c>
      <c r="DW16" s="29">
        <f>SUM($CT16:CY16)-SUM($DG16:DL16)</f>
        <v>0</v>
      </c>
      <c r="DX16" s="29">
        <f>SUM($CT16:CZ16)-SUM($DG16:DM16)</f>
        <v>0</v>
      </c>
      <c r="DY16" s="29">
        <f>SUM($CT16:DA16)-SUM($DG16:DN16)</f>
        <v>0</v>
      </c>
      <c r="DZ16" s="29">
        <f>SUM($CT16:DB16)-SUM($DG16:DO16)</f>
        <v>0</v>
      </c>
      <c r="EA16" s="29">
        <f>SUM($CT16:DC16)-SUM($DG16:DP16)</f>
        <v>0</v>
      </c>
      <c r="EB16" s="11"/>
      <c r="ED16" s="32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11"/>
      <c r="EP16" s="30">
        <f t="shared" si="69"/>
        <v>0</v>
      </c>
      <c r="EQ16" s="30">
        <f t="shared" si="70"/>
        <v>0</v>
      </c>
      <c r="ER16" s="30">
        <f t="shared" si="71"/>
        <v>0</v>
      </c>
      <c r="ES16" s="30">
        <f t="shared" si="72"/>
        <v>0</v>
      </c>
      <c r="ET16" s="30">
        <f t="shared" si="73"/>
        <v>0</v>
      </c>
      <c r="EU16" s="30">
        <f t="shared" si="74"/>
        <v>0</v>
      </c>
      <c r="EV16" s="30">
        <f t="shared" si="75"/>
        <v>0</v>
      </c>
      <c r="EW16" s="30">
        <f t="shared" si="76"/>
        <v>0</v>
      </c>
      <c r="EX16" s="30">
        <f t="shared" si="77"/>
        <v>0</v>
      </c>
      <c r="EY16" s="30">
        <f t="shared" si="78"/>
        <v>0</v>
      </c>
      <c r="EZ16" s="11">
        <f t="shared" si="79"/>
        <v>0</v>
      </c>
      <c r="FB16" s="7"/>
      <c r="FC16" s="30">
        <f t="shared" si="80"/>
        <v>0</v>
      </c>
      <c r="FD16" s="30">
        <f t="shared" si="81"/>
        <v>0</v>
      </c>
      <c r="FE16" s="30">
        <f t="shared" si="82"/>
        <v>0</v>
      </c>
      <c r="FF16" s="30">
        <f t="shared" si="83"/>
        <v>0</v>
      </c>
      <c r="FG16" s="30">
        <f t="shared" si="84"/>
        <v>0</v>
      </c>
      <c r="FH16" s="30">
        <f t="shared" si="85"/>
        <v>0</v>
      </c>
      <c r="FI16" s="30">
        <f t="shared" si="86"/>
        <v>0</v>
      </c>
      <c r="FJ16" s="30">
        <f t="shared" si="87"/>
        <v>0</v>
      </c>
      <c r="FK16" s="30">
        <f t="shared" si="88"/>
        <v>0</v>
      </c>
      <c r="FL16" s="30">
        <f t="shared" si="89"/>
        <v>0</v>
      </c>
      <c r="FM16" s="11">
        <f t="shared" si="90"/>
        <v>0</v>
      </c>
      <c r="FO16" s="8"/>
      <c r="FP16" s="8"/>
      <c r="FQ16" s="8"/>
      <c r="FR16" s="8"/>
      <c r="FS16" s="13">
        <f t="shared" si="91"/>
        <v>0</v>
      </c>
      <c r="FT16" s="13">
        <f t="shared" si="92"/>
        <v>0</v>
      </c>
      <c r="FU16" s="13">
        <f t="shared" si="93"/>
        <v>0</v>
      </c>
      <c r="FV16" s="13">
        <f t="shared" si="94"/>
        <v>0</v>
      </c>
      <c r="FW16" s="3">
        <f t="shared" si="95"/>
        <v>0</v>
      </c>
      <c r="FX16" s="30">
        <f t="shared" si="96"/>
        <v>0</v>
      </c>
      <c r="FY16" s="30">
        <f t="shared" si="97"/>
        <v>0</v>
      </c>
      <c r="FZ16" s="30">
        <f t="shared" si="98"/>
        <v>0</v>
      </c>
      <c r="GA16" s="30">
        <f t="shared" si="99"/>
        <v>0</v>
      </c>
      <c r="GB16" s="30">
        <f t="shared" si="100"/>
        <v>0</v>
      </c>
      <c r="GC16" s="30">
        <f t="shared" si="101"/>
        <v>0</v>
      </c>
      <c r="GD16" s="30">
        <f t="shared" si="102"/>
        <v>0</v>
      </c>
      <c r="GE16" s="30">
        <f t="shared" si="103"/>
        <v>0</v>
      </c>
      <c r="GF16" s="30">
        <f t="shared" si="104"/>
        <v>0</v>
      </c>
      <c r="GG16" s="30">
        <f t="shared" si="105"/>
        <v>0</v>
      </c>
      <c r="GH16" s="11">
        <f t="shared" si="106"/>
        <v>0</v>
      </c>
      <c r="GI16" s="11"/>
      <c r="GJ16" s="6"/>
      <c r="GK16" s="6"/>
      <c r="GL16" s="7"/>
      <c r="GM16" s="3">
        <f t="shared" si="107"/>
        <v>0</v>
      </c>
      <c r="GN16" s="33">
        <f t="shared" si="108"/>
        <v>0</v>
      </c>
      <c r="GO16" s="30">
        <f t="shared" si="109"/>
        <v>0</v>
      </c>
      <c r="GP16" s="30">
        <f t="shared" si="110"/>
        <v>0</v>
      </c>
      <c r="GQ16" s="30">
        <f t="shared" si="111"/>
        <v>0</v>
      </c>
      <c r="GR16" s="30">
        <f t="shared" si="112"/>
        <v>0</v>
      </c>
      <c r="GS16" s="30">
        <f t="shared" si="113"/>
        <v>0</v>
      </c>
      <c r="GT16" s="30">
        <f t="shared" si="114"/>
        <v>0</v>
      </c>
      <c r="GU16" s="30">
        <f t="shared" si="115"/>
        <v>0</v>
      </c>
      <c r="GV16" s="30">
        <f t="shared" si="116"/>
        <v>0</v>
      </c>
      <c r="GW16" s="30">
        <f t="shared" si="117"/>
        <v>0</v>
      </c>
      <c r="GX16" s="30">
        <f t="shared" si="118"/>
        <v>0</v>
      </c>
      <c r="GY16" s="11">
        <f t="shared" si="119"/>
        <v>0</v>
      </c>
      <c r="HA16" s="30">
        <f t="shared" si="120"/>
        <v>0</v>
      </c>
      <c r="HB16" s="30">
        <f t="shared" si="121"/>
        <v>0</v>
      </c>
      <c r="HC16" s="30">
        <f t="shared" si="122"/>
        <v>0</v>
      </c>
      <c r="HD16" s="30">
        <f t="shared" si="123"/>
        <v>0</v>
      </c>
      <c r="HE16" s="30">
        <f t="shared" si="124"/>
        <v>0</v>
      </c>
      <c r="HF16" s="30">
        <f t="shared" si="125"/>
        <v>0</v>
      </c>
      <c r="HG16" s="30">
        <f t="shared" si="126"/>
        <v>0</v>
      </c>
      <c r="HH16" s="30">
        <f t="shared" si="127"/>
        <v>0</v>
      </c>
      <c r="HI16" s="30">
        <f t="shared" si="128"/>
        <v>0</v>
      </c>
      <c r="HJ16" s="30">
        <f t="shared" si="129"/>
        <v>0</v>
      </c>
      <c r="HK16" s="11">
        <f t="shared" si="130"/>
        <v>0</v>
      </c>
    </row>
    <row r="17" spans="1:219" x14ac:dyDescent="0.2">
      <c r="A17" s="12"/>
      <c r="B17" s="6"/>
      <c r="C17" s="6"/>
      <c r="D17" s="6"/>
      <c r="E17" s="6"/>
      <c r="F17" s="6"/>
      <c r="G17" s="36">
        <v>0</v>
      </c>
      <c r="H17" s="36">
        <v>0</v>
      </c>
      <c r="I17" s="38">
        <f t="shared" si="15"/>
        <v>0</v>
      </c>
      <c r="J17" s="38">
        <f t="shared" si="15"/>
        <v>0</v>
      </c>
      <c r="K17" s="38">
        <f t="shared" si="15"/>
        <v>0</v>
      </c>
      <c r="L17" s="38">
        <f t="shared" si="15"/>
        <v>0</v>
      </c>
      <c r="M17" s="38">
        <f t="shared" si="15"/>
        <v>0</v>
      </c>
      <c r="N17" s="38">
        <f t="shared" si="15"/>
        <v>0</v>
      </c>
      <c r="O17" s="38">
        <f t="shared" si="15"/>
        <v>0</v>
      </c>
      <c r="P17" s="38">
        <f t="shared" si="15"/>
        <v>0</v>
      </c>
      <c r="Q17" s="38">
        <f t="shared" si="15"/>
        <v>0</v>
      </c>
      <c r="R17" s="38">
        <f t="shared" si="15"/>
        <v>0</v>
      </c>
      <c r="S17" s="39">
        <f t="shared" si="16"/>
        <v>0</v>
      </c>
      <c r="T17" s="6"/>
      <c r="U17" s="38">
        <f t="shared" si="17"/>
        <v>0</v>
      </c>
      <c r="V17" s="38">
        <f t="shared" si="18"/>
        <v>0</v>
      </c>
      <c r="W17" s="38">
        <f t="shared" si="19"/>
        <v>0</v>
      </c>
      <c r="X17" s="38">
        <f t="shared" si="20"/>
        <v>0</v>
      </c>
      <c r="Y17" s="38">
        <f t="shared" si="21"/>
        <v>0</v>
      </c>
      <c r="Z17" s="38">
        <f t="shared" si="22"/>
        <v>0</v>
      </c>
      <c r="AA17" s="38">
        <f t="shared" si="23"/>
        <v>0</v>
      </c>
      <c r="AB17" s="38">
        <f t="shared" si="24"/>
        <v>0</v>
      </c>
      <c r="AC17" s="38">
        <f t="shared" si="25"/>
        <v>0</v>
      </c>
      <c r="AD17" s="38">
        <f t="shared" si="26"/>
        <v>0</v>
      </c>
      <c r="AE17" s="27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38">
        <f t="shared" si="27"/>
        <v>0</v>
      </c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38">
        <f t="shared" si="29"/>
        <v>0</v>
      </c>
      <c r="BC17" s="8"/>
      <c r="BD17" s="8"/>
      <c r="BE17" s="28"/>
      <c r="BF17" s="29">
        <f t="shared" si="30"/>
        <v>0</v>
      </c>
      <c r="BG17" s="29">
        <f>IF(BG$9=$H17,SUM($BC17:$BD17)-((SUM($BC17:$BD17)-#REF!)/$BQ17)*(J$9-$G17),0)-IF((J$9-$G17)=$BQ17,$BE17,0)</f>
        <v>0</v>
      </c>
      <c r="BH17" s="29">
        <f t="shared" si="31"/>
        <v>0</v>
      </c>
      <c r="BI17" s="29">
        <f t="shared" si="32"/>
        <v>0</v>
      </c>
      <c r="BJ17" s="29">
        <f t="shared" si="33"/>
        <v>0</v>
      </c>
      <c r="BK17" s="29">
        <f t="shared" si="34"/>
        <v>0</v>
      </c>
      <c r="BL17" s="29">
        <f t="shared" si="35"/>
        <v>0</v>
      </c>
      <c r="BM17" s="29">
        <f t="shared" si="36"/>
        <v>0</v>
      </c>
      <c r="BN17" s="29">
        <f t="shared" si="37"/>
        <v>0</v>
      </c>
      <c r="BO17" s="29">
        <f t="shared" si="38"/>
        <v>0</v>
      </c>
      <c r="BP17" s="11">
        <f t="shared" si="39"/>
        <v>0</v>
      </c>
      <c r="BQ17" s="6">
        <v>1</v>
      </c>
      <c r="BR17" s="11">
        <f t="shared" si="40"/>
        <v>0</v>
      </c>
      <c r="BS17" s="30">
        <f t="shared" si="41"/>
        <v>0</v>
      </c>
      <c r="BT17" s="30">
        <f t="shared" si="42"/>
        <v>0</v>
      </c>
      <c r="BU17" s="30">
        <f t="shared" si="43"/>
        <v>0</v>
      </c>
      <c r="BV17" s="30">
        <f t="shared" si="44"/>
        <v>0</v>
      </c>
      <c r="BW17" s="30">
        <f t="shared" si="45"/>
        <v>0</v>
      </c>
      <c r="BX17" s="30">
        <f t="shared" si="46"/>
        <v>0</v>
      </c>
      <c r="BY17" s="30">
        <f t="shared" si="47"/>
        <v>0</v>
      </c>
      <c r="BZ17" s="30">
        <f t="shared" si="48"/>
        <v>0</v>
      </c>
      <c r="CA17" s="30">
        <f t="shared" si="49"/>
        <v>0</v>
      </c>
      <c r="CB17" s="30">
        <f t="shared" si="50"/>
        <v>0</v>
      </c>
      <c r="CC17" s="11">
        <f t="shared" si="51"/>
        <v>0</v>
      </c>
      <c r="CD17" s="30">
        <f>SUM($BF17:BF17)-SUM($BS17:BS17)</f>
        <v>0</v>
      </c>
      <c r="CE17" s="30">
        <f>SUM($BF17:BG17)-SUM($BS17:BT17)</f>
        <v>0</v>
      </c>
      <c r="CF17" s="30">
        <f>SUM($BF17:BH17)-SUM($BS17:BU17)</f>
        <v>0</v>
      </c>
      <c r="CG17" s="30">
        <f>SUM($BF17:BI17)-SUM($BS17:BV17)</f>
        <v>0</v>
      </c>
      <c r="CH17" s="30">
        <f>SUM($BF17:BJ17)-SUM($BS17:BW17)</f>
        <v>0</v>
      </c>
      <c r="CI17" s="30">
        <f>SUM($BF17:BK17)-SUM($BS17:BX17)</f>
        <v>0</v>
      </c>
      <c r="CJ17" s="30">
        <f>SUM($BF17:BL17)-SUM($BS17:BY17)</f>
        <v>0</v>
      </c>
      <c r="CK17" s="30">
        <f>SUM($BF17:BM17)-SUM($BS17:BZ17)</f>
        <v>0</v>
      </c>
      <c r="CL17" s="30">
        <f>SUM($BF17:BN17)-SUM($BS17:CA17)</f>
        <v>0</v>
      </c>
      <c r="CM17" s="30">
        <f>SUM($BF17:BO17)-SUM($BS17:CB17)</f>
        <v>0</v>
      </c>
      <c r="CN17" s="11"/>
      <c r="CP17" s="8">
        <v>0</v>
      </c>
      <c r="CQ17" s="8">
        <v>0</v>
      </c>
      <c r="CR17" s="41">
        <f t="shared" si="52"/>
        <v>0</v>
      </c>
      <c r="CS17" s="41">
        <f t="shared" si="53"/>
        <v>0</v>
      </c>
      <c r="CT17" s="29">
        <f t="shared" si="132"/>
        <v>0</v>
      </c>
      <c r="CU17" s="29">
        <f t="shared" si="133"/>
        <v>0</v>
      </c>
      <c r="CV17" s="29">
        <f t="shared" si="134"/>
        <v>0</v>
      </c>
      <c r="CW17" s="29">
        <f t="shared" si="135"/>
        <v>0</v>
      </c>
      <c r="CX17" s="29">
        <f t="shared" si="136"/>
        <v>0</v>
      </c>
      <c r="CY17" s="29">
        <f t="shared" si="137"/>
        <v>0</v>
      </c>
      <c r="CZ17" s="29">
        <f t="shared" si="138"/>
        <v>0</v>
      </c>
      <c r="DA17" s="29">
        <f t="shared" si="139"/>
        <v>0</v>
      </c>
      <c r="DB17" s="29">
        <f t="shared" si="140"/>
        <v>0</v>
      </c>
      <c r="DC17" s="29">
        <f t="shared" si="141"/>
        <v>0</v>
      </c>
      <c r="DD17" s="11">
        <f t="shared" si="55"/>
        <v>0</v>
      </c>
      <c r="DE17" s="31"/>
      <c r="DF17" s="37">
        <f t="shared" si="56"/>
        <v>0</v>
      </c>
      <c r="DG17" s="29">
        <f t="shared" si="57"/>
        <v>0</v>
      </c>
      <c r="DH17" s="29">
        <f t="shared" si="58"/>
        <v>0</v>
      </c>
      <c r="DI17" s="29">
        <f t="shared" si="59"/>
        <v>0</v>
      </c>
      <c r="DJ17" s="29">
        <f t="shared" si="60"/>
        <v>0</v>
      </c>
      <c r="DK17" s="29">
        <f t="shared" si="61"/>
        <v>0</v>
      </c>
      <c r="DL17" s="29">
        <f t="shared" si="62"/>
        <v>0</v>
      </c>
      <c r="DM17" s="29">
        <f t="shared" si="63"/>
        <v>0</v>
      </c>
      <c r="DN17" s="29">
        <f t="shared" si="64"/>
        <v>0</v>
      </c>
      <c r="DO17" s="29">
        <f t="shared" si="65"/>
        <v>0</v>
      </c>
      <c r="DP17" s="29">
        <f t="shared" si="66"/>
        <v>0</v>
      </c>
      <c r="DQ17" s="11">
        <f t="shared" si="67"/>
        <v>0</v>
      </c>
      <c r="DR17" s="29">
        <f>SUM($CT17:CT17)-SUM($DG17:DG17)</f>
        <v>0</v>
      </c>
      <c r="DS17" s="29">
        <f>SUM($CT17:CU17)-SUM($DG17:DH17)</f>
        <v>0</v>
      </c>
      <c r="DT17" s="29">
        <f>SUM($CT17:CV17)-SUM($DG17:DI17)</f>
        <v>0</v>
      </c>
      <c r="DU17" s="29">
        <f>SUM($CT17:CW17)-SUM($DG17:DJ17)</f>
        <v>0</v>
      </c>
      <c r="DV17" s="29">
        <f>SUM($CT17:CX17)-SUM($DG17:DK17)</f>
        <v>0</v>
      </c>
      <c r="DW17" s="29">
        <f>SUM($CT17:CY17)-SUM($DG17:DL17)</f>
        <v>0</v>
      </c>
      <c r="DX17" s="29">
        <f>SUM($CT17:CZ17)-SUM($DG17:DM17)</f>
        <v>0</v>
      </c>
      <c r="DY17" s="29">
        <f>SUM($CT17:DA17)-SUM($DG17:DN17)</f>
        <v>0</v>
      </c>
      <c r="DZ17" s="29">
        <f>SUM($CT17:DB17)-SUM($DG17:DO17)</f>
        <v>0</v>
      </c>
      <c r="EA17" s="29">
        <f>SUM($CT17:DC17)-SUM($DG17:DP17)</f>
        <v>0</v>
      </c>
      <c r="EB17" s="11"/>
      <c r="ED17" s="32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11"/>
      <c r="EP17" s="30">
        <f t="shared" si="69"/>
        <v>0</v>
      </c>
      <c r="EQ17" s="30">
        <f t="shared" si="70"/>
        <v>0</v>
      </c>
      <c r="ER17" s="30">
        <f t="shared" si="71"/>
        <v>0</v>
      </c>
      <c r="ES17" s="30">
        <f t="shared" si="72"/>
        <v>0</v>
      </c>
      <c r="ET17" s="30">
        <f t="shared" si="73"/>
        <v>0</v>
      </c>
      <c r="EU17" s="30">
        <f t="shared" si="74"/>
        <v>0</v>
      </c>
      <c r="EV17" s="30">
        <f t="shared" si="75"/>
        <v>0</v>
      </c>
      <c r="EW17" s="30">
        <f t="shared" si="76"/>
        <v>0</v>
      </c>
      <c r="EX17" s="30">
        <f t="shared" si="77"/>
        <v>0</v>
      </c>
      <c r="EY17" s="30">
        <f t="shared" si="78"/>
        <v>0</v>
      </c>
      <c r="EZ17" s="11">
        <f t="shared" si="79"/>
        <v>0</v>
      </c>
      <c r="FB17" s="7"/>
      <c r="FC17" s="30">
        <f t="shared" si="80"/>
        <v>0</v>
      </c>
      <c r="FD17" s="30">
        <f t="shared" si="81"/>
        <v>0</v>
      </c>
      <c r="FE17" s="30">
        <f t="shared" si="82"/>
        <v>0</v>
      </c>
      <c r="FF17" s="30">
        <f t="shared" si="83"/>
        <v>0</v>
      </c>
      <c r="FG17" s="30">
        <f t="shared" si="84"/>
        <v>0</v>
      </c>
      <c r="FH17" s="30">
        <f t="shared" si="85"/>
        <v>0</v>
      </c>
      <c r="FI17" s="30">
        <f t="shared" si="86"/>
        <v>0</v>
      </c>
      <c r="FJ17" s="30">
        <f t="shared" si="87"/>
        <v>0</v>
      </c>
      <c r="FK17" s="30">
        <f t="shared" si="88"/>
        <v>0</v>
      </c>
      <c r="FL17" s="30">
        <f t="shared" si="89"/>
        <v>0</v>
      </c>
      <c r="FM17" s="11">
        <f t="shared" si="90"/>
        <v>0</v>
      </c>
      <c r="FO17" s="8"/>
      <c r="FP17" s="8"/>
      <c r="FQ17" s="8"/>
      <c r="FR17" s="8"/>
      <c r="FS17" s="13">
        <f t="shared" si="91"/>
        <v>0</v>
      </c>
      <c r="FT17" s="13">
        <f t="shared" si="92"/>
        <v>0</v>
      </c>
      <c r="FU17" s="13">
        <f t="shared" si="93"/>
        <v>0</v>
      </c>
      <c r="FV17" s="13">
        <f t="shared" si="94"/>
        <v>0</v>
      </c>
      <c r="FW17" s="3">
        <f t="shared" si="95"/>
        <v>0</v>
      </c>
      <c r="FX17" s="30">
        <f t="shared" si="96"/>
        <v>0</v>
      </c>
      <c r="FY17" s="30">
        <f t="shared" si="97"/>
        <v>0</v>
      </c>
      <c r="FZ17" s="30">
        <f t="shared" si="98"/>
        <v>0</v>
      </c>
      <c r="GA17" s="30">
        <f t="shared" si="99"/>
        <v>0</v>
      </c>
      <c r="GB17" s="30">
        <f t="shared" si="100"/>
        <v>0</v>
      </c>
      <c r="GC17" s="30">
        <f t="shared" si="101"/>
        <v>0</v>
      </c>
      <c r="GD17" s="30">
        <f t="shared" si="102"/>
        <v>0</v>
      </c>
      <c r="GE17" s="30">
        <f t="shared" si="103"/>
        <v>0</v>
      </c>
      <c r="GF17" s="30">
        <f t="shared" si="104"/>
        <v>0</v>
      </c>
      <c r="GG17" s="30">
        <f t="shared" si="105"/>
        <v>0</v>
      </c>
      <c r="GH17" s="11">
        <f t="shared" si="106"/>
        <v>0</v>
      </c>
      <c r="GI17" s="11"/>
      <c r="GJ17" s="6"/>
      <c r="GK17" s="6"/>
      <c r="GL17" s="7"/>
      <c r="GM17" s="3">
        <f t="shared" si="107"/>
        <v>0</v>
      </c>
      <c r="GN17" s="33">
        <f t="shared" si="108"/>
        <v>0</v>
      </c>
      <c r="GO17" s="30">
        <f t="shared" si="109"/>
        <v>0</v>
      </c>
      <c r="GP17" s="30">
        <f t="shared" si="110"/>
        <v>0</v>
      </c>
      <c r="GQ17" s="30">
        <f t="shared" si="111"/>
        <v>0</v>
      </c>
      <c r="GR17" s="30">
        <f t="shared" si="112"/>
        <v>0</v>
      </c>
      <c r="GS17" s="30">
        <f t="shared" si="113"/>
        <v>0</v>
      </c>
      <c r="GT17" s="30">
        <f t="shared" si="114"/>
        <v>0</v>
      </c>
      <c r="GU17" s="30">
        <f t="shared" si="115"/>
        <v>0</v>
      </c>
      <c r="GV17" s="30">
        <f t="shared" si="116"/>
        <v>0</v>
      </c>
      <c r="GW17" s="30">
        <f t="shared" si="117"/>
        <v>0</v>
      </c>
      <c r="GX17" s="30">
        <f t="shared" si="118"/>
        <v>0</v>
      </c>
      <c r="GY17" s="11">
        <f t="shared" si="119"/>
        <v>0</v>
      </c>
      <c r="HA17" s="30">
        <f t="shared" si="120"/>
        <v>0</v>
      </c>
      <c r="HB17" s="30">
        <f t="shared" si="121"/>
        <v>0</v>
      </c>
      <c r="HC17" s="30">
        <f t="shared" si="122"/>
        <v>0</v>
      </c>
      <c r="HD17" s="30">
        <f t="shared" si="123"/>
        <v>0</v>
      </c>
      <c r="HE17" s="30">
        <f t="shared" si="124"/>
        <v>0</v>
      </c>
      <c r="HF17" s="30">
        <f t="shared" si="125"/>
        <v>0</v>
      </c>
      <c r="HG17" s="30">
        <f t="shared" si="126"/>
        <v>0</v>
      </c>
      <c r="HH17" s="30">
        <f t="shared" si="127"/>
        <v>0</v>
      </c>
      <c r="HI17" s="30">
        <f t="shared" si="128"/>
        <v>0</v>
      </c>
      <c r="HJ17" s="30">
        <f t="shared" si="129"/>
        <v>0</v>
      </c>
      <c r="HK17" s="11">
        <f t="shared" si="130"/>
        <v>0</v>
      </c>
    </row>
    <row r="18" spans="1:219" x14ac:dyDescent="0.2">
      <c r="A18" s="12"/>
      <c r="B18" s="6"/>
      <c r="C18" s="6"/>
      <c r="D18" s="6"/>
      <c r="E18" s="6"/>
      <c r="F18" s="6"/>
      <c r="G18" s="36">
        <v>0</v>
      </c>
      <c r="H18" s="36">
        <v>0</v>
      </c>
      <c r="I18" s="38">
        <f t="shared" si="15"/>
        <v>0</v>
      </c>
      <c r="J18" s="38">
        <f t="shared" si="15"/>
        <v>0</v>
      </c>
      <c r="K18" s="38">
        <f t="shared" si="15"/>
        <v>0</v>
      </c>
      <c r="L18" s="38">
        <f t="shared" si="15"/>
        <v>0</v>
      </c>
      <c r="M18" s="38">
        <f t="shared" si="15"/>
        <v>0</v>
      </c>
      <c r="N18" s="38">
        <f t="shared" si="15"/>
        <v>0</v>
      </c>
      <c r="O18" s="38">
        <f t="shared" si="15"/>
        <v>0</v>
      </c>
      <c r="P18" s="38">
        <f t="shared" si="15"/>
        <v>0</v>
      </c>
      <c r="Q18" s="38">
        <f t="shared" si="15"/>
        <v>0</v>
      </c>
      <c r="R18" s="38">
        <f t="shared" si="15"/>
        <v>0</v>
      </c>
      <c r="S18" s="39">
        <f t="shared" si="16"/>
        <v>0</v>
      </c>
      <c r="T18" s="6"/>
      <c r="U18" s="38">
        <f t="shared" si="17"/>
        <v>0</v>
      </c>
      <c r="V18" s="38">
        <f t="shared" si="18"/>
        <v>0</v>
      </c>
      <c r="W18" s="38">
        <f t="shared" si="19"/>
        <v>0</v>
      </c>
      <c r="X18" s="38">
        <f t="shared" si="20"/>
        <v>0</v>
      </c>
      <c r="Y18" s="38">
        <f t="shared" si="21"/>
        <v>0</v>
      </c>
      <c r="Z18" s="38">
        <f t="shared" si="22"/>
        <v>0</v>
      </c>
      <c r="AA18" s="38">
        <f t="shared" si="23"/>
        <v>0</v>
      </c>
      <c r="AB18" s="38">
        <f t="shared" si="24"/>
        <v>0</v>
      </c>
      <c r="AC18" s="38">
        <f t="shared" si="25"/>
        <v>0</v>
      </c>
      <c r="AD18" s="38">
        <f t="shared" si="26"/>
        <v>0</v>
      </c>
      <c r="AE18" s="27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38">
        <f t="shared" si="27"/>
        <v>0</v>
      </c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38">
        <f t="shared" si="29"/>
        <v>0</v>
      </c>
      <c r="BC18" s="8"/>
      <c r="BD18" s="8"/>
      <c r="BE18" s="28"/>
      <c r="BF18" s="29">
        <f t="shared" si="30"/>
        <v>0</v>
      </c>
      <c r="BG18" s="29">
        <f>IF(BG$9=$H18,SUM($BC18:$BD18)-((SUM($BC18:$BD18)-#REF!)/$BQ18)*(J$9-$G18),0)-IF((J$9-$G18)=$BQ18,$BE18,0)</f>
        <v>0</v>
      </c>
      <c r="BH18" s="29">
        <f t="shared" si="31"/>
        <v>0</v>
      </c>
      <c r="BI18" s="29">
        <f t="shared" si="32"/>
        <v>0</v>
      </c>
      <c r="BJ18" s="29">
        <f t="shared" si="33"/>
        <v>0</v>
      </c>
      <c r="BK18" s="29">
        <f t="shared" si="34"/>
        <v>0</v>
      </c>
      <c r="BL18" s="29">
        <f t="shared" si="35"/>
        <v>0</v>
      </c>
      <c r="BM18" s="29">
        <f t="shared" si="36"/>
        <v>0</v>
      </c>
      <c r="BN18" s="29">
        <f t="shared" si="37"/>
        <v>0</v>
      </c>
      <c r="BO18" s="29">
        <f t="shared" si="38"/>
        <v>0</v>
      </c>
      <c r="BP18" s="11">
        <f t="shared" si="39"/>
        <v>0</v>
      </c>
      <c r="BQ18" s="6">
        <v>1</v>
      </c>
      <c r="BR18" s="11">
        <f t="shared" si="40"/>
        <v>0</v>
      </c>
      <c r="BS18" s="30">
        <f t="shared" si="41"/>
        <v>0</v>
      </c>
      <c r="BT18" s="30">
        <f t="shared" si="42"/>
        <v>0</v>
      </c>
      <c r="BU18" s="30">
        <f t="shared" si="43"/>
        <v>0</v>
      </c>
      <c r="BV18" s="30">
        <f t="shared" si="44"/>
        <v>0</v>
      </c>
      <c r="BW18" s="30">
        <f t="shared" si="45"/>
        <v>0</v>
      </c>
      <c r="BX18" s="30">
        <f t="shared" si="46"/>
        <v>0</v>
      </c>
      <c r="BY18" s="30">
        <f t="shared" si="47"/>
        <v>0</v>
      </c>
      <c r="BZ18" s="30">
        <f t="shared" si="48"/>
        <v>0</v>
      </c>
      <c r="CA18" s="30">
        <f t="shared" si="49"/>
        <v>0</v>
      </c>
      <c r="CB18" s="30">
        <f t="shared" si="50"/>
        <v>0</v>
      </c>
      <c r="CC18" s="11">
        <f t="shared" si="51"/>
        <v>0</v>
      </c>
      <c r="CD18" s="30">
        <f>SUM($BF18:BF18)-SUM($BS18:BS18)</f>
        <v>0</v>
      </c>
      <c r="CE18" s="30">
        <f>SUM($BF18:BG18)-SUM($BS18:BT18)</f>
        <v>0</v>
      </c>
      <c r="CF18" s="30">
        <f>SUM($BF18:BH18)-SUM($BS18:BU18)</f>
        <v>0</v>
      </c>
      <c r="CG18" s="30">
        <f>SUM($BF18:BI18)-SUM($BS18:BV18)</f>
        <v>0</v>
      </c>
      <c r="CH18" s="30">
        <f>SUM($BF18:BJ18)-SUM($BS18:BW18)</f>
        <v>0</v>
      </c>
      <c r="CI18" s="30">
        <f>SUM($BF18:BK18)-SUM($BS18:BX18)</f>
        <v>0</v>
      </c>
      <c r="CJ18" s="30">
        <f>SUM($BF18:BL18)-SUM($BS18:BY18)</f>
        <v>0</v>
      </c>
      <c r="CK18" s="30">
        <f>SUM($BF18:BM18)-SUM($BS18:BZ18)</f>
        <v>0</v>
      </c>
      <c r="CL18" s="30">
        <f>SUM($BF18:BN18)-SUM($BS18:CA18)</f>
        <v>0</v>
      </c>
      <c r="CM18" s="30">
        <f>SUM($BF18:BO18)-SUM($BS18:CB18)</f>
        <v>0</v>
      </c>
      <c r="CN18" s="11"/>
      <c r="CP18" s="8">
        <v>0</v>
      </c>
      <c r="CQ18" s="8">
        <v>0</v>
      </c>
      <c r="CR18" s="41">
        <f t="shared" si="52"/>
        <v>0</v>
      </c>
      <c r="CS18" s="41">
        <f t="shared" si="53"/>
        <v>0</v>
      </c>
      <c r="CT18" s="29">
        <f t="shared" si="132"/>
        <v>0</v>
      </c>
      <c r="CU18" s="29">
        <f t="shared" si="133"/>
        <v>0</v>
      </c>
      <c r="CV18" s="29">
        <f t="shared" si="134"/>
        <v>0</v>
      </c>
      <c r="CW18" s="29">
        <f t="shared" si="135"/>
        <v>0</v>
      </c>
      <c r="CX18" s="29">
        <f t="shared" si="136"/>
        <v>0</v>
      </c>
      <c r="CY18" s="29">
        <f t="shared" si="137"/>
        <v>0</v>
      </c>
      <c r="CZ18" s="29">
        <f t="shared" si="138"/>
        <v>0</v>
      </c>
      <c r="DA18" s="29">
        <f t="shared" si="139"/>
        <v>0</v>
      </c>
      <c r="DB18" s="29">
        <f t="shared" si="140"/>
        <v>0</v>
      </c>
      <c r="DC18" s="29">
        <f t="shared" si="141"/>
        <v>0</v>
      </c>
      <c r="DD18" s="11">
        <f t="shared" si="55"/>
        <v>0</v>
      </c>
      <c r="DE18" s="31"/>
      <c r="DF18" s="37">
        <f t="shared" si="56"/>
        <v>0</v>
      </c>
      <c r="DG18" s="29">
        <f t="shared" si="57"/>
        <v>0</v>
      </c>
      <c r="DH18" s="29">
        <f t="shared" si="58"/>
        <v>0</v>
      </c>
      <c r="DI18" s="29">
        <f t="shared" si="59"/>
        <v>0</v>
      </c>
      <c r="DJ18" s="29">
        <f t="shared" si="60"/>
        <v>0</v>
      </c>
      <c r="DK18" s="29">
        <f t="shared" si="61"/>
        <v>0</v>
      </c>
      <c r="DL18" s="29">
        <f t="shared" si="62"/>
        <v>0</v>
      </c>
      <c r="DM18" s="29">
        <f t="shared" si="63"/>
        <v>0</v>
      </c>
      <c r="DN18" s="29">
        <f t="shared" si="64"/>
        <v>0</v>
      </c>
      <c r="DO18" s="29">
        <f t="shared" si="65"/>
        <v>0</v>
      </c>
      <c r="DP18" s="29">
        <f t="shared" si="66"/>
        <v>0</v>
      </c>
      <c r="DQ18" s="11">
        <f t="shared" si="67"/>
        <v>0</v>
      </c>
      <c r="DR18" s="29">
        <f>SUM($CT18:CT18)-SUM($DG18:DG18)</f>
        <v>0</v>
      </c>
      <c r="DS18" s="29">
        <f>SUM($CT18:CU18)-SUM($DG18:DH18)</f>
        <v>0</v>
      </c>
      <c r="DT18" s="29">
        <f>SUM($CT18:CV18)-SUM($DG18:DI18)</f>
        <v>0</v>
      </c>
      <c r="DU18" s="29">
        <f>SUM($CT18:CW18)-SUM($DG18:DJ18)</f>
        <v>0</v>
      </c>
      <c r="DV18" s="29">
        <f>SUM($CT18:CX18)-SUM($DG18:DK18)</f>
        <v>0</v>
      </c>
      <c r="DW18" s="29">
        <f>SUM($CT18:CY18)-SUM($DG18:DL18)</f>
        <v>0</v>
      </c>
      <c r="DX18" s="29">
        <f>SUM($CT18:CZ18)-SUM($DG18:DM18)</f>
        <v>0</v>
      </c>
      <c r="DY18" s="29">
        <f>SUM($CT18:DA18)-SUM($DG18:DN18)</f>
        <v>0</v>
      </c>
      <c r="DZ18" s="29">
        <f>SUM($CT18:DB18)-SUM($DG18:DO18)</f>
        <v>0</v>
      </c>
      <c r="EA18" s="29">
        <f>SUM($CT18:DC18)-SUM($DG18:DP18)</f>
        <v>0</v>
      </c>
      <c r="EB18" s="11"/>
      <c r="ED18" s="32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11"/>
      <c r="EP18" s="30">
        <f t="shared" si="69"/>
        <v>0</v>
      </c>
      <c r="EQ18" s="30">
        <f t="shared" si="70"/>
        <v>0</v>
      </c>
      <c r="ER18" s="30">
        <f t="shared" si="71"/>
        <v>0</v>
      </c>
      <c r="ES18" s="30">
        <f t="shared" si="72"/>
        <v>0</v>
      </c>
      <c r="ET18" s="30">
        <f t="shared" si="73"/>
        <v>0</v>
      </c>
      <c r="EU18" s="30">
        <f t="shared" si="74"/>
        <v>0</v>
      </c>
      <c r="EV18" s="30">
        <f t="shared" si="75"/>
        <v>0</v>
      </c>
      <c r="EW18" s="30">
        <f t="shared" si="76"/>
        <v>0</v>
      </c>
      <c r="EX18" s="30">
        <f t="shared" si="77"/>
        <v>0</v>
      </c>
      <c r="EY18" s="30">
        <f t="shared" si="78"/>
        <v>0</v>
      </c>
      <c r="EZ18" s="11">
        <f t="shared" si="79"/>
        <v>0</v>
      </c>
      <c r="FB18" s="7"/>
      <c r="FC18" s="30">
        <f t="shared" si="80"/>
        <v>0</v>
      </c>
      <c r="FD18" s="30">
        <f t="shared" si="81"/>
        <v>0</v>
      </c>
      <c r="FE18" s="30">
        <f t="shared" si="82"/>
        <v>0</v>
      </c>
      <c r="FF18" s="30">
        <f t="shared" si="83"/>
        <v>0</v>
      </c>
      <c r="FG18" s="30">
        <f t="shared" si="84"/>
        <v>0</v>
      </c>
      <c r="FH18" s="30">
        <f t="shared" si="85"/>
        <v>0</v>
      </c>
      <c r="FI18" s="30">
        <f t="shared" si="86"/>
        <v>0</v>
      </c>
      <c r="FJ18" s="30">
        <f t="shared" si="87"/>
        <v>0</v>
      </c>
      <c r="FK18" s="30">
        <f t="shared" si="88"/>
        <v>0</v>
      </c>
      <c r="FL18" s="30">
        <f t="shared" si="89"/>
        <v>0</v>
      </c>
      <c r="FM18" s="11">
        <f t="shared" si="90"/>
        <v>0</v>
      </c>
      <c r="FO18" s="8"/>
      <c r="FP18" s="8"/>
      <c r="FQ18" s="8"/>
      <c r="FR18" s="8"/>
      <c r="FS18" s="13">
        <f t="shared" si="91"/>
        <v>0</v>
      </c>
      <c r="FT18" s="13">
        <f t="shared" si="92"/>
        <v>0</v>
      </c>
      <c r="FU18" s="13">
        <f t="shared" si="93"/>
        <v>0</v>
      </c>
      <c r="FV18" s="13">
        <f t="shared" si="94"/>
        <v>0</v>
      </c>
      <c r="FW18" s="3">
        <f t="shared" si="95"/>
        <v>0</v>
      </c>
      <c r="FX18" s="30">
        <f t="shared" si="96"/>
        <v>0</v>
      </c>
      <c r="FY18" s="30">
        <f t="shared" si="97"/>
        <v>0</v>
      </c>
      <c r="FZ18" s="30">
        <f t="shared" si="98"/>
        <v>0</v>
      </c>
      <c r="GA18" s="30">
        <f t="shared" si="99"/>
        <v>0</v>
      </c>
      <c r="GB18" s="30">
        <f t="shared" si="100"/>
        <v>0</v>
      </c>
      <c r="GC18" s="30">
        <f t="shared" si="101"/>
        <v>0</v>
      </c>
      <c r="GD18" s="30">
        <f t="shared" si="102"/>
        <v>0</v>
      </c>
      <c r="GE18" s="30">
        <f t="shared" si="103"/>
        <v>0</v>
      </c>
      <c r="GF18" s="30">
        <f t="shared" si="104"/>
        <v>0</v>
      </c>
      <c r="GG18" s="30">
        <f t="shared" si="105"/>
        <v>0</v>
      </c>
      <c r="GH18" s="11">
        <f t="shared" si="106"/>
        <v>0</v>
      </c>
      <c r="GI18" s="11"/>
      <c r="GJ18" s="6"/>
      <c r="GK18" s="6"/>
      <c r="GL18" s="7"/>
      <c r="GM18" s="3">
        <f t="shared" si="107"/>
        <v>0</v>
      </c>
      <c r="GN18" s="33">
        <f t="shared" si="108"/>
        <v>0</v>
      </c>
      <c r="GO18" s="30">
        <f t="shared" si="109"/>
        <v>0</v>
      </c>
      <c r="GP18" s="30">
        <f t="shared" si="110"/>
        <v>0</v>
      </c>
      <c r="GQ18" s="30">
        <f t="shared" si="111"/>
        <v>0</v>
      </c>
      <c r="GR18" s="30">
        <f t="shared" si="112"/>
        <v>0</v>
      </c>
      <c r="GS18" s="30">
        <f t="shared" si="113"/>
        <v>0</v>
      </c>
      <c r="GT18" s="30">
        <f t="shared" si="114"/>
        <v>0</v>
      </c>
      <c r="GU18" s="30">
        <f t="shared" si="115"/>
        <v>0</v>
      </c>
      <c r="GV18" s="30">
        <f t="shared" si="116"/>
        <v>0</v>
      </c>
      <c r="GW18" s="30">
        <f t="shared" si="117"/>
        <v>0</v>
      </c>
      <c r="GX18" s="30">
        <f t="shared" si="118"/>
        <v>0</v>
      </c>
      <c r="GY18" s="11">
        <f t="shared" si="119"/>
        <v>0</v>
      </c>
      <c r="HA18" s="30">
        <f t="shared" si="120"/>
        <v>0</v>
      </c>
      <c r="HB18" s="30">
        <f t="shared" si="121"/>
        <v>0</v>
      </c>
      <c r="HC18" s="30">
        <f t="shared" si="122"/>
        <v>0</v>
      </c>
      <c r="HD18" s="30">
        <f t="shared" si="123"/>
        <v>0</v>
      </c>
      <c r="HE18" s="30">
        <f t="shared" si="124"/>
        <v>0</v>
      </c>
      <c r="HF18" s="30">
        <f t="shared" si="125"/>
        <v>0</v>
      </c>
      <c r="HG18" s="30">
        <f t="shared" si="126"/>
        <v>0</v>
      </c>
      <c r="HH18" s="30">
        <f t="shared" si="127"/>
        <v>0</v>
      </c>
      <c r="HI18" s="30">
        <f t="shared" si="128"/>
        <v>0</v>
      </c>
      <c r="HJ18" s="30">
        <f t="shared" si="129"/>
        <v>0</v>
      </c>
      <c r="HK18" s="11">
        <f t="shared" si="130"/>
        <v>0</v>
      </c>
    </row>
    <row r="19" spans="1:219" x14ac:dyDescent="0.2">
      <c r="A19" s="12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</row>
    <row r="20" spans="1:219" x14ac:dyDescent="0.2">
      <c r="A20" s="12"/>
      <c r="B20" s="2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2">
        <f>SUM(T10:T19)</f>
        <v>100</v>
      </c>
      <c r="U20" s="2">
        <f t="shared" ref="U20:AD20" si="142">SUM(U10:U19)</f>
        <v>75</v>
      </c>
      <c r="V20" s="2">
        <f t="shared" si="142"/>
        <v>75</v>
      </c>
      <c r="W20" s="2">
        <f t="shared" si="142"/>
        <v>75</v>
      </c>
      <c r="X20" s="2">
        <f t="shared" si="142"/>
        <v>75</v>
      </c>
      <c r="Y20" s="2">
        <f t="shared" si="142"/>
        <v>75</v>
      </c>
      <c r="Z20" s="2">
        <f t="shared" si="142"/>
        <v>75</v>
      </c>
      <c r="AA20" s="2">
        <f t="shared" si="142"/>
        <v>75</v>
      </c>
      <c r="AB20" s="2">
        <f t="shared" si="142"/>
        <v>75</v>
      </c>
      <c r="AC20" s="2">
        <f t="shared" si="142"/>
        <v>75</v>
      </c>
      <c r="AD20" s="2">
        <f t="shared" si="142"/>
        <v>75</v>
      </c>
      <c r="AE20" s="35"/>
      <c r="AF20" s="35">
        <f t="shared" ref="AF20:AO20" si="143">SUM(AF10:AF19)</f>
        <v>6500</v>
      </c>
      <c r="AG20" s="35">
        <f t="shared" si="143"/>
        <v>6500</v>
      </c>
      <c r="AH20" s="35">
        <f t="shared" si="143"/>
        <v>6500</v>
      </c>
      <c r="AI20" s="35">
        <f t="shared" si="143"/>
        <v>6500</v>
      </c>
      <c r="AJ20" s="35">
        <f t="shared" si="143"/>
        <v>6500</v>
      </c>
      <c r="AK20" s="35">
        <f t="shared" si="143"/>
        <v>6500</v>
      </c>
      <c r="AL20" s="35">
        <f t="shared" si="143"/>
        <v>36500</v>
      </c>
      <c r="AM20" s="35">
        <f t="shared" si="143"/>
        <v>6500</v>
      </c>
      <c r="AN20" s="35">
        <f t="shared" si="143"/>
        <v>6500</v>
      </c>
      <c r="AO20" s="35">
        <f t="shared" si="143"/>
        <v>6500</v>
      </c>
      <c r="AP20" s="35">
        <f>SUM(AP10:AP19)</f>
        <v>95000</v>
      </c>
      <c r="AQ20" s="35">
        <f t="shared" ref="AQ20:AZ20" si="144">SUM(AQ10:AQ19)</f>
        <v>182000</v>
      </c>
      <c r="AR20" s="35">
        <f t="shared" si="144"/>
        <v>182000</v>
      </c>
      <c r="AS20" s="35">
        <f t="shared" si="144"/>
        <v>182000</v>
      </c>
      <c r="AT20" s="35">
        <f t="shared" si="144"/>
        <v>182000</v>
      </c>
      <c r="AU20" s="35">
        <f t="shared" si="144"/>
        <v>182000</v>
      </c>
      <c r="AV20" s="35">
        <f t="shared" si="144"/>
        <v>182000</v>
      </c>
      <c r="AW20" s="35">
        <f t="shared" si="144"/>
        <v>1022000</v>
      </c>
      <c r="AX20" s="35">
        <f t="shared" si="144"/>
        <v>182000</v>
      </c>
      <c r="AY20" s="35">
        <f t="shared" si="144"/>
        <v>182000</v>
      </c>
      <c r="AZ20" s="35">
        <f t="shared" si="144"/>
        <v>182000</v>
      </c>
      <c r="BA20" s="35">
        <f>SUM(BA10:BA19)</f>
        <v>2660000</v>
      </c>
      <c r="BF20" s="10">
        <f t="shared" ref="BF20:BP20" si="145">SUM(BF10:BF19)</f>
        <v>872500</v>
      </c>
      <c r="BG20" s="10">
        <f t="shared" si="145"/>
        <v>0</v>
      </c>
      <c r="BH20" s="10">
        <f t="shared" si="145"/>
        <v>0</v>
      </c>
      <c r="BI20" s="10">
        <f t="shared" si="145"/>
        <v>0</v>
      </c>
      <c r="BJ20" s="10">
        <f t="shared" si="145"/>
        <v>0</v>
      </c>
      <c r="BK20" s="10">
        <f t="shared" si="145"/>
        <v>445000</v>
      </c>
      <c r="BL20" s="10">
        <f t="shared" si="145"/>
        <v>0</v>
      </c>
      <c r="BM20" s="10">
        <f t="shared" si="145"/>
        <v>0</v>
      </c>
      <c r="BN20" s="10">
        <f t="shared" si="145"/>
        <v>0</v>
      </c>
      <c r="BO20" s="10">
        <f t="shared" si="145"/>
        <v>0</v>
      </c>
      <c r="BP20" s="10">
        <f t="shared" si="145"/>
        <v>1317500</v>
      </c>
      <c r="BS20" s="10">
        <f t="shared" ref="BS20:CN20" si="146">SUM(BS10:BS19)</f>
        <v>80000</v>
      </c>
      <c r="BT20" s="10">
        <f t="shared" si="146"/>
        <v>80000</v>
      </c>
      <c r="BU20" s="10">
        <f t="shared" si="146"/>
        <v>80000</v>
      </c>
      <c r="BV20" s="10">
        <f t="shared" si="146"/>
        <v>80000</v>
      </c>
      <c r="BW20" s="10">
        <f t="shared" si="146"/>
        <v>80000</v>
      </c>
      <c r="BX20" s="10">
        <f t="shared" si="146"/>
        <v>86500</v>
      </c>
      <c r="BY20" s="10">
        <f t="shared" si="146"/>
        <v>86500</v>
      </c>
      <c r="BZ20" s="10">
        <f t="shared" si="146"/>
        <v>86500</v>
      </c>
      <c r="CA20" s="10">
        <f t="shared" si="146"/>
        <v>86500</v>
      </c>
      <c r="CB20" s="10">
        <f t="shared" si="146"/>
        <v>86500</v>
      </c>
      <c r="CC20" s="10">
        <f t="shared" si="146"/>
        <v>832500</v>
      </c>
      <c r="CD20" s="10">
        <f t="shared" si="146"/>
        <v>792500</v>
      </c>
      <c r="CE20" s="10">
        <f t="shared" si="146"/>
        <v>712500</v>
      </c>
      <c r="CF20" s="10">
        <f t="shared" si="146"/>
        <v>632500</v>
      </c>
      <c r="CG20" s="10">
        <f t="shared" si="146"/>
        <v>552500</v>
      </c>
      <c r="CH20" s="10">
        <f t="shared" si="146"/>
        <v>472500</v>
      </c>
      <c r="CI20" s="10">
        <f t="shared" si="146"/>
        <v>831000</v>
      </c>
      <c r="CJ20" s="10">
        <f t="shared" si="146"/>
        <v>744500</v>
      </c>
      <c r="CK20" s="10">
        <f t="shared" si="146"/>
        <v>658000</v>
      </c>
      <c r="CL20" s="10">
        <f t="shared" si="146"/>
        <v>571500</v>
      </c>
      <c r="CM20" s="10">
        <f t="shared" si="146"/>
        <v>485000</v>
      </c>
      <c r="CN20" s="10">
        <f t="shared" si="146"/>
        <v>0</v>
      </c>
      <c r="CT20" s="10">
        <f t="shared" ref="CT20:DD20" si="147">SUM(CT10:CT19)</f>
        <v>1250000</v>
      </c>
      <c r="CU20" s="10">
        <f t="shared" si="147"/>
        <v>0</v>
      </c>
      <c r="CV20" s="10">
        <f t="shared" si="147"/>
        <v>0</v>
      </c>
      <c r="CW20" s="10">
        <f t="shared" si="147"/>
        <v>0</v>
      </c>
      <c r="CX20" s="10">
        <f t="shared" si="147"/>
        <v>0</v>
      </c>
      <c r="CY20" s="10">
        <f t="shared" si="147"/>
        <v>1250000</v>
      </c>
      <c r="CZ20" s="10">
        <f t="shared" si="147"/>
        <v>0</v>
      </c>
      <c r="DA20" s="10">
        <f t="shared" si="147"/>
        <v>0</v>
      </c>
      <c r="DB20" s="10">
        <f t="shared" si="147"/>
        <v>0</v>
      </c>
      <c r="DC20" s="10">
        <f t="shared" si="147"/>
        <v>0</v>
      </c>
      <c r="DD20" s="10">
        <f t="shared" si="147"/>
        <v>2500000</v>
      </c>
      <c r="DG20" s="10">
        <f t="shared" ref="DG20:EB20" si="148">SUM(DG10:DG19)</f>
        <v>166666.66666666666</v>
      </c>
      <c r="DH20" s="10">
        <f t="shared" si="148"/>
        <v>166666.66666666666</v>
      </c>
      <c r="DI20" s="10">
        <f t="shared" si="148"/>
        <v>166666.66666666666</v>
      </c>
      <c r="DJ20" s="10">
        <f t="shared" si="148"/>
        <v>166666.66666666666</v>
      </c>
      <c r="DK20" s="10">
        <f t="shared" si="148"/>
        <v>166666.66666666666</v>
      </c>
      <c r="DL20" s="10">
        <f t="shared" si="148"/>
        <v>333333.33333333331</v>
      </c>
      <c r="DM20" s="10">
        <f t="shared" si="148"/>
        <v>333333.33333333331</v>
      </c>
      <c r="DN20" s="10">
        <f t="shared" si="148"/>
        <v>333333.33333333331</v>
      </c>
      <c r="DO20" s="10">
        <f t="shared" si="148"/>
        <v>333333.33333333331</v>
      </c>
      <c r="DP20" s="10">
        <f t="shared" si="148"/>
        <v>333333.33333333331</v>
      </c>
      <c r="DQ20" s="10">
        <f t="shared" si="148"/>
        <v>2500000</v>
      </c>
      <c r="DR20" s="10">
        <f t="shared" si="148"/>
        <v>1083333.3333333333</v>
      </c>
      <c r="DS20" s="10">
        <f t="shared" si="148"/>
        <v>916666.66666666674</v>
      </c>
      <c r="DT20" s="10">
        <f t="shared" si="148"/>
        <v>750000</v>
      </c>
      <c r="DU20" s="10">
        <f t="shared" si="148"/>
        <v>583333.33333333337</v>
      </c>
      <c r="DV20" s="10">
        <f t="shared" si="148"/>
        <v>416666.66666666674</v>
      </c>
      <c r="DW20" s="10">
        <f t="shared" si="148"/>
        <v>1333333.3333333335</v>
      </c>
      <c r="DX20" s="10">
        <f t="shared" si="148"/>
        <v>1000000.0000000002</v>
      </c>
      <c r="DY20" s="10">
        <f t="shared" si="148"/>
        <v>666666.66666666674</v>
      </c>
      <c r="DZ20" s="10">
        <f t="shared" si="148"/>
        <v>333333.33333333337</v>
      </c>
      <c r="EA20" s="10">
        <f t="shared" si="148"/>
        <v>0</v>
      </c>
      <c r="EB20" s="10">
        <f t="shared" si="148"/>
        <v>0</v>
      </c>
      <c r="EE20" s="10">
        <f t="shared" ref="EE20:EZ20" si="149">SUM(EE10:EE19)</f>
        <v>383000</v>
      </c>
      <c r="EF20" s="10">
        <f t="shared" si="149"/>
        <v>334000</v>
      </c>
      <c r="EG20" s="10">
        <f t="shared" si="149"/>
        <v>285000</v>
      </c>
      <c r="EH20" s="10">
        <f t="shared" si="149"/>
        <v>236000</v>
      </c>
      <c r="EI20" s="10">
        <f t="shared" si="149"/>
        <v>187000</v>
      </c>
      <c r="EJ20" s="10">
        <f t="shared" si="149"/>
        <v>1288083.3333333333</v>
      </c>
      <c r="EK20" s="10">
        <f t="shared" si="149"/>
        <v>1149250</v>
      </c>
      <c r="EL20" s="10">
        <f t="shared" si="149"/>
        <v>1010416.6666666666</v>
      </c>
      <c r="EM20" s="10">
        <f t="shared" si="149"/>
        <v>871583.33333333326</v>
      </c>
      <c r="EN20" s="10">
        <f t="shared" si="149"/>
        <v>732750</v>
      </c>
      <c r="EO20" s="10">
        <f t="shared" si="149"/>
        <v>0</v>
      </c>
      <c r="EP20" s="10">
        <f t="shared" si="149"/>
        <v>11490</v>
      </c>
      <c r="EQ20" s="10">
        <f t="shared" si="149"/>
        <v>10020</v>
      </c>
      <c r="ER20" s="10">
        <f t="shared" si="149"/>
        <v>8550</v>
      </c>
      <c r="ES20" s="10">
        <f t="shared" si="149"/>
        <v>7080</v>
      </c>
      <c r="ET20" s="10">
        <f t="shared" si="149"/>
        <v>5610</v>
      </c>
      <c r="EU20" s="10">
        <f t="shared" si="149"/>
        <v>38642.5</v>
      </c>
      <c r="EV20" s="10">
        <f t="shared" si="149"/>
        <v>34477.5</v>
      </c>
      <c r="EW20" s="10">
        <f t="shared" si="149"/>
        <v>30312.499999999996</v>
      </c>
      <c r="EX20" s="10">
        <f t="shared" si="149"/>
        <v>26147.499999999996</v>
      </c>
      <c r="EY20" s="10">
        <f t="shared" si="149"/>
        <v>21982.5</v>
      </c>
      <c r="EZ20" s="10">
        <f t="shared" si="149"/>
        <v>194312.5</v>
      </c>
      <c r="FC20" s="10">
        <f t="shared" ref="FC20:FM20" si="150">SUM(FC10:FC19)</f>
        <v>29120</v>
      </c>
      <c r="FD20" s="10">
        <f t="shared" si="150"/>
        <v>29120</v>
      </c>
      <c r="FE20" s="10">
        <f t="shared" si="150"/>
        <v>29120</v>
      </c>
      <c r="FF20" s="10">
        <f t="shared" si="150"/>
        <v>29120</v>
      </c>
      <c r="FG20" s="10">
        <f t="shared" si="150"/>
        <v>29120</v>
      </c>
      <c r="FH20" s="10">
        <f t="shared" si="150"/>
        <v>29120</v>
      </c>
      <c r="FI20" s="10">
        <f t="shared" si="150"/>
        <v>163520</v>
      </c>
      <c r="FJ20" s="10">
        <f t="shared" si="150"/>
        <v>29120</v>
      </c>
      <c r="FK20" s="10">
        <f t="shared" si="150"/>
        <v>29120</v>
      </c>
      <c r="FL20" s="10">
        <f t="shared" si="150"/>
        <v>29120</v>
      </c>
      <c r="FM20" s="10">
        <f t="shared" si="150"/>
        <v>425600</v>
      </c>
      <c r="FO20" s="2"/>
      <c r="FP20" s="2"/>
      <c r="FQ20" s="2"/>
      <c r="FR20" s="2"/>
      <c r="FS20" s="10">
        <f t="shared" ref="FS20:GH20" si="151">SUM(FS10:FS19)</f>
        <v>37500</v>
      </c>
      <c r="FT20" s="10">
        <f t="shared" si="151"/>
        <v>75000</v>
      </c>
      <c r="FU20" s="10">
        <f t="shared" si="151"/>
        <v>75000</v>
      </c>
      <c r="FV20" s="10">
        <f t="shared" si="151"/>
        <v>7500</v>
      </c>
      <c r="FW20" s="10">
        <f t="shared" si="151"/>
        <v>195000</v>
      </c>
      <c r="FX20" s="10">
        <f t="shared" si="151"/>
        <v>130000</v>
      </c>
      <c r="FY20" s="10">
        <f t="shared" si="151"/>
        <v>130000</v>
      </c>
      <c r="FZ20" s="10">
        <f t="shared" si="151"/>
        <v>130000</v>
      </c>
      <c r="GA20" s="10">
        <f t="shared" si="151"/>
        <v>130000</v>
      </c>
      <c r="GB20" s="10">
        <f t="shared" si="151"/>
        <v>130000</v>
      </c>
      <c r="GC20" s="10">
        <f t="shared" si="151"/>
        <v>130000</v>
      </c>
      <c r="GD20" s="10">
        <f t="shared" si="151"/>
        <v>130000</v>
      </c>
      <c r="GE20" s="10">
        <f t="shared" si="151"/>
        <v>130000</v>
      </c>
      <c r="GF20" s="10">
        <f t="shared" si="151"/>
        <v>130000</v>
      </c>
      <c r="GG20" s="10">
        <f t="shared" si="151"/>
        <v>130000</v>
      </c>
      <c r="GH20" s="10">
        <f t="shared" si="151"/>
        <v>1300000</v>
      </c>
      <c r="GM20" s="4">
        <f t="shared" ref="GM20:GY20" si="152">SUM(GM10:GM19)</f>
        <v>2716000</v>
      </c>
      <c r="GN20" s="10">
        <f t="shared" si="152"/>
        <v>826350</v>
      </c>
      <c r="GO20" s="10">
        <f t="shared" si="152"/>
        <v>485100.00000000006</v>
      </c>
      <c r="GP20" s="10">
        <f t="shared" si="152"/>
        <v>485100.00000000006</v>
      </c>
      <c r="GQ20" s="10">
        <f t="shared" si="152"/>
        <v>485100.00000000006</v>
      </c>
      <c r="GR20" s="10">
        <f t="shared" si="152"/>
        <v>485100.00000000006</v>
      </c>
      <c r="GS20" s="10">
        <f t="shared" si="152"/>
        <v>485100.00000000006</v>
      </c>
      <c r="GT20" s="10">
        <f t="shared" si="152"/>
        <v>726250</v>
      </c>
      <c r="GU20" s="10">
        <f t="shared" si="152"/>
        <v>726250</v>
      </c>
      <c r="GV20" s="10">
        <f t="shared" si="152"/>
        <v>726250</v>
      </c>
      <c r="GW20" s="10">
        <f t="shared" si="152"/>
        <v>726250</v>
      </c>
      <c r="GX20" s="10">
        <f t="shared" si="152"/>
        <v>726250</v>
      </c>
      <c r="GY20" s="10">
        <f t="shared" si="152"/>
        <v>6056750.0000000009</v>
      </c>
      <c r="HA20" s="10">
        <f t="shared" ref="HA20:HK20" si="153">SUM(HA10:HA19)</f>
        <v>1244766.6666666667</v>
      </c>
      <c r="HB20" s="10">
        <f t="shared" si="153"/>
        <v>1195766.6666666667</v>
      </c>
      <c r="HC20" s="10">
        <f t="shared" si="153"/>
        <v>1146766.6666666667</v>
      </c>
      <c r="HD20" s="10">
        <f t="shared" si="153"/>
        <v>1097766.6666666667</v>
      </c>
      <c r="HE20" s="10">
        <f t="shared" si="153"/>
        <v>1048766.6666666667</v>
      </c>
      <c r="HF20" s="10">
        <f t="shared" si="153"/>
        <v>2564166.6666666665</v>
      </c>
      <c r="HG20" s="10">
        <f t="shared" si="153"/>
        <v>2425333.3333333335</v>
      </c>
      <c r="HH20" s="10">
        <f t="shared" si="153"/>
        <v>2286500</v>
      </c>
      <c r="HI20" s="10">
        <f t="shared" si="153"/>
        <v>2147666.6666666665</v>
      </c>
      <c r="HJ20" s="10">
        <f t="shared" si="153"/>
        <v>2008833.3333333333</v>
      </c>
      <c r="HK20" s="10">
        <f t="shared" si="153"/>
        <v>17166333.333333332</v>
      </c>
    </row>
    <row r="21" spans="1:219" x14ac:dyDescent="0.2">
      <c r="A21" s="12"/>
      <c r="B21" s="2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O21" s="2"/>
      <c r="FP21" s="2"/>
      <c r="FQ21" s="2"/>
      <c r="FR21" s="2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M21" s="4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</row>
    <row r="22" spans="1:219" ht="16.2" x14ac:dyDescent="0.3">
      <c r="A22" s="12"/>
      <c r="B22" s="24" t="s">
        <v>73</v>
      </c>
      <c r="BC22" s="24" t="s">
        <v>7</v>
      </c>
      <c r="FB22" s="24" t="s">
        <v>74</v>
      </c>
      <c r="FO22" s="24" t="s">
        <v>11</v>
      </c>
      <c r="GJ22" s="24" t="s">
        <v>12</v>
      </c>
      <c r="HA22" s="24" t="s">
        <v>13</v>
      </c>
    </row>
    <row r="23" spans="1:219" x14ac:dyDescent="0.2">
      <c r="A23" s="12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</row>
    <row r="24" spans="1:219" s="15" customForma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 s="1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</row>
    <row r="25" spans="1:219" ht="51" x14ac:dyDescent="0.2">
      <c r="A25" s="12"/>
      <c r="B25" s="9" t="s">
        <v>14</v>
      </c>
      <c r="C25" s="9" t="s">
        <v>15</v>
      </c>
      <c r="D25" s="9" t="s">
        <v>16</v>
      </c>
      <c r="E25" s="9" t="s">
        <v>17</v>
      </c>
      <c r="F25" s="9" t="s">
        <v>18</v>
      </c>
      <c r="G25" s="9" t="s">
        <v>19</v>
      </c>
      <c r="H25" s="9" t="s">
        <v>20</v>
      </c>
      <c r="I25" s="25">
        <v>2021</v>
      </c>
      <c r="J25" s="25">
        <v>2022</v>
      </c>
      <c r="K25" s="25">
        <v>2023</v>
      </c>
      <c r="L25" s="25">
        <v>2024</v>
      </c>
      <c r="M25" s="25">
        <v>2025</v>
      </c>
      <c r="N25" s="25">
        <v>2026</v>
      </c>
      <c r="O25" s="25">
        <v>2027</v>
      </c>
      <c r="P25" s="25">
        <v>2028</v>
      </c>
      <c r="Q25" s="25">
        <v>2029</v>
      </c>
      <c r="R25" s="25">
        <v>2030</v>
      </c>
      <c r="S25" s="9" t="s">
        <v>21</v>
      </c>
      <c r="T25" s="9" t="s">
        <v>22</v>
      </c>
      <c r="U25" s="25">
        <f>$I$9</f>
        <v>2021</v>
      </c>
      <c r="V25" s="25">
        <f>U25+1</f>
        <v>2022</v>
      </c>
      <c r="W25" s="25">
        <f t="shared" ref="W25:AD25" si="154">V25+1</f>
        <v>2023</v>
      </c>
      <c r="X25" s="25">
        <f t="shared" si="154"/>
        <v>2024</v>
      </c>
      <c r="Y25" s="25">
        <f t="shared" si="154"/>
        <v>2025</v>
      </c>
      <c r="Z25" s="25">
        <f t="shared" si="154"/>
        <v>2026</v>
      </c>
      <c r="AA25" s="25">
        <f t="shared" si="154"/>
        <v>2027</v>
      </c>
      <c r="AB25" s="25">
        <f t="shared" si="154"/>
        <v>2028</v>
      </c>
      <c r="AC25" s="25">
        <f t="shared" si="154"/>
        <v>2029</v>
      </c>
      <c r="AD25" s="25">
        <f t="shared" si="154"/>
        <v>2030</v>
      </c>
      <c r="AE25" s="9" t="s">
        <v>23</v>
      </c>
      <c r="AF25" s="25">
        <f>$I$9</f>
        <v>2021</v>
      </c>
      <c r="AG25" s="25">
        <f>AF25+1</f>
        <v>2022</v>
      </c>
      <c r="AH25" s="25">
        <f t="shared" ref="AH25:AO25" si="155">AG25+1</f>
        <v>2023</v>
      </c>
      <c r="AI25" s="25">
        <f t="shared" si="155"/>
        <v>2024</v>
      </c>
      <c r="AJ25" s="25">
        <f t="shared" si="155"/>
        <v>2025</v>
      </c>
      <c r="AK25" s="25">
        <f t="shared" si="155"/>
        <v>2026</v>
      </c>
      <c r="AL25" s="25">
        <f t="shared" si="155"/>
        <v>2027</v>
      </c>
      <c r="AM25" s="25">
        <f t="shared" si="155"/>
        <v>2028</v>
      </c>
      <c r="AN25" s="25">
        <f t="shared" si="155"/>
        <v>2029</v>
      </c>
      <c r="AO25" s="25">
        <f t="shared" si="155"/>
        <v>2030</v>
      </c>
      <c r="AP25" s="9" t="s">
        <v>24</v>
      </c>
      <c r="AQ25" s="25">
        <f>$I$9</f>
        <v>2021</v>
      </c>
      <c r="AR25" s="25">
        <f>AQ25+1</f>
        <v>2022</v>
      </c>
      <c r="AS25" s="25">
        <f t="shared" ref="AS25:AZ25" si="156">AR25+1</f>
        <v>2023</v>
      </c>
      <c r="AT25" s="25">
        <f t="shared" si="156"/>
        <v>2024</v>
      </c>
      <c r="AU25" s="25">
        <f t="shared" si="156"/>
        <v>2025</v>
      </c>
      <c r="AV25" s="25">
        <f t="shared" si="156"/>
        <v>2026</v>
      </c>
      <c r="AW25" s="25">
        <f t="shared" si="156"/>
        <v>2027</v>
      </c>
      <c r="AX25" s="25">
        <f t="shared" si="156"/>
        <v>2028</v>
      </c>
      <c r="AY25" s="25">
        <f t="shared" si="156"/>
        <v>2029</v>
      </c>
      <c r="AZ25" s="25">
        <f t="shared" si="156"/>
        <v>2030</v>
      </c>
      <c r="BA25" s="9" t="s">
        <v>25</v>
      </c>
      <c r="BC25" s="9" t="s">
        <v>75</v>
      </c>
      <c r="BD25" s="9" t="s">
        <v>76</v>
      </c>
      <c r="BE25" s="9" t="s">
        <v>77</v>
      </c>
      <c r="BS25" s="25">
        <f>$I$9</f>
        <v>2021</v>
      </c>
      <c r="BT25" s="25">
        <f>BS25+1</f>
        <v>2022</v>
      </c>
      <c r="BU25" s="25">
        <f t="shared" ref="BU25:CB25" si="157">BT25+1</f>
        <v>2023</v>
      </c>
      <c r="BV25" s="25">
        <f t="shared" si="157"/>
        <v>2024</v>
      </c>
      <c r="BW25" s="25">
        <f t="shared" si="157"/>
        <v>2025</v>
      </c>
      <c r="BX25" s="25">
        <f t="shared" si="157"/>
        <v>2026</v>
      </c>
      <c r="BY25" s="25">
        <f t="shared" si="157"/>
        <v>2027</v>
      </c>
      <c r="BZ25" s="25">
        <f t="shared" si="157"/>
        <v>2028</v>
      </c>
      <c r="CA25" s="25">
        <f t="shared" si="157"/>
        <v>2029</v>
      </c>
      <c r="CB25" s="25">
        <f t="shared" si="157"/>
        <v>2030</v>
      </c>
      <c r="CC25" s="9" t="s">
        <v>78</v>
      </c>
      <c r="FB25" s="9" t="s">
        <v>46</v>
      </c>
      <c r="FC25" s="25">
        <f>$I$9</f>
        <v>2021</v>
      </c>
      <c r="FD25" s="25">
        <f>FC25+1</f>
        <v>2022</v>
      </c>
      <c r="FE25" s="25">
        <f t="shared" ref="FE25:FL25" si="158">FD25+1</f>
        <v>2023</v>
      </c>
      <c r="FF25" s="25">
        <f t="shared" si="158"/>
        <v>2024</v>
      </c>
      <c r="FG25" s="25">
        <f t="shared" si="158"/>
        <v>2025</v>
      </c>
      <c r="FH25" s="25">
        <f t="shared" si="158"/>
        <v>2026</v>
      </c>
      <c r="FI25" s="25">
        <f t="shared" si="158"/>
        <v>2027</v>
      </c>
      <c r="FJ25" s="25">
        <f t="shared" si="158"/>
        <v>2028</v>
      </c>
      <c r="FK25" s="25">
        <f t="shared" si="158"/>
        <v>2029</v>
      </c>
      <c r="FL25" s="25">
        <f t="shared" si="158"/>
        <v>2030</v>
      </c>
      <c r="FM25" s="9" t="s">
        <v>47</v>
      </c>
      <c r="FO25" s="9" t="s">
        <v>48</v>
      </c>
      <c r="FP25" s="9" t="s">
        <v>49</v>
      </c>
      <c r="FQ25" s="9" t="s">
        <v>50</v>
      </c>
      <c r="FR25" s="9" t="s">
        <v>51</v>
      </c>
      <c r="FS25" s="9" t="s">
        <v>52</v>
      </c>
      <c r="FT25" s="9" t="s">
        <v>53</v>
      </c>
      <c r="FU25" s="9" t="s">
        <v>54</v>
      </c>
      <c r="FV25" s="9" t="s">
        <v>55</v>
      </c>
      <c r="FW25" s="9" t="s">
        <v>56</v>
      </c>
      <c r="FX25" s="25">
        <f>$I$9</f>
        <v>2021</v>
      </c>
      <c r="FY25" s="25">
        <f>FX25+1</f>
        <v>2022</v>
      </c>
      <c r="FZ25" s="25">
        <f t="shared" ref="FZ25:GG25" si="159">FY25+1</f>
        <v>2023</v>
      </c>
      <c r="GA25" s="25">
        <f t="shared" si="159"/>
        <v>2024</v>
      </c>
      <c r="GB25" s="25">
        <f t="shared" si="159"/>
        <v>2025</v>
      </c>
      <c r="GC25" s="25">
        <f t="shared" si="159"/>
        <v>2026</v>
      </c>
      <c r="GD25" s="25">
        <f t="shared" si="159"/>
        <v>2027</v>
      </c>
      <c r="GE25" s="25">
        <f t="shared" si="159"/>
        <v>2028</v>
      </c>
      <c r="GF25" s="25">
        <f t="shared" si="159"/>
        <v>2029</v>
      </c>
      <c r="GG25" s="25">
        <f t="shared" si="159"/>
        <v>2030</v>
      </c>
      <c r="GH25" s="9" t="s">
        <v>57</v>
      </c>
      <c r="GI25" s="9"/>
      <c r="GJ25" s="9" t="s">
        <v>58</v>
      </c>
      <c r="GK25" s="9" t="s">
        <v>59</v>
      </c>
      <c r="GL25" s="9" t="s">
        <v>60</v>
      </c>
      <c r="GM25" s="9" t="s">
        <v>61</v>
      </c>
      <c r="GN25" s="9" t="s">
        <v>62</v>
      </c>
      <c r="GO25" s="25">
        <f>$I$9</f>
        <v>2021</v>
      </c>
      <c r="GP25" s="25">
        <f>GO25+1</f>
        <v>2022</v>
      </c>
      <c r="GQ25" s="25">
        <f t="shared" ref="GQ25:GX25" si="160">GP25+1</f>
        <v>2023</v>
      </c>
      <c r="GR25" s="25">
        <f t="shared" si="160"/>
        <v>2024</v>
      </c>
      <c r="GS25" s="25">
        <f t="shared" si="160"/>
        <v>2025</v>
      </c>
      <c r="GT25" s="25">
        <f t="shared" si="160"/>
        <v>2026</v>
      </c>
      <c r="GU25" s="25">
        <f t="shared" si="160"/>
        <v>2027</v>
      </c>
      <c r="GV25" s="25">
        <f t="shared" si="160"/>
        <v>2028</v>
      </c>
      <c r="GW25" s="25">
        <f t="shared" si="160"/>
        <v>2029</v>
      </c>
      <c r="GX25" s="25">
        <f t="shared" si="160"/>
        <v>2030</v>
      </c>
      <c r="GY25" s="9" t="s">
        <v>63</v>
      </c>
      <c r="HA25" s="25">
        <f>$I$9</f>
        <v>2021</v>
      </c>
      <c r="HB25" s="25">
        <f>HA25+1</f>
        <v>2022</v>
      </c>
      <c r="HC25" s="25">
        <f t="shared" ref="HC25:HJ25" si="161">HB25+1</f>
        <v>2023</v>
      </c>
      <c r="HD25" s="25">
        <f t="shared" si="161"/>
        <v>2024</v>
      </c>
      <c r="HE25" s="25">
        <f t="shared" si="161"/>
        <v>2025</v>
      </c>
      <c r="HF25" s="25">
        <f t="shared" si="161"/>
        <v>2026</v>
      </c>
      <c r="HG25" s="25">
        <f t="shared" si="161"/>
        <v>2027</v>
      </c>
      <c r="HH25" s="25">
        <f t="shared" si="161"/>
        <v>2028</v>
      </c>
      <c r="HI25" s="25">
        <f t="shared" si="161"/>
        <v>2029</v>
      </c>
      <c r="HJ25" s="25">
        <f t="shared" si="161"/>
        <v>2030</v>
      </c>
      <c r="HK25" s="9" t="s">
        <v>64</v>
      </c>
    </row>
    <row r="26" spans="1:219" x14ac:dyDescent="0.2">
      <c r="A26" s="12"/>
      <c r="B26" s="6" t="s">
        <v>65</v>
      </c>
      <c r="C26" s="6" t="s">
        <v>66</v>
      </c>
      <c r="D26" s="6" t="s">
        <v>67</v>
      </c>
      <c r="E26" s="6">
        <v>50</v>
      </c>
      <c r="F26" s="6">
        <v>40</v>
      </c>
      <c r="G26" s="36">
        <v>2016</v>
      </c>
      <c r="H26" s="36">
        <v>2021</v>
      </c>
      <c r="I26" s="38">
        <f t="shared" ref="I26:R34" si="162">IF($H26="",0,IF($H26&lt;=I$9,IF((I$9-$G26)&lt;$BQ26,IF(I$9&lt;=$C$3,1,0),0),0))</f>
        <v>0</v>
      </c>
      <c r="J26" s="38">
        <f t="shared" si="162"/>
        <v>0</v>
      </c>
      <c r="K26" s="38">
        <f t="shared" si="162"/>
        <v>0</v>
      </c>
      <c r="L26" s="38">
        <f t="shared" si="162"/>
        <v>0</v>
      </c>
      <c r="M26" s="38">
        <f t="shared" si="162"/>
        <v>0</v>
      </c>
      <c r="N26" s="38">
        <f t="shared" si="162"/>
        <v>0</v>
      </c>
      <c r="O26" s="38">
        <f t="shared" si="162"/>
        <v>0</v>
      </c>
      <c r="P26" s="38">
        <f t="shared" si="162"/>
        <v>0</v>
      </c>
      <c r="Q26" s="38">
        <f t="shared" si="162"/>
        <v>0</v>
      </c>
      <c r="R26" s="38">
        <f t="shared" si="162"/>
        <v>0</v>
      </c>
      <c r="S26" s="39">
        <f t="shared" ref="S26:S34" si="163">SUM(I26:R26)</f>
        <v>0</v>
      </c>
      <c r="T26" s="6">
        <v>25</v>
      </c>
      <c r="U26" s="38">
        <f t="shared" ref="U26:U34" si="164">I26*$T26</f>
        <v>0</v>
      </c>
      <c r="V26" s="38">
        <f t="shared" ref="V26:V34" si="165">J26*$T26</f>
        <v>0</v>
      </c>
      <c r="W26" s="38">
        <f t="shared" ref="W26:W34" si="166">K26*$T26</f>
        <v>0</v>
      </c>
      <c r="X26" s="38">
        <f t="shared" ref="X26:X34" si="167">L26*$T26</f>
        <v>0</v>
      </c>
      <c r="Y26" s="38">
        <f t="shared" ref="Y26:Y34" si="168">M26*$T26</f>
        <v>0</v>
      </c>
      <c r="Z26" s="38">
        <f t="shared" ref="Z26:Z34" si="169">N26*$T26</f>
        <v>0</v>
      </c>
      <c r="AA26" s="38">
        <f t="shared" ref="AA26:AA34" si="170">O26*$T26</f>
        <v>0</v>
      </c>
      <c r="AB26" s="38">
        <f t="shared" ref="AB26:AB34" si="171">P26*$T26</f>
        <v>0</v>
      </c>
      <c r="AC26" s="38">
        <f t="shared" ref="AC26:AC34" si="172">Q26*$T26</f>
        <v>0</v>
      </c>
      <c r="AD26" s="38">
        <f t="shared" ref="AD26:AD34" si="173">R26*$T26</f>
        <v>0</v>
      </c>
      <c r="AE26" s="27"/>
      <c r="AF26" s="40">
        <v>3250</v>
      </c>
      <c r="AG26" s="40">
        <v>3250</v>
      </c>
      <c r="AH26" s="40">
        <v>3250</v>
      </c>
      <c r="AI26" s="40">
        <v>3250</v>
      </c>
      <c r="AJ26" s="40">
        <v>3250</v>
      </c>
      <c r="AK26" s="40"/>
      <c r="AL26" s="40"/>
      <c r="AM26" s="40"/>
      <c r="AN26" s="40"/>
      <c r="AO26" s="40"/>
      <c r="AP26" s="38">
        <f t="shared" ref="AP26:AP34" si="174">SUM(AF26:AO26)</f>
        <v>16250</v>
      </c>
      <c r="AQ26" s="40">
        <f t="shared" ref="AQ26:AU27" si="175">AF26*28</f>
        <v>91000</v>
      </c>
      <c r="AR26" s="40">
        <f t="shared" si="175"/>
        <v>91000</v>
      </c>
      <c r="AS26" s="40">
        <f t="shared" si="175"/>
        <v>91000</v>
      </c>
      <c r="AT26" s="40">
        <f t="shared" si="175"/>
        <v>91000</v>
      </c>
      <c r="AU26" s="40">
        <f t="shared" si="175"/>
        <v>91000</v>
      </c>
      <c r="AV26" s="40"/>
      <c r="AW26" s="40"/>
      <c r="AX26" s="40"/>
      <c r="AY26" s="40"/>
      <c r="AZ26" s="40"/>
      <c r="BA26" s="38">
        <f t="shared" ref="BA26:BA34" si="176">SUM(AQ26:AZ26)</f>
        <v>455000</v>
      </c>
      <c r="BC26" s="7">
        <v>30000</v>
      </c>
      <c r="BD26" s="6" t="s">
        <v>79</v>
      </c>
      <c r="BE26" s="6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11">
        <f t="shared" ref="CC26:CC34" si="177">SUM(BS26:CB26)</f>
        <v>0</v>
      </c>
      <c r="FB26" s="7">
        <v>0.16</v>
      </c>
      <c r="FC26" s="30">
        <f t="shared" ref="FC26:FC34" si="178">$FB26*AQ26</f>
        <v>14560</v>
      </c>
      <c r="FD26" s="30">
        <f t="shared" ref="FD26:FD34" si="179">$FB26*AR26</f>
        <v>14560</v>
      </c>
      <c r="FE26" s="30">
        <f t="shared" ref="FE26:FE34" si="180">$FB26*AS26</f>
        <v>14560</v>
      </c>
      <c r="FF26" s="30">
        <f t="shared" ref="FF26:FF34" si="181">$FB26*AT26</f>
        <v>14560</v>
      </c>
      <c r="FG26" s="30">
        <f t="shared" ref="FG26:FG34" si="182">$FB26*AU26</f>
        <v>14560</v>
      </c>
      <c r="FH26" s="30">
        <f t="shared" ref="FH26:FH34" si="183">$FB26*AV26</f>
        <v>0</v>
      </c>
      <c r="FI26" s="30">
        <f t="shared" ref="FI26:FI34" si="184">$FB26*AW26</f>
        <v>0</v>
      </c>
      <c r="FJ26" s="30">
        <f t="shared" ref="FJ26:FJ34" si="185">$FB26*AX26</f>
        <v>0</v>
      </c>
      <c r="FK26" s="30">
        <f t="shared" ref="FK26:FK34" si="186">$FB26*AY26</f>
        <v>0</v>
      </c>
      <c r="FL26" s="30">
        <f t="shared" ref="FL26:FL34" si="187">$FB26*AZ26</f>
        <v>0</v>
      </c>
      <c r="FM26" s="11">
        <f t="shared" ref="FM26:FM34" si="188">SUM(FC26:FL26)</f>
        <v>72800</v>
      </c>
      <c r="FO26" s="8">
        <v>500</v>
      </c>
      <c r="FP26" s="8">
        <v>1000</v>
      </c>
      <c r="FQ26" s="8">
        <v>1000</v>
      </c>
      <c r="FR26" s="8">
        <v>100</v>
      </c>
      <c r="FS26" s="13">
        <f t="shared" ref="FS26:FS34" si="189">FO26*$T26</f>
        <v>12500</v>
      </c>
      <c r="FT26" s="13">
        <f t="shared" ref="FT26:FT34" si="190">FP26*$T26</f>
        <v>25000</v>
      </c>
      <c r="FU26" s="13">
        <f t="shared" ref="FU26:FU34" si="191">FQ26*$T26</f>
        <v>25000</v>
      </c>
      <c r="FV26" s="13">
        <f t="shared" ref="FV26:FV34" si="192">FR26*$T26</f>
        <v>2500</v>
      </c>
      <c r="FW26" s="3">
        <f t="shared" ref="FW26:FW34" si="193">SUM(FS26:FV26)</f>
        <v>65000</v>
      </c>
      <c r="FX26" s="30">
        <f t="shared" ref="FX26:FX34" si="194">$FW26*I26</f>
        <v>0</v>
      </c>
      <c r="FY26" s="30">
        <f t="shared" ref="FY26:FY34" si="195">$FW26*J26</f>
        <v>0</v>
      </c>
      <c r="FZ26" s="30">
        <f t="shared" ref="FZ26:FZ34" si="196">$FW26*K26</f>
        <v>0</v>
      </c>
      <c r="GA26" s="30">
        <f t="shared" ref="GA26:GA34" si="197">$FW26*L26</f>
        <v>0</v>
      </c>
      <c r="GB26" s="30">
        <f t="shared" ref="GB26:GB34" si="198">$FW26*M26</f>
        <v>0</v>
      </c>
      <c r="GC26" s="30">
        <f t="shared" ref="GC26:GC34" si="199">$FW26*N26</f>
        <v>0</v>
      </c>
      <c r="GD26" s="30">
        <f t="shared" ref="GD26:GD34" si="200">$FW26*O26</f>
        <v>0</v>
      </c>
      <c r="GE26" s="30">
        <f t="shared" ref="GE26:GE34" si="201">$FW26*P26</f>
        <v>0</v>
      </c>
      <c r="GF26" s="30">
        <f t="shared" ref="GF26:GF34" si="202">$FW26*Q26</f>
        <v>0</v>
      </c>
      <c r="GG26" s="30">
        <f t="shared" ref="GG26:GG34" si="203">$FW26*R26</f>
        <v>0</v>
      </c>
      <c r="GH26" s="11">
        <f t="shared" ref="GH26:GH34" si="204">SUM(FX26:GG26)</f>
        <v>0</v>
      </c>
      <c r="GI26" s="11"/>
      <c r="GJ26" s="6" t="s">
        <v>68</v>
      </c>
      <c r="GK26" s="6">
        <v>20</v>
      </c>
      <c r="GL26" s="7">
        <v>1.1000000000000001</v>
      </c>
      <c r="GM26" s="3">
        <f t="shared" ref="GM26:GM34" si="205">BA26/100*GK26</f>
        <v>91000</v>
      </c>
      <c r="GN26" s="33">
        <f t="shared" ref="GN26:GN34" si="206">GL26*GM26</f>
        <v>100100.00000000001</v>
      </c>
      <c r="GO26" s="30">
        <f t="shared" ref="GO26:GO34" si="207">$GN26*I26</f>
        <v>0</v>
      </c>
      <c r="GP26" s="30">
        <f t="shared" ref="GP26:GP34" si="208">$GN26*J26</f>
        <v>0</v>
      </c>
      <c r="GQ26" s="30">
        <f t="shared" ref="GQ26:GQ34" si="209">$GN26*K26</f>
        <v>0</v>
      </c>
      <c r="GR26" s="30">
        <f t="shared" ref="GR26:GR34" si="210">$GN26*L26</f>
        <v>0</v>
      </c>
      <c r="GS26" s="30">
        <f t="shared" ref="GS26:GS34" si="211">$GN26*M26</f>
        <v>0</v>
      </c>
      <c r="GT26" s="30">
        <f t="shared" ref="GT26:GT34" si="212">$GN26*N26</f>
        <v>0</v>
      </c>
      <c r="GU26" s="30">
        <f t="shared" ref="GU26:GU34" si="213">$GN26*O26</f>
        <v>0</v>
      </c>
      <c r="GV26" s="30">
        <f t="shared" ref="GV26:GV34" si="214">$GN26*P26</f>
        <v>0</v>
      </c>
      <c r="GW26" s="30">
        <f t="shared" ref="GW26:GW34" si="215">$GN26*Q26</f>
        <v>0</v>
      </c>
      <c r="GX26" s="30">
        <f t="shared" ref="GX26:GX34" si="216">$GN26*R26</f>
        <v>0</v>
      </c>
      <c r="GY26" s="11">
        <f t="shared" ref="GY26:GY34" si="217">SUM(GO26:GX26)</f>
        <v>0</v>
      </c>
      <c r="HA26" s="30">
        <f t="shared" ref="HA26:HA34" si="218">BS26+DG26+EE26+FX26+GO26</f>
        <v>0</v>
      </c>
      <c r="HB26" s="30">
        <f t="shared" ref="HB26:HB34" si="219">BT26+DH26+EF26+FY26+GP26</f>
        <v>0</v>
      </c>
      <c r="HC26" s="30">
        <f t="shared" ref="HC26:HC34" si="220">BU26+DI26+EG26+FZ26+GQ26</f>
        <v>0</v>
      </c>
      <c r="HD26" s="30">
        <f t="shared" ref="HD26:HD34" si="221">BV26+DJ26+EH26+GA26+GR26</f>
        <v>0</v>
      </c>
      <c r="HE26" s="30">
        <f t="shared" ref="HE26:HE34" si="222">BW26+DK26+EI26+GB26+GS26</f>
        <v>0</v>
      </c>
      <c r="HF26" s="30">
        <f t="shared" ref="HF26:HF34" si="223">BX26+DL26+EJ26+GC26+GT26</f>
        <v>0</v>
      </c>
      <c r="HG26" s="30">
        <f t="shared" ref="HG26:HG34" si="224">BY26+DM26+EK26+GD26+GU26</f>
        <v>0</v>
      </c>
      <c r="HH26" s="30">
        <f t="shared" ref="HH26:HH34" si="225">BZ26+DN26+EL26+GE26+GV26</f>
        <v>0</v>
      </c>
      <c r="HI26" s="30">
        <f t="shared" ref="HI26:HI34" si="226">CA26+DO26+EM26+GF26+GW26</f>
        <v>0</v>
      </c>
      <c r="HJ26" s="30">
        <f t="shared" ref="HJ26:HJ34" si="227">CB26+DP26+EN26+GG26+GX26</f>
        <v>0</v>
      </c>
      <c r="HK26" s="11">
        <f t="shared" ref="HK26:HK34" si="228">SUM(HA26:HJ26)</f>
        <v>0</v>
      </c>
    </row>
    <row r="27" spans="1:219" x14ac:dyDescent="0.2">
      <c r="A27" s="12"/>
      <c r="B27" s="6" t="s">
        <v>65</v>
      </c>
      <c r="C27" s="6" t="s">
        <v>66</v>
      </c>
      <c r="D27" s="6" t="s">
        <v>67</v>
      </c>
      <c r="E27" s="6">
        <v>50</v>
      </c>
      <c r="F27" s="6">
        <v>40</v>
      </c>
      <c r="G27" s="36">
        <v>2021</v>
      </c>
      <c r="H27" s="36">
        <v>2021</v>
      </c>
      <c r="I27" s="38">
        <f t="shared" si="162"/>
        <v>0</v>
      </c>
      <c r="J27" s="38">
        <f t="shared" si="162"/>
        <v>0</v>
      </c>
      <c r="K27" s="38">
        <f t="shared" si="162"/>
        <v>0</v>
      </c>
      <c r="L27" s="38">
        <f t="shared" si="162"/>
        <v>0</v>
      </c>
      <c r="M27" s="38">
        <f t="shared" si="162"/>
        <v>0</v>
      </c>
      <c r="N27" s="38">
        <f t="shared" si="162"/>
        <v>0</v>
      </c>
      <c r="O27" s="38">
        <f t="shared" si="162"/>
        <v>0</v>
      </c>
      <c r="P27" s="38">
        <f t="shared" si="162"/>
        <v>0</v>
      </c>
      <c r="Q27" s="38">
        <f t="shared" si="162"/>
        <v>0</v>
      </c>
      <c r="R27" s="38">
        <f t="shared" si="162"/>
        <v>0</v>
      </c>
      <c r="S27" s="39">
        <f t="shared" si="163"/>
        <v>0</v>
      </c>
      <c r="T27" s="6">
        <v>25</v>
      </c>
      <c r="U27" s="38">
        <f t="shared" si="164"/>
        <v>0</v>
      </c>
      <c r="V27" s="38">
        <f t="shared" si="165"/>
        <v>0</v>
      </c>
      <c r="W27" s="38">
        <f t="shared" si="166"/>
        <v>0</v>
      </c>
      <c r="X27" s="38">
        <f t="shared" si="167"/>
        <v>0</v>
      </c>
      <c r="Y27" s="38">
        <f t="shared" si="168"/>
        <v>0</v>
      </c>
      <c r="Z27" s="38">
        <f t="shared" si="169"/>
        <v>0</v>
      </c>
      <c r="AA27" s="38">
        <f t="shared" si="170"/>
        <v>0</v>
      </c>
      <c r="AB27" s="38">
        <f t="shared" si="171"/>
        <v>0</v>
      </c>
      <c r="AC27" s="38">
        <f t="shared" si="172"/>
        <v>0</v>
      </c>
      <c r="AD27" s="38">
        <f t="shared" si="173"/>
        <v>0</v>
      </c>
      <c r="AE27" s="27"/>
      <c r="AF27" s="40">
        <v>3250</v>
      </c>
      <c r="AG27" s="40">
        <v>3250</v>
      </c>
      <c r="AH27" s="40">
        <v>3250</v>
      </c>
      <c r="AI27" s="40">
        <v>3250</v>
      </c>
      <c r="AJ27" s="40">
        <v>3250</v>
      </c>
      <c r="AK27" s="40">
        <v>3250</v>
      </c>
      <c r="AL27" s="40">
        <v>33250</v>
      </c>
      <c r="AM27" s="40">
        <v>3250</v>
      </c>
      <c r="AN27" s="40">
        <v>3250</v>
      </c>
      <c r="AO27" s="40">
        <v>3250</v>
      </c>
      <c r="AP27" s="38">
        <f t="shared" si="174"/>
        <v>62500</v>
      </c>
      <c r="AQ27" s="40">
        <f t="shared" si="175"/>
        <v>91000</v>
      </c>
      <c r="AR27" s="40">
        <f t="shared" si="175"/>
        <v>91000</v>
      </c>
      <c r="AS27" s="40">
        <f t="shared" si="175"/>
        <v>91000</v>
      </c>
      <c r="AT27" s="40">
        <f t="shared" si="175"/>
        <v>91000</v>
      </c>
      <c r="AU27" s="40">
        <f t="shared" si="175"/>
        <v>91000</v>
      </c>
      <c r="AV27" s="40">
        <f t="shared" ref="AV27:AZ28" si="229">AK27*28</f>
        <v>91000</v>
      </c>
      <c r="AW27" s="40">
        <f t="shared" si="229"/>
        <v>931000</v>
      </c>
      <c r="AX27" s="40">
        <f t="shared" si="229"/>
        <v>91000</v>
      </c>
      <c r="AY27" s="40">
        <f t="shared" si="229"/>
        <v>91000</v>
      </c>
      <c r="AZ27" s="40">
        <f t="shared" si="229"/>
        <v>91000</v>
      </c>
      <c r="BA27" s="38">
        <f t="shared" si="176"/>
        <v>1750000</v>
      </c>
      <c r="BC27" s="8"/>
      <c r="BD27" s="8"/>
      <c r="BE27" s="28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11">
        <f t="shared" si="177"/>
        <v>0</v>
      </c>
      <c r="FB27" s="7">
        <v>0.16</v>
      </c>
      <c r="FC27" s="30">
        <f t="shared" si="178"/>
        <v>14560</v>
      </c>
      <c r="FD27" s="30">
        <f t="shared" si="179"/>
        <v>14560</v>
      </c>
      <c r="FE27" s="30">
        <f t="shared" si="180"/>
        <v>14560</v>
      </c>
      <c r="FF27" s="30">
        <f t="shared" si="181"/>
        <v>14560</v>
      </c>
      <c r="FG27" s="30">
        <f t="shared" si="182"/>
        <v>14560</v>
      </c>
      <c r="FH27" s="30">
        <f t="shared" si="183"/>
        <v>14560</v>
      </c>
      <c r="FI27" s="30">
        <f t="shared" si="184"/>
        <v>148960</v>
      </c>
      <c r="FJ27" s="30">
        <f t="shared" si="185"/>
        <v>14560</v>
      </c>
      <c r="FK27" s="30">
        <f t="shared" si="186"/>
        <v>14560</v>
      </c>
      <c r="FL27" s="30">
        <f t="shared" si="187"/>
        <v>14560</v>
      </c>
      <c r="FM27" s="11">
        <f t="shared" si="188"/>
        <v>280000</v>
      </c>
      <c r="FO27" s="8">
        <v>500</v>
      </c>
      <c r="FP27" s="8">
        <v>1000</v>
      </c>
      <c r="FQ27" s="8">
        <v>1000</v>
      </c>
      <c r="FR27" s="8">
        <v>100</v>
      </c>
      <c r="FS27" s="13">
        <f t="shared" si="189"/>
        <v>12500</v>
      </c>
      <c r="FT27" s="13">
        <f t="shared" si="190"/>
        <v>25000</v>
      </c>
      <c r="FU27" s="13">
        <f t="shared" si="191"/>
        <v>25000</v>
      </c>
      <c r="FV27" s="13">
        <f t="shared" si="192"/>
        <v>2500</v>
      </c>
      <c r="FW27" s="3">
        <f t="shared" si="193"/>
        <v>65000</v>
      </c>
      <c r="FX27" s="30">
        <f t="shared" si="194"/>
        <v>0</v>
      </c>
      <c r="FY27" s="30">
        <f t="shared" si="195"/>
        <v>0</v>
      </c>
      <c r="FZ27" s="30">
        <f t="shared" si="196"/>
        <v>0</v>
      </c>
      <c r="GA27" s="30">
        <f t="shared" si="197"/>
        <v>0</v>
      </c>
      <c r="GB27" s="30">
        <f t="shared" si="198"/>
        <v>0</v>
      </c>
      <c r="GC27" s="30">
        <f t="shared" si="199"/>
        <v>0</v>
      </c>
      <c r="GD27" s="30">
        <f t="shared" si="200"/>
        <v>0</v>
      </c>
      <c r="GE27" s="30">
        <f t="shared" si="201"/>
        <v>0</v>
      </c>
      <c r="GF27" s="30">
        <f t="shared" si="202"/>
        <v>0</v>
      </c>
      <c r="GG27" s="30">
        <f t="shared" si="203"/>
        <v>0</v>
      </c>
      <c r="GH27" s="11">
        <f t="shared" si="204"/>
        <v>0</v>
      </c>
      <c r="GI27" s="11"/>
      <c r="GJ27" s="6" t="s">
        <v>68</v>
      </c>
      <c r="GK27" s="6">
        <v>20</v>
      </c>
      <c r="GL27" s="7">
        <v>1.1000000000000001</v>
      </c>
      <c r="GM27" s="3">
        <f t="shared" si="205"/>
        <v>350000</v>
      </c>
      <c r="GN27" s="33">
        <f t="shared" si="206"/>
        <v>385000.00000000006</v>
      </c>
      <c r="GO27" s="30">
        <f t="shared" si="207"/>
        <v>0</v>
      </c>
      <c r="GP27" s="30">
        <f t="shared" si="208"/>
        <v>0</v>
      </c>
      <c r="GQ27" s="30">
        <f t="shared" si="209"/>
        <v>0</v>
      </c>
      <c r="GR27" s="30">
        <f t="shared" si="210"/>
        <v>0</v>
      </c>
      <c r="GS27" s="30">
        <f t="shared" si="211"/>
        <v>0</v>
      </c>
      <c r="GT27" s="30">
        <f t="shared" si="212"/>
        <v>0</v>
      </c>
      <c r="GU27" s="30">
        <f t="shared" si="213"/>
        <v>0</v>
      </c>
      <c r="GV27" s="30">
        <f t="shared" si="214"/>
        <v>0</v>
      </c>
      <c r="GW27" s="30">
        <f t="shared" si="215"/>
        <v>0</v>
      </c>
      <c r="GX27" s="30">
        <f t="shared" si="216"/>
        <v>0</v>
      </c>
      <c r="GY27" s="11">
        <f t="shared" si="217"/>
        <v>0</v>
      </c>
      <c r="HA27" s="30">
        <f t="shared" si="218"/>
        <v>0</v>
      </c>
      <c r="HB27" s="30">
        <f t="shared" si="219"/>
        <v>0</v>
      </c>
      <c r="HC27" s="30">
        <f t="shared" si="220"/>
        <v>0</v>
      </c>
      <c r="HD27" s="30">
        <f t="shared" si="221"/>
        <v>0</v>
      </c>
      <c r="HE27" s="30">
        <f t="shared" si="222"/>
        <v>0</v>
      </c>
      <c r="HF27" s="30">
        <f t="shared" si="223"/>
        <v>0</v>
      </c>
      <c r="HG27" s="30">
        <f t="shared" si="224"/>
        <v>0</v>
      </c>
      <c r="HH27" s="30">
        <f t="shared" si="225"/>
        <v>0</v>
      </c>
      <c r="HI27" s="30">
        <f t="shared" si="226"/>
        <v>0</v>
      </c>
      <c r="HJ27" s="30">
        <f t="shared" si="227"/>
        <v>0</v>
      </c>
      <c r="HK27" s="11">
        <f t="shared" si="228"/>
        <v>0</v>
      </c>
    </row>
    <row r="28" spans="1:219" x14ac:dyDescent="0.2">
      <c r="A28" s="12"/>
      <c r="B28" s="6" t="s">
        <v>69</v>
      </c>
      <c r="C28" s="6" t="s">
        <v>70</v>
      </c>
      <c r="D28" s="6" t="s">
        <v>71</v>
      </c>
      <c r="E28" s="6">
        <v>50</v>
      </c>
      <c r="F28" s="6">
        <v>40</v>
      </c>
      <c r="G28" s="36">
        <v>2026</v>
      </c>
      <c r="H28" s="36">
        <v>2026</v>
      </c>
      <c r="I28" s="38">
        <f t="shared" si="162"/>
        <v>0</v>
      </c>
      <c r="J28" s="38">
        <f t="shared" si="162"/>
        <v>0</v>
      </c>
      <c r="K28" s="38">
        <f t="shared" si="162"/>
        <v>0</v>
      </c>
      <c r="L28" s="38">
        <f t="shared" si="162"/>
        <v>0</v>
      </c>
      <c r="M28" s="38">
        <f t="shared" si="162"/>
        <v>0</v>
      </c>
      <c r="N28" s="38">
        <f t="shared" si="162"/>
        <v>0</v>
      </c>
      <c r="O28" s="38">
        <f t="shared" si="162"/>
        <v>0</v>
      </c>
      <c r="P28" s="38">
        <f t="shared" si="162"/>
        <v>0</v>
      </c>
      <c r="Q28" s="38">
        <f t="shared" si="162"/>
        <v>0</v>
      </c>
      <c r="R28" s="38">
        <f t="shared" si="162"/>
        <v>0</v>
      </c>
      <c r="S28" s="39">
        <f t="shared" si="163"/>
        <v>0</v>
      </c>
      <c r="T28" s="6">
        <v>25</v>
      </c>
      <c r="U28" s="38">
        <f t="shared" si="164"/>
        <v>0</v>
      </c>
      <c r="V28" s="38">
        <f t="shared" si="165"/>
        <v>0</v>
      </c>
      <c r="W28" s="38">
        <f t="shared" si="166"/>
        <v>0</v>
      </c>
      <c r="X28" s="38">
        <f t="shared" si="167"/>
        <v>0</v>
      </c>
      <c r="Y28" s="38">
        <f t="shared" si="168"/>
        <v>0</v>
      </c>
      <c r="Z28" s="38">
        <f t="shared" si="169"/>
        <v>0</v>
      </c>
      <c r="AA28" s="38">
        <f t="shared" si="170"/>
        <v>0</v>
      </c>
      <c r="AB28" s="38">
        <f t="shared" si="171"/>
        <v>0</v>
      </c>
      <c r="AC28" s="38">
        <f t="shared" si="172"/>
        <v>0</v>
      </c>
      <c r="AD28" s="38">
        <f t="shared" si="173"/>
        <v>0</v>
      </c>
      <c r="AE28" s="27"/>
      <c r="AF28" s="40"/>
      <c r="AG28" s="40"/>
      <c r="AH28" s="40"/>
      <c r="AI28" s="40"/>
      <c r="AJ28" s="40"/>
      <c r="AK28" s="40">
        <v>3250</v>
      </c>
      <c r="AL28" s="40">
        <v>3250</v>
      </c>
      <c r="AM28" s="40">
        <v>3250</v>
      </c>
      <c r="AN28" s="40">
        <v>3250</v>
      </c>
      <c r="AO28" s="40">
        <v>3250</v>
      </c>
      <c r="AP28" s="38">
        <f t="shared" si="174"/>
        <v>16250</v>
      </c>
      <c r="AQ28" s="40"/>
      <c r="AR28" s="40"/>
      <c r="AS28" s="40"/>
      <c r="AT28" s="40"/>
      <c r="AU28" s="40"/>
      <c r="AV28" s="40">
        <f t="shared" si="229"/>
        <v>91000</v>
      </c>
      <c r="AW28" s="40">
        <f t="shared" si="229"/>
        <v>91000</v>
      </c>
      <c r="AX28" s="40">
        <f t="shared" si="229"/>
        <v>91000</v>
      </c>
      <c r="AY28" s="40">
        <f t="shared" si="229"/>
        <v>91000</v>
      </c>
      <c r="AZ28" s="40">
        <f t="shared" si="229"/>
        <v>91000</v>
      </c>
      <c r="BA28" s="38">
        <f t="shared" si="176"/>
        <v>455000</v>
      </c>
      <c r="BC28" s="8"/>
      <c r="BD28" s="8"/>
      <c r="BE28" s="28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11">
        <f t="shared" si="177"/>
        <v>0</v>
      </c>
      <c r="FB28" s="7">
        <v>0.16</v>
      </c>
      <c r="FC28" s="30">
        <f t="shared" si="178"/>
        <v>0</v>
      </c>
      <c r="FD28" s="30">
        <f t="shared" si="179"/>
        <v>0</v>
      </c>
      <c r="FE28" s="30">
        <f t="shared" si="180"/>
        <v>0</v>
      </c>
      <c r="FF28" s="30">
        <f t="shared" si="181"/>
        <v>0</v>
      </c>
      <c r="FG28" s="30">
        <f t="shared" si="182"/>
        <v>0</v>
      </c>
      <c r="FH28" s="30">
        <f t="shared" si="183"/>
        <v>14560</v>
      </c>
      <c r="FI28" s="30">
        <f t="shared" si="184"/>
        <v>14560</v>
      </c>
      <c r="FJ28" s="30">
        <f t="shared" si="185"/>
        <v>14560</v>
      </c>
      <c r="FK28" s="30">
        <f t="shared" si="186"/>
        <v>14560</v>
      </c>
      <c r="FL28" s="30">
        <f t="shared" si="187"/>
        <v>14560</v>
      </c>
      <c r="FM28" s="11">
        <f t="shared" si="188"/>
        <v>72800</v>
      </c>
      <c r="FO28" s="8">
        <v>500</v>
      </c>
      <c r="FP28" s="8">
        <v>1000</v>
      </c>
      <c r="FQ28" s="8">
        <v>1000</v>
      </c>
      <c r="FR28" s="8">
        <v>100</v>
      </c>
      <c r="FS28" s="13">
        <f t="shared" si="189"/>
        <v>12500</v>
      </c>
      <c r="FT28" s="13">
        <f t="shared" si="190"/>
        <v>25000</v>
      </c>
      <c r="FU28" s="13">
        <f t="shared" si="191"/>
        <v>25000</v>
      </c>
      <c r="FV28" s="13">
        <f t="shared" si="192"/>
        <v>2500</v>
      </c>
      <c r="FW28" s="3">
        <f t="shared" si="193"/>
        <v>65000</v>
      </c>
      <c r="FX28" s="30">
        <f t="shared" si="194"/>
        <v>0</v>
      </c>
      <c r="FY28" s="30">
        <f t="shared" si="195"/>
        <v>0</v>
      </c>
      <c r="FZ28" s="30">
        <f t="shared" si="196"/>
        <v>0</v>
      </c>
      <c r="GA28" s="30">
        <f t="shared" si="197"/>
        <v>0</v>
      </c>
      <c r="GB28" s="30">
        <f t="shared" si="198"/>
        <v>0</v>
      </c>
      <c r="GC28" s="30">
        <f t="shared" si="199"/>
        <v>0</v>
      </c>
      <c r="GD28" s="30">
        <f t="shared" si="200"/>
        <v>0</v>
      </c>
      <c r="GE28" s="30">
        <f t="shared" si="201"/>
        <v>0</v>
      </c>
      <c r="GF28" s="30">
        <f t="shared" si="202"/>
        <v>0</v>
      </c>
      <c r="GG28" s="30">
        <f t="shared" si="203"/>
        <v>0</v>
      </c>
      <c r="GH28" s="11">
        <f t="shared" si="204"/>
        <v>0</v>
      </c>
      <c r="GI28" s="11"/>
      <c r="GJ28" s="6" t="s">
        <v>72</v>
      </c>
      <c r="GK28" s="6">
        <v>500</v>
      </c>
      <c r="GL28" s="7">
        <v>0.15</v>
      </c>
      <c r="GM28" s="3">
        <f t="shared" si="205"/>
        <v>2275000</v>
      </c>
      <c r="GN28" s="33">
        <f t="shared" si="206"/>
        <v>341250</v>
      </c>
      <c r="GO28" s="30">
        <f t="shared" si="207"/>
        <v>0</v>
      </c>
      <c r="GP28" s="30">
        <f t="shared" si="208"/>
        <v>0</v>
      </c>
      <c r="GQ28" s="30">
        <f t="shared" si="209"/>
        <v>0</v>
      </c>
      <c r="GR28" s="30">
        <f t="shared" si="210"/>
        <v>0</v>
      </c>
      <c r="GS28" s="30">
        <f t="shared" si="211"/>
        <v>0</v>
      </c>
      <c r="GT28" s="30">
        <f t="shared" si="212"/>
        <v>0</v>
      </c>
      <c r="GU28" s="30">
        <f t="shared" si="213"/>
        <v>0</v>
      </c>
      <c r="GV28" s="30">
        <f t="shared" si="214"/>
        <v>0</v>
      </c>
      <c r="GW28" s="30">
        <f t="shared" si="215"/>
        <v>0</v>
      </c>
      <c r="GX28" s="30">
        <f t="shared" si="216"/>
        <v>0</v>
      </c>
      <c r="GY28" s="11">
        <f t="shared" si="217"/>
        <v>0</v>
      </c>
      <c r="HA28" s="30">
        <f t="shared" si="218"/>
        <v>0</v>
      </c>
      <c r="HB28" s="30">
        <f t="shared" si="219"/>
        <v>0</v>
      </c>
      <c r="HC28" s="30">
        <f t="shared" si="220"/>
        <v>0</v>
      </c>
      <c r="HD28" s="30">
        <f t="shared" si="221"/>
        <v>0</v>
      </c>
      <c r="HE28" s="30">
        <f t="shared" si="222"/>
        <v>0</v>
      </c>
      <c r="HF28" s="30">
        <f t="shared" si="223"/>
        <v>0</v>
      </c>
      <c r="HG28" s="30">
        <f t="shared" si="224"/>
        <v>0</v>
      </c>
      <c r="HH28" s="30">
        <f t="shared" si="225"/>
        <v>0</v>
      </c>
      <c r="HI28" s="30">
        <f t="shared" si="226"/>
        <v>0</v>
      </c>
      <c r="HJ28" s="30">
        <f t="shared" si="227"/>
        <v>0</v>
      </c>
      <c r="HK28" s="11">
        <f t="shared" si="228"/>
        <v>0</v>
      </c>
    </row>
    <row r="29" spans="1:219" x14ac:dyDescent="0.2">
      <c r="A29" s="12"/>
      <c r="B29" s="6" t="s">
        <v>69</v>
      </c>
      <c r="C29" s="6" t="s">
        <v>70</v>
      </c>
      <c r="D29" s="6" t="s">
        <v>71</v>
      </c>
      <c r="E29" s="6">
        <v>50</v>
      </c>
      <c r="F29" s="6">
        <v>40</v>
      </c>
      <c r="G29" s="36">
        <v>2021</v>
      </c>
      <c r="H29" s="36">
        <v>2021</v>
      </c>
      <c r="I29" s="38">
        <f t="shared" si="162"/>
        <v>0</v>
      </c>
      <c r="J29" s="38">
        <f t="shared" si="162"/>
        <v>0</v>
      </c>
      <c r="K29" s="38">
        <f t="shared" si="162"/>
        <v>0</v>
      </c>
      <c r="L29" s="38">
        <f t="shared" si="162"/>
        <v>0</v>
      </c>
      <c r="M29" s="38">
        <f t="shared" si="162"/>
        <v>0</v>
      </c>
      <c r="N29" s="38">
        <f t="shared" si="162"/>
        <v>0</v>
      </c>
      <c r="O29" s="38">
        <f t="shared" si="162"/>
        <v>0</v>
      </c>
      <c r="P29" s="38">
        <f t="shared" si="162"/>
        <v>0</v>
      </c>
      <c r="Q29" s="38">
        <f t="shared" si="162"/>
        <v>0</v>
      </c>
      <c r="R29" s="38">
        <f t="shared" si="162"/>
        <v>0</v>
      </c>
      <c r="S29" s="39">
        <f t="shared" si="163"/>
        <v>0</v>
      </c>
      <c r="T29" s="6">
        <v>25</v>
      </c>
      <c r="U29" s="38">
        <f t="shared" si="164"/>
        <v>0</v>
      </c>
      <c r="V29" s="38">
        <f t="shared" si="165"/>
        <v>0</v>
      </c>
      <c r="W29" s="38">
        <f t="shared" si="166"/>
        <v>0</v>
      </c>
      <c r="X29" s="38">
        <f t="shared" si="167"/>
        <v>0</v>
      </c>
      <c r="Y29" s="38">
        <f t="shared" si="168"/>
        <v>0</v>
      </c>
      <c r="Z29" s="38">
        <f t="shared" si="169"/>
        <v>0</v>
      </c>
      <c r="AA29" s="38">
        <f t="shared" si="170"/>
        <v>0</v>
      </c>
      <c r="AB29" s="38">
        <f t="shared" si="171"/>
        <v>0</v>
      </c>
      <c r="AC29" s="38">
        <f t="shared" si="172"/>
        <v>0</v>
      </c>
      <c r="AD29" s="38">
        <f t="shared" si="173"/>
        <v>0</v>
      </c>
      <c r="AE29" s="27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38">
        <f t="shared" si="174"/>
        <v>0</v>
      </c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38">
        <f t="shared" si="176"/>
        <v>0</v>
      </c>
      <c r="BC29" s="8"/>
      <c r="BD29" s="8"/>
      <c r="BE29" s="28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11">
        <f t="shared" si="177"/>
        <v>0</v>
      </c>
      <c r="FB29" s="7"/>
      <c r="FC29" s="30">
        <f t="shared" si="178"/>
        <v>0</v>
      </c>
      <c r="FD29" s="30">
        <f t="shared" si="179"/>
        <v>0</v>
      </c>
      <c r="FE29" s="30">
        <f t="shared" si="180"/>
        <v>0</v>
      </c>
      <c r="FF29" s="30">
        <f t="shared" si="181"/>
        <v>0</v>
      </c>
      <c r="FG29" s="30">
        <f t="shared" si="182"/>
        <v>0</v>
      </c>
      <c r="FH29" s="30">
        <f t="shared" si="183"/>
        <v>0</v>
      </c>
      <c r="FI29" s="30">
        <f t="shared" si="184"/>
        <v>0</v>
      </c>
      <c r="FJ29" s="30">
        <f t="shared" si="185"/>
        <v>0</v>
      </c>
      <c r="FK29" s="30">
        <f t="shared" si="186"/>
        <v>0</v>
      </c>
      <c r="FL29" s="30">
        <f t="shared" si="187"/>
        <v>0</v>
      </c>
      <c r="FM29" s="11">
        <f t="shared" si="188"/>
        <v>0</v>
      </c>
      <c r="FO29" s="8"/>
      <c r="FP29" s="8"/>
      <c r="FQ29" s="8"/>
      <c r="FR29" s="8"/>
      <c r="FS29" s="13">
        <f t="shared" si="189"/>
        <v>0</v>
      </c>
      <c r="FT29" s="13">
        <f t="shared" si="190"/>
        <v>0</v>
      </c>
      <c r="FU29" s="13">
        <f t="shared" si="191"/>
        <v>0</v>
      </c>
      <c r="FV29" s="13">
        <f t="shared" si="192"/>
        <v>0</v>
      </c>
      <c r="FW29" s="3">
        <f t="shared" si="193"/>
        <v>0</v>
      </c>
      <c r="FX29" s="30">
        <f t="shared" si="194"/>
        <v>0</v>
      </c>
      <c r="FY29" s="30">
        <f t="shared" si="195"/>
        <v>0</v>
      </c>
      <c r="FZ29" s="30">
        <f t="shared" si="196"/>
        <v>0</v>
      </c>
      <c r="GA29" s="30">
        <f t="shared" si="197"/>
        <v>0</v>
      </c>
      <c r="GB29" s="30">
        <f t="shared" si="198"/>
        <v>0</v>
      </c>
      <c r="GC29" s="30">
        <f t="shared" si="199"/>
        <v>0</v>
      </c>
      <c r="GD29" s="30">
        <f t="shared" si="200"/>
        <v>0</v>
      </c>
      <c r="GE29" s="30">
        <f t="shared" si="201"/>
        <v>0</v>
      </c>
      <c r="GF29" s="30">
        <f t="shared" si="202"/>
        <v>0</v>
      </c>
      <c r="GG29" s="30">
        <f t="shared" si="203"/>
        <v>0</v>
      </c>
      <c r="GH29" s="11">
        <f t="shared" si="204"/>
        <v>0</v>
      </c>
      <c r="GI29" s="11"/>
      <c r="GJ29" s="6"/>
      <c r="GK29" s="6"/>
      <c r="GL29" s="7"/>
      <c r="GM29" s="3">
        <f t="shared" si="205"/>
        <v>0</v>
      </c>
      <c r="GN29" s="33">
        <f t="shared" si="206"/>
        <v>0</v>
      </c>
      <c r="GO29" s="30">
        <f t="shared" si="207"/>
        <v>0</v>
      </c>
      <c r="GP29" s="30">
        <f t="shared" si="208"/>
        <v>0</v>
      </c>
      <c r="GQ29" s="30">
        <f t="shared" si="209"/>
        <v>0</v>
      </c>
      <c r="GR29" s="30">
        <f t="shared" si="210"/>
        <v>0</v>
      </c>
      <c r="GS29" s="30">
        <f t="shared" si="211"/>
        <v>0</v>
      </c>
      <c r="GT29" s="30">
        <f t="shared" si="212"/>
        <v>0</v>
      </c>
      <c r="GU29" s="30">
        <f t="shared" si="213"/>
        <v>0</v>
      </c>
      <c r="GV29" s="30">
        <f t="shared" si="214"/>
        <v>0</v>
      </c>
      <c r="GW29" s="30">
        <f t="shared" si="215"/>
        <v>0</v>
      </c>
      <c r="GX29" s="30">
        <f t="shared" si="216"/>
        <v>0</v>
      </c>
      <c r="GY29" s="11">
        <f t="shared" si="217"/>
        <v>0</v>
      </c>
      <c r="HA29" s="30">
        <f t="shared" si="218"/>
        <v>0</v>
      </c>
      <c r="HB29" s="30">
        <f t="shared" si="219"/>
        <v>0</v>
      </c>
      <c r="HC29" s="30">
        <f t="shared" si="220"/>
        <v>0</v>
      </c>
      <c r="HD29" s="30">
        <f t="shared" si="221"/>
        <v>0</v>
      </c>
      <c r="HE29" s="30">
        <f t="shared" si="222"/>
        <v>0</v>
      </c>
      <c r="HF29" s="30">
        <f t="shared" si="223"/>
        <v>0</v>
      </c>
      <c r="HG29" s="30">
        <f t="shared" si="224"/>
        <v>0</v>
      </c>
      <c r="HH29" s="30">
        <f t="shared" si="225"/>
        <v>0</v>
      </c>
      <c r="HI29" s="30">
        <f t="shared" si="226"/>
        <v>0</v>
      </c>
      <c r="HJ29" s="30">
        <f t="shared" si="227"/>
        <v>0</v>
      </c>
      <c r="HK29" s="11">
        <f t="shared" si="228"/>
        <v>0</v>
      </c>
    </row>
    <row r="30" spans="1:219" x14ac:dyDescent="0.2">
      <c r="A30" s="12"/>
      <c r="B30" s="6"/>
      <c r="C30" s="6"/>
      <c r="D30" s="6"/>
      <c r="E30" s="6"/>
      <c r="F30" s="6"/>
      <c r="G30" s="36">
        <v>0</v>
      </c>
      <c r="H30" s="36">
        <v>0</v>
      </c>
      <c r="I30" s="38">
        <f t="shared" si="162"/>
        <v>0</v>
      </c>
      <c r="J30" s="38">
        <f t="shared" si="162"/>
        <v>0</v>
      </c>
      <c r="K30" s="38">
        <f t="shared" si="162"/>
        <v>0</v>
      </c>
      <c r="L30" s="38">
        <f t="shared" si="162"/>
        <v>0</v>
      </c>
      <c r="M30" s="38">
        <f t="shared" si="162"/>
        <v>0</v>
      </c>
      <c r="N30" s="38">
        <f t="shared" si="162"/>
        <v>0</v>
      </c>
      <c r="O30" s="38">
        <f t="shared" si="162"/>
        <v>0</v>
      </c>
      <c r="P30" s="38">
        <f t="shared" si="162"/>
        <v>0</v>
      </c>
      <c r="Q30" s="38">
        <f t="shared" si="162"/>
        <v>0</v>
      </c>
      <c r="R30" s="38">
        <f t="shared" si="162"/>
        <v>0</v>
      </c>
      <c r="S30" s="39">
        <f t="shared" si="163"/>
        <v>0</v>
      </c>
      <c r="T30" s="6"/>
      <c r="U30" s="38">
        <f t="shared" si="164"/>
        <v>0</v>
      </c>
      <c r="V30" s="38">
        <f t="shared" si="165"/>
        <v>0</v>
      </c>
      <c r="W30" s="38">
        <f t="shared" si="166"/>
        <v>0</v>
      </c>
      <c r="X30" s="38">
        <f t="shared" si="167"/>
        <v>0</v>
      </c>
      <c r="Y30" s="38">
        <f t="shared" si="168"/>
        <v>0</v>
      </c>
      <c r="Z30" s="38">
        <f t="shared" si="169"/>
        <v>0</v>
      </c>
      <c r="AA30" s="38">
        <f t="shared" si="170"/>
        <v>0</v>
      </c>
      <c r="AB30" s="38">
        <f t="shared" si="171"/>
        <v>0</v>
      </c>
      <c r="AC30" s="38">
        <f t="shared" si="172"/>
        <v>0</v>
      </c>
      <c r="AD30" s="38">
        <f t="shared" si="173"/>
        <v>0</v>
      </c>
      <c r="AE30" s="27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38">
        <f t="shared" si="174"/>
        <v>0</v>
      </c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38">
        <f t="shared" si="176"/>
        <v>0</v>
      </c>
      <c r="BC30" s="8"/>
      <c r="BD30" s="8"/>
      <c r="BE30" s="28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11">
        <f t="shared" si="177"/>
        <v>0</v>
      </c>
      <c r="FB30" s="7"/>
      <c r="FC30" s="30">
        <f t="shared" si="178"/>
        <v>0</v>
      </c>
      <c r="FD30" s="30">
        <f t="shared" si="179"/>
        <v>0</v>
      </c>
      <c r="FE30" s="30">
        <f t="shared" si="180"/>
        <v>0</v>
      </c>
      <c r="FF30" s="30">
        <f t="shared" si="181"/>
        <v>0</v>
      </c>
      <c r="FG30" s="30">
        <f t="shared" si="182"/>
        <v>0</v>
      </c>
      <c r="FH30" s="30">
        <f t="shared" si="183"/>
        <v>0</v>
      </c>
      <c r="FI30" s="30">
        <f t="shared" si="184"/>
        <v>0</v>
      </c>
      <c r="FJ30" s="30">
        <f t="shared" si="185"/>
        <v>0</v>
      </c>
      <c r="FK30" s="30">
        <f t="shared" si="186"/>
        <v>0</v>
      </c>
      <c r="FL30" s="30">
        <f t="shared" si="187"/>
        <v>0</v>
      </c>
      <c r="FM30" s="11">
        <f t="shared" si="188"/>
        <v>0</v>
      </c>
      <c r="FO30" s="8"/>
      <c r="FP30" s="8"/>
      <c r="FQ30" s="8"/>
      <c r="FR30" s="8"/>
      <c r="FS30" s="13">
        <f t="shared" si="189"/>
        <v>0</v>
      </c>
      <c r="FT30" s="13">
        <f t="shared" si="190"/>
        <v>0</v>
      </c>
      <c r="FU30" s="13">
        <f t="shared" si="191"/>
        <v>0</v>
      </c>
      <c r="FV30" s="13">
        <f t="shared" si="192"/>
        <v>0</v>
      </c>
      <c r="FW30" s="3">
        <f t="shared" si="193"/>
        <v>0</v>
      </c>
      <c r="FX30" s="30">
        <f t="shared" si="194"/>
        <v>0</v>
      </c>
      <c r="FY30" s="30">
        <f t="shared" si="195"/>
        <v>0</v>
      </c>
      <c r="FZ30" s="30">
        <f t="shared" si="196"/>
        <v>0</v>
      </c>
      <c r="GA30" s="30">
        <f t="shared" si="197"/>
        <v>0</v>
      </c>
      <c r="GB30" s="30">
        <f t="shared" si="198"/>
        <v>0</v>
      </c>
      <c r="GC30" s="30">
        <f t="shared" si="199"/>
        <v>0</v>
      </c>
      <c r="GD30" s="30">
        <f t="shared" si="200"/>
        <v>0</v>
      </c>
      <c r="GE30" s="30">
        <f t="shared" si="201"/>
        <v>0</v>
      </c>
      <c r="GF30" s="30">
        <f t="shared" si="202"/>
        <v>0</v>
      </c>
      <c r="GG30" s="30">
        <f t="shared" si="203"/>
        <v>0</v>
      </c>
      <c r="GH30" s="11">
        <f t="shared" si="204"/>
        <v>0</v>
      </c>
      <c r="GI30" s="11"/>
      <c r="GJ30" s="6"/>
      <c r="GK30" s="6"/>
      <c r="GL30" s="7"/>
      <c r="GM30" s="3">
        <f t="shared" si="205"/>
        <v>0</v>
      </c>
      <c r="GN30" s="33">
        <f t="shared" si="206"/>
        <v>0</v>
      </c>
      <c r="GO30" s="30">
        <f t="shared" si="207"/>
        <v>0</v>
      </c>
      <c r="GP30" s="30">
        <f t="shared" si="208"/>
        <v>0</v>
      </c>
      <c r="GQ30" s="30">
        <f t="shared" si="209"/>
        <v>0</v>
      </c>
      <c r="GR30" s="30">
        <f t="shared" si="210"/>
        <v>0</v>
      </c>
      <c r="GS30" s="30">
        <f t="shared" si="211"/>
        <v>0</v>
      </c>
      <c r="GT30" s="30">
        <f t="shared" si="212"/>
        <v>0</v>
      </c>
      <c r="GU30" s="30">
        <f t="shared" si="213"/>
        <v>0</v>
      </c>
      <c r="GV30" s="30">
        <f t="shared" si="214"/>
        <v>0</v>
      </c>
      <c r="GW30" s="30">
        <f t="shared" si="215"/>
        <v>0</v>
      </c>
      <c r="GX30" s="30">
        <f t="shared" si="216"/>
        <v>0</v>
      </c>
      <c r="GY30" s="11">
        <f t="shared" si="217"/>
        <v>0</v>
      </c>
      <c r="HA30" s="30">
        <f t="shared" si="218"/>
        <v>0</v>
      </c>
      <c r="HB30" s="30">
        <f t="shared" si="219"/>
        <v>0</v>
      </c>
      <c r="HC30" s="30">
        <f t="shared" si="220"/>
        <v>0</v>
      </c>
      <c r="HD30" s="30">
        <f t="shared" si="221"/>
        <v>0</v>
      </c>
      <c r="HE30" s="30">
        <f t="shared" si="222"/>
        <v>0</v>
      </c>
      <c r="HF30" s="30">
        <f t="shared" si="223"/>
        <v>0</v>
      </c>
      <c r="HG30" s="30">
        <f t="shared" si="224"/>
        <v>0</v>
      </c>
      <c r="HH30" s="30">
        <f t="shared" si="225"/>
        <v>0</v>
      </c>
      <c r="HI30" s="30">
        <f t="shared" si="226"/>
        <v>0</v>
      </c>
      <c r="HJ30" s="30">
        <f t="shared" si="227"/>
        <v>0</v>
      </c>
      <c r="HK30" s="11">
        <f t="shared" si="228"/>
        <v>0</v>
      </c>
    </row>
    <row r="31" spans="1:219" x14ac:dyDescent="0.2">
      <c r="A31" s="12"/>
      <c r="B31" s="6"/>
      <c r="C31" s="6"/>
      <c r="D31" s="6"/>
      <c r="E31" s="6"/>
      <c r="F31" s="6"/>
      <c r="G31" s="36">
        <v>0</v>
      </c>
      <c r="H31" s="36">
        <v>0</v>
      </c>
      <c r="I31" s="38">
        <f t="shared" si="162"/>
        <v>0</v>
      </c>
      <c r="J31" s="38">
        <f t="shared" si="162"/>
        <v>0</v>
      </c>
      <c r="K31" s="38">
        <f t="shared" si="162"/>
        <v>0</v>
      </c>
      <c r="L31" s="38">
        <f t="shared" si="162"/>
        <v>0</v>
      </c>
      <c r="M31" s="38">
        <f t="shared" si="162"/>
        <v>0</v>
      </c>
      <c r="N31" s="38">
        <f t="shared" si="162"/>
        <v>0</v>
      </c>
      <c r="O31" s="38">
        <f t="shared" si="162"/>
        <v>0</v>
      </c>
      <c r="P31" s="38">
        <f t="shared" si="162"/>
        <v>0</v>
      </c>
      <c r="Q31" s="38">
        <f t="shared" si="162"/>
        <v>0</v>
      </c>
      <c r="R31" s="38">
        <f t="shared" si="162"/>
        <v>0</v>
      </c>
      <c r="S31" s="39">
        <f t="shared" si="163"/>
        <v>0</v>
      </c>
      <c r="T31" s="6"/>
      <c r="U31" s="38">
        <f t="shared" si="164"/>
        <v>0</v>
      </c>
      <c r="V31" s="38">
        <f t="shared" si="165"/>
        <v>0</v>
      </c>
      <c r="W31" s="38">
        <f t="shared" si="166"/>
        <v>0</v>
      </c>
      <c r="X31" s="38">
        <f t="shared" si="167"/>
        <v>0</v>
      </c>
      <c r="Y31" s="38">
        <f t="shared" si="168"/>
        <v>0</v>
      </c>
      <c r="Z31" s="38">
        <f t="shared" si="169"/>
        <v>0</v>
      </c>
      <c r="AA31" s="38">
        <f t="shared" si="170"/>
        <v>0</v>
      </c>
      <c r="AB31" s="38">
        <f t="shared" si="171"/>
        <v>0</v>
      </c>
      <c r="AC31" s="38">
        <f t="shared" si="172"/>
        <v>0</v>
      </c>
      <c r="AD31" s="38">
        <f t="shared" si="173"/>
        <v>0</v>
      </c>
      <c r="AE31" s="27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38">
        <f t="shared" si="174"/>
        <v>0</v>
      </c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38">
        <f t="shared" si="176"/>
        <v>0</v>
      </c>
      <c r="BC31" s="8"/>
      <c r="BD31" s="8"/>
      <c r="BE31" s="28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11">
        <f t="shared" si="177"/>
        <v>0</v>
      </c>
      <c r="FB31" s="7"/>
      <c r="FC31" s="30">
        <f t="shared" si="178"/>
        <v>0</v>
      </c>
      <c r="FD31" s="30">
        <f t="shared" si="179"/>
        <v>0</v>
      </c>
      <c r="FE31" s="30">
        <f t="shared" si="180"/>
        <v>0</v>
      </c>
      <c r="FF31" s="30">
        <f t="shared" si="181"/>
        <v>0</v>
      </c>
      <c r="FG31" s="30">
        <f t="shared" si="182"/>
        <v>0</v>
      </c>
      <c r="FH31" s="30">
        <f t="shared" si="183"/>
        <v>0</v>
      </c>
      <c r="FI31" s="30">
        <f t="shared" si="184"/>
        <v>0</v>
      </c>
      <c r="FJ31" s="30">
        <f t="shared" si="185"/>
        <v>0</v>
      </c>
      <c r="FK31" s="30">
        <f t="shared" si="186"/>
        <v>0</v>
      </c>
      <c r="FL31" s="30">
        <f t="shared" si="187"/>
        <v>0</v>
      </c>
      <c r="FM31" s="11">
        <f t="shared" si="188"/>
        <v>0</v>
      </c>
      <c r="FO31" s="8"/>
      <c r="FP31" s="8"/>
      <c r="FQ31" s="8"/>
      <c r="FR31" s="8"/>
      <c r="FS31" s="13">
        <f t="shared" si="189"/>
        <v>0</v>
      </c>
      <c r="FT31" s="13">
        <f t="shared" si="190"/>
        <v>0</v>
      </c>
      <c r="FU31" s="13">
        <f t="shared" si="191"/>
        <v>0</v>
      </c>
      <c r="FV31" s="13">
        <f t="shared" si="192"/>
        <v>0</v>
      </c>
      <c r="FW31" s="3">
        <f t="shared" si="193"/>
        <v>0</v>
      </c>
      <c r="FX31" s="30">
        <f t="shared" si="194"/>
        <v>0</v>
      </c>
      <c r="FY31" s="30">
        <f t="shared" si="195"/>
        <v>0</v>
      </c>
      <c r="FZ31" s="30">
        <f t="shared" si="196"/>
        <v>0</v>
      </c>
      <c r="GA31" s="30">
        <f t="shared" si="197"/>
        <v>0</v>
      </c>
      <c r="GB31" s="30">
        <f t="shared" si="198"/>
        <v>0</v>
      </c>
      <c r="GC31" s="30">
        <f t="shared" si="199"/>
        <v>0</v>
      </c>
      <c r="GD31" s="30">
        <f t="shared" si="200"/>
        <v>0</v>
      </c>
      <c r="GE31" s="30">
        <f t="shared" si="201"/>
        <v>0</v>
      </c>
      <c r="GF31" s="30">
        <f t="shared" si="202"/>
        <v>0</v>
      </c>
      <c r="GG31" s="30">
        <f t="shared" si="203"/>
        <v>0</v>
      </c>
      <c r="GH31" s="11">
        <f t="shared" si="204"/>
        <v>0</v>
      </c>
      <c r="GI31" s="11"/>
      <c r="GJ31" s="6"/>
      <c r="GK31" s="6"/>
      <c r="GL31" s="7"/>
      <c r="GM31" s="3">
        <f t="shared" si="205"/>
        <v>0</v>
      </c>
      <c r="GN31" s="33">
        <f t="shared" si="206"/>
        <v>0</v>
      </c>
      <c r="GO31" s="30">
        <f t="shared" si="207"/>
        <v>0</v>
      </c>
      <c r="GP31" s="30">
        <f t="shared" si="208"/>
        <v>0</v>
      </c>
      <c r="GQ31" s="30">
        <f t="shared" si="209"/>
        <v>0</v>
      </c>
      <c r="GR31" s="30">
        <f t="shared" si="210"/>
        <v>0</v>
      </c>
      <c r="GS31" s="30">
        <f t="shared" si="211"/>
        <v>0</v>
      </c>
      <c r="GT31" s="30">
        <f t="shared" si="212"/>
        <v>0</v>
      </c>
      <c r="GU31" s="30">
        <f t="shared" si="213"/>
        <v>0</v>
      </c>
      <c r="GV31" s="30">
        <f t="shared" si="214"/>
        <v>0</v>
      </c>
      <c r="GW31" s="30">
        <f t="shared" si="215"/>
        <v>0</v>
      </c>
      <c r="GX31" s="30">
        <f t="shared" si="216"/>
        <v>0</v>
      </c>
      <c r="GY31" s="11">
        <f t="shared" si="217"/>
        <v>0</v>
      </c>
      <c r="HA31" s="30">
        <f t="shared" si="218"/>
        <v>0</v>
      </c>
      <c r="HB31" s="30">
        <f t="shared" si="219"/>
        <v>0</v>
      </c>
      <c r="HC31" s="30">
        <f t="shared" si="220"/>
        <v>0</v>
      </c>
      <c r="HD31" s="30">
        <f t="shared" si="221"/>
        <v>0</v>
      </c>
      <c r="HE31" s="30">
        <f t="shared" si="222"/>
        <v>0</v>
      </c>
      <c r="HF31" s="30">
        <f t="shared" si="223"/>
        <v>0</v>
      </c>
      <c r="HG31" s="30">
        <f t="shared" si="224"/>
        <v>0</v>
      </c>
      <c r="HH31" s="30">
        <f t="shared" si="225"/>
        <v>0</v>
      </c>
      <c r="HI31" s="30">
        <f t="shared" si="226"/>
        <v>0</v>
      </c>
      <c r="HJ31" s="30">
        <f t="shared" si="227"/>
        <v>0</v>
      </c>
      <c r="HK31" s="11">
        <f t="shared" si="228"/>
        <v>0</v>
      </c>
    </row>
    <row r="32" spans="1:219" x14ac:dyDescent="0.2">
      <c r="A32" s="12"/>
      <c r="B32" s="6"/>
      <c r="C32" s="6"/>
      <c r="D32" s="6"/>
      <c r="E32" s="6"/>
      <c r="F32" s="6"/>
      <c r="G32" s="36">
        <v>0</v>
      </c>
      <c r="H32" s="36">
        <v>0</v>
      </c>
      <c r="I32" s="38">
        <f t="shared" si="162"/>
        <v>0</v>
      </c>
      <c r="J32" s="38">
        <f t="shared" si="162"/>
        <v>0</v>
      </c>
      <c r="K32" s="38">
        <f t="shared" si="162"/>
        <v>0</v>
      </c>
      <c r="L32" s="38">
        <f t="shared" si="162"/>
        <v>0</v>
      </c>
      <c r="M32" s="38">
        <f t="shared" si="162"/>
        <v>0</v>
      </c>
      <c r="N32" s="38">
        <f t="shared" si="162"/>
        <v>0</v>
      </c>
      <c r="O32" s="38">
        <f t="shared" si="162"/>
        <v>0</v>
      </c>
      <c r="P32" s="38">
        <f t="shared" si="162"/>
        <v>0</v>
      </c>
      <c r="Q32" s="38">
        <f t="shared" si="162"/>
        <v>0</v>
      </c>
      <c r="R32" s="38">
        <f t="shared" si="162"/>
        <v>0</v>
      </c>
      <c r="S32" s="39">
        <f t="shared" si="163"/>
        <v>0</v>
      </c>
      <c r="T32" s="6"/>
      <c r="U32" s="38">
        <f t="shared" si="164"/>
        <v>0</v>
      </c>
      <c r="V32" s="38">
        <f t="shared" si="165"/>
        <v>0</v>
      </c>
      <c r="W32" s="38">
        <f t="shared" si="166"/>
        <v>0</v>
      </c>
      <c r="X32" s="38">
        <f t="shared" si="167"/>
        <v>0</v>
      </c>
      <c r="Y32" s="38">
        <f t="shared" si="168"/>
        <v>0</v>
      </c>
      <c r="Z32" s="38">
        <f t="shared" si="169"/>
        <v>0</v>
      </c>
      <c r="AA32" s="38">
        <f t="shared" si="170"/>
        <v>0</v>
      </c>
      <c r="AB32" s="38">
        <f t="shared" si="171"/>
        <v>0</v>
      </c>
      <c r="AC32" s="38">
        <f t="shared" si="172"/>
        <v>0</v>
      </c>
      <c r="AD32" s="38">
        <f t="shared" si="173"/>
        <v>0</v>
      </c>
      <c r="AE32" s="27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38">
        <f t="shared" si="174"/>
        <v>0</v>
      </c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38">
        <f t="shared" si="176"/>
        <v>0</v>
      </c>
      <c r="BC32" s="8"/>
      <c r="BD32" s="8"/>
      <c r="BE32" s="28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11">
        <f t="shared" si="177"/>
        <v>0</v>
      </c>
      <c r="FB32" s="7"/>
      <c r="FC32" s="30">
        <f t="shared" si="178"/>
        <v>0</v>
      </c>
      <c r="FD32" s="30">
        <f t="shared" si="179"/>
        <v>0</v>
      </c>
      <c r="FE32" s="30">
        <f t="shared" si="180"/>
        <v>0</v>
      </c>
      <c r="FF32" s="30">
        <f t="shared" si="181"/>
        <v>0</v>
      </c>
      <c r="FG32" s="30">
        <f t="shared" si="182"/>
        <v>0</v>
      </c>
      <c r="FH32" s="30">
        <f t="shared" si="183"/>
        <v>0</v>
      </c>
      <c r="FI32" s="30">
        <f t="shared" si="184"/>
        <v>0</v>
      </c>
      <c r="FJ32" s="30">
        <f t="shared" si="185"/>
        <v>0</v>
      </c>
      <c r="FK32" s="30">
        <f t="shared" si="186"/>
        <v>0</v>
      </c>
      <c r="FL32" s="30">
        <f t="shared" si="187"/>
        <v>0</v>
      </c>
      <c r="FM32" s="11">
        <f t="shared" si="188"/>
        <v>0</v>
      </c>
      <c r="FO32" s="8"/>
      <c r="FP32" s="8"/>
      <c r="FQ32" s="8"/>
      <c r="FR32" s="8"/>
      <c r="FS32" s="13">
        <f t="shared" si="189"/>
        <v>0</v>
      </c>
      <c r="FT32" s="13">
        <f t="shared" si="190"/>
        <v>0</v>
      </c>
      <c r="FU32" s="13">
        <f t="shared" si="191"/>
        <v>0</v>
      </c>
      <c r="FV32" s="13">
        <f t="shared" si="192"/>
        <v>0</v>
      </c>
      <c r="FW32" s="3">
        <f t="shared" si="193"/>
        <v>0</v>
      </c>
      <c r="FX32" s="30">
        <f t="shared" si="194"/>
        <v>0</v>
      </c>
      <c r="FY32" s="30">
        <f t="shared" si="195"/>
        <v>0</v>
      </c>
      <c r="FZ32" s="30">
        <f t="shared" si="196"/>
        <v>0</v>
      </c>
      <c r="GA32" s="30">
        <f t="shared" si="197"/>
        <v>0</v>
      </c>
      <c r="GB32" s="30">
        <f t="shared" si="198"/>
        <v>0</v>
      </c>
      <c r="GC32" s="30">
        <f t="shared" si="199"/>
        <v>0</v>
      </c>
      <c r="GD32" s="30">
        <f t="shared" si="200"/>
        <v>0</v>
      </c>
      <c r="GE32" s="30">
        <f t="shared" si="201"/>
        <v>0</v>
      </c>
      <c r="GF32" s="30">
        <f t="shared" si="202"/>
        <v>0</v>
      </c>
      <c r="GG32" s="30">
        <f t="shared" si="203"/>
        <v>0</v>
      </c>
      <c r="GH32" s="11">
        <f t="shared" si="204"/>
        <v>0</v>
      </c>
      <c r="GI32" s="11"/>
      <c r="GJ32" s="6"/>
      <c r="GK32" s="6"/>
      <c r="GL32" s="7"/>
      <c r="GM32" s="3">
        <f t="shared" si="205"/>
        <v>0</v>
      </c>
      <c r="GN32" s="33">
        <f t="shared" si="206"/>
        <v>0</v>
      </c>
      <c r="GO32" s="30">
        <f t="shared" si="207"/>
        <v>0</v>
      </c>
      <c r="GP32" s="30">
        <f t="shared" si="208"/>
        <v>0</v>
      </c>
      <c r="GQ32" s="30">
        <f t="shared" si="209"/>
        <v>0</v>
      </c>
      <c r="GR32" s="30">
        <f t="shared" si="210"/>
        <v>0</v>
      </c>
      <c r="GS32" s="30">
        <f t="shared" si="211"/>
        <v>0</v>
      </c>
      <c r="GT32" s="30">
        <f t="shared" si="212"/>
        <v>0</v>
      </c>
      <c r="GU32" s="30">
        <f t="shared" si="213"/>
        <v>0</v>
      </c>
      <c r="GV32" s="30">
        <f t="shared" si="214"/>
        <v>0</v>
      </c>
      <c r="GW32" s="30">
        <f t="shared" si="215"/>
        <v>0</v>
      </c>
      <c r="GX32" s="30">
        <f t="shared" si="216"/>
        <v>0</v>
      </c>
      <c r="GY32" s="11">
        <f t="shared" si="217"/>
        <v>0</v>
      </c>
      <c r="HA32" s="30">
        <f t="shared" si="218"/>
        <v>0</v>
      </c>
      <c r="HB32" s="30">
        <f t="shared" si="219"/>
        <v>0</v>
      </c>
      <c r="HC32" s="30">
        <f t="shared" si="220"/>
        <v>0</v>
      </c>
      <c r="HD32" s="30">
        <f t="shared" si="221"/>
        <v>0</v>
      </c>
      <c r="HE32" s="30">
        <f t="shared" si="222"/>
        <v>0</v>
      </c>
      <c r="HF32" s="30">
        <f t="shared" si="223"/>
        <v>0</v>
      </c>
      <c r="HG32" s="30">
        <f t="shared" si="224"/>
        <v>0</v>
      </c>
      <c r="HH32" s="30">
        <f t="shared" si="225"/>
        <v>0</v>
      </c>
      <c r="HI32" s="30">
        <f t="shared" si="226"/>
        <v>0</v>
      </c>
      <c r="HJ32" s="30">
        <f t="shared" si="227"/>
        <v>0</v>
      </c>
      <c r="HK32" s="11">
        <f t="shared" si="228"/>
        <v>0</v>
      </c>
    </row>
    <row r="33" spans="1:219" x14ac:dyDescent="0.2">
      <c r="A33" s="12"/>
      <c r="B33" s="6"/>
      <c r="C33" s="6"/>
      <c r="D33" s="6"/>
      <c r="E33" s="6"/>
      <c r="F33" s="6"/>
      <c r="G33" s="36">
        <v>0</v>
      </c>
      <c r="H33" s="36">
        <v>0</v>
      </c>
      <c r="I33" s="38">
        <f t="shared" si="162"/>
        <v>0</v>
      </c>
      <c r="J33" s="38">
        <f t="shared" si="162"/>
        <v>0</v>
      </c>
      <c r="K33" s="38">
        <f t="shared" si="162"/>
        <v>0</v>
      </c>
      <c r="L33" s="38">
        <f t="shared" si="162"/>
        <v>0</v>
      </c>
      <c r="M33" s="38">
        <f t="shared" si="162"/>
        <v>0</v>
      </c>
      <c r="N33" s="38">
        <f t="shared" si="162"/>
        <v>0</v>
      </c>
      <c r="O33" s="38">
        <f t="shared" si="162"/>
        <v>0</v>
      </c>
      <c r="P33" s="38">
        <f t="shared" si="162"/>
        <v>0</v>
      </c>
      <c r="Q33" s="38">
        <f t="shared" si="162"/>
        <v>0</v>
      </c>
      <c r="R33" s="38">
        <f t="shared" si="162"/>
        <v>0</v>
      </c>
      <c r="S33" s="39">
        <f t="shared" si="163"/>
        <v>0</v>
      </c>
      <c r="T33" s="6"/>
      <c r="U33" s="38">
        <f t="shared" si="164"/>
        <v>0</v>
      </c>
      <c r="V33" s="38">
        <f t="shared" si="165"/>
        <v>0</v>
      </c>
      <c r="W33" s="38">
        <f t="shared" si="166"/>
        <v>0</v>
      </c>
      <c r="X33" s="38">
        <f t="shared" si="167"/>
        <v>0</v>
      </c>
      <c r="Y33" s="38">
        <f t="shared" si="168"/>
        <v>0</v>
      </c>
      <c r="Z33" s="38">
        <f t="shared" si="169"/>
        <v>0</v>
      </c>
      <c r="AA33" s="38">
        <f t="shared" si="170"/>
        <v>0</v>
      </c>
      <c r="AB33" s="38">
        <f t="shared" si="171"/>
        <v>0</v>
      </c>
      <c r="AC33" s="38">
        <f t="shared" si="172"/>
        <v>0</v>
      </c>
      <c r="AD33" s="38">
        <f t="shared" si="173"/>
        <v>0</v>
      </c>
      <c r="AE33" s="27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38">
        <f t="shared" si="174"/>
        <v>0</v>
      </c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38">
        <f t="shared" si="176"/>
        <v>0</v>
      </c>
      <c r="BC33" s="8"/>
      <c r="BD33" s="8"/>
      <c r="BE33" s="28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11">
        <f t="shared" si="177"/>
        <v>0</v>
      </c>
      <c r="FB33" s="7"/>
      <c r="FC33" s="30">
        <f t="shared" si="178"/>
        <v>0</v>
      </c>
      <c r="FD33" s="30">
        <f t="shared" si="179"/>
        <v>0</v>
      </c>
      <c r="FE33" s="30">
        <f t="shared" si="180"/>
        <v>0</v>
      </c>
      <c r="FF33" s="30">
        <f t="shared" si="181"/>
        <v>0</v>
      </c>
      <c r="FG33" s="30">
        <f t="shared" si="182"/>
        <v>0</v>
      </c>
      <c r="FH33" s="30">
        <f t="shared" si="183"/>
        <v>0</v>
      </c>
      <c r="FI33" s="30">
        <f t="shared" si="184"/>
        <v>0</v>
      </c>
      <c r="FJ33" s="30">
        <f t="shared" si="185"/>
        <v>0</v>
      </c>
      <c r="FK33" s="30">
        <f t="shared" si="186"/>
        <v>0</v>
      </c>
      <c r="FL33" s="30">
        <f t="shared" si="187"/>
        <v>0</v>
      </c>
      <c r="FM33" s="11">
        <f t="shared" si="188"/>
        <v>0</v>
      </c>
      <c r="FO33" s="8"/>
      <c r="FP33" s="8"/>
      <c r="FQ33" s="8"/>
      <c r="FR33" s="8"/>
      <c r="FS33" s="13">
        <f t="shared" si="189"/>
        <v>0</v>
      </c>
      <c r="FT33" s="13">
        <f t="shared" si="190"/>
        <v>0</v>
      </c>
      <c r="FU33" s="13">
        <f t="shared" si="191"/>
        <v>0</v>
      </c>
      <c r="FV33" s="13">
        <f t="shared" si="192"/>
        <v>0</v>
      </c>
      <c r="FW33" s="3">
        <f t="shared" si="193"/>
        <v>0</v>
      </c>
      <c r="FX33" s="30">
        <f t="shared" si="194"/>
        <v>0</v>
      </c>
      <c r="FY33" s="30">
        <f t="shared" si="195"/>
        <v>0</v>
      </c>
      <c r="FZ33" s="30">
        <f t="shared" si="196"/>
        <v>0</v>
      </c>
      <c r="GA33" s="30">
        <f t="shared" si="197"/>
        <v>0</v>
      </c>
      <c r="GB33" s="30">
        <f t="shared" si="198"/>
        <v>0</v>
      </c>
      <c r="GC33" s="30">
        <f t="shared" si="199"/>
        <v>0</v>
      </c>
      <c r="GD33" s="30">
        <f t="shared" si="200"/>
        <v>0</v>
      </c>
      <c r="GE33" s="30">
        <f t="shared" si="201"/>
        <v>0</v>
      </c>
      <c r="GF33" s="30">
        <f t="shared" si="202"/>
        <v>0</v>
      </c>
      <c r="GG33" s="30">
        <f t="shared" si="203"/>
        <v>0</v>
      </c>
      <c r="GH33" s="11">
        <f t="shared" si="204"/>
        <v>0</v>
      </c>
      <c r="GI33" s="11"/>
      <c r="GJ33" s="6"/>
      <c r="GK33" s="6"/>
      <c r="GL33" s="7"/>
      <c r="GM33" s="3">
        <f t="shared" si="205"/>
        <v>0</v>
      </c>
      <c r="GN33" s="33">
        <f t="shared" si="206"/>
        <v>0</v>
      </c>
      <c r="GO33" s="30">
        <f t="shared" si="207"/>
        <v>0</v>
      </c>
      <c r="GP33" s="30">
        <f t="shared" si="208"/>
        <v>0</v>
      </c>
      <c r="GQ33" s="30">
        <f t="shared" si="209"/>
        <v>0</v>
      </c>
      <c r="GR33" s="30">
        <f t="shared" si="210"/>
        <v>0</v>
      </c>
      <c r="GS33" s="30">
        <f t="shared" si="211"/>
        <v>0</v>
      </c>
      <c r="GT33" s="30">
        <f t="shared" si="212"/>
        <v>0</v>
      </c>
      <c r="GU33" s="30">
        <f t="shared" si="213"/>
        <v>0</v>
      </c>
      <c r="GV33" s="30">
        <f t="shared" si="214"/>
        <v>0</v>
      </c>
      <c r="GW33" s="30">
        <f t="shared" si="215"/>
        <v>0</v>
      </c>
      <c r="GX33" s="30">
        <f t="shared" si="216"/>
        <v>0</v>
      </c>
      <c r="GY33" s="11">
        <f t="shared" si="217"/>
        <v>0</v>
      </c>
      <c r="HA33" s="30">
        <f t="shared" si="218"/>
        <v>0</v>
      </c>
      <c r="HB33" s="30">
        <f t="shared" si="219"/>
        <v>0</v>
      </c>
      <c r="HC33" s="30">
        <f t="shared" si="220"/>
        <v>0</v>
      </c>
      <c r="HD33" s="30">
        <f t="shared" si="221"/>
        <v>0</v>
      </c>
      <c r="HE33" s="30">
        <f t="shared" si="222"/>
        <v>0</v>
      </c>
      <c r="HF33" s="30">
        <f t="shared" si="223"/>
        <v>0</v>
      </c>
      <c r="HG33" s="30">
        <f t="shared" si="224"/>
        <v>0</v>
      </c>
      <c r="HH33" s="30">
        <f t="shared" si="225"/>
        <v>0</v>
      </c>
      <c r="HI33" s="30">
        <f t="shared" si="226"/>
        <v>0</v>
      </c>
      <c r="HJ33" s="30">
        <f t="shared" si="227"/>
        <v>0</v>
      </c>
      <c r="HK33" s="11">
        <f t="shared" si="228"/>
        <v>0</v>
      </c>
    </row>
    <row r="34" spans="1:219" x14ac:dyDescent="0.2">
      <c r="A34" s="12"/>
      <c r="B34" s="6"/>
      <c r="C34" s="6"/>
      <c r="D34" s="6"/>
      <c r="E34" s="6"/>
      <c r="F34" s="6"/>
      <c r="G34" s="36">
        <v>0</v>
      </c>
      <c r="H34" s="36">
        <v>0</v>
      </c>
      <c r="I34" s="38">
        <f t="shared" si="162"/>
        <v>0</v>
      </c>
      <c r="J34" s="38">
        <f t="shared" si="162"/>
        <v>0</v>
      </c>
      <c r="K34" s="38">
        <f t="shared" si="162"/>
        <v>0</v>
      </c>
      <c r="L34" s="38">
        <f t="shared" si="162"/>
        <v>0</v>
      </c>
      <c r="M34" s="38">
        <f t="shared" si="162"/>
        <v>0</v>
      </c>
      <c r="N34" s="38">
        <f t="shared" si="162"/>
        <v>0</v>
      </c>
      <c r="O34" s="38">
        <f t="shared" si="162"/>
        <v>0</v>
      </c>
      <c r="P34" s="38">
        <f t="shared" si="162"/>
        <v>0</v>
      </c>
      <c r="Q34" s="38">
        <f t="shared" si="162"/>
        <v>0</v>
      </c>
      <c r="R34" s="38">
        <f t="shared" si="162"/>
        <v>0</v>
      </c>
      <c r="S34" s="39">
        <f t="shared" si="163"/>
        <v>0</v>
      </c>
      <c r="T34" s="6"/>
      <c r="U34" s="38">
        <f t="shared" si="164"/>
        <v>0</v>
      </c>
      <c r="V34" s="38">
        <f t="shared" si="165"/>
        <v>0</v>
      </c>
      <c r="W34" s="38">
        <f t="shared" si="166"/>
        <v>0</v>
      </c>
      <c r="X34" s="38">
        <f t="shared" si="167"/>
        <v>0</v>
      </c>
      <c r="Y34" s="38">
        <f t="shared" si="168"/>
        <v>0</v>
      </c>
      <c r="Z34" s="38">
        <f t="shared" si="169"/>
        <v>0</v>
      </c>
      <c r="AA34" s="38">
        <f t="shared" si="170"/>
        <v>0</v>
      </c>
      <c r="AB34" s="38">
        <f t="shared" si="171"/>
        <v>0</v>
      </c>
      <c r="AC34" s="38">
        <f t="shared" si="172"/>
        <v>0</v>
      </c>
      <c r="AD34" s="38">
        <f t="shared" si="173"/>
        <v>0</v>
      </c>
      <c r="AE34" s="27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38">
        <f t="shared" si="174"/>
        <v>0</v>
      </c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38">
        <f t="shared" si="176"/>
        <v>0</v>
      </c>
      <c r="BC34" s="8"/>
      <c r="BD34" s="8"/>
      <c r="BE34" s="28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11">
        <f t="shared" si="177"/>
        <v>0</v>
      </c>
      <c r="FB34" s="7"/>
      <c r="FC34" s="30">
        <f t="shared" si="178"/>
        <v>0</v>
      </c>
      <c r="FD34" s="30">
        <f t="shared" si="179"/>
        <v>0</v>
      </c>
      <c r="FE34" s="30">
        <f t="shared" si="180"/>
        <v>0</v>
      </c>
      <c r="FF34" s="30">
        <f t="shared" si="181"/>
        <v>0</v>
      </c>
      <c r="FG34" s="30">
        <f t="shared" si="182"/>
        <v>0</v>
      </c>
      <c r="FH34" s="30">
        <f t="shared" si="183"/>
        <v>0</v>
      </c>
      <c r="FI34" s="30">
        <f t="shared" si="184"/>
        <v>0</v>
      </c>
      <c r="FJ34" s="30">
        <f t="shared" si="185"/>
        <v>0</v>
      </c>
      <c r="FK34" s="30">
        <f t="shared" si="186"/>
        <v>0</v>
      </c>
      <c r="FL34" s="30">
        <f t="shared" si="187"/>
        <v>0</v>
      </c>
      <c r="FM34" s="11">
        <f t="shared" si="188"/>
        <v>0</v>
      </c>
      <c r="FO34" s="8"/>
      <c r="FP34" s="8"/>
      <c r="FQ34" s="8"/>
      <c r="FR34" s="8"/>
      <c r="FS34" s="13">
        <f t="shared" si="189"/>
        <v>0</v>
      </c>
      <c r="FT34" s="13">
        <f t="shared" si="190"/>
        <v>0</v>
      </c>
      <c r="FU34" s="13">
        <f t="shared" si="191"/>
        <v>0</v>
      </c>
      <c r="FV34" s="13">
        <f t="shared" si="192"/>
        <v>0</v>
      </c>
      <c r="FW34" s="3">
        <f t="shared" si="193"/>
        <v>0</v>
      </c>
      <c r="FX34" s="30">
        <f t="shared" si="194"/>
        <v>0</v>
      </c>
      <c r="FY34" s="30">
        <f t="shared" si="195"/>
        <v>0</v>
      </c>
      <c r="FZ34" s="30">
        <f t="shared" si="196"/>
        <v>0</v>
      </c>
      <c r="GA34" s="30">
        <f t="shared" si="197"/>
        <v>0</v>
      </c>
      <c r="GB34" s="30">
        <f t="shared" si="198"/>
        <v>0</v>
      </c>
      <c r="GC34" s="30">
        <f t="shared" si="199"/>
        <v>0</v>
      </c>
      <c r="GD34" s="30">
        <f t="shared" si="200"/>
        <v>0</v>
      </c>
      <c r="GE34" s="30">
        <f t="shared" si="201"/>
        <v>0</v>
      </c>
      <c r="GF34" s="30">
        <f t="shared" si="202"/>
        <v>0</v>
      </c>
      <c r="GG34" s="30">
        <f t="shared" si="203"/>
        <v>0</v>
      </c>
      <c r="GH34" s="11">
        <f t="shared" si="204"/>
        <v>0</v>
      </c>
      <c r="GI34" s="11"/>
      <c r="GJ34" s="6"/>
      <c r="GK34" s="6"/>
      <c r="GL34" s="7"/>
      <c r="GM34" s="3">
        <f t="shared" si="205"/>
        <v>0</v>
      </c>
      <c r="GN34" s="33">
        <f t="shared" si="206"/>
        <v>0</v>
      </c>
      <c r="GO34" s="30">
        <f t="shared" si="207"/>
        <v>0</v>
      </c>
      <c r="GP34" s="30">
        <f t="shared" si="208"/>
        <v>0</v>
      </c>
      <c r="GQ34" s="30">
        <f t="shared" si="209"/>
        <v>0</v>
      </c>
      <c r="GR34" s="30">
        <f t="shared" si="210"/>
        <v>0</v>
      </c>
      <c r="GS34" s="30">
        <f t="shared" si="211"/>
        <v>0</v>
      </c>
      <c r="GT34" s="30">
        <f t="shared" si="212"/>
        <v>0</v>
      </c>
      <c r="GU34" s="30">
        <f t="shared" si="213"/>
        <v>0</v>
      </c>
      <c r="GV34" s="30">
        <f t="shared" si="214"/>
        <v>0</v>
      </c>
      <c r="GW34" s="30">
        <f t="shared" si="215"/>
        <v>0</v>
      </c>
      <c r="GX34" s="30">
        <f t="shared" si="216"/>
        <v>0</v>
      </c>
      <c r="GY34" s="11">
        <f t="shared" si="217"/>
        <v>0</v>
      </c>
      <c r="HA34" s="30">
        <f t="shared" si="218"/>
        <v>0</v>
      </c>
      <c r="HB34" s="30">
        <f t="shared" si="219"/>
        <v>0</v>
      </c>
      <c r="HC34" s="30">
        <f t="shared" si="220"/>
        <v>0</v>
      </c>
      <c r="HD34" s="30">
        <f t="shared" si="221"/>
        <v>0</v>
      </c>
      <c r="HE34" s="30">
        <f t="shared" si="222"/>
        <v>0</v>
      </c>
      <c r="HF34" s="30">
        <f t="shared" si="223"/>
        <v>0</v>
      </c>
      <c r="HG34" s="30">
        <f t="shared" si="224"/>
        <v>0</v>
      </c>
      <c r="HH34" s="30">
        <f t="shared" si="225"/>
        <v>0</v>
      </c>
      <c r="HI34" s="30">
        <f t="shared" si="226"/>
        <v>0</v>
      </c>
      <c r="HJ34" s="30">
        <f t="shared" si="227"/>
        <v>0</v>
      </c>
      <c r="HK34" s="11">
        <f t="shared" si="228"/>
        <v>0</v>
      </c>
    </row>
    <row r="35" spans="1:219" x14ac:dyDescent="0.2">
      <c r="A35" s="12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</row>
    <row r="36" spans="1:219" x14ac:dyDescent="0.2">
      <c r="A36" s="12"/>
      <c r="B36" s="2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2">
        <f>SUM(T26:T35)</f>
        <v>100</v>
      </c>
      <c r="U36" s="2">
        <f t="shared" ref="U36:AD36" si="230">SUM(U26:U35)</f>
        <v>0</v>
      </c>
      <c r="V36" s="2">
        <f t="shared" si="230"/>
        <v>0</v>
      </c>
      <c r="W36" s="2">
        <f t="shared" si="230"/>
        <v>0</v>
      </c>
      <c r="X36" s="2">
        <f t="shared" si="230"/>
        <v>0</v>
      </c>
      <c r="Y36" s="2">
        <f t="shared" si="230"/>
        <v>0</v>
      </c>
      <c r="Z36" s="2">
        <f t="shared" si="230"/>
        <v>0</v>
      </c>
      <c r="AA36" s="2">
        <f t="shared" si="230"/>
        <v>0</v>
      </c>
      <c r="AB36" s="2">
        <f t="shared" si="230"/>
        <v>0</v>
      </c>
      <c r="AC36" s="2">
        <f t="shared" si="230"/>
        <v>0</v>
      </c>
      <c r="AD36" s="2">
        <f t="shared" si="230"/>
        <v>0</v>
      </c>
      <c r="AE36" s="35"/>
      <c r="AF36" s="35">
        <f t="shared" ref="AF36:AO36" si="231">SUM(AF26:AF35)</f>
        <v>6500</v>
      </c>
      <c r="AG36" s="35">
        <f t="shared" si="231"/>
        <v>6500</v>
      </c>
      <c r="AH36" s="35">
        <f t="shared" si="231"/>
        <v>6500</v>
      </c>
      <c r="AI36" s="35">
        <f t="shared" si="231"/>
        <v>6500</v>
      </c>
      <c r="AJ36" s="35">
        <f t="shared" si="231"/>
        <v>6500</v>
      </c>
      <c r="AK36" s="35">
        <f t="shared" si="231"/>
        <v>6500</v>
      </c>
      <c r="AL36" s="35">
        <f t="shared" si="231"/>
        <v>36500</v>
      </c>
      <c r="AM36" s="35">
        <f t="shared" si="231"/>
        <v>6500</v>
      </c>
      <c r="AN36" s="35">
        <f t="shared" si="231"/>
        <v>6500</v>
      </c>
      <c r="AO36" s="35">
        <f t="shared" si="231"/>
        <v>6500</v>
      </c>
      <c r="AP36" s="35">
        <f>SUM(AP26:AP35)</f>
        <v>95000</v>
      </c>
      <c r="AQ36" s="35">
        <f t="shared" ref="AQ36:AZ36" si="232">SUM(AQ26:AQ35)</f>
        <v>182000</v>
      </c>
      <c r="AR36" s="35">
        <f t="shared" si="232"/>
        <v>182000</v>
      </c>
      <c r="AS36" s="35">
        <f t="shared" si="232"/>
        <v>182000</v>
      </c>
      <c r="AT36" s="35">
        <f t="shared" si="232"/>
        <v>182000</v>
      </c>
      <c r="AU36" s="35">
        <f t="shared" si="232"/>
        <v>182000</v>
      </c>
      <c r="AV36" s="35">
        <f t="shared" si="232"/>
        <v>182000</v>
      </c>
      <c r="AW36" s="35">
        <f t="shared" si="232"/>
        <v>1022000</v>
      </c>
      <c r="AX36" s="35">
        <f t="shared" si="232"/>
        <v>182000</v>
      </c>
      <c r="AY36" s="35">
        <f t="shared" si="232"/>
        <v>182000</v>
      </c>
      <c r="AZ36" s="35">
        <f t="shared" si="232"/>
        <v>182000</v>
      </c>
      <c r="BA36" s="35">
        <f>SUM(BA26:BA35)</f>
        <v>2660000</v>
      </c>
      <c r="BS36" s="10">
        <f t="shared" ref="BS36:CC36" si="233">SUM(BS26:BS35)</f>
        <v>0</v>
      </c>
      <c r="BT36" s="10">
        <f t="shared" si="233"/>
        <v>0</v>
      </c>
      <c r="BU36" s="10">
        <f t="shared" si="233"/>
        <v>0</v>
      </c>
      <c r="BV36" s="10">
        <f t="shared" si="233"/>
        <v>0</v>
      </c>
      <c r="BW36" s="10">
        <f t="shared" si="233"/>
        <v>0</v>
      </c>
      <c r="BX36" s="10">
        <f t="shared" si="233"/>
        <v>0</v>
      </c>
      <c r="BY36" s="10">
        <f t="shared" si="233"/>
        <v>0</v>
      </c>
      <c r="BZ36" s="10">
        <f t="shared" si="233"/>
        <v>0</v>
      </c>
      <c r="CA36" s="10">
        <f t="shared" si="233"/>
        <v>0</v>
      </c>
      <c r="CB36" s="10">
        <f t="shared" si="233"/>
        <v>0</v>
      </c>
      <c r="CC36" s="10">
        <f t="shared" si="233"/>
        <v>0</v>
      </c>
      <c r="FC36" s="10">
        <f t="shared" ref="FC36:FM36" si="234">SUM(FC26:FC35)</f>
        <v>29120</v>
      </c>
      <c r="FD36" s="10">
        <f t="shared" si="234"/>
        <v>29120</v>
      </c>
      <c r="FE36" s="10">
        <f t="shared" si="234"/>
        <v>29120</v>
      </c>
      <c r="FF36" s="10">
        <f t="shared" si="234"/>
        <v>29120</v>
      </c>
      <c r="FG36" s="10">
        <f t="shared" si="234"/>
        <v>29120</v>
      </c>
      <c r="FH36" s="10">
        <f t="shared" si="234"/>
        <v>29120</v>
      </c>
      <c r="FI36" s="10">
        <f t="shared" si="234"/>
        <v>163520</v>
      </c>
      <c r="FJ36" s="10">
        <f t="shared" si="234"/>
        <v>29120</v>
      </c>
      <c r="FK36" s="10">
        <f t="shared" si="234"/>
        <v>29120</v>
      </c>
      <c r="FL36" s="10">
        <f t="shared" si="234"/>
        <v>29120</v>
      </c>
      <c r="FM36" s="10">
        <f t="shared" si="234"/>
        <v>425600</v>
      </c>
      <c r="FO36" s="2"/>
      <c r="FP36" s="2"/>
      <c r="FQ36" s="2"/>
      <c r="FR36" s="2"/>
      <c r="FS36" s="10">
        <f t="shared" ref="FS36:GH36" si="235">SUM(FS26:FS35)</f>
        <v>37500</v>
      </c>
      <c r="FT36" s="10">
        <f t="shared" si="235"/>
        <v>75000</v>
      </c>
      <c r="FU36" s="10">
        <f t="shared" si="235"/>
        <v>75000</v>
      </c>
      <c r="FV36" s="10">
        <f t="shared" si="235"/>
        <v>7500</v>
      </c>
      <c r="FW36" s="10">
        <f t="shared" si="235"/>
        <v>195000</v>
      </c>
      <c r="FX36" s="10">
        <f t="shared" si="235"/>
        <v>0</v>
      </c>
      <c r="FY36" s="10">
        <f t="shared" si="235"/>
        <v>0</v>
      </c>
      <c r="FZ36" s="10">
        <f t="shared" si="235"/>
        <v>0</v>
      </c>
      <c r="GA36" s="10">
        <f t="shared" si="235"/>
        <v>0</v>
      </c>
      <c r="GB36" s="10">
        <f t="shared" si="235"/>
        <v>0</v>
      </c>
      <c r="GC36" s="10">
        <f t="shared" si="235"/>
        <v>0</v>
      </c>
      <c r="GD36" s="10">
        <f t="shared" si="235"/>
        <v>0</v>
      </c>
      <c r="GE36" s="10">
        <f t="shared" si="235"/>
        <v>0</v>
      </c>
      <c r="GF36" s="10">
        <f t="shared" si="235"/>
        <v>0</v>
      </c>
      <c r="GG36" s="10">
        <f t="shared" si="235"/>
        <v>0</v>
      </c>
      <c r="GH36" s="10">
        <f t="shared" si="235"/>
        <v>0</v>
      </c>
      <c r="GM36" s="4">
        <f t="shared" ref="GM36:GY36" si="236">SUM(GM26:GM35)</f>
        <v>2716000</v>
      </c>
      <c r="GN36" s="10">
        <f t="shared" si="236"/>
        <v>826350</v>
      </c>
      <c r="GO36" s="10">
        <f t="shared" si="236"/>
        <v>0</v>
      </c>
      <c r="GP36" s="10">
        <f t="shared" si="236"/>
        <v>0</v>
      </c>
      <c r="GQ36" s="10">
        <f t="shared" si="236"/>
        <v>0</v>
      </c>
      <c r="GR36" s="10">
        <f t="shared" si="236"/>
        <v>0</v>
      </c>
      <c r="GS36" s="10">
        <f t="shared" si="236"/>
        <v>0</v>
      </c>
      <c r="GT36" s="10">
        <f t="shared" si="236"/>
        <v>0</v>
      </c>
      <c r="GU36" s="10">
        <f t="shared" si="236"/>
        <v>0</v>
      </c>
      <c r="GV36" s="10">
        <f t="shared" si="236"/>
        <v>0</v>
      </c>
      <c r="GW36" s="10">
        <f t="shared" si="236"/>
        <v>0</v>
      </c>
      <c r="GX36" s="10">
        <f t="shared" si="236"/>
        <v>0</v>
      </c>
      <c r="GY36" s="10">
        <f t="shared" si="236"/>
        <v>0</v>
      </c>
      <c r="HA36" s="10">
        <f t="shared" ref="HA36:HK36" si="237">SUM(HA26:HA35)</f>
        <v>0</v>
      </c>
      <c r="HB36" s="10">
        <f t="shared" si="237"/>
        <v>0</v>
      </c>
      <c r="HC36" s="10">
        <f t="shared" si="237"/>
        <v>0</v>
      </c>
      <c r="HD36" s="10">
        <f t="shared" si="237"/>
        <v>0</v>
      </c>
      <c r="HE36" s="10">
        <f t="shared" si="237"/>
        <v>0</v>
      </c>
      <c r="HF36" s="10">
        <f t="shared" si="237"/>
        <v>0</v>
      </c>
      <c r="HG36" s="10">
        <f t="shared" si="237"/>
        <v>0</v>
      </c>
      <c r="HH36" s="10">
        <f t="shared" si="237"/>
        <v>0</v>
      </c>
      <c r="HI36" s="10">
        <f t="shared" si="237"/>
        <v>0</v>
      </c>
      <c r="HJ36" s="10">
        <f t="shared" si="237"/>
        <v>0</v>
      </c>
      <c r="HK36" s="10">
        <f t="shared" si="237"/>
        <v>0</v>
      </c>
    </row>
    <row r="37" spans="1:219" x14ac:dyDescent="0.2">
      <c r="A37" s="12"/>
      <c r="B37" s="2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O37" s="2"/>
      <c r="FP37" s="2"/>
      <c r="FQ37" s="2"/>
      <c r="FR37" s="2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M37" s="4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</row>
    <row r="38" spans="1:219" ht="16.2" x14ac:dyDescent="0.3">
      <c r="A38" s="12"/>
      <c r="B38" s="24" t="s">
        <v>80</v>
      </c>
      <c r="BC38" s="24" t="s">
        <v>7</v>
      </c>
      <c r="HA38" s="24" t="s">
        <v>13</v>
      </c>
    </row>
    <row r="39" spans="1:219" x14ac:dyDescent="0.2">
      <c r="A39" s="12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</row>
    <row r="40" spans="1:219" s="15" customFormat="1" x14ac:dyDescent="0.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 s="14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</row>
    <row r="41" spans="1:219" ht="40.799999999999997" x14ac:dyDescent="0.2">
      <c r="A41" s="12"/>
      <c r="B41" s="9" t="s">
        <v>14</v>
      </c>
      <c r="C41" s="9" t="s">
        <v>15</v>
      </c>
      <c r="D41" s="9" t="s">
        <v>16</v>
      </c>
      <c r="E41" s="9"/>
      <c r="F41" s="9"/>
      <c r="G41" s="9"/>
      <c r="H41" s="9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9"/>
      <c r="T41" s="9" t="s">
        <v>22</v>
      </c>
      <c r="U41" s="25">
        <f>$I$9</f>
        <v>2021</v>
      </c>
      <c r="V41" s="25">
        <f>U41+1</f>
        <v>2022</v>
      </c>
      <c r="W41" s="25">
        <f t="shared" ref="W41:AD41" si="238">V41+1</f>
        <v>2023</v>
      </c>
      <c r="X41" s="25">
        <f t="shared" si="238"/>
        <v>2024</v>
      </c>
      <c r="Y41" s="25">
        <f t="shared" si="238"/>
        <v>2025</v>
      </c>
      <c r="Z41" s="25">
        <f t="shared" si="238"/>
        <v>2026</v>
      </c>
      <c r="AA41" s="25">
        <f t="shared" si="238"/>
        <v>2027</v>
      </c>
      <c r="AB41" s="25">
        <f t="shared" si="238"/>
        <v>2028</v>
      </c>
      <c r="AC41" s="25">
        <f t="shared" si="238"/>
        <v>2029</v>
      </c>
      <c r="AD41" s="25">
        <f t="shared" si="238"/>
        <v>2030</v>
      </c>
      <c r="AE41" s="9"/>
      <c r="AF41" s="25">
        <f>$I$9</f>
        <v>2021</v>
      </c>
      <c r="AG41" s="25">
        <f>AF41+1</f>
        <v>2022</v>
      </c>
      <c r="AH41" s="25">
        <f t="shared" ref="AH41:AO41" si="239">AG41+1</f>
        <v>2023</v>
      </c>
      <c r="AI41" s="25">
        <f t="shared" si="239"/>
        <v>2024</v>
      </c>
      <c r="AJ41" s="25">
        <f t="shared" si="239"/>
        <v>2025</v>
      </c>
      <c r="AK41" s="25">
        <f t="shared" si="239"/>
        <v>2026</v>
      </c>
      <c r="AL41" s="25">
        <f t="shared" si="239"/>
        <v>2027</v>
      </c>
      <c r="AM41" s="25">
        <f t="shared" si="239"/>
        <v>2028</v>
      </c>
      <c r="AN41" s="25">
        <f t="shared" si="239"/>
        <v>2029</v>
      </c>
      <c r="AO41" s="25">
        <f t="shared" si="239"/>
        <v>2030</v>
      </c>
      <c r="AP41" s="9" t="s">
        <v>24</v>
      </c>
      <c r="AQ41" s="25">
        <f>$I$9</f>
        <v>2021</v>
      </c>
      <c r="AR41" s="25">
        <f>AQ41+1</f>
        <v>2022</v>
      </c>
      <c r="AS41" s="25">
        <f t="shared" ref="AS41:AZ41" si="240">AR41+1</f>
        <v>2023</v>
      </c>
      <c r="AT41" s="25">
        <f t="shared" si="240"/>
        <v>2024</v>
      </c>
      <c r="AU41" s="25">
        <f t="shared" si="240"/>
        <v>2025</v>
      </c>
      <c r="AV41" s="25">
        <f t="shared" si="240"/>
        <v>2026</v>
      </c>
      <c r="AW41" s="25">
        <f t="shared" si="240"/>
        <v>2027</v>
      </c>
      <c r="AX41" s="25">
        <f t="shared" si="240"/>
        <v>2028</v>
      </c>
      <c r="AY41" s="25">
        <f t="shared" si="240"/>
        <v>2029</v>
      </c>
      <c r="AZ41" s="25">
        <f t="shared" si="240"/>
        <v>2030</v>
      </c>
      <c r="BA41" s="9" t="s">
        <v>25</v>
      </c>
      <c r="BC41" s="9" t="s">
        <v>81</v>
      </c>
      <c r="BS41" s="25">
        <f>$I$9</f>
        <v>2021</v>
      </c>
      <c r="BT41" s="25">
        <f>BS41+1</f>
        <v>2022</v>
      </c>
      <c r="BU41" s="25">
        <f t="shared" ref="BU41:CB41" si="241">BT41+1</f>
        <v>2023</v>
      </c>
      <c r="BV41" s="25">
        <f t="shared" si="241"/>
        <v>2024</v>
      </c>
      <c r="BW41" s="25">
        <f t="shared" si="241"/>
        <v>2025</v>
      </c>
      <c r="BX41" s="25">
        <f t="shared" si="241"/>
        <v>2026</v>
      </c>
      <c r="BY41" s="25">
        <f t="shared" si="241"/>
        <v>2027</v>
      </c>
      <c r="BZ41" s="25">
        <f t="shared" si="241"/>
        <v>2028</v>
      </c>
      <c r="CA41" s="25">
        <f t="shared" si="241"/>
        <v>2029</v>
      </c>
      <c r="CB41" s="25">
        <f t="shared" si="241"/>
        <v>2030</v>
      </c>
      <c r="CC41" s="9" t="s">
        <v>82</v>
      </c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HA41" s="25">
        <f>$I$9</f>
        <v>2021</v>
      </c>
      <c r="HB41" s="25">
        <f>HA41+1</f>
        <v>2022</v>
      </c>
      <c r="HC41" s="25">
        <f t="shared" ref="HC41:HJ41" si="242">HB41+1</f>
        <v>2023</v>
      </c>
      <c r="HD41" s="25">
        <f t="shared" si="242"/>
        <v>2024</v>
      </c>
      <c r="HE41" s="25">
        <f t="shared" si="242"/>
        <v>2025</v>
      </c>
      <c r="HF41" s="25">
        <f t="shared" si="242"/>
        <v>2026</v>
      </c>
      <c r="HG41" s="25">
        <f t="shared" si="242"/>
        <v>2027</v>
      </c>
      <c r="HH41" s="25">
        <f t="shared" si="242"/>
        <v>2028</v>
      </c>
      <c r="HI41" s="25">
        <f t="shared" si="242"/>
        <v>2029</v>
      </c>
      <c r="HJ41" s="25">
        <f t="shared" si="242"/>
        <v>2030</v>
      </c>
      <c r="HK41" s="9" t="s">
        <v>64</v>
      </c>
    </row>
    <row r="42" spans="1:219" x14ac:dyDescent="0.2">
      <c r="A42" s="12"/>
      <c r="B42" s="6" t="s">
        <v>65</v>
      </c>
      <c r="C42" s="6" t="s">
        <v>66</v>
      </c>
      <c r="D42" s="6" t="s">
        <v>67</v>
      </c>
      <c r="G42" s="42"/>
      <c r="H42" s="42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4"/>
      <c r="T42" s="6">
        <v>25</v>
      </c>
      <c r="U42" s="38">
        <f t="shared" ref="U42:U50" si="243">I42*$T42</f>
        <v>0</v>
      </c>
      <c r="V42" s="38">
        <f t="shared" ref="V42:V50" si="244">J42*$T42</f>
        <v>0</v>
      </c>
      <c r="W42" s="38">
        <f t="shared" ref="W42:W50" si="245">K42*$T42</f>
        <v>0</v>
      </c>
      <c r="X42" s="38">
        <f t="shared" ref="X42:X50" si="246">L42*$T42</f>
        <v>0</v>
      </c>
      <c r="Y42" s="38">
        <f t="shared" ref="Y42:Y50" si="247">M42*$T42</f>
        <v>0</v>
      </c>
      <c r="Z42" s="38">
        <f t="shared" ref="Z42:Z50" si="248">N42*$T42</f>
        <v>0</v>
      </c>
      <c r="AA42" s="38">
        <f t="shared" ref="AA42:AA50" si="249">O42*$T42</f>
        <v>0</v>
      </c>
      <c r="AB42" s="38">
        <f t="shared" ref="AB42:AB50" si="250">P42*$T42</f>
        <v>0</v>
      </c>
      <c r="AC42" s="38">
        <f t="shared" ref="AC42:AC50" si="251">Q42*$T42</f>
        <v>0</v>
      </c>
      <c r="AD42" s="38">
        <f t="shared" ref="AD42:AD50" si="252">R42*$T42</f>
        <v>0</v>
      </c>
      <c r="AE42" s="45"/>
      <c r="AF42" s="40">
        <v>3250</v>
      </c>
      <c r="AG42" s="40">
        <v>3250</v>
      </c>
      <c r="AH42" s="40">
        <v>3250</v>
      </c>
      <c r="AI42" s="40">
        <v>3250</v>
      </c>
      <c r="AJ42" s="40">
        <v>3250</v>
      </c>
      <c r="AK42" s="40"/>
      <c r="AL42" s="40"/>
      <c r="AM42" s="40"/>
      <c r="AN42" s="40"/>
      <c r="AO42" s="40"/>
      <c r="AP42" s="38">
        <f t="shared" ref="AP42:AP50" si="253">SUM(AF42:AO42)</f>
        <v>16250</v>
      </c>
      <c r="AQ42" s="40">
        <f t="shared" ref="AQ42:AU43" si="254">AF42*28</f>
        <v>91000</v>
      </c>
      <c r="AR42" s="40">
        <f t="shared" si="254"/>
        <v>91000</v>
      </c>
      <c r="AS42" s="40">
        <f t="shared" si="254"/>
        <v>91000</v>
      </c>
      <c r="AT42" s="40">
        <f t="shared" si="254"/>
        <v>91000</v>
      </c>
      <c r="AU42" s="40">
        <f t="shared" si="254"/>
        <v>91000</v>
      </c>
      <c r="AV42" s="40"/>
      <c r="AW42" s="40"/>
      <c r="AX42" s="40"/>
      <c r="AY42" s="40"/>
      <c r="AZ42" s="40"/>
      <c r="BA42" s="38">
        <f t="shared" ref="BA42:BA50" si="255">SUM(AQ42:AZ42)</f>
        <v>455000</v>
      </c>
      <c r="BC42" s="8">
        <v>100</v>
      </c>
      <c r="BS42" s="30">
        <f>$BC42*AF42</f>
        <v>325000</v>
      </c>
      <c r="BT42" s="30">
        <f t="shared" ref="BT42:CB50" si="256">$BC42*AG42</f>
        <v>325000</v>
      </c>
      <c r="BU42" s="30">
        <f t="shared" si="256"/>
        <v>325000</v>
      </c>
      <c r="BV42" s="30">
        <f t="shared" si="256"/>
        <v>325000</v>
      </c>
      <c r="BW42" s="30">
        <f t="shared" si="256"/>
        <v>325000</v>
      </c>
      <c r="BX42" s="30">
        <f t="shared" si="256"/>
        <v>0</v>
      </c>
      <c r="BY42" s="30">
        <f t="shared" si="256"/>
        <v>0</v>
      </c>
      <c r="BZ42" s="30">
        <f t="shared" si="256"/>
        <v>0</v>
      </c>
      <c r="CA42" s="30">
        <f t="shared" si="256"/>
        <v>0</v>
      </c>
      <c r="CB42" s="30">
        <f t="shared" si="256"/>
        <v>0</v>
      </c>
      <c r="CC42" s="11">
        <f t="shared" ref="CC42:CC50" si="257">SUM(BS42:CB42)</f>
        <v>1625000</v>
      </c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HA42" s="30">
        <f t="shared" ref="HA42:HA50" si="258">BS42+DG42+EE42+FX42+GO42</f>
        <v>325000</v>
      </c>
      <c r="HB42" s="30">
        <f t="shared" ref="HB42:HB50" si="259">BT42+DH42+EF42+FY42+GP42</f>
        <v>325000</v>
      </c>
      <c r="HC42" s="30">
        <f t="shared" ref="HC42:HC50" si="260">BU42+DI42+EG42+FZ42+GQ42</f>
        <v>325000</v>
      </c>
      <c r="HD42" s="30">
        <f t="shared" ref="HD42:HD50" si="261">BV42+DJ42+EH42+GA42+GR42</f>
        <v>325000</v>
      </c>
      <c r="HE42" s="30">
        <f t="shared" ref="HE42:HE50" si="262">BW42+DK42+EI42+GB42+GS42</f>
        <v>325000</v>
      </c>
      <c r="HF42" s="30">
        <f t="shared" ref="HF42:HF50" si="263">BX42+DL42+EJ42+GC42+GT42</f>
        <v>0</v>
      </c>
      <c r="HG42" s="30">
        <f t="shared" ref="HG42:HG50" si="264">BY42+DM42+EK42+GD42+GU42</f>
        <v>0</v>
      </c>
      <c r="HH42" s="30">
        <f t="shared" ref="HH42:HH50" si="265">BZ42+DN42+EL42+GE42+GV42</f>
        <v>0</v>
      </c>
      <c r="HI42" s="30">
        <f t="shared" ref="HI42:HI50" si="266">CA42+DO42+EM42+GF42+GW42</f>
        <v>0</v>
      </c>
      <c r="HJ42" s="30">
        <f t="shared" ref="HJ42:HJ50" si="267">CB42+DP42+EN42+GG42+GX42</f>
        <v>0</v>
      </c>
      <c r="HK42" s="11">
        <f t="shared" ref="HK42:HK50" si="268">SUM(HA42:HJ42)</f>
        <v>1625000</v>
      </c>
    </row>
    <row r="43" spans="1:219" x14ac:dyDescent="0.2">
      <c r="A43" s="12"/>
      <c r="B43" s="6" t="s">
        <v>65</v>
      </c>
      <c r="C43" s="6" t="s">
        <v>66</v>
      </c>
      <c r="D43" s="6" t="s">
        <v>67</v>
      </c>
      <c r="G43" s="42"/>
      <c r="H43" s="42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4"/>
      <c r="T43" s="6">
        <v>25</v>
      </c>
      <c r="U43" s="38">
        <f t="shared" si="243"/>
        <v>0</v>
      </c>
      <c r="V43" s="38">
        <f t="shared" si="244"/>
        <v>0</v>
      </c>
      <c r="W43" s="38">
        <f t="shared" si="245"/>
        <v>0</v>
      </c>
      <c r="X43" s="38">
        <f t="shared" si="246"/>
        <v>0</v>
      </c>
      <c r="Y43" s="38">
        <f t="shared" si="247"/>
        <v>0</v>
      </c>
      <c r="Z43" s="38">
        <f t="shared" si="248"/>
        <v>0</v>
      </c>
      <c r="AA43" s="38">
        <f t="shared" si="249"/>
        <v>0</v>
      </c>
      <c r="AB43" s="38">
        <f t="shared" si="250"/>
        <v>0</v>
      </c>
      <c r="AC43" s="38">
        <f t="shared" si="251"/>
        <v>0</v>
      </c>
      <c r="AD43" s="38">
        <f t="shared" si="252"/>
        <v>0</v>
      </c>
      <c r="AE43" s="45"/>
      <c r="AF43" s="40">
        <v>3250</v>
      </c>
      <c r="AG43" s="40">
        <v>3250</v>
      </c>
      <c r="AH43" s="40">
        <v>3250</v>
      </c>
      <c r="AI43" s="40">
        <v>3250</v>
      </c>
      <c r="AJ43" s="40">
        <v>3250</v>
      </c>
      <c r="AK43" s="40">
        <v>3250</v>
      </c>
      <c r="AL43" s="40">
        <v>33250</v>
      </c>
      <c r="AM43" s="40">
        <v>3250</v>
      </c>
      <c r="AN43" s="40">
        <v>3250</v>
      </c>
      <c r="AO43" s="40">
        <v>3250</v>
      </c>
      <c r="AP43" s="38">
        <f t="shared" si="253"/>
        <v>62500</v>
      </c>
      <c r="AQ43" s="40">
        <f t="shared" si="254"/>
        <v>91000</v>
      </c>
      <c r="AR43" s="40">
        <f t="shared" si="254"/>
        <v>91000</v>
      </c>
      <c r="AS43" s="40">
        <f t="shared" si="254"/>
        <v>91000</v>
      </c>
      <c r="AT43" s="40">
        <f t="shared" si="254"/>
        <v>91000</v>
      </c>
      <c r="AU43" s="40">
        <f t="shared" si="254"/>
        <v>91000</v>
      </c>
      <c r="AV43" s="40">
        <f t="shared" ref="AV43:AZ44" si="269">AK43*28</f>
        <v>91000</v>
      </c>
      <c r="AW43" s="40">
        <f t="shared" si="269"/>
        <v>931000</v>
      </c>
      <c r="AX43" s="40">
        <f t="shared" si="269"/>
        <v>91000</v>
      </c>
      <c r="AY43" s="40">
        <f t="shared" si="269"/>
        <v>91000</v>
      </c>
      <c r="AZ43" s="40">
        <f t="shared" si="269"/>
        <v>91000</v>
      </c>
      <c r="BA43" s="38">
        <f t="shared" si="255"/>
        <v>1750000</v>
      </c>
      <c r="BC43" s="8">
        <v>100</v>
      </c>
      <c r="BS43" s="30">
        <f t="shared" ref="BS43:BS50" si="270">$BC43*AF43</f>
        <v>325000</v>
      </c>
      <c r="BT43" s="30">
        <f t="shared" si="256"/>
        <v>325000</v>
      </c>
      <c r="BU43" s="30">
        <f t="shared" si="256"/>
        <v>325000</v>
      </c>
      <c r="BV43" s="30">
        <f t="shared" si="256"/>
        <v>325000</v>
      </c>
      <c r="BW43" s="30">
        <f t="shared" si="256"/>
        <v>325000</v>
      </c>
      <c r="BX43" s="30">
        <f t="shared" si="256"/>
        <v>325000</v>
      </c>
      <c r="BY43" s="30">
        <f t="shared" si="256"/>
        <v>3325000</v>
      </c>
      <c r="BZ43" s="30">
        <f t="shared" si="256"/>
        <v>325000</v>
      </c>
      <c r="CA43" s="30">
        <f t="shared" si="256"/>
        <v>325000</v>
      </c>
      <c r="CB43" s="30">
        <f t="shared" si="256"/>
        <v>325000</v>
      </c>
      <c r="CC43" s="11">
        <f t="shared" si="257"/>
        <v>6250000</v>
      </c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HA43" s="30">
        <f t="shared" si="258"/>
        <v>325000</v>
      </c>
      <c r="HB43" s="30">
        <f t="shared" si="259"/>
        <v>325000</v>
      </c>
      <c r="HC43" s="30">
        <f t="shared" si="260"/>
        <v>325000</v>
      </c>
      <c r="HD43" s="30">
        <f t="shared" si="261"/>
        <v>325000</v>
      </c>
      <c r="HE43" s="30">
        <f t="shared" si="262"/>
        <v>325000</v>
      </c>
      <c r="HF43" s="30">
        <f t="shared" si="263"/>
        <v>325000</v>
      </c>
      <c r="HG43" s="30">
        <f t="shared" si="264"/>
        <v>3325000</v>
      </c>
      <c r="HH43" s="30">
        <f t="shared" si="265"/>
        <v>325000</v>
      </c>
      <c r="HI43" s="30">
        <f t="shared" si="266"/>
        <v>325000</v>
      </c>
      <c r="HJ43" s="30">
        <f t="shared" si="267"/>
        <v>325000</v>
      </c>
      <c r="HK43" s="11">
        <f t="shared" si="268"/>
        <v>6250000</v>
      </c>
    </row>
    <row r="44" spans="1:219" x14ac:dyDescent="0.2">
      <c r="A44" s="12"/>
      <c r="B44" s="6" t="s">
        <v>69</v>
      </c>
      <c r="C44" s="6" t="s">
        <v>70</v>
      </c>
      <c r="D44" s="6" t="s">
        <v>71</v>
      </c>
      <c r="G44" s="42"/>
      <c r="H44" s="42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4"/>
      <c r="T44" s="6">
        <v>25</v>
      </c>
      <c r="U44" s="38">
        <f t="shared" si="243"/>
        <v>0</v>
      </c>
      <c r="V44" s="38">
        <f t="shared" si="244"/>
        <v>0</v>
      </c>
      <c r="W44" s="38">
        <f t="shared" si="245"/>
        <v>0</v>
      </c>
      <c r="X44" s="38">
        <f t="shared" si="246"/>
        <v>0</v>
      </c>
      <c r="Y44" s="38">
        <f t="shared" si="247"/>
        <v>0</v>
      </c>
      <c r="Z44" s="38">
        <f t="shared" si="248"/>
        <v>0</v>
      </c>
      <c r="AA44" s="38">
        <f t="shared" si="249"/>
        <v>0</v>
      </c>
      <c r="AB44" s="38">
        <f t="shared" si="250"/>
        <v>0</v>
      </c>
      <c r="AC44" s="38">
        <f t="shared" si="251"/>
        <v>0</v>
      </c>
      <c r="AD44" s="38">
        <f t="shared" si="252"/>
        <v>0</v>
      </c>
      <c r="AE44" s="45"/>
      <c r="AF44" s="40"/>
      <c r="AG44" s="40"/>
      <c r="AH44" s="40"/>
      <c r="AI44" s="40"/>
      <c r="AJ44" s="40"/>
      <c r="AK44" s="40">
        <v>3250</v>
      </c>
      <c r="AL44" s="40">
        <v>3250</v>
      </c>
      <c r="AM44" s="40">
        <v>3250</v>
      </c>
      <c r="AN44" s="40">
        <v>3250</v>
      </c>
      <c r="AO44" s="40">
        <v>3250</v>
      </c>
      <c r="AP44" s="38">
        <f t="shared" si="253"/>
        <v>16250</v>
      </c>
      <c r="AQ44" s="40"/>
      <c r="AR44" s="40"/>
      <c r="AS44" s="40"/>
      <c r="AT44" s="40"/>
      <c r="AU44" s="40"/>
      <c r="AV44" s="40">
        <f t="shared" si="269"/>
        <v>91000</v>
      </c>
      <c r="AW44" s="40">
        <f t="shared" si="269"/>
        <v>91000</v>
      </c>
      <c r="AX44" s="40">
        <f t="shared" si="269"/>
        <v>91000</v>
      </c>
      <c r="AY44" s="40">
        <f t="shared" si="269"/>
        <v>91000</v>
      </c>
      <c r="AZ44" s="40">
        <f t="shared" si="269"/>
        <v>91000</v>
      </c>
      <c r="BA44" s="38">
        <f t="shared" si="255"/>
        <v>455000</v>
      </c>
      <c r="BC44" s="8">
        <v>100</v>
      </c>
      <c r="BS44" s="30">
        <f t="shared" si="270"/>
        <v>0</v>
      </c>
      <c r="BT44" s="30">
        <f t="shared" si="256"/>
        <v>0</v>
      </c>
      <c r="BU44" s="30">
        <f t="shared" si="256"/>
        <v>0</v>
      </c>
      <c r="BV44" s="30">
        <f t="shared" si="256"/>
        <v>0</v>
      </c>
      <c r="BW44" s="30">
        <f t="shared" si="256"/>
        <v>0</v>
      </c>
      <c r="BX44" s="30">
        <f t="shared" si="256"/>
        <v>325000</v>
      </c>
      <c r="BY44" s="30">
        <f t="shared" si="256"/>
        <v>325000</v>
      </c>
      <c r="BZ44" s="30">
        <f t="shared" si="256"/>
        <v>325000</v>
      </c>
      <c r="CA44" s="30">
        <f t="shared" si="256"/>
        <v>325000</v>
      </c>
      <c r="CB44" s="30">
        <f t="shared" si="256"/>
        <v>325000</v>
      </c>
      <c r="CC44" s="11">
        <f t="shared" si="257"/>
        <v>1625000</v>
      </c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HA44" s="30">
        <f t="shared" si="258"/>
        <v>0</v>
      </c>
      <c r="HB44" s="30">
        <f t="shared" si="259"/>
        <v>0</v>
      </c>
      <c r="HC44" s="30">
        <f t="shared" si="260"/>
        <v>0</v>
      </c>
      <c r="HD44" s="30">
        <f t="shared" si="261"/>
        <v>0</v>
      </c>
      <c r="HE44" s="30">
        <f t="shared" si="262"/>
        <v>0</v>
      </c>
      <c r="HF44" s="30">
        <f t="shared" si="263"/>
        <v>325000</v>
      </c>
      <c r="HG44" s="30">
        <f t="shared" si="264"/>
        <v>325000</v>
      </c>
      <c r="HH44" s="30">
        <f t="shared" si="265"/>
        <v>325000</v>
      </c>
      <c r="HI44" s="30">
        <f t="shared" si="266"/>
        <v>325000</v>
      </c>
      <c r="HJ44" s="30">
        <f t="shared" si="267"/>
        <v>325000</v>
      </c>
      <c r="HK44" s="11">
        <f t="shared" si="268"/>
        <v>1625000</v>
      </c>
    </row>
    <row r="45" spans="1:219" x14ac:dyDescent="0.2">
      <c r="A45" s="12"/>
      <c r="B45" s="6" t="s">
        <v>69</v>
      </c>
      <c r="C45" s="6" t="s">
        <v>70</v>
      </c>
      <c r="D45" s="6" t="s">
        <v>71</v>
      </c>
      <c r="G45" s="42"/>
      <c r="H45" s="42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4"/>
      <c r="T45" s="6">
        <v>25</v>
      </c>
      <c r="U45" s="38">
        <f t="shared" si="243"/>
        <v>0</v>
      </c>
      <c r="V45" s="38">
        <f t="shared" si="244"/>
        <v>0</v>
      </c>
      <c r="W45" s="38">
        <f t="shared" si="245"/>
        <v>0</v>
      </c>
      <c r="X45" s="38">
        <f t="shared" si="246"/>
        <v>0</v>
      </c>
      <c r="Y45" s="38">
        <f t="shared" si="247"/>
        <v>0</v>
      </c>
      <c r="Z45" s="38">
        <f t="shared" si="248"/>
        <v>0</v>
      </c>
      <c r="AA45" s="38">
        <f t="shared" si="249"/>
        <v>0</v>
      </c>
      <c r="AB45" s="38">
        <f t="shared" si="250"/>
        <v>0</v>
      </c>
      <c r="AC45" s="38">
        <f t="shared" si="251"/>
        <v>0</v>
      </c>
      <c r="AD45" s="38">
        <f t="shared" si="252"/>
        <v>0</v>
      </c>
      <c r="AE45" s="45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38">
        <f t="shared" si="253"/>
        <v>0</v>
      </c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38">
        <f t="shared" si="255"/>
        <v>0</v>
      </c>
      <c r="BC45" s="8">
        <v>100</v>
      </c>
      <c r="BS45" s="30">
        <f t="shared" si="270"/>
        <v>0</v>
      </c>
      <c r="BT45" s="30">
        <f t="shared" si="256"/>
        <v>0</v>
      </c>
      <c r="BU45" s="30">
        <f t="shared" si="256"/>
        <v>0</v>
      </c>
      <c r="BV45" s="30">
        <f t="shared" si="256"/>
        <v>0</v>
      </c>
      <c r="BW45" s="30">
        <f t="shared" si="256"/>
        <v>0</v>
      </c>
      <c r="BX45" s="30">
        <f t="shared" si="256"/>
        <v>0</v>
      </c>
      <c r="BY45" s="30">
        <f t="shared" si="256"/>
        <v>0</v>
      </c>
      <c r="BZ45" s="30">
        <f t="shared" si="256"/>
        <v>0</v>
      </c>
      <c r="CA45" s="30">
        <f t="shared" si="256"/>
        <v>0</v>
      </c>
      <c r="CB45" s="30">
        <f t="shared" si="256"/>
        <v>0</v>
      </c>
      <c r="CC45" s="11">
        <f t="shared" si="257"/>
        <v>0</v>
      </c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HA45" s="30">
        <f t="shared" si="258"/>
        <v>0</v>
      </c>
      <c r="HB45" s="30">
        <f t="shared" si="259"/>
        <v>0</v>
      </c>
      <c r="HC45" s="30">
        <f t="shared" si="260"/>
        <v>0</v>
      </c>
      <c r="HD45" s="30">
        <f t="shared" si="261"/>
        <v>0</v>
      </c>
      <c r="HE45" s="30">
        <f t="shared" si="262"/>
        <v>0</v>
      </c>
      <c r="HF45" s="30">
        <f t="shared" si="263"/>
        <v>0</v>
      </c>
      <c r="HG45" s="30">
        <f t="shared" si="264"/>
        <v>0</v>
      </c>
      <c r="HH45" s="30">
        <f t="shared" si="265"/>
        <v>0</v>
      </c>
      <c r="HI45" s="30">
        <f t="shared" si="266"/>
        <v>0</v>
      </c>
      <c r="HJ45" s="30">
        <f t="shared" si="267"/>
        <v>0</v>
      </c>
      <c r="HK45" s="11">
        <f t="shared" si="268"/>
        <v>0</v>
      </c>
    </row>
    <row r="46" spans="1:219" x14ac:dyDescent="0.2">
      <c r="A46" s="12"/>
      <c r="B46" s="6"/>
      <c r="C46" s="6"/>
      <c r="D46" s="6"/>
      <c r="G46" s="42"/>
      <c r="H46" s="42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4"/>
      <c r="T46" s="6"/>
      <c r="U46" s="38">
        <f t="shared" si="243"/>
        <v>0</v>
      </c>
      <c r="V46" s="38">
        <f t="shared" si="244"/>
        <v>0</v>
      </c>
      <c r="W46" s="38">
        <f t="shared" si="245"/>
        <v>0</v>
      </c>
      <c r="X46" s="38">
        <f t="shared" si="246"/>
        <v>0</v>
      </c>
      <c r="Y46" s="38">
        <f t="shared" si="247"/>
        <v>0</v>
      </c>
      <c r="Z46" s="38">
        <f t="shared" si="248"/>
        <v>0</v>
      </c>
      <c r="AA46" s="38">
        <f t="shared" si="249"/>
        <v>0</v>
      </c>
      <c r="AB46" s="38">
        <f t="shared" si="250"/>
        <v>0</v>
      </c>
      <c r="AC46" s="38">
        <f t="shared" si="251"/>
        <v>0</v>
      </c>
      <c r="AD46" s="38">
        <f t="shared" si="252"/>
        <v>0</v>
      </c>
      <c r="AE46" s="45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38">
        <f t="shared" si="253"/>
        <v>0</v>
      </c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38">
        <f t="shared" si="255"/>
        <v>0</v>
      </c>
      <c r="BC46" s="8"/>
      <c r="BS46" s="30">
        <f t="shared" si="270"/>
        <v>0</v>
      </c>
      <c r="BT46" s="30">
        <f t="shared" si="256"/>
        <v>0</v>
      </c>
      <c r="BU46" s="30">
        <f t="shared" si="256"/>
        <v>0</v>
      </c>
      <c r="BV46" s="30">
        <f t="shared" si="256"/>
        <v>0</v>
      </c>
      <c r="BW46" s="30">
        <f t="shared" si="256"/>
        <v>0</v>
      </c>
      <c r="BX46" s="30">
        <f t="shared" si="256"/>
        <v>0</v>
      </c>
      <c r="BY46" s="30">
        <f t="shared" si="256"/>
        <v>0</v>
      </c>
      <c r="BZ46" s="30">
        <f t="shared" si="256"/>
        <v>0</v>
      </c>
      <c r="CA46" s="30">
        <f t="shared" si="256"/>
        <v>0</v>
      </c>
      <c r="CB46" s="30">
        <f t="shared" si="256"/>
        <v>0</v>
      </c>
      <c r="CC46" s="11">
        <f t="shared" si="257"/>
        <v>0</v>
      </c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HA46" s="30">
        <f t="shared" si="258"/>
        <v>0</v>
      </c>
      <c r="HB46" s="30">
        <f t="shared" si="259"/>
        <v>0</v>
      </c>
      <c r="HC46" s="30">
        <f t="shared" si="260"/>
        <v>0</v>
      </c>
      <c r="HD46" s="30">
        <f t="shared" si="261"/>
        <v>0</v>
      </c>
      <c r="HE46" s="30">
        <f t="shared" si="262"/>
        <v>0</v>
      </c>
      <c r="HF46" s="30">
        <f t="shared" si="263"/>
        <v>0</v>
      </c>
      <c r="HG46" s="30">
        <f t="shared" si="264"/>
        <v>0</v>
      </c>
      <c r="HH46" s="30">
        <f t="shared" si="265"/>
        <v>0</v>
      </c>
      <c r="HI46" s="30">
        <f t="shared" si="266"/>
        <v>0</v>
      </c>
      <c r="HJ46" s="30">
        <f t="shared" si="267"/>
        <v>0</v>
      </c>
      <c r="HK46" s="11">
        <f t="shared" si="268"/>
        <v>0</v>
      </c>
    </row>
    <row r="47" spans="1:219" x14ac:dyDescent="0.2">
      <c r="A47" s="12"/>
      <c r="B47" s="6"/>
      <c r="C47" s="6"/>
      <c r="D47" s="6"/>
      <c r="G47" s="42"/>
      <c r="H47" s="42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4"/>
      <c r="T47" s="6"/>
      <c r="U47" s="38">
        <f t="shared" si="243"/>
        <v>0</v>
      </c>
      <c r="V47" s="38">
        <f t="shared" si="244"/>
        <v>0</v>
      </c>
      <c r="W47" s="38">
        <f t="shared" si="245"/>
        <v>0</v>
      </c>
      <c r="X47" s="38">
        <f t="shared" si="246"/>
        <v>0</v>
      </c>
      <c r="Y47" s="38">
        <f t="shared" si="247"/>
        <v>0</v>
      </c>
      <c r="Z47" s="38">
        <f t="shared" si="248"/>
        <v>0</v>
      </c>
      <c r="AA47" s="38">
        <f t="shared" si="249"/>
        <v>0</v>
      </c>
      <c r="AB47" s="38">
        <f t="shared" si="250"/>
        <v>0</v>
      </c>
      <c r="AC47" s="38">
        <f t="shared" si="251"/>
        <v>0</v>
      </c>
      <c r="AD47" s="38">
        <f t="shared" si="252"/>
        <v>0</v>
      </c>
      <c r="AE47" s="45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38">
        <f t="shared" si="253"/>
        <v>0</v>
      </c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38">
        <f t="shared" si="255"/>
        <v>0</v>
      </c>
      <c r="BC47" s="8"/>
      <c r="BS47" s="30">
        <f t="shared" si="270"/>
        <v>0</v>
      </c>
      <c r="BT47" s="30">
        <f t="shared" si="256"/>
        <v>0</v>
      </c>
      <c r="BU47" s="30">
        <f t="shared" si="256"/>
        <v>0</v>
      </c>
      <c r="BV47" s="30">
        <f t="shared" si="256"/>
        <v>0</v>
      </c>
      <c r="BW47" s="30">
        <f t="shared" si="256"/>
        <v>0</v>
      </c>
      <c r="BX47" s="30">
        <f t="shared" si="256"/>
        <v>0</v>
      </c>
      <c r="BY47" s="30">
        <f t="shared" si="256"/>
        <v>0</v>
      </c>
      <c r="BZ47" s="30">
        <f t="shared" si="256"/>
        <v>0</v>
      </c>
      <c r="CA47" s="30">
        <f t="shared" si="256"/>
        <v>0</v>
      </c>
      <c r="CB47" s="30">
        <f t="shared" si="256"/>
        <v>0</v>
      </c>
      <c r="CC47" s="11">
        <f t="shared" si="257"/>
        <v>0</v>
      </c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HA47" s="30">
        <f t="shared" si="258"/>
        <v>0</v>
      </c>
      <c r="HB47" s="30">
        <f t="shared" si="259"/>
        <v>0</v>
      </c>
      <c r="HC47" s="30">
        <f t="shared" si="260"/>
        <v>0</v>
      </c>
      <c r="HD47" s="30">
        <f t="shared" si="261"/>
        <v>0</v>
      </c>
      <c r="HE47" s="30">
        <f t="shared" si="262"/>
        <v>0</v>
      </c>
      <c r="HF47" s="30">
        <f t="shared" si="263"/>
        <v>0</v>
      </c>
      <c r="HG47" s="30">
        <f t="shared" si="264"/>
        <v>0</v>
      </c>
      <c r="HH47" s="30">
        <f t="shared" si="265"/>
        <v>0</v>
      </c>
      <c r="HI47" s="30">
        <f t="shared" si="266"/>
        <v>0</v>
      </c>
      <c r="HJ47" s="30">
        <f t="shared" si="267"/>
        <v>0</v>
      </c>
      <c r="HK47" s="11">
        <f t="shared" si="268"/>
        <v>0</v>
      </c>
    </row>
    <row r="48" spans="1:219" x14ac:dyDescent="0.2">
      <c r="A48" s="12"/>
      <c r="B48" s="6"/>
      <c r="C48" s="6"/>
      <c r="D48" s="6"/>
      <c r="G48" s="42"/>
      <c r="H48" s="42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4"/>
      <c r="T48" s="6"/>
      <c r="U48" s="38">
        <f t="shared" si="243"/>
        <v>0</v>
      </c>
      <c r="V48" s="38">
        <f t="shared" si="244"/>
        <v>0</v>
      </c>
      <c r="W48" s="38">
        <f t="shared" si="245"/>
        <v>0</v>
      </c>
      <c r="X48" s="38">
        <f t="shared" si="246"/>
        <v>0</v>
      </c>
      <c r="Y48" s="38">
        <f t="shared" si="247"/>
        <v>0</v>
      </c>
      <c r="Z48" s="38">
        <f t="shared" si="248"/>
        <v>0</v>
      </c>
      <c r="AA48" s="38">
        <f t="shared" si="249"/>
        <v>0</v>
      </c>
      <c r="AB48" s="38">
        <f t="shared" si="250"/>
        <v>0</v>
      </c>
      <c r="AC48" s="38">
        <f t="shared" si="251"/>
        <v>0</v>
      </c>
      <c r="AD48" s="38">
        <f t="shared" si="252"/>
        <v>0</v>
      </c>
      <c r="AE48" s="45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38">
        <f t="shared" si="253"/>
        <v>0</v>
      </c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38">
        <f t="shared" si="255"/>
        <v>0</v>
      </c>
      <c r="BC48" s="8"/>
      <c r="BS48" s="30">
        <f t="shared" si="270"/>
        <v>0</v>
      </c>
      <c r="BT48" s="30">
        <f t="shared" si="256"/>
        <v>0</v>
      </c>
      <c r="BU48" s="30">
        <f t="shared" si="256"/>
        <v>0</v>
      </c>
      <c r="BV48" s="30">
        <f t="shared" si="256"/>
        <v>0</v>
      </c>
      <c r="BW48" s="30">
        <f t="shared" si="256"/>
        <v>0</v>
      </c>
      <c r="BX48" s="30">
        <f t="shared" si="256"/>
        <v>0</v>
      </c>
      <c r="BY48" s="30">
        <f t="shared" si="256"/>
        <v>0</v>
      </c>
      <c r="BZ48" s="30">
        <f t="shared" si="256"/>
        <v>0</v>
      </c>
      <c r="CA48" s="30">
        <f t="shared" si="256"/>
        <v>0</v>
      </c>
      <c r="CB48" s="30">
        <f t="shared" si="256"/>
        <v>0</v>
      </c>
      <c r="CC48" s="11">
        <f t="shared" si="257"/>
        <v>0</v>
      </c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HA48" s="30">
        <f t="shared" si="258"/>
        <v>0</v>
      </c>
      <c r="HB48" s="30">
        <f t="shared" si="259"/>
        <v>0</v>
      </c>
      <c r="HC48" s="30">
        <f t="shared" si="260"/>
        <v>0</v>
      </c>
      <c r="HD48" s="30">
        <f t="shared" si="261"/>
        <v>0</v>
      </c>
      <c r="HE48" s="30">
        <f t="shared" si="262"/>
        <v>0</v>
      </c>
      <c r="HF48" s="30">
        <f t="shared" si="263"/>
        <v>0</v>
      </c>
      <c r="HG48" s="30">
        <f t="shared" si="264"/>
        <v>0</v>
      </c>
      <c r="HH48" s="30">
        <f t="shared" si="265"/>
        <v>0</v>
      </c>
      <c r="HI48" s="30">
        <f t="shared" si="266"/>
        <v>0</v>
      </c>
      <c r="HJ48" s="30">
        <f t="shared" si="267"/>
        <v>0</v>
      </c>
      <c r="HK48" s="11">
        <f t="shared" si="268"/>
        <v>0</v>
      </c>
    </row>
    <row r="49" spans="1:219" x14ac:dyDescent="0.2">
      <c r="A49" s="12"/>
      <c r="B49" s="6"/>
      <c r="C49" s="6"/>
      <c r="D49" s="6"/>
      <c r="G49" s="42"/>
      <c r="H49" s="42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4"/>
      <c r="T49" s="6"/>
      <c r="U49" s="38">
        <f t="shared" si="243"/>
        <v>0</v>
      </c>
      <c r="V49" s="38">
        <f t="shared" si="244"/>
        <v>0</v>
      </c>
      <c r="W49" s="38">
        <f t="shared" si="245"/>
        <v>0</v>
      </c>
      <c r="X49" s="38">
        <f t="shared" si="246"/>
        <v>0</v>
      </c>
      <c r="Y49" s="38">
        <f t="shared" si="247"/>
        <v>0</v>
      </c>
      <c r="Z49" s="38">
        <f t="shared" si="248"/>
        <v>0</v>
      </c>
      <c r="AA49" s="38">
        <f t="shared" si="249"/>
        <v>0</v>
      </c>
      <c r="AB49" s="38">
        <f t="shared" si="250"/>
        <v>0</v>
      </c>
      <c r="AC49" s="38">
        <f t="shared" si="251"/>
        <v>0</v>
      </c>
      <c r="AD49" s="38">
        <f t="shared" si="252"/>
        <v>0</v>
      </c>
      <c r="AE49" s="45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38">
        <f t="shared" si="253"/>
        <v>0</v>
      </c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38">
        <f t="shared" si="255"/>
        <v>0</v>
      </c>
      <c r="BC49" s="8"/>
      <c r="BS49" s="30">
        <f t="shared" si="270"/>
        <v>0</v>
      </c>
      <c r="BT49" s="30">
        <f t="shared" si="256"/>
        <v>0</v>
      </c>
      <c r="BU49" s="30">
        <f t="shared" si="256"/>
        <v>0</v>
      </c>
      <c r="BV49" s="30">
        <f t="shared" si="256"/>
        <v>0</v>
      </c>
      <c r="BW49" s="30">
        <f t="shared" si="256"/>
        <v>0</v>
      </c>
      <c r="BX49" s="30">
        <f t="shared" si="256"/>
        <v>0</v>
      </c>
      <c r="BY49" s="30">
        <f t="shared" si="256"/>
        <v>0</v>
      </c>
      <c r="BZ49" s="30">
        <f t="shared" si="256"/>
        <v>0</v>
      </c>
      <c r="CA49" s="30">
        <f t="shared" si="256"/>
        <v>0</v>
      </c>
      <c r="CB49" s="30">
        <f t="shared" si="256"/>
        <v>0</v>
      </c>
      <c r="CC49" s="11">
        <f t="shared" si="257"/>
        <v>0</v>
      </c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HA49" s="30">
        <f t="shared" si="258"/>
        <v>0</v>
      </c>
      <c r="HB49" s="30">
        <f t="shared" si="259"/>
        <v>0</v>
      </c>
      <c r="HC49" s="30">
        <f t="shared" si="260"/>
        <v>0</v>
      </c>
      <c r="HD49" s="30">
        <f t="shared" si="261"/>
        <v>0</v>
      </c>
      <c r="HE49" s="30">
        <f t="shared" si="262"/>
        <v>0</v>
      </c>
      <c r="HF49" s="30">
        <f t="shared" si="263"/>
        <v>0</v>
      </c>
      <c r="HG49" s="30">
        <f t="shared" si="264"/>
        <v>0</v>
      </c>
      <c r="HH49" s="30">
        <f t="shared" si="265"/>
        <v>0</v>
      </c>
      <c r="HI49" s="30">
        <f t="shared" si="266"/>
        <v>0</v>
      </c>
      <c r="HJ49" s="30">
        <f t="shared" si="267"/>
        <v>0</v>
      </c>
      <c r="HK49" s="11">
        <f t="shared" si="268"/>
        <v>0</v>
      </c>
    </row>
    <row r="50" spans="1:219" x14ac:dyDescent="0.2">
      <c r="A50" s="12"/>
      <c r="B50" s="6"/>
      <c r="C50" s="6"/>
      <c r="D50" s="6"/>
      <c r="G50" s="42"/>
      <c r="H50" s="42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4"/>
      <c r="T50" s="6"/>
      <c r="U50" s="38">
        <f t="shared" si="243"/>
        <v>0</v>
      </c>
      <c r="V50" s="38">
        <f t="shared" si="244"/>
        <v>0</v>
      </c>
      <c r="W50" s="38">
        <f t="shared" si="245"/>
        <v>0</v>
      </c>
      <c r="X50" s="38">
        <f t="shared" si="246"/>
        <v>0</v>
      </c>
      <c r="Y50" s="38">
        <f t="shared" si="247"/>
        <v>0</v>
      </c>
      <c r="Z50" s="38">
        <f t="shared" si="248"/>
        <v>0</v>
      </c>
      <c r="AA50" s="38">
        <f t="shared" si="249"/>
        <v>0</v>
      </c>
      <c r="AB50" s="38">
        <f t="shared" si="250"/>
        <v>0</v>
      </c>
      <c r="AC50" s="38">
        <f t="shared" si="251"/>
        <v>0</v>
      </c>
      <c r="AD50" s="38">
        <f t="shared" si="252"/>
        <v>0</v>
      </c>
      <c r="AE50" s="45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38">
        <f t="shared" si="253"/>
        <v>0</v>
      </c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38">
        <f t="shared" si="255"/>
        <v>0</v>
      </c>
      <c r="BC50" s="8"/>
      <c r="BS50" s="30">
        <f t="shared" si="270"/>
        <v>0</v>
      </c>
      <c r="BT50" s="30">
        <f t="shared" si="256"/>
        <v>0</v>
      </c>
      <c r="BU50" s="30">
        <f t="shared" si="256"/>
        <v>0</v>
      </c>
      <c r="BV50" s="30">
        <f t="shared" si="256"/>
        <v>0</v>
      </c>
      <c r="BW50" s="30">
        <f t="shared" si="256"/>
        <v>0</v>
      </c>
      <c r="BX50" s="30">
        <f t="shared" si="256"/>
        <v>0</v>
      </c>
      <c r="BY50" s="30">
        <f t="shared" si="256"/>
        <v>0</v>
      </c>
      <c r="BZ50" s="30">
        <f t="shared" si="256"/>
        <v>0</v>
      </c>
      <c r="CA50" s="30">
        <f t="shared" si="256"/>
        <v>0</v>
      </c>
      <c r="CB50" s="30">
        <f t="shared" si="256"/>
        <v>0</v>
      </c>
      <c r="CC50" s="11">
        <f t="shared" si="257"/>
        <v>0</v>
      </c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HA50" s="30">
        <f t="shared" si="258"/>
        <v>0</v>
      </c>
      <c r="HB50" s="30">
        <f t="shared" si="259"/>
        <v>0</v>
      </c>
      <c r="HC50" s="30">
        <f t="shared" si="260"/>
        <v>0</v>
      </c>
      <c r="HD50" s="30">
        <f t="shared" si="261"/>
        <v>0</v>
      </c>
      <c r="HE50" s="30">
        <f t="shared" si="262"/>
        <v>0</v>
      </c>
      <c r="HF50" s="30">
        <f t="shared" si="263"/>
        <v>0</v>
      </c>
      <c r="HG50" s="30">
        <f t="shared" si="264"/>
        <v>0</v>
      </c>
      <c r="HH50" s="30">
        <f t="shared" si="265"/>
        <v>0</v>
      </c>
      <c r="HI50" s="30">
        <f t="shared" si="266"/>
        <v>0</v>
      </c>
      <c r="HJ50" s="30">
        <f t="shared" si="267"/>
        <v>0</v>
      </c>
      <c r="HK50" s="11">
        <f t="shared" si="268"/>
        <v>0</v>
      </c>
    </row>
    <row r="51" spans="1:219" x14ac:dyDescent="0.2">
      <c r="A51" s="12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45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</row>
    <row r="52" spans="1:219" x14ac:dyDescent="0.2">
      <c r="A52" s="12"/>
      <c r="B52" s="2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2">
        <f>SUM(T42:T51)</f>
        <v>100</v>
      </c>
      <c r="U52" s="2">
        <f t="shared" ref="U52:AD52" si="271">SUM(U42:U51)</f>
        <v>0</v>
      </c>
      <c r="V52" s="2">
        <f t="shared" si="271"/>
        <v>0</v>
      </c>
      <c r="W52" s="2">
        <f t="shared" si="271"/>
        <v>0</v>
      </c>
      <c r="X52" s="2">
        <f t="shared" si="271"/>
        <v>0</v>
      </c>
      <c r="Y52" s="2">
        <f t="shared" si="271"/>
        <v>0</v>
      </c>
      <c r="Z52" s="2">
        <f t="shared" si="271"/>
        <v>0</v>
      </c>
      <c r="AA52" s="2">
        <f t="shared" si="271"/>
        <v>0</v>
      </c>
      <c r="AB52" s="2">
        <f t="shared" si="271"/>
        <v>0</v>
      </c>
      <c r="AC52" s="2">
        <f t="shared" si="271"/>
        <v>0</v>
      </c>
      <c r="AD52" s="2">
        <f t="shared" si="271"/>
        <v>0</v>
      </c>
      <c r="AE52" s="46"/>
      <c r="AF52" s="35">
        <f t="shared" ref="AF52:AO52" si="272">SUM(AF42:AF51)</f>
        <v>6500</v>
      </c>
      <c r="AG52" s="35">
        <f t="shared" si="272"/>
        <v>6500</v>
      </c>
      <c r="AH52" s="35">
        <f t="shared" si="272"/>
        <v>6500</v>
      </c>
      <c r="AI52" s="35">
        <f t="shared" si="272"/>
        <v>6500</v>
      </c>
      <c r="AJ52" s="35">
        <f t="shared" si="272"/>
        <v>6500</v>
      </c>
      <c r="AK52" s="35">
        <f t="shared" si="272"/>
        <v>6500</v>
      </c>
      <c r="AL52" s="35">
        <f t="shared" si="272"/>
        <v>36500</v>
      </c>
      <c r="AM52" s="35">
        <f t="shared" si="272"/>
        <v>6500</v>
      </c>
      <c r="AN52" s="35">
        <f t="shared" si="272"/>
        <v>6500</v>
      </c>
      <c r="AO52" s="35">
        <f t="shared" si="272"/>
        <v>6500</v>
      </c>
      <c r="AP52" s="35">
        <f>SUM(AP42:AP51)</f>
        <v>95000</v>
      </c>
      <c r="AQ52" s="35">
        <f t="shared" ref="AQ52:AZ52" si="273">SUM(AQ42:AQ51)</f>
        <v>182000</v>
      </c>
      <c r="AR52" s="35">
        <f t="shared" si="273"/>
        <v>182000</v>
      </c>
      <c r="AS52" s="35">
        <f t="shared" si="273"/>
        <v>182000</v>
      </c>
      <c r="AT52" s="35">
        <f t="shared" si="273"/>
        <v>182000</v>
      </c>
      <c r="AU52" s="35">
        <f t="shared" si="273"/>
        <v>182000</v>
      </c>
      <c r="AV52" s="35">
        <f t="shared" si="273"/>
        <v>182000</v>
      </c>
      <c r="AW52" s="35">
        <f t="shared" si="273"/>
        <v>1022000</v>
      </c>
      <c r="AX52" s="35">
        <f t="shared" si="273"/>
        <v>182000</v>
      </c>
      <c r="AY52" s="35">
        <f t="shared" si="273"/>
        <v>182000</v>
      </c>
      <c r="AZ52" s="35">
        <f t="shared" si="273"/>
        <v>182000</v>
      </c>
      <c r="BA52" s="35">
        <f>SUM(BA42:BA51)</f>
        <v>2660000</v>
      </c>
      <c r="BS52" s="10">
        <f t="shared" ref="BS52:CC52" si="274">SUM(BS42:BS51)</f>
        <v>650000</v>
      </c>
      <c r="BT52" s="10">
        <f t="shared" si="274"/>
        <v>650000</v>
      </c>
      <c r="BU52" s="10">
        <f t="shared" si="274"/>
        <v>650000</v>
      </c>
      <c r="BV52" s="10">
        <f t="shared" si="274"/>
        <v>650000</v>
      </c>
      <c r="BW52" s="10">
        <f t="shared" si="274"/>
        <v>650000</v>
      </c>
      <c r="BX52" s="10">
        <f t="shared" si="274"/>
        <v>650000</v>
      </c>
      <c r="BY52" s="10">
        <f t="shared" si="274"/>
        <v>3650000</v>
      </c>
      <c r="BZ52" s="10">
        <f t="shared" si="274"/>
        <v>650000</v>
      </c>
      <c r="CA52" s="10">
        <f t="shared" si="274"/>
        <v>650000</v>
      </c>
      <c r="CB52" s="10">
        <f t="shared" si="274"/>
        <v>650000</v>
      </c>
      <c r="CC52" s="10">
        <f t="shared" si="274"/>
        <v>9500000</v>
      </c>
      <c r="HA52" s="10">
        <f t="shared" ref="HA52:HK52" si="275">SUM(HA42:HA51)</f>
        <v>650000</v>
      </c>
      <c r="HB52" s="10">
        <f t="shared" si="275"/>
        <v>650000</v>
      </c>
      <c r="HC52" s="10">
        <f t="shared" si="275"/>
        <v>650000</v>
      </c>
      <c r="HD52" s="10">
        <f t="shared" si="275"/>
        <v>650000</v>
      </c>
      <c r="HE52" s="10">
        <f t="shared" si="275"/>
        <v>650000</v>
      </c>
      <c r="HF52" s="10">
        <f t="shared" si="275"/>
        <v>650000</v>
      </c>
      <c r="HG52" s="10">
        <f t="shared" si="275"/>
        <v>3650000</v>
      </c>
      <c r="HH52" s="10">
        <f t="shared" si="275"/>
        <v>650000</v>
      </c>
      <c r="HI52" s="10">
        <f t="shared" si="275"/>
        <v>650000</v>
      </c>
      <c r="HJ52" s="10">
        <f t="shared" si="275"/>
        <v>650000</v>
      </c>
      <c r="HK52" s="10">
        <f t="shared" si="275"/>
        <v>9500000</v>
      </c>
    </row>
  </sheetData>
  <dataValidations count="1">
    <dataValidation type="list" allowBlank="1" showInputMessage="1" showErrorMessage="1" sqref="BD26" xr:uid="{00000000-0002-0000-0000-000000000000}">
      <formula1>"Operational, Financial"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275E0-B3D0-4D46-883C-31782FEECB6E}">
  <sheetPr>
    <tabColor rgb="FFFFC000"/>
  </sheetPr>
  <dimension ref="A1:S181"/>
  <sheetViews>
    <sheetView workbookViewId="0"/>
  </sheetViews>
  <sheetFormatPr defaultRowHeight="10.199999999999999" x14ac:dyDescent="0.2"/>
  <cols>
    <col min="1" max="1" width="27.875" customWidth="1"/>
    <col min="2" max="2" width="2.375" bestFit="1" customWidth="1"/>
    <col min="3" max="18" width="14.25" customWidth="1"/>
    <col min="19" max="19" width="11.875" bestFit="1" customWidth="1"/>
  </cols>
  <sheetData>
    <row r="1" spans="1:18" ht="16.2" x14ac:dyDescent="0.3">
      <c r="A1" s="51" t="s">
        <v>366</v>
      </c>
      <c r="B1" s="51"/>
      <c r="O1" s="156" t="s">
        <v>83</v>
      </c>
      <c r="P1" s="647" t="s">
        <v>84</v>
      </c>
      <c r="Q1" s="647"/>
      <c r="R1" s="647"/>
    </row>
    <row r="2" spans="1:18" x14ac:dyDescent="0.2">
      <c r="A2" s="56" t="s">
        <v>131</v>
      </c>
      <c r="B2" s="56"/>
      <c r="Q2" s="266" t="str">
        <f>FEO!AA1</f>
        <v>Versie</v>
      </c>
      <c r="R2" s="274" t="str">
        <f>FEO!AA2</f>
        <v>NVI 5b</v>
      </c>
    </row>
    <row r="3" spans="1:18" x14ac:dyDescent="0.2">
      <c r="A3" s="56"/>
      <c r="B3" s="56"/>
    </row>
    <row r="4" spans="1:18" ht="11.4" x14ac:dyDescent="0.2">
      <c r="A4" s="313" t="s">
        <v>507</v>
      </c>
      <c r="B4" s="83"/>
      <c r="C4" s="83"/>
      <c r="D4" s="83"/>
      <c r="E4" s="83"/>
      <c r="F4" s="83"/>
      <c r="G4" s="83"/>
      <c r="H4" s="83"/>
    </row>
    <row r="5" spans="1:18" ht="11.4" x14ac:dyDescent="0.2">
      <c r="A5" s="83"/>
      <c r="B5" s="83"/>
      <c r="C5" s="83"/>
      <c r="D5" s="83"/>
      <c r="E5" s="83"/>
      <c r="F5" s="83"/>
      <c r="G5" s="83"/>
      <c r="H5" s="83"/>
    </row>
    <row r="6" spans="1:18" ht="16.2" x14ac:dyDescent="0.3">
      <c r="A6" s="1" t="s">
        <v>272</v>
      </c>
      <c r="B6" s="83"/>
      <c r="C6" s="83"/>
      <c r="D6" s="83"/>
      <c r="E6" s="83"/>
      <c r="F6" s="83"/>
      <c r="G6" s="83"/>
      <c r="H6" s="83"/>
    </row>
    <row r="7" spans="1:18" ht="11.4" x14ac:dyDescent="0.2">
      <c r="A7" s="83"/>
      <c r="B7" s="83"/>
      <c r="C7" s="83"/>
      <c r="D7" s="83"/>
      <c r="E7" s="83"/>
      <c r="F7" s="83"/>
      <c r="G7" s="83"/>
      <c r="H7" s="83"/>
    </row>
    <row r="8" spans="1:18" ht="11.4" x14ac:dyDescent="0.2">
      <c r="A8" s="298" t="s">
        <v>276</v>
      </c>
      <c r="B8" s="83"/>
      <c r="C8" s="83"/>
      <c r="D8" s="83"/>
      <c r="E8" s="83"/>
      <c r="F8" s="83"/>
      <c r="G8" s="83"/>
      <c r="H8" s="83"/>
    </row>
    <row r="9" spans="1:18" ht="12" thickBot="1" x14ac:dyDescent="0.25">
      <c r="A9" s="53"/>
      <c r="B9" s="53"/>
      <c r="C9" s="83"/>
      <c r="D9" s="83"/>
      <c r="E9" s="83"/>
      <c r="F9" s="83"/>
      <c r="G9" s="83"/>
      <c r="H9" s="83"/>
    </row>
    <row r="10" spans="1:18" ht="12" thickBot="1" x14ac:dyDescent="0.25">
      <c r="A10" s="47" t="s">
        <v>228</v>
      </c>
      <c r="B10" s="304"/>
      <c r="C10" s="48">
        <f>FEO!G5</f>
        <v>2028</v>
      </c>
      <c r="D10" s="48">
        <f>FEO!H5</f>
        <v>2029</v>
      </c>
      <c r="E10" s="48">
        <f>FEO!I5</f>
        <v>2030</v>
      </c>
      <c r="F10" s="48">
        <f>FEO!J5</f>
        <v>2031</v>
      </c>
      <c r="G10" s="48">
        <f>FEO!K5</f>
        <v>2032</v>
      </c>
      <c r="H10" s="48">
        <f>FEO!L5</f>
        <v>2033</v>
      </c>
      <c r="I10" s="48">
        <f>FEO!M5</f>
        <v>2034</v>
      </c>
      <c r="J10" s="48">
        <f>FEO!N5</f>
        <v>2035</v>
      </c>
      <c r="K10" s="48">
        <f>FEO!O5</f>
        <v>2036</v>
      </c>
      <c r="L10" s="48">
        <f>FEO!P5</f>
        <v>2037</v>
      </c>
      <c r="M10" s="48">
        <f>FEO!Q5</f>
        <v>2038</v>
      </c>
      <c r="N10" s="48">
        <f>FEO!R5</f>
        <v>2039</v>
      </c>
      <c r="O10" s="48">
        <f>FEO!S5</f>
        <v>2040</v>
      </c>
      <c r="P10" s="48">
        <f>FEO!T5</f>
        <v>2041</v>
      </c>
      <c r="Q10" s="48">
        <f>FEO!U5</f>
        <v>2042</v>
      </c>
      <c r="R10" s="48">
        <f>FEO!V5</f>
        <v>2043</v>
      </c>
    </row>
    <row r="11" spans="1:18" ht="11.4" x14ac:dyDescent="0.2">
      <c r="A11" s="83" t="s">
        <v>252</v>
      </c>
      <c r="B11" s="83"/>
      <c r="C11" s="302">
        <v>0.433</v>
      </c>
      <c r="D11" s="302">
        <v>0.433</v>
      </c>
      <c r="E11" s="302">
        <v>0.433</v>
      </c>
      <c r="F11" s="302">
        <v>0.433</v>
      </c>
      <c r="G11" s="302">
        <v>0.433</v>
      </c>
      <c r="H11" s="302">
        <v>0.433</v>
      </c>
      <c r="I11" s="302">
        <v>0.433</v>
      </c>
      <c r="J11" s="302">
        <v>0.433</v>
      </c>
      <c r="K11" s="302">
        <v>0.433</v>
      </c>
      <c r="L11" s="302">
        <v>0.433</v>
      </c>
      <c r="M11" s="302">
        <v>0.433</v>
      </c>
      <c r="N11" s="302">
        <v>0.433</v>
      </c>
      <c r="O11" s="302">
        <v>0.433</v>
      </c>
      <c r="P11" s="302">
        <v>0.433</v>
      </c>
      <c r="Q11" s="302">
        <v>0.433</v>
      </c>
      <c r="R11" s="302">
        <v>0.433</v>
      </c>
    </row>
    <row r="12" spans="1:18" ht="11.4" x14ac:dyDescent="0.2">
      <c r="A12" s="83" t="s">
        <v>253</v>
      </c>
      <c r="B12" s="83"/>
      <c r="C12" s="302">
        <v>0.5413</v>
      </c>
      <c r="D12" s="302">
        <v>0.5413</v>
      </c>
      <c r="E12" s="302">
        <v>0.5413</v>
      </c>
      <c r="F12" s="302">
        <v>0.5413</v>
      </c>
      <c r="G12" s="302">
        <v>0.5413</v>
      </c>
      <c r="H12" s="302">
        <v>0.5413</v>
      </c>
      <c r="I12" s="302">
        <v>0.5413</v>
      </c>
      <c r="J12" s="302">
        <v>0.5413</v>
      </c>
      <c r="K12" s="302">
        <v>0.5413</v>
      </c>
      <c r="L12" s="302">
        <v>0.5413</v>
      </c>
      <c r="M12" s="302">
        <v>0.5413</v>
      </c>
      <c r="N12" s="302">
        <v>0.5413</v>
      </c>
      <c r="O12" s="302">
        <v>0.5413</v>
      </c>
      <c r="P12" s="302">
        <v>0.5413</v>
      </c>
      <c r="Q12" s="302">
        <v>0.5413</v>
      </c>
      <c r="R12" s="302">
        <v>0.5413</v>
      </c>
    </row>
    <row r="13" spans="1:18" ht="11.4" x14ac:dyDescent="0.2">
      <c r="A13" s="83" t="s">
        <v>254</v>
      </c>
      <c r="B13" s="83"/>
      <c r="C13" s="302">
        <v>0.6885</v>
      </c>
      <c r="D13" s="302">
        <v>0.6885</v>
      </c>
      <c r="E13" s="302">
        <v>0.6885</v>
      </c>
      <c r="F13" s="302">
        <v>0.6885</v>
      </c>
      <c r="G13" s="302">
        <v>0.6885</v>
      </c>
      <c r="H13" s="302">
        <v>0.6885</v>
      </c>
      <c r="I13" s="302">
        <v>0.6885</v>
      </c>
      <c r="J13" s="302">
        <v>0.6885</v>
      </c>
      <c r="K13" s="302">
        <v>0.6885</v>
      </c>
      <c r="L13" s="302">
        <v>0.6885</v>
      </c>
      <c r="M13" s="302">
        <v>0.6885</v>
      </c>
      <c r="N13" s="302">
        <v>0.6885</v>
      </c>
      <c r="O13" s="302">
        <v>0.6885</v>
      </c>
      <c r="P13" s="302">
        <v>0.6885</v>
      </c>
      <c r="Q13" s="302">
        <v>0.6885</v>
      </c>
      <c r="R13" s="302">
        <v>0.6885</v>
      </c>
    </row>
    <row r="14" spans="1:18" ht="11.4" x14ac:dyDescent="0.2">
      <c r="A14" s="83" t="s">
        <v>257</v>
      </c>
      <c r="B14" s="83"/>
      <c r="C14" s="302">
        <v>0.95699999999999996</v>
      </c>
      <c r="D14" s="302">
        <v>0.95699999999999996</v>
      </c>
      <c r="E14" s="302">
        <v>0.95699999999999996</v>
      </c>
      <c r="F14" s="302">
        <v>0.95699999999999996</v>
      </c>
      <c r="G14" s="302">
        <v>0.95699999999999996</v>
      </c>
      <c r="H14" s="302">
        <v>0.95699999999999996</v>
      </c>
      <c r="I14" s="302">
        <v>0.95699999999999996</v>
      </c>
      <c r="J14" s="302">
        <v>0.95699999999999996</v>
      </c>
      <c r="K14" s="302">
        <v>0.95699999999999996</v>
      </c>
      <c r="L14" s="302">
        <v>0.95699999999999996</v>
      </c>
      <c r="M14" s="302">
        <v>0.95699999999999996</v>
      </c>
      <c r="N14" s="302">
        <v>0.95699999999999996</v>
      </c>
      <c r="O14" s="302">
        <v>0.95699999999999996</v>
      </c>
      <c r="P14" s="302">
        <v>0.95699999999999996</v>
      </c>
      <c r="Q14" s="302">
        <v>0.95699999999999996</v>
      </c>
      <c r="R14" s="302">
        <v>0.95699999999999996</v>
      </c>
    </row>
    <row r="15" spans="1:18" ht="12" thickBot="1" x14ac:dyDescent="0.25">
      <c r="A15" s="83"/>
      <c r="B15" s="83"/>
      <c r="C15" s="295"/>
      <c r="D15" s="295"/>
      <c r="E15" s="295"/>
      <c r="F15" s="295"/>
      <c r="G15" s="295"/>
      <c r="H15" s="295"/>
    </row>
    <row r="16" spans="1:18" ht="12" thickBot="1" x14ac:dyDescent="0.25">
      <c r="A16" s="47" t="s">
        <v>255</v>
      </c>
      <c r="B16" s="304"/>
      <c r="C16" s="48">
        <f>C$10</f>
        <v>2028</v>
      </c>
      <c r="D16" s="48">
        <f t="shared" ref="D16:R16" si="0">D$10</f>
        <v>2029</v>
      </c>
      <c r="E16" s="48">
        <f t="shared" si="0"/>
        <v>2030</v>
      </c>
      <c r="F16" s="48">
        <f t="shared" si="0"/>
        <v>2031</v>
      </c>
      <c r="G16" s="48">
        <f t="shared" si="0"/>
        <v>2032</v>
      </c>
      <c r="H16" s="48">
        <f t="shared" si="0"/>
        <v>2033</v>
      </c>
      <c r="I16" s="48">
        <f t="shared" si="0"/>
        <v>2034</v>
      </c>
      <c r="J16" s="48">
        <f t="shared" si="0"/>
        <v>2035</v>
      </c>
      <c r="K16" s="48">
        <f t="shared" si="0"/>
        <v>2036</v>
      </c>
      <c r="L16" s="48">
        <f t="shared" si="0"/>
        <v>2037</v>
      </c>
      <c r="M16" s="48">
        <f t="shared" si="0"/>
        <v>2038</v>
      </c>
      <c r="N16" s="48">
        <f t="shared" si="0"/>
        <v>2039</v>
      </c>
      <c r="O16" s="48">
        <f t="shared" si="0"/>
        <v>2040</v>
      </c>
      <c r="P16" s="48">
        <f t="shared" si="0"/>
        <v>2041</v>
      </c>
      <c r="Q16" s="48">
        <f t="shared" si="0"/>
        <v>2042</v>
      </c>
      <c r="R16" s="48">
        <f t="shared" si="0"/>
        <v>2043</v>
      </c>
    </row>
    <row r="17" spans="1:18" ht="11.4" x14ac:dyDescent="0.2">
      <c r="A17" s="83" t="s">
        <v>252</v>
      </c>
      <c r="B17" s="83"/>
      <c r="C17" s="302">
        <v>4.5600000000000002E-2</v>
      </c>
      <c r="D17" s="302">
        <v>4.5600000000000002E-2</v>
      </c>
      <c r="E17" s="302">
        <v>4.5600000000000002E-2</v>
      </c>
      <c r="F17" s="302">
        <v>4.5600000000000002E-2</v>
      </c>
      <c r="G17" s="302">
        <v>4.5600000000000002E-2</v>
      </c>
      <c r="H17" s="302">
        <v>4.5600000000000002E-2</v>
      </c>
      <c r="I17" s="302">
        <v>4.5600000000000002E-2</v>
      </c>
      <c r="J17" s="302">
        <v>4.5600000000000002E-2</v>
      </c>
      <c r="K17" s="302">
        <v>4.5600000000000002E-2</v>
      </c>
      <c r="L17" s="302">
        <v>4.5600000000000002E-2</v>
      </c>
      <c r="M17" s="302">
        <v>4.5600000000000002E-2</v>
      </c>
      <c r="N17" s="302">
        <v>4.5600000000000002E-2</v>
      </c>
      <c r="O17" s="302">
        <v>4.5600000000000002E-2</v>
      </c>
      <c r="P17" s="302">
        <v>4.5600000000000002E-2</v>
      </c>
      <c r="Q17" s="302">
        <v>4.5600000000000002E-2</v>
      </c>
      <c r="R17" s="302">
        <v>4.5600000000000002E-2</v>
      </c>
    </row>
    <row r="18" spans="1:18" ht="11.4" x14ac:dyDescent="0.2">
      <c r="A18" s="83" t="s">
        <v>253</v>
      </c>
      <c r="B18" s="83"/>
      <c r="C18" s="302">
        <v>5.7099999999999998E-2</v>
      </c>
      <c r="D18" s="302">
        <v>5.7099999999999998E-2</v>
      </c>
      <c r="E18" s="302">
        <v>5.7099999999999998E-2</v>
      </c>
      <c r="F18" s="302">
        <v>5.7099999999999998E-2</v>
      </c>
      <c r="G18" s="302">
        <v>5.7099999999999998E-2</v>
      </c>
      <c r="H18" s="302">
        <v>5.7099999999999998E-2</v>
      </c>
      <c r="I18" s="302">
        <v>5.7099999999999998E-2</v>
      </c>
      <c r="J18" s="302">
        <v>5.7099999999999998E-2</v>
      </c>
      <c r="K18" s="302">
        <v>5.7099999999999998E-2</v>
      </c>
      <c r="L18" s="302">
        <v>5.7099999999999998E-2</v>
      </c>
      <c r="M18" s="302">
        <v>5.7099999999999998E-2</v>
      </c>
      <c r="N18" s="302">
        <v>5.7099999999999998E-2</v>
      </c>
      <c r="O18" s="302">
        <v>5.7099999999999998E-2</v>
      </c>
      <c r="P18" s="302">
        <v>5.7099999999999998E-2</v>
      </c>
      <c r="Q18" s="302">
        <v>5.7099999999999998E-2</v>
      </c>
      <c r="R18" s="302">
        <v>5.7099999999999998E-2</v>
      </c>
    </row>
    <row r="19" spans="1:18" ht="11.4" x14ac:dyDescent="0.2">
      <c r="A19" s="83" t="s">
        <v>254</v>
      </c>
      <c r="B19" s="83"/>
      <c r="C19" s="302">
        <v>7.2599999999999998E-2</v>
      </c>
      <c r="D19" s="302">
        <v>7.2599999999999998E-2</v>
      </c>
      <c r="E19" s="302">
        <v>7.2599999999999998E-2</v>
      </c>
      <c r="F19" s="302">
        <v>7.2599999999999998E-2</v>
      </c>
      <c r="G19" s="302">
        <v>7.2599999999999998E-2</v>
      </c>
      <c r="H19" s="302">
        <v>7.2599999999999998E-2</v>
      </c>
      <c r="I19" s="302">
        <v>7.2599999999999998E-2</v>
      </c>
      <c r="J19" s="302">
        <v>7.2599999999999998E-2</v>
      </c>
      <c r="K19" s="302">
        <v>7.2599999999999998E-2</v>
      </c>
      <c r="L19" s="302">
        <v>7.2599999999999998E-2</v>
      </c>
      <c r="M19" s="302">
        <v>7.2599999999999998E-2</v>
      </c>
      <c r="N19" s="302">
        <v>7.2599999999999998E-2</v>
      </c>
      <c r="O19" s="302">
        <v>7.2599999999999998E-2</v>
      </c>
      <c r="P19" s="302">
        <v>7.2599999999999998E-2</v>
      </c>
      <c r="Q19" s="302">
        <v>7.2599999999999998E-2</v>
      </c>
      <c r="R19" s="302">
        <v>7.2599999999999998E-2</v>
      </c>
    </row>
    <row r="20" spans="1:18" ht="11.4" x14ac:dyDescent="0.2">
      <c r="A20" s="83" t="s">
        <v>257</v>
      </c>
      <c r="B20" s="83"/>
      <c r="C20" s="302">
        <v>0.1009</v>
      </c>
      <c r="D20" s="302">
        <v>0.1009</v>
      </c>
      <c r="E20" s="302">
        <v>0.1009</v>
      </c>
      <c r="F20" s="302">
        <v>0.1009</v>
      </c>
      <c r="G20" s="302">
        <v>0.1009</v>
      </c>
      <c r="H20" s="302">
        <v>0.1009</v>
      </c>
      <c r="I20" s="302">
        <v>0.1009</v>
      </c>
      <c r="J20" s="302">
        <v>0.1009</v>
      </c>
      <c r="K20" s="302">
        <v>0.1009</v>
      </c>
      <c r="L20" s="302">
        <v>0.1009</v>
      </c>
      <c r="M20" s="302">
        <v>0.1009</v>
      </c>
      <c r="N20" s="302">
        <v>0.1009</v>
      </c>
      <c r="O20" s="302">
        <v>0.1009</v>
      </c>
      <c r="P20" s="302">
        <v>0.1009</v>
      </c>
      <c r="Q20" s="302">
        <v>0.1009</v>
      </c>
      <c r="R20" s="302">
        <v>0.1009</v>
      </c>
    </row>
    <row r="21" spans="1:18" ht="11.4" x14ac:dyDescent="0.2">
      <c r="A21" s="83"/>
      <c r="B21" s="83"/>
      <c r="C21" s="302"/>
      <c r="D21" s="302"/>
      <c r="E21" s="302"/>
      <c r="F21" s="302"/>
      <c r="G21" s="302"/>
      <c r="H21" s="302"/>
    </row>
    <row r="22" spans="1:18" ht="11.4" x14ac:dyDescent="0.2">
      <c r="A22" s="298" t="s">
        <v>289</v>
      </c>
      <c r="B22" s="298"/>
      <c r="C22" s="302"/>
      <c r="D22" s="302"/>
      <c r="E22" s="302"/>
      <c r="F22" s="302"/>
      <c r="G22" s="302"/>
      <c r="H22" s="302"/>
    </row>
    <row r="23" spans="1:18" ht="12" thickBot="1" x14ac:dyDescent="0.25">
      <c r="A23" s="83"/>
      <c r="B23" s="83"/>
      <c r="C23" s="295"/>
      <c r="D23" s="295"/>
      <c r="E23" s="295"/>
      <c r="F23" s="295"/>
      <c r="G23" s="295"/>
      <c r="H23" s="295"/>
    </row>
    <row r="24" spans="1:18" ht="23.4" thickBot="1" x14ac:dyDescent="0.25">
      <c r="A24" s="47" t="s">
        <v>269</v>
      </c>
      <c r="B24" s="47"/>
      <c r="C24" s="48">
        <f>C$10</f>
        <v>2028</v>
      </c>
      <c r="D24" s="48">
        <f t="shared" ref="D24:R24" si="1">D$10</f>
        <v>2029</v>
      </c>
      <c r="E24" s="48">
        <f t="shared" si="1"/>
        <v>2030</v>
      </c>
      <c r="F24" s="48">
        <f t="shared" si="1"/>
        <v>2031</v>
      </c>
      <c r="G24" s="48">
        <f t="shared" si="1"/>
        <v>2032</v>
      </c>
      <c r="H24" s="48">
        <f t="shared" si="1"/>
        <v>2033</v>
      </c>
      <c r="I24" s="48">
        <f t="shared" si="1"/>
        <v>2034</v>
      </c>
      <c r="J24" s="48">
        <f t="shared" si="1"/>
        <v>2035</v>
      </c>
      <c r="K24" s="48">
        <f t="shared" si="1"/>
        <v>2036</v>
      </c>
      <c r="L24" s="48">
        <f t="shared" si="1"/>
        <v>2037</v>
      </c>
      <c r="M24" s="48">
        <f t="shared" si="1"/>
        <v>2038</v>
      </c>
      <c r="N24" s="48">
        <f t="shared" si="1"/>
        <v>2039</v>
      </c>
      <c r="O24" s="48">
        <f t="shared" si="1"/>
        <v>2040</v>
      </c>
      <c r="P24" s="48">
        <f t="shared" si="1"/>
        <v>2041</v>
      </c>
      <c r="Q24" s="48">
        <f t="shared" si="1"/>
        <v>2042</v>
      </c>
      <c r="R24" s="48">
        <f t="shared" si="1"/>
        <v>2043</v>
      </c>
    </row>
    <row r="25" spans="1:18" ht="12" thickBot="1" x14ac:dyDescent="0.25">
      <c r="A25" s="296" t="s">
        <v>252</v>
      </c>
      <c r="B25" s="296"/>
      <c r="C25" s="306"/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306"/>
    </row>
    <row r="26" spans="1:18" ht="12" thickBot="1" x14ac:dyDescent="0.25">
      <c r="A26" s="296" t="s">
        <v>253</v>
      </c>
      <c r="B26" s="296"/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</row>
    <row r="27" spans="1:18" ht="12" thickBot="1" x14ac:dyDescent="0.25">
      <c r="A27" s="296" t="s">
        <v>254</v>
      </c>
      <c r="B27" s="296"/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  <c r="O27" s="306"/>
      <c r="P27" s="306"/>
      <c r="Q27" s="306"/>
      <c r="R27" s="306"/>
    </row>
    <row r="28" spans="1:18" ht="12" thickBot="1" x14ac:dyDescent="0.25">
      <c r="A28" s="297" t="s">
        <v>254</v>
      </c>
      <c r="B28" s="297"/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  <c r="P28" s="306"/>
      <c r="Q28" s="306"/>
      <c r="R28" s="306"/>
    </row>
    <row r="29" spans="1:18" ht="11.4" x14ac:dyDescent="0.2">
      <c r="A29" s="298" t="s">
        <v>287</v>
      </c>
      <c r="B29" s="298"/>
      <c r="C29" s="323">
        <f t="shared" ref="C29:H29" si="2">SUM(C25:C28)</f>
        <v>0</v>
      </c>
      <c r="D29" s="323">
        <f t="shared" si="2"/>
        <v>0</v>
      </c>
      <c r="E29" s="323">
        <f t="shared" si="2"/>
        <v>0</v>
      </c>
      <c r="F29" s="323">
        <f t="shared" si="2"/>
        <v>0</v>
      </c>
      <c r="G29" s="323">
        <f t="shared" si="2"/>
        <v>0</v>
      </c>
      <c r="H29" s="323">
        <f t="shared" si="2"/>
        <v>0</v>
      </c>
      <c r="I29" s="323">
        <f t="shared" ref="I29:R29" si="3">SUM(I25:I28)</f>
        <v>0</v>
      </c>
      <c r="J29" s="323">
        <f t="shared" si="3"/>
        <v>0</v>
      </c>
      <c r="K29" s="323">
        <f t="shared" si="3"/>
        <v>0</v>
      </c>
      <c r="L29" s="323">
        <f t="shared" si="3"/>
        <v>0</v>
      </c>
      <c r="M29" s="323">
        <f t="shared" si="3"/>
        <v>0</v>
      </c>
      <c r="N29" s="323">
        <f t="shared" si="3"/>
        <v>0</v>
      </c>
      <c r="O29" s="323">
        <f t="shared" si="3"/>
        <v>0</v>
      </c>
      <c r="P29" s="323">
        <f t="shared" si="3"/>
        <v>0</v>
      </c>
      <c r="Q29" s="323">
        <f t="shared" si="3"/>
        <v>0</v>
      </c>
      <c r="R29" s="323">
        <f t="shared" si="3"/>
        <v>0</v>
      </c>
    </row>
    <row r="30" spans="1:18" ht="11.4" x14ac:dyDescent="0.2">
      <c r="A30" s="298" t="s">
        <v>85</v>
      </c>
      <c r="B30" s="298"/>
      <c r="C30" s="323">
        <f>C29-'L.01 DRK AL-HA'!E72</f>
        <v>-598.40000000000009</v>
      </c>
      <c r="D30" s="323">
        <f>D29-'L.01 DRK AL-HA'!F72</f>
        <v>-9928.0000000000018</v>
      </c>
      <c r="E30" s="323">
        <f>E29-'L.01 DRK AL-HA'!G72</f>
        <v>-9928.0000000000018</v>
      </c>
      <c r="F30" s="323">
        <f>F29-'L.01 DRK AL-HA'!H72</f>
        <v>-9928.0000000000018</v>
      </c>
      <c r="G30" s="323">
        <f>G29-'L.01 DRK AL-HA'!I72</f>
        <v>-9955.2000000000007</v>
      </c>
      <c r="H30" s="323">
        <f>H29-'L.01 DRK AL-HA'!J72</f>
        <v>-9928.0000000000018</v>
      </c>
      <c r="I30" s="323">
        <f>I29-'L.01 DRK AL-HA'!K72</f>
        <v>-9928.0000000000018</v>
      </c>
      <c r="J30" s="323">
        <f>J29-'L.01 DRK AL-HA'!L72</f>
        <v>-9928.0000000000018</v>
      </c>
      <c r="K30" s="323">
        <f>K29-'L.01 DRK AL-HA'!M72</f>
        <v>-9955.2000000000007</v>
      </c>
      <c r="L30" s="323">
        <f>L29-'L.01 DRK AL-HA'!N72</f>
        <v>-9928.0000000000018</v>
      </c>
      <c r="M30" s="323">
        <f>M29-'L.01 DRK AL-HA'!O72</f>
        <v>-9928.0000000000018</v>
      </c>
      <c r="N30" s="323">
        <f>N29-'L.01 DRK AL-HA'!P72</f>
        <v>-9928.0000000000018</v>
      </c>
      <c r="O30" s="323">
        <f>O29-'L.01 DRK AL-HA'!Q72</f>
        <v>-9955.2000000000007</v>
      </c>
      <c r="P30" s="323">
        <f>P29-'L.01 DRK AL-HA'!R72</f>
        <v>-9928.0000000000018</v>
      </c>
      <c r="Q30" s="323">
        <f>Q29-'L.01 DRK AL-HA'!S72</f>
        <v>-9928.0000000000018</v>
      </c>
      <c r="R30" s="323">
        <f>R29-'L.01 DRK AL-HA'!T72</f>
        <v>-9411.2000000000007</v>
      </c>
    </row>
    <row r="31" spans="1:18" ht="11.4" x14ac:dyDescent="0.2">
      <c r="A31" s="83"/>
      <c r="B31" s="83"/>
      <c r="C31" s="83"/>
      <c r="D31" s="83"/>
      <c r="E31" s="83"/>
      <c r="F31" s="83"/>
      <c r="G31" s="83"/>
      <c r="H31" s="83"/>
    </row>
    <row r="32" spans="1:18" ht="11.4" x14ac:dyDescent="0.2">
      <c r="A32" s="298" t="s">
        <v>288</v>
      </c>
      <c r="B32" s="298"/>
      <c r="C32" s="308">
        <f>(C$11+C$17)*C25+(C$12+C$18)*C26+(C$13+C$19)*C27+(C$14+C$20)*C28</f>
        <v>0</v>
      </c>
      <c r="D32" s="308">
        <f t="shared" ref="D32:R32" si="4">(D$11+D$17)*D25+(D$12+D$18)*D26+(D$13+D$19)*D27+(D$14+D$20)*D28</f>
        <v>0</v>
      </c>
      <c r="E32" s="308">
        <f t="shared" si="4"/>
        <v>0</v>
      </c>
      <c r="F32" s="308">
        <f t="shared" si="4"/>
        <v>0</v>
      </c>
      <c r="G32" s="308">
        <f t="shared" si="4"/>
        <v>0</v>
      </c>
      <c r="H32" s="308">
        <f t="shared" si="4"/>
        <v>0</v>
      </c>
      <c r="I32" s="308">
        <f t="shared" si="4"/>
        <v>0</v>
      </c>
      <c r="J32" s="308">
        <f t="shared" si="4"/>
        <v>0</v>
      </c>
      <c r="K32" s="308">
        <f t="shared" si="4"/>
        <v>0</v>
      </c>
      <c r="L32" s="308">
        <f t="shared" si="4"/>
        <v>0</v>
      </c>
      <c r="M32" s="308">
        <f t="shared" si="4"/>
        <v>0</v>
      </c>
      <c r="N32" s="308">
        <f t="shared" si="4"/>
        <v>0</v>
      </c>
      <c r="O32" s="308">
        <f t="shared" si="4"/>
        <v>0</v>
      </c>
      <c r="P32" s="308">
        <f t="shared" si="4"/>
        <v>0</v>
      </c>
      <c r="Q32" s="308">
        <f t="shared" si="4"/>
        <v>0</v>
      </c>
      <c r="R32" s="308">
        <f t="shared" si="4"/>
        <v>0</v>
      </c>
    </row>
    <row r="33" spans="1:18" ht="11.4" x14ac:dyDescent="0.2">
      <c r="A33" s="83"/>
      <c r="B33" s="83"/>
      <c r="C33" s="83"/>
      <c r="D33" s="83"/>
      <c r="E33" s="83"/>
      <c r="F33" s="83"/>
      <c r="G33" s="83"/>
      <c r="H33" s="83"/>
    </row>
    <row r="34" spans="1:18" ht="11.4" x14ac:dyDescent="0.2">
      <c r="A34" s="298" t="s">
        <v>290</v>
      </c>
      <c r="B34" s="298"/>
      <c r="C34" s="83"/>
      <c r="D34" s="83"/>
      <c r="E34" s="83"/>
      <c r="F34" s="83"/>
      <c r="G34" s="83"/>
      <c r="H34" s="83"/>
    </row>
    <row r="35" spans="1:18" ht="12" thickBot="1" x14ac:dyDescent="0.25">
      <c r="A35" s="83"/>
      <c r="B35" s="83"/>
      <c r="C35" s="83"/>
      <c r="D35" s="83"/>
      <c r="E35" s="83"/>
      <c r="F35" s="83"/>
      <c r="G35" s="83"/>
      <c r="H35" s="83"/>
    </row>
    <row r="36" spans="1:18" ht="12" thickBot="1" x14ac:dyDescent="0.25">
      <c r="A36" s="47" t="s">
        <v>270</v>
      </c>
      <c r="B36" s="47"/>
      <c r="C36" s="48">
        <f>C$10</f>
        <v>2028</v>
      </c>
      <c r="D36" s="48">
        <f t="shared" ref="D36:R36" si="5">D$10</f>
        <v>2029</v>
      </c>
      <c r="E36" s="48">
        <f t="shared" si="5"/>
        <v>2030</v>
      </c>
      <c r="F36" s="48">
        <f t="shared" si="5"/>
        <v>2031</v>
      </c>
      <c r="G36" s="48">
        <f t="shared" si="5"/>
        <v>2032</v>
      </c>
      <c r="H36" s="48">
        <f t="shared" si="5"/>
        <v>2033</v>
      </c>
      <c r="I36" s="48">
        <f t="shared" si="5"/>
        <v>2034</v>
      </c>
      <c r="J36" s="48">
        <f t="shared" si="5"/>
        <v>2035</v>
      </c>
      <c r="K36" s="48">
        <f t="shared" si="5"/>
        <v>2036</v>
      </c>
      <c r="L36" s="48">
        <f t="shared" si="5"/>
        <v>2037</v>
      </c>
      <c r="M36" s="48">
        <f t="shared" si="5"/>
        <v>2038</v>
      </c>
      <c r="N36" s="48">
        <f t="shared" si="5"/>
        <v>2039</v>
      </c>
      <c r="O36" s="48">
        <f t="shared" si="5"/>
        <v>2040</v>
      </c>
      <c r="P36" s="48">
        <f t="shared" si="5"/>
        <v>2041</v>
      </c>
      <c r="Q36" s="48">
        <f t="shared" si="5"/>
        <v>2042</v>
      </c>
      <c r="R36" s="48">
        <f t="shared" si="5"/>
        <v>2043</v>
      </c>
    </row>
    <row r="37" spans="1:18" ht="12" thickBot="1" x14ac:dyDescent="0.25">
      <c r="A37" s="296" t="s">
        <v>252</v>
      </c>
      <c r="B37" s="296"/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6"/>
    </row>
    <row r="38" spans="1:18" ht="12" thickBot="1" x14ac:dyDescent="0.25">
      <c r="A38" s="296" t="s">
        <v>253</v>
      </c>
      <c r="B38" s="296"/>
      <c r="C38" s="294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4"/>
      <c r="Q38" s="294"/>
      <c r="R38" s="294"/>
    </row>
    <row r="39" spans="1:18" ht="12" thickBot="1" x14ac:dyDescent="0.25">
      <c r="A39" s="296" t="s">
        <v>254</v>
      </c>
      <c r="B39" s="296"/>
      <c r="C39" s="294"/>
      <c r="D39" s="294"/>
      <c r="E39" s="294"/>
      <c r="F39" s="294"/>
      <c r="G39" s="294"/>
      <c r="H39" s="294"/>
      <c r="I39" s="294"/>
      <c r="J39" s="294"/>
      <c r="K39" s="294"/>
      <c r="L39" s="294"/>
      <c r="M39" s="294"/>
      <c r="N39" s="294"/>
      <c r="O39" s="294"/>
      <c r="P39" s="294"/>
      <c r="Q39" s="294"/>
      <c r="R39" s="294"/>
    </row>
    <row r="40" spans="1:18" ht="12" thickBot="1" x14ac:dyDescent="0.25">
      <c r="A40" s="297" t="s">
        <v>254</v>
      </c>
      <c r="B40" s="297"/>
      <c r="C40" s="294"/>
      <c r="D40" s="294"/>
      <c r="E40" s="294"/>
      <c r="F40" s="294"/>
      <c r="G40" s="294"/>
      <c r="H40" s="294"/>
      <c r="I40" s="294"/>
      <c r="J40" s="294"/>
      <c r="K40" s="294"/>
      <c r="L40" s="294"/>
      <c r="M40" s="294"/>
      <c r="N40" s="294"/>
      <c r="O40" s="294"/>
      <c r="P40" s="294"/>
      <c r="Q40" s="294"/>
      <c r="R40" s="294"/>
    </row>
    <row r="41" spans="1:18" ht="11.4" x14ac:dyDescent="0.2">
      <c r="A41" s="298" t="s">
        <v>287</v>
      </c>
      <c r="B41" s="298"/>
      <c r="C41" s="323">
        <f t="shared" ref="C41:H41" si="6">SUM(C37:C40)</f>
        <v>0</v>
      </c>
      <c r="D41" s="323">
        <f t="shared" si="6"/>
        <v>0</v>
      </c>
      <c r="E41" s="323">
        <f t="shared" si="6"/>
        <v>0</v>
      </c>
      <c r="F41" s="323">
        <f t="shared" si="6"/>
        <v>0</v>
      </c>
      <c r="G41" s="323">
        <f t="shared" si="6"/>
        <v>0</v>
      </c>
      <c r="H41" s="323">
        <f t="shared" si="6"/>
        <v>0</v>
      </c>
      <c r="I41" s="323">
        <f t="shared" ref="I41:R41" si="7">SUM(I37:I40)</f>
        <v>0</v>
      </c>
      <c r="J41" s="323">
        <f t="shared" si="7"/>
        <v>0</v>
      </c>
      <c r="K41" s="323">
        <f t="shared" si="7"/>
        <v>0</v>
      </c>
      <c r="L41" s="323">
        <f t="shared" si="7"/>
        <v>0</v>
      </c>
      <c r="M41" s="323">
        <f t="shared" si="7"/>
        <v>0</v>
      </c>
      <c r="N41" s="323">
        <f t="shared" si="7"/>
        <v>0</v>
      </c>
      <c r="O41" s="323">
        <f t="shared" si="7"/>
        <v>0</v>
      </c>
      <c r="P41" s="323">
        <f t="shared" si="7"/>
        <v>0</v>
      </c>
      <c r="Q41" s="323">
        <f t="shared" si="7"/>
        <v>0</v>
      </c>
      <c r="R41" s="323">
        <f t="shared" si="7"/>
        <v>0</v>
      </c>
    </row>
    <row r="42" spans="1:18" ht="11.4" x14ac:dyDescent="0.2">
      <c r="A42" s="83"/>
      <c r="B42" s="83"/>
      <c r="C42" s="83"/>
      <c r="D42" s="83"/>
      <c r="E42" s="83"/>
      <c r="F42" s="83"/>
      <c r="G42" s="83"/>
      <c r="H42" s="83"/>
    </row>
    <row r="43" spans="1:18" ht="11.4" x14ac:dyDescent="0.2">
      <c r="A43" s="298" t="s">
        <v>288</v>
      </c>
      <c r="B43" s="298"/>
      <c r="C43" s="308">
        <f>(C$11+C$17)*C37+(C$12+C$18)*C38+(C$13+C$19)*C39+(C$14+C$20)*C40</f>
        <v>0</v>
      </c>
      <c r="D43" s="308">
        <f t="shared" ref="D43:R43" si="8">(D$11+D$17)*D37+(D$12+D$18)*D38+(D$13+D$19)*D39+(D$14+D$20)*D40</f>
        <v>0</v>
      </c>
      <c r="E43" s="308">
        <f t="shared" si="8"/>
        <v>0</v>
      </c>
      <c r="F43" s="308">
        <f t="shared" si="8"/>
        <v>0</v>
      </c>
      <c r="G43" s="308">
        <f t="shared" si="8"/>
        <v>0</v>
      </c>
      <c r="H43" s="308">
        <f t="shared" si="8"/>
        <v>0</v>
      </c>
      <c r="I43" s="308">
        <f t="shared" si="8"/>
        <v>0</v>
      </c>
      <c r="J43" s="308">
        <f t="shared" si="8"/>
        <v>0</v>
      </c>
      <c r="K43" s="308">
        <f t="shared" si="8"/>
        <v>0</v>
      </c>
      <c r="L43" s="308">
        <f t="shared" si="8"/>
        <v>0</v>
      </c>
      <c r="M43" s="308">
        <f t="shared" si="8"/>
        <v>0</v>
      </c>
      <c r="N43" s="308">
        <f t="shared" si="8"/>
        <v>0</v>
      </c>
      <c r="O43" s="308">
        <f t="shared" si="8"/>
        <v>0</v>
      </c>
      <c r="P43" s="308">
        <f t="shared" si="8"/>
        <v>0</v>
      </c>
      <c r="Q43" s="308">
        <f t="shared" si="8"/>
        <v>0</v>
      </c>
      <c r="R43" s="308">
        <f t="shared" si="8"/>
        <v>0</v>
      </c>
    </row>
    <row r="44" spans="1:18" ht="11.4" x14ac:dyDescent="0.2">
      <c r="A44" s="53"/>
      <c r="B44" s="53"/>
      <c r="C44" s="83"/>
      <c r="D44" s="83"/>
      <c r="E44" s="83"/>
      <c r="F44" s="83"/>
      <c r="G44" s="83"/>
      <c r="H44" s="83"/>
    </row>
    <row r="45" spans="1:18" ht="11.4" x14ac:dyDescent="0.2">
      <c r="A45" s="53" t="s">
        <v>273</v>
      </c>
      <c r="B45" s="53"/>
      <c r="C45" s="83"/>
      <c r="D45" s="83"/>
      <c r="E45" s="83"/>
      <c r="F45" s="83"/>
      <c r="G45" s="83"/>
      <c r="H45" s="83"/>
    </row>
    <row r="46" spans="1:18" ht="12" thickBot="1" x14ac:dyDescent="0.25">
      <c r="A46" s="53"/>
      <c r="B46" s="53"/>
      <c r="C46" s="83"/>
      <c r="D46" s="83"/>
      <c r="E46" s="83"/>
      <c r="F46" s="83"/>
      <c r="G46" s="83"/>
      <c r="H46" s="83"/>
    </row>
    <row r="47" spans="1:18" ht="12" thickBot="1" x14ac:dyDescent="0.25">
      <c r="A47" s="47" t="s">
        <v>256</v>
      </c>
      <c r="B47" s="304"/>
      <c r="C47" s="48">
        <f>C$10</f>
        <v>2028</v>
      </c>
      <c r="D47" s="48">
        <f t="shared" ref="D47:R47" si="9">D$10</f>
        <v>2029</v>
      </c>
      <c r="E47" s="48">
        <f t="shared" si="9"/>
        <v>2030</v>
      </c>
      <c r="F47" s="48">
        <f t="shared" si="9"/>
        <v>2031</v>
      </c>
      <c r="G47" s="48">
        <f t="shared" si="9"/>
        <v>2032</v>
      </c>
      <c r="H47" s="48">
        <f t="shared" si="9"/>
        <v>2033</v>
      </c>
      <c r="I47" s="48">
        <f t="shared" si="9"/>
        <v>2034</v>
      </c>
      <c r="J47" s="48">
        <f t="shared" si="9"/>
        <v>2035</v>
      </c>
      <c r="K47" s="48">
        <f t="shared" si="9"/>
        <v>2036</v>
      </c>
      <c r="L47" s="48">
        <f t="shared" si="9"/>
        <v>2037</v>
      </c>
      <c r="M47" s="48">
        <f t="shared" si="9"/>
        <v>2038</v>
      </c>
      <c r="N47" s="48">
        <f t="shared" si="9"/>
        <v>2039</v>
      </c>
      <c r="O47" s="48">
        <f t="shared" si="9"/>
        <v>2040</v>
      </c>
      <c r="P47" s="48">
        <f t="shared" si="9"/>
        <v>2041</v>
      </c>
      <c r="Q47" s="48">
        <f t="shared" si="9"/>
        <v>2042</v>
      </c>
      <c r="R47" s="48">
        <f t="shared" si="9"/>
        <v>2043</v>
      </c>
    </row>
    <row r="48" spans="1:18" ht="11.4" x14ac:dyDescent="0.2">
      <c r="A48" s="83" t="s">
        <v>262</v>
      </c>
      <c r="B48" s="83"/>
      <c r="C48" s="301">
        <v>0.09</v>
      </c>
      <c r="D48" s="301">
        <v>0.09</v>
      </c>
      <c r="E48" s="301">
        <v>0.09</v>
      </c>
      <c r="F48" s="301">
        <v>0.09</v>
      </c>
      <c r="G48" s="301">
        <v>0.09</v>
      </c>
      <c r="H48" s="301">
        <v>0.09</v>
      </c>
      <c r="I48" s="301">
        <v>0.09</v>
      </c>
      <c r="J48" s="301">
        <v>0.09</v>
      </c>
      <c r="K48" s="301">
        <v>0.09</v>
      </c>
      <c r="L48" s="301">
        <v>0.09</v>
      </c>
      <c r="M48" s="301">
        <v>0.09</v>
      </c>
      <c r="N48" s="301">
        <v>0.09</v>
      </c>
      <c r="O48" s="301">
        <v>0.09</v>
      </c>
      <c r="P48" s="301">
        <v>0.09</v>
      </c>
      <c r="Q48" s="301">
        <v>0.09</v>
      </c>
      <c r="R48" s="301">
        <v>0.09</v>
      </c>
    </row>
    <row r="49" spans="1:18" ht="11.4" x14ac:dyDescent="0.2">
      <c r="A49" s="83" t="s">
        <v>427</v>
      </c>
      <c r="B49" s="83"/>
      <c r="C49" s="301">
        <v>0.36</v>
      </c>
      <c r="D49" s="301">
        <v>0.36</v>
      </c>
      <c r="E49" s="301">
        <v>0.36</v>
      </c>
      <c r="F49" s="301">
        <v>0.36</v>
      </c>
      <c r="G49" s="301">
        <v>0.36</v>
      </c>
      <c r="H49" s="301">
        <v>0.36</v>
      </c>
      <c r="I49" s="301">
        <v>0.36</v>
      </c>
      <c r="J49" s="301">
        <v>0.36</v>
      </c>
      <c r="K49" s="301">
        <v>0.36</v>
      </c>
      <c r="L49" s="301">
        <v>0.36</v>
      </c>
      <c r="M49" s="301">
        <v>0.36</v>
      </c>
      <c r="N49" s="301">
        <v>0.36</v>
      </c>
      <c r="O49" s="301">
        <v>0.36</v>
      </c>
      <c r="P49" s="301">
        <v>0.36</v>
      </c>
      <c r="Q49" s="301">
        <v>0.36</v>
      </c>
      <c r="R49" s="301">
        <v>0.36</v>
      </c>
    </row>
    <row r="50" spans="1:18" ht="11.4" x14ac:dyDescent="0.2">
      <c r="A50" s="83" t="s">
        <v>428</v>
      </c>
      <c r="B50" s="83"/>
      <c r="C50" s="301">
        <v>0.87</v>
      </c>
      <c r="D50" s="301">
        <v>0.87</v>
      </c>
      <c r="E50" s="301">
        <v>0.87</v>
      </c>
      <c r="F50" s="301">
        <v>0.87</v>
      </c>
      <c r="G50" s="301">
        <v>0.87</v>
      </c>
      <c r="H50" s="301">
        <v>0.87</v>
      </c>
      <c r="I50" s="301">
        <v>0.87</v>
      </c>
      <c r="J50" s="301">
        <v>0.87</v>
      </c>
      <c r="K50" s="301">
        <v>0.87</v>
      </c>
      <c r="L50" s="301">
        <v>0.87</v>
      </c>
      <c r="M50" s="301">
        <v>0.87</v>
      </c>
      <c r="N50" s="301">
        <v>0.87</v>
      </c>
      <c r="O50" s="301">
        <v>0.87</v>
      </c>
      <c r="P50" s="301">
        <v>0.87</v>
      </c>
      <c r="Q50" s="301">
        <v>0.87</v>
      </c>
      <c r="R50" s="301">
        <v>0.87</v>
      </c>
    </row>
    <row r="51" spans="1:18" ht="11.4" x14ac:dyDescent="0.2">
      <c r="A51" s="83" t="s">
        <v>265</v>
      </c>
      <c r="B51" s="83"/>
      <c r="C51" s="301">
        <v>1.33</v>
      </c>
      <c r="D51" s="301">
        <v>1.33</v>
      </c>
      <c r="E51" s="301">
        <v>1.33</v>
      </c>
      <c r="F51" s="301">
        <v>1.33</v>
      </c>
      <c r="G51" s="301">
        <v>1.33</v>
      </c>
      <c r="H51" s="301">
        <v>1.33</v>
      </c>
      <c r="I51" s="301">
        <v>1.33</v>
      </c>
      <c r="J51" s="301">
        <v>1.33</v>
      </c>
      <c r="K51" s="301">
        <v>1.33</v>
      </c>
      <c r="L51" s="301">
        <v>1.33</v>
      </c>
      <c r="M51" s="301">
        <v>1.33</v>
      </c>
      <c r="N51" s="301">
        <v>1.33</v>
      </c>
      <c r="O51" s="301">
        <v>1.33</v>
      </c>
      <c r="P51" s="301">
        <v>1.33</v>
      </c>
      <c r="Q51" s="301">
        <v>1.33</v>
      </c>
      <c r="R51" s="301">
        <v>1.33</v>
      </c>
    </row>
    <row r="52" spans="1:18" ht="11.4" x14ac:dyDescent="0.2">
      <c r="A52" s="83" t="s">
        <v>266</v>
      </c>
      <c r="B52" s="83"/>
      <c r="C52" s="301">
        <v>2.52</v>
      </c>
      <c r="D52" s="301">
        <v>2.52</v>
      </c>
      <c r="E52" s="301">
        <v>2.52</v>
      </c>
      <c r="F52" s="301">
        <v>2.52</v>
      </c>
      <c r="G52" s="301">
        <v>2.52</v>
      </c>
      <c r="H52" s="301">
        <v>2.52</v>
      </c>
      <c r="I52" s="301">
        <v>2.52</v>
      </c>
      <c r="J52" s="301">
        <v>2.52</v>
      </c>
      <c r="K52" s="301">
        <v>2.52</v>
      </c>
      <c r="L52" s="301">
        <v>2.52</v>
      </c>
      <c r="M52" s="301">
        <v>2.52</v>
      </c>
      <c r="N52" s="301">
        <v>2.52</v>
      </c>
      <c r="O52" s="301">
        <v>2.52</v>
      </c>
      <c r="P52" s="301">
        <v>2.52</v>
      </c>
      <c r="Q52" s="301">
        <v>2.52</v>
      </c>
      <c r="R52" s="301">
        <v>2.52</v>
      </c>
    </row>
    <row r="53" spans="1:18" ht="11.4" x14ac:dyDescent="0.2">
      <c r="A53" s="83"/>
      <c r="B53" s="83"/>
      <c r="C53" s="83"/>
      <c r="D53" s="83"/>
      <c r="E53" s="83"/>
      <c r="F53" s="83"/>
      <c r="G53" s="83"/>
      <c r="H53" s="83"/>
    </row>
    <row r="54" spans="1:18" ht="11.4" x14ac:dyDescent="0.2">
      <c r="A54" s="298" t="s">
        <v>271</v>
      </c>
      <c r="B54" s="83"/>
      <c r="C54" s="83"/>
      <c r="D54" s="83"/>
      <c r="E54" s="83"/>
      <c r="F54" s="83"/>
      <c r="G54" s="83"/>
      <c r="H54" s="83"/>
    </row>
    <row r="55" spans="1:18" ht="12" thickBot="1" x14ac:dyDescent="0.25">
      <c r="A55" s="83"/>
      <c r="B55" s="83"/>
      <c r="C55" s="83"/>
      <c r="D55" s="83"/>
      <c r="E55" s="83"/>
      <c r="F55" s="83"/>
      <c r="G55" s="83"/>
      <c r="H55" s="83"/>
    </row>
    <row r="56" spans="1:18" ht="12" thickBot="1" x14ac:dyDescent="0.25">
      <c r="A56" s="47" t="s">
        <v>256</v>
      </c>
      <c r="B56" s="304"/>
      <c r="C56" s="48">
        <f>C$10</f>
        <v>2028</v>
      </c>
      <c r="D56" s="48">
        <f t="shared" ref="D56:R56" si="10">D$10</f>
        <v>2029</v>
      </c>
      <c r="E56" s="48">
        <f t="shared" si="10"/>
        <v>2030</v>
      </c>
      <c r="F56" s="48">
        <f t="shared" si="10"/>
        <v>2031</v>
      </c>
      <c r="G56" s="48">
        <f t="shared" si="10"/>
        <v>2032</v>
      </c>
      <c r="H56" s="48">
        <f t="shared" si="10"/>
        <v>2033</v>
      </c>
      <c r="I56" s="48">
        <f t="shared" si="10"/>
        <v>2034</v>
      </c>
      <c r="J56" s="48">
        <f t="shared" si="10"/>
        <v>2035</v>
      </c>
      <c r="K56" s="48">
        <f t="shared" si="10"/>
        <v>2036</v>
      </c>
      <c r="L56" s="48">
        <f t="shared" si="10"/>
        <v>2037</v>
      </c>
      <c r="M56" s="48">
        <f t="shared" si="10"/>
        <v>2038</v>
      </c>
      <c r="N56" s="48">
        <f t="shared" si="10"/>
        <v>2039</v>
      </c>
      <c r="O56" s="48">
        <f t="shared" si="10"/>
        <v>2040</v>
      </c>
      <c r="P56" s="48">
        <f t="shared" si="10"/>
        <v>2041</v>
      </c>
      <c r="Q56" s="48">
        <f t="shared" si="10"/>
        <v>2042</v>
      </c>
      <c r="R56" s="48">
        <f t="shared" si="10"/>
        <v>2043</v>
      </c>
    </row>
    <row r="57" spans="1:18" ht="12" thickBot="1" x14ac:dyDescent="0.25">
      <c r="A57" s="83" t="s">
        <v>262</v>
      </c>
      <c r="B57" s="83"/>
      <c r="C57" s="309">
        <f t="shared" ref="C57:R61" si="11">SUMIF($A$115:$A$129,$A57,C$115:C$129)</f>
        <v>88</v>
      </c>
      <c r="D57" s="309">
        <f t="shared" si="11"/>
        <v>1460</v>
      </c>
      <c r="E57" s="309">
        <f t="shared" si="11"/>
        <v>1460</v>
      </c>
      <c r="F57" s="309">
        <f t="shared" si="11"/>
        <v>1460</v>
      </c>
      <c r="G57" s="309">
        <f t="shared" si="11"/>
        <v>1464</v>
      </c>
      <c r="H57" s="309">
        <f t="shared" si="11"/>
        <v>1460</v>
      </c>
      <c r="I57" s="309">
        <f t="shared" si="11"/>
        <v>1460</v>
      </c>
      <c r="J57" s="309">
        <f t="shared" si="11"/>
        <v>1460</v>
      </c>
      <c r="K57" s="309">
        <f t="shared" si="11"/>
        <v>1464</v>
      </c>
      <c r="L57" s="309">
        <f t="shared" si="11"/>
        <v>1460</v>
      </c>
      <c r="M57" s="309">
        <f t="shared" si="11"/>
        <v>1460</v>
      </c>
      <c r="N57" s="309">
        <f t="shared" si="11"/>
        <v>1460</v>
      </c>
      <c r="O57" s="309">
        <f t="shared" si="11"/>
        <v>1464</v>
      </c>
      <c r="P57" s="309">
        <f t="shared" si="11"/>
        <v>1460</v>
      </c>
      <c r="Q57" s="309">
        <f t="shared" si="11"/>
        <v>1460</v>
      </c>
      <c r="R57" s="309">
        <f t="shared" si="11"/>
        <v>1384</v>
      </c>
    </row>
    <row r="58" spans="1:18" ht="12" thickBot="1" x14ac:dyDescent="0.25">
      <c r="A58" s="83" t="s">
        <v>427</v>
      </c>
      <c r="B58" s="83"/>
      <c r="C58" s="309">
        <f t="shared" si="11"/>
        <v>22</v>
      </c>
      <c r="D58" s="309">
        <f t="shared" si="11"/>
        <v>365</v>
      </c>
      <c r="E58" s="309">
        <f t="shared" si="11"/>
        <v>365</v>
      </c>
      <c r="F58" s="309">
        <f t="shared" si="11"/>
        <v>365</v>
      </c>
      <c r="G58" s="309">
        <f t="shared" si="11"/>
        <v>366</v>
      </c>
      <c r="H58" s="309">
        <f t="shared" si="11"/>
        <v>365</v>
      </c>
      <c r="I58" s="309">
        <f t="shared" si="11"/>
        <v>365</v>
      </c>
      <c r="J58" s="309">
        <f t="shared" si="11"/>
        <v>365</v>
      </c>
      <c r="K58" s="309">
        <f t="shared" si="11"/>
        <v>366</v>
      </c>
      <c r="L58" s="309">
        <f t="shared" si="11"/>
        <v>365</v>
      </c>
      <c r="M58" s="309">
        <f t="shared" si="11"/>
        <v>365</v>
      </c>
      <c r="N58" s="309">
        <f t="shared" si="11"/>
        <v>365</v>
      </c>
      <c r="O58" s="309">
        <f t="shared" si="11"/>
        <v>366</v>
      </c>
      <c r="P58" s="309">
        <f t="shared" si="11"/>
        <v>365</v>
      </c>
      <c r="Q58" s="309">
        <f t="shared" si="11"/>
        <v>365</v>
      </c>
      <c r="R58" s="309">
        <f t="shared" si="11"/>
        <v>346</v>
      </c>
    </row>
    <row r="59" spans="1:18" ht="12" thickBot="1" x14ac:dyDescent="0.25">
      <c r="A59" s="83" t="s">
        <v>428</v>
      </c>
      <c r="B59" s="83"/>
      <c r="C59" s="309">
        <f t="shared" si="11"/>
        <v>0</v>
      </c>
      <c r="D59" s="309">
        <f t="shared" si="11"/>
        <v>0</v>
      </c>
      <c r="E59" s="309">
        <f t="shared" si="11"/>
        <v>0</v>
      </c>
      <c r="F59" s="309">
        <f t="shared" si="11"/>
        <v>0</v>
      </c>
      <c r="G59" s="309">
        <f t="shared" si="11"/>
        <v>0</v>
      </c>
      <c r="H59" s="309">
        <f t="shared" si="11"/>
        <v>0</v>
      </c>
      <c r="I59" s="309">
        <f t="shared" si="11"/>
        <v>0</v>
      </c>
      <c r="J59" s="309">
        <f t="shared" si="11"/>
        <v>0</v>
      </c>
      <c r="K59" s="309">
        <f t="shared" si="11"/>
        <v>0</v>
      </c>
      <c r="L59" s="309">
        <f t="shared" si="11"/>
        <v>0</v>
      </c>
      <c r="M59" s="309">
        <f t="shared" si="11"/>
        <v>0</v>
      </c>
      <c r="N59" s="309">
        <f t="shared" si="11"/>
        <v>0</v>
      </c>
      <c r="O59" s="309">
        <f t="shared" si="11"/>
        <v>0</v>
      </c>
      <c r="P59" s="309">
        <f t="shared" si="11"/>
        <v>0</v>
      </c>
      <c r="Q59" s="309">
        <f t="shared" si="11"/>
        <v>0</v>
      </c>
      <c r="R59" s="309">
        <f t="shared" si="11"/>
        <v>0</v>
      </c>
    </row>
    <row r="60" spans="1:18" ht="12" thickBot="1" x14ac:dyDescent="0.25">
      <c r="A60" s="83" t="s">
        <v>265</v>
      </c>
      <c r="B60" s="83"/>
      <c r="C60" s="309">
        <f t="shared" si="11"/>
        <v>0</v>
      </c>
      <c r="D60" s="309">
        <f t="shared" si="11"/>
        <v>0</v>
      </c>
      <c r="E60" s="309">
        <f t="shared" si="11"/>
        <v>0</v>
      </c>
      <c r="F60" s="309">
        <f t="shared" si="11"/>
        <v>0</v>
      </c>
      <c r="G60" s="309">
        <f t="shared" si="11"/>
        <v>0</v>
      </c>
      <c r="H60" s="309">
        <f t="shared" si="11"/>
        <v>0</v>
      </c>
      <c r="I60" s="309">
        <f t="shared" si="11"/>
        <v>0</v>
      </c>
      <c r="J60" s="309">
        <f t="shared" si="11"/>
        <v>0</v>
      </c>
      <c r="K60" s="309">
        <f t="shared" si="11"/>
        <v>0</v>
      </c>
      <c r="L60" s="309">
        <f t="shared" si="11"/>
        <v>0</v>
      </c>
      <c r="M60" s="309">
        <f t="shared" si="11"/>
        <v>0</v>
      </c>
      <c r="N60" s="309">
        <f t="shared" si="11"/>
        <v>0</v>
      </c>
      <c r="O60" s="309">
        <f t="shared" si="11"/>
        <v>0</v>
      </c>
      <c r="P60" s="309">
        <f t="shared" si="11"/>
        <v>0</v>
      </c>
      <c r="Q60" s="309">
        <f t="shared" si="11"/>
        <v>0</v>
      </c>
      <c r="R60" s="309">
        <f t="shared" si="11"/>
        <v>0</v>
      </c>
    </row>
    <row r="61" spans="1:18" ht="12" thickBot="1" x14ac:dyDescent="0.25">
      <c r="A61" s="83" t="s">
        <v>266</v>
      </c>
      <c r="B61" s="83"/>
      <c r="C61" s="309">
        <f t="shared" si="11"/>
        <v>0</v>
      </c>
      <c r="D61" s="309">
        <f t="shared" si="11"/>
        <v>0</v>
      </c>
      <c r="E61" s="309">
        <f t="shared" si="11"/>
        <v>0</v>
      </c>
      <c r="F61" s="309">
        <f t="shared" si="11"/>
        <v>0</v>
      </c>
      <c r="G61" s="309">
        <f t="shared" si="11"/>
        <v>0</v>
      </c>
      <c r="H61" s="309">
        <f t="shared" si="11"/>
        <v>0</v>
      </c>
      <c r="I61" s="309">
        <f t="shared" si="11"/>
        <v>0</v>
      </c>
      <c r="J61" s="309">
        <f t="shared" si="11"/>
        <v>0</v>
      </c>
      <c r="K61" s="309">
        <f t="shared" si="11"/>
        <v>0</v>
      </c>
      <c r="L61" s="309">
        <f t="shared" si="11"/>
        <v>0</v>
      </c>
      <c r="M61" s="309">
        <f t="shared" si="11"/>
        <v>0</v>
      </c>
      <c r="N61" s="309">
        <f t="shared" si="11"/>
        <v>0</v>
      </c>
      <c r="O61" s="309">
        <f t="shared" si="11"/>
        <v>0</v>
      </c>
      <c r="P61" s="309">
        <f t="shared" si="11"/>
        <v>0</v>
      </c>
      <c r="Q61" s="309">
        <f t="shared" si="11"/>
        <v>0</v>
      </c>
      <c r="R61" s="309">
        <f t="shared" si="11"/>
        <v>0</v>
      </c>
    </row>
    <row r="62" spans="1:18" ht="11.4" x14ac:dyDescent="0.2">
      <c r="A62" s="298" t="s">
        <v>292</v>
      </c>
      <c r="B62" s="298"/>
      <c r="C62" s="323">
        <f>SUM(C57:C61)</f>
        <v>110</v>
      </c>
      <c r="D62" s="323">
        <f t="shared" ref="D62:H62" si="12">SUM(D57:D61)</f>
        <v>1825</v>
      </c>
      <c r="E62" s="323">
        <f t="shared" si="12"/>
        <v>1825</v>
      </c>
      <c r="F62" s="323">
        <f t="shared" si="12"/>
        <v>1825</v>
      </c>
      <c r="G62" s="323">
        <f t="shared" si="12"/>
        <v>1830</v>
      </c>
      <c r="H62" s="323">
        <f t="shared" si="12"/>
        <v>1825</v>
      </c>
      <c r="I62" s="323">
        <f t="shared" ref="I62:R62" si="13">SUM(I57:I61)</f>
        <v>1825</v>
      </c>
      <c r="J62" s="323">
        <f t="shared" si="13"/>
        <v>1825</v>
      </c>
      <c r="K62" s="323">
        <f t="shared" si="13"/>
        <v>1830</v>
      </c>
      <c r="L62" s="323">
        <f t="shared" si="13"/>
        <v>1825</v>
      </c>
      <c r="M62" s="323">
        <f t="shared" si="13"/>
        <v>1825</v>
      </c>
      <c r="N62" s="323">
        <f t="shared" si="13"/>
        <v>1825</v>
      </c>
      <c r="O62" s="323">
        <f t="shared" si="13"/>
        <v>1830</v>
      </c>
      <c r="P62" s="323">
        <f t="shared" si="13"/>
        <v>1825</v>
      </c>
      <c r="Q62" s="323">
        <f t="shared" si="13"/>
        <v>1825</v>
      </c>
      <c r="R62" s="323">
        <f t="shared" si="13"/>
        <v>1730</v>
      </c>
    </row>
    <row r="63" spans="1:18" ht="11.4" x14ac:dyDescent="0.2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</row>
    <row r="64" spans="1:18" ht="11.4" x14ac:dyDescent="0.2">
      <c r="A64" s="298" t="s">
        <v>291</v>
      </c>
      <c r="B64" s="298"/>
      <c r="C64" s="308">
        <f>C48*C57+C49*C58+C50*C59+C51*C60+C52*C61</f>
        <v>15.84</v>
      </c>
      <c r="D64" s="308">
        <f t="shared" ref="D64:H64" si="14">D48*D57+D49*D58+D50*D59+D51*D60+D52*D61</f>
        <v>262.8</v>
      </c>
      <c r="E64" s="308">
        <f t="shared" si="14"/>
        <v>262.8</v>
      </c>
      <c r="F64" s="308">
        <f t="shared" si="14"/>
        <v>262.8</v>
      </c>
      <c r="G64" s="308">
        <f t="shared" si="14"/>
        <v>263.52</v>
      </c>
      <c r="H64" s="308">
        <f t="shared" si="14"/>
        <v>262.8</v>
      </c>
      <c r="I64" s="308">
        <f t="shared" ref="I64:R64" si="15">I48*I57+I49*I58+I50*I59+I51*I60+I52*I61</f>
        <v>262.8</v>
      </c>
      <c r="J64" s="308">
        <f t="shared" si="15"/>
        <v>262.8</v>
      </c>
      <c r="K64" s="308">
        <f t="shared" si="15"/>
        <v>263.52</v>
      </c>
      <c r="L64" s="308">
        <f t="shared" si="15"/>
        <v>262.8</v>
      </c>
      <c r="M64" s="308">
        <f t="shared" si="15"/>
        <v>262.8</v>
      </c>
      <c r="N64" s="308">
        <f t="shared" si="15"/>
        <v>262.8</v>
      </c>
      <c r="O64" s="308">
        <f t="shared" si="15"/>
        <v>263.52</v>
      </c>
      <c r="P64" s="308">
        <f t="shared" si="15"/>
        <v>262.8</v>
      </c>
      <c r="Q64" s="308">
        <f t="shared" si="15"/>
        <v>262.8</v>
      </c>
      <c r="R64" s="308">
        <f t="shared" si="15"/>
        <v>249.12</v>
      </c>
    </row>
    <row r="65" spans="1:18" ht="11.4" x14ac:dyDescent="0.2">
      <c r="A65" s="298"/>
      <c r="B65" s="298"/>
      <c r="C65" s="299"/>
      <c r="D65" s="299"/>
      <c r="E65" s="299"/>
      <c r="F65" s="299"/>
      <c r="G65" s="299"/>
      <c r="H65" s="299"/>
    </row>
    <row r="66" spans="1:18" ht="11.4" x14ac:dyDescent="0.2">
      <c r="A66" s="298" t="s">
        <v>274</v>
      </c>
      <c r="B66" s="298"/>
      <c r="C66" s="299"/>
      <c r="D66" s="299"/>
      <c r="E66" s="299"/>
      <c r="F66" s="299"/>
      <c r="G66" s="299"/>
      <c r="H66" s="299"/>
    </row>
    <row r="67" spans="1:18" ht="12" thickBot="1" x14ac:dyDescent="0.25">
      <c r="A67" s="53"/>
      <c r="B67" s="53"/>
      <c r="C67" s="83"/>
      <c r="D67" s="83"/>
      <c r="E67" s="83"/>
      <c r="F67" s="83"/>
      <c r="G67" s="83"/>
      <c r="H67" s="83"/>
    </row>
    <row r="68" spans="1:18" ht="12" thickBot="1" x14ac:dyDescent="0.25">
      <c r="A68" s="47" t="s">
        <v>258</v>
      </c>
      <c r="B68" s="304"/>
      <c r="C68" s="48">
        <f>C$10</f>
        <v>2028</v>
      </c>
      <c r="D68" s="48">
        <f t="shared" ref="D68:R68" si="16">D$10</f>
        <v>2029</v>
      </c>
      <c r="E68" s="48">
        <f t="shared" si="16"/>
        <v>2030</v>
      </c>
      <c r="F68" s="48">
        <f t="shared" si="16"/>
        <v>2031</v>
      </c>
      <c r="G68" s="48">
        <f t="shared" si="16"/>
        <v>2032</v>
      </c>
      <c r="H68" s="48">
        <f t="shared" si="16"/>
        <v>2033</v>
      </c>
      <c r="I68" s="48">
        <f t="shared" si="16"/>
        <v>2034</v>
      </c>
      <c r="J68" s="48">
        <f t="shared" si="16"/>
        <v>2035</v>
      </c>
      <c r="K68" s="48">
        <f t="shared" si="16"/>
        <v>2036</v>
      </c>
      <c r="L68" s="48">
        <f t="shared" si="16"/>
        <v>2037</v>
      </c>
      <c r="M68" s="48">
        <f t="shared" si="16"/>
        <v>2038</v>
      </c>
      <c r="N68" s="48">
        <f t="shared" si="16"/>
        <v>2039</v>
      </c>
      <c r="O68" s="48">
        <f t="shared" si="16"/>
        <v>2040</v>
      </c>
      <c r="P68" s="48">
        <f t="shared" si="16"/>
        <v>2041</v>
      </c>
      <c r="Q68" s="48">
        <f t="shared" si="16"/>
        <v>2042</v>
      </c>
      <c r="R68" s="48">
        <f t="shared" si="16"/>
        <v>2043</v>
      </c>
    </row>
    <row r="69" spans="1:18" ht="11.4" x14ac:dyDescent="0.2">
      <c r="A69" s="296" t="s">
        <v>267</v>
      </c>
      <c r="B69" s="83"/>
      <c r="C69" s="302">
        <v>2.2596999999999999E-2</v>
      </c>
      <c r="D69" s="302">
        <v>2.2596999999999999E-2</v>
      </c>
      <c r="E69" s="302">
        <v>2.2596999999999999E-2</v>
      </c>
      <c r="F69" s="302">
        <v>2.2596999999999999E-2</v>
      </c>
      <c r="G69" s="302">
        <v>2.2596999999999999E-2</v>
      </c>
      <c r="H69" s="302">
        <v>2.2596999999999999E-2</v>
      </c>
      <c r="I69" s="302">
        <v>2.2596999999999999E-2</v>
      </c>
      <c r="J69" s="302">
        <v>2.2596999999999999E-2</v>
      </c>
      <c r="K69" s="302">
        <v>2.2596999999999999E-2</v>
      </c>
      <c r="L69" s="302">
        <v>2.2596999999999999E-2</v>
      </c>
      <c r="M69" s="302">
        <v>2.2596999999999999E-2</v>
      </c>
      <c r="N69" s="302">
        <v>2.2596999999999999E-2</v>
      </c>
      <c r="O69" s="302">
        <v>2.2596999999999999E-2</v>
      </c>
      <c r="P69" s="302">
        <v>2.2596999999999999E-2</v>
      </c>
      <c r="Q69" s="302">
        <v>2.2596999999999999E-2</v>
      </c>
      <c r="R69" s="302">
        <v>2.2596999999999999E-2</v>
      </c>
    </row>
    <row r="70" spans="1:18" ht="12" thickBot="1" x14ac:dyDescent="0.25">
      <c r="A70" s="83"/>
      <c r="B70" s="83"/>
      <c r="C70" s="302"/>
      <c r="D70" s="302"/>
      <c r="E70" s="302"/>
      <c r="F70" s="302"/>
      <c r="G70" s="302"/>
      <c r="H70" s="302"/>
    </row>
    <row r="71" spans="1:18" ht="23.4" thickBot="1" x14ac:dyDescent="0.25">
      <c r="A71" s="47" t="s">
        <v>277</v>
      </c>
      <c r="B71" s="304"/>
      <c r="C71" s="48">
        <f>C$10</f>
        <v>2028</v>
      </c>
      <c r="D71" s="48">
        <f t="shared" ref="D71:R71" si="17">D$10</f>
        <v>2029</v>
      </c>
      <c r="E71" s="48">
        <f t="shared" si="17"/>
        <v>2030</v>
      </c>
      <c r="F71" s="48">
        <f t="shared" si="17"/>
        <v>2031</v>
      </c>
      <c r="G71" s="48">
        <f t="shared" si="17"/>
        <v>2032</v>
      </c>
      <c r="H71" s="48">
        <f t="shared" si="17"/>
        <v>2033</v>
      </c>
      <c r="I71" s="48">
        <f t="shared" si="17"/>
        <v>2034</v>
      </c>
      <c r="J71" s="48">
        <f t="shared" si="17"/>
        <v>2035</v>
      </c>
      <c r="K71" s="48">
        <f t="shared" si="17"/>
        <v>2036</v>
      </c>
      <c r="L71" s="48">
        <f t="shared" si="17"/>
        <v>2037</v>
      </c>
      <c r="M71" s="48">
        <f t="shared" si="17"/>
        <v>2038</v>
      </c>
      <c r="N71" s="48">
        <f t="shared" si="17"/>
        <v>2039</v>
      </c>
      <c r="O71" s="48">
        <f t="shared" si="17"/>
        <v>2040</v>
      </c>
      <c r="P71" s="48">
        <f t="shared" si="17"/>
        <v>2041</v>
      </c>
      <c r="Q71" s="48">
        <f t="shared" si="17"/>
        <v>2042</v>
      </c>
      <c r="R71" s="48">
        <f t="shared" si="17"/>
        <v>2043</v>
      </c>
    </row>
    <row r="72" spans="1:18" ht="11.4" x14ac:dyDescent="0.2">
      <c r="A72" s="296" t="s">
        <v>267</v>
      </c>
      <c r="B72" s="83"/>
      <c r="C72" s="302">
        <v>3.8400000000000001E-4</v>
      </c>
      <c r="D72" s="302">
        <v>3.8400000000000001E-4</v>
      </c>
      <c r="E72" s="302">
        <v>3.8400000000000001E-4</v>
      </c>
      <c r="F72" s="302">
        <v>3.8400000000000001E-4</v>
      </c>
      <c r="G72" s="302">
        <v>3.8400000000000001E-4</v>
      </c>
      <c r="H72" s="302">
        <v>3.8400000000000001E-4</v>
      </c>
      <c r="I72" s="302">
        <v>3.8400000000000001E-4</v>
      </c>
      <c r="J72" s="302">
        <v>3.8400000000000001E-4</v>
      </c>
      <c r="K72" s="302">
        <v>3.8400000000000001E-4</v>
      </c>
      <c r="L72" s="302">
        <v>3.8400000000000001E-4</v>
      </c>
      <c r="M72" s="302">
        <v>3.8400000000000001E-4</v>
      </c>
      <c r="N72" s="302">
        <v>3.8400000000000001E-4</v>
      </c>
      <c r="O72" s="302">
        <v>3.8400000000000001E-4</v>
      </c>
      <c r="P72" s="302">
        <v>3.8400000000000001E-4</v>
      </c>
      <c r="Q72" s="302">
        <v>3.8400000000000001E-4</v>
      </c>
      <c r="R72" s="302">
        <v>3.8400000000000001E-4</v>
      </c>
    </row>
    <row r="73" spans="1:18" ht="11.4" x14ac:dyDescent="0.2">
      <c r="A73" s="83"/>
      <c r="B73" s="83"/>
      <c r="C73" s="302"/>
      <c r="D73" s="302"/>
      <c r="E73" s="302"/>
      <c r="F73" s="302"/>
      <c r="G73" s="302"/>
      <c r="H73" s="302"/>
    </row>
    <row r="74" spans="1:18" ht="11.4" x14ac:dyDescent="0.2">
      <c r="A74" s="298" t="s">
        <v>275</v>
      </c>
      <c r="B74" s="83"/>
      <c r="C74" s="302"/>
      <c r="D74" s="302"/>
      <c r="E74" s="302"/>
      <c r="F74" s="302"/>
      <c r="G74" s="302"/>
      <c r="H74" s="302"/>
    </row>
    <row r="75" spans="1:18" ht="12" thickBot="1" x14ac:dyDescent="0.25">
      <c r="A75" s="83"/>
      <c r="B75" s="83"/>
      <c r="C75" s="83"/>
      <c r="D75" s="83"/>
      <c r="E75" s="83"/>
      <c r="F75" s="83"/>
      <c r="G75" s="83"/>
      <c r="H75" s="83"/>
    </row>
    <row r="76" spans="1:18" ht="12" thickBot="1" x14ac:dyDescent="0.25">
      <c r="A76" s="47" t="s">
        <v>258</v>
      </c>
      <c r="B76" s="47"/>
      <c r="C76" s="48">
        <f>C$10</f>
        <v>2028</v>
      </c>
      <c r="D76" s="48">
        <f t="shared" ref="D76:R76" si="18">D$10</f>
        <v>2029</v>
      </c>
      <c r="E76" s="48">
        <f t="shared" si="18"/>
        <v>2030</v>
      </c>
      <c r="F76" s="48">
        <f t="shared" si="18"/>
        <v>2031</v>
      </c>
      <c r="G76" s="48">
        <f t="shared" si="18"/>
        <v>2032</v>
      </c>
      <c r="H76" s="48">
        <f t="shared" si="18"/>
        <v>2033</v>
      </c>
      <c r="I76" s="48">
        <f t="shared" si="18"/>
        <v>2034</v>
      </c>
      <c r="J76" s="48">
        <f t="shared" si="18"/>
        <v>2035</v>
      </c>
      <c r="K76" s="48">
        <f t="shared" si="18"/>
        <v>2036</v>
      </c>
      <c r="L76" s="48">
        <f t="shared" si="18"/>
        <v>2037</v>
      </c>
      <c r="M76" s="48">
        <f t="shared" si="18"/>
        <v>2038</v>
      </c>
      <c r="N76" s="48">
        <f t="shared" si="18"/>
        <v>2039</v>
      </c>
      <c r="O76" s="48">
        <f t="shared" si="18"/>
        <v>2040</v>
      </c>
      <c r="P76" s="48">
        <f t="shared" si="18"/>
        <v>2041</v>
      </c>
      <c r="Q76" s="48">
        <f t="shared" si="18"/>
        <v>2042</v>
      </c>
      <c r="R76" s="48">
        <f t="shared" si="18"/>
        <v>2043</v>
      </c>
    </row>
    <row r="77" spans="1:18" ht="12" thickBot="1" x14ac:dyDescent="0.25">
      <c r="A77" s="297" t="s">
        <v>268</v>
      </c>
      <c r="B77" s="297"/>
      <c r="C77" s="306"/>
      <c r="D77" s="306"/>
      <c r="E77" s="306"/>
      <c r="F77" s="306"/>
      <c r="G77" s="306"/>
      <c r="H77" s="306"/>
      <c r="I77" s="306"/>
      <c r="J77" s="306"/>
      <c r="K77" s="306"/>
      <c r="L77" s="306"/>
      <c r="M77" s="306"/>
      <c r="N77" s="306"/>
      <c r="O77" s="306"/>
      <c r="P77" s="306"/>
      <c r="Q77" s="306"/>
      <c r="R77" s="306"/>
    </row>
    <row r="78" spans="1:18" ht="11.4" x14ac:dyDescent="0.2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</row>
    <row r="79" spans="1:18" ht="11.4" x14ac:dyDescent="0.2">
      <c r="A79" s="298" t="s">
        <v>288</v>
      </c>
      <c r="B79" s="298"/>
      <c r="C79" s="308">
        <f>(C69+C72)*C77</f>
        <v>0</v>
      </c>
      <c r="D79" s="308">
        <f t="shared" ref="D79:H79" si="19">(D69+D72)*D77</f>
        <v>0</v>
      </c>
      <c r="E79" s="308">
        <f t="shared" si="19"/>
        <v>0</v>
      </c>
      <c r="F79" s="308">
        <f t="shared" si="19"/>
        <v>0</v>
      </c>
      <c r="G79" s="308">
        <f t="shared" si="19"/>
        <v>0</v>
      </c>
      <c r="H79" s="308">
        <f t="shared" si="19"/>
        <v>0</v>
      </c>
      <c r="I79" s="308">
        <f t="shared" ref="I79:R79" si="20">(I69+I72)*I77</f>
        <v>0</v>
      </c>
      <c r="J79" s="308">
        <f t="shared" si="20"/>
        <v>0</v>
      </c>
      <c r="K79" s="308">
        <f t="shared" si="20"/>
        <v>0</v>
      </c>
      <c r="L79" s="308">
        <f t="shared" si="20"/>
        <v>0</v>
      </c>
      <c r="M79" s="308">
        <f t="shared" si="20"/>
        <v>0</v>
      </c>
      <c r="N79" s="308">
        <f t="shared" si="20"/>
        <v>0</v>
      </c>
      <c r="O79" s="308">
        <f t="shared" si="20"/>
        <v>0</v>
      </c>
      <c r="P79" s="308">
        <f t="shared" si="20"/>
        <v>0</v>
      </c>
      <c r="Q79" s="308">
        <f t="shared" si="20"/>
        <v>0</v>
      </c>
      <c r="R79" s="308">
        <f t="shared" si="20"/>
        <v>0</v>
      </c>
    </row>
    <row r="80" spans="1:18" ht="11.4" x14ac:dyDescent="0.2">
      <c r="A80" s="298"/>
      <c r="B80" s="298"/>
      <c r="C80" s="299"/>
      <c r="D80" s="299"/>
      <c r="E80" s="299"/>
      <c r="F80" s="299"/>
      <c r="G80" s="299"/>
      <c r="H80" s="299"/>
    </row>
    <row r="81" spans="1:18" ht="11.4" x14ac:dyDescent="0.2">
      <c r="A81" s="298" t="s">
        <v>278</v>
      </c>
      <c r="B81" s="298"/>
      <c r="C81" s="299"/>
      <c r="D81" s="299"/>
      <c r="E81" s="299"/>
      <c r="F81" s="299"/>
      <c r="G81" s="299"/>
      <c r="H81" s="299"/>
    </row>
    <row r="82" spans="1:18" ht="12" thickBot="1" x14ac:dyDescent="0.25">
      <c r="A82" s="53"/>
      <c r="B82" s="53"/>
      <c r="C82" s="83"/>
      <c r="D82" s="83"/>
      <c r="E82" s="83"/>
      <c r="F82" s="83"/>
      <c r="G82" s="83"/>
      <c r="H82" s="83"/>
    </row>
    <row r="83" spans="1:18" ht="12" thickBot="1" x14ac:dyDescent="0.25">
      <c r="A83" s="47" t="s">
        <v>279</v>
      </c>
      <c r="B83" s="304"/>
      <c r="C83" s="48">
        <f>C$10</f>
        <v>2028</v>
      </c>
      <c r="D83" s="48">
        <f t="shared" ref="D83:R83" si="21">D$10</f>
        <v>2029</v>
      </c>
      <c r="E83" s="48">
        <f t="shared" si="21"/>
        <v>2030</v>
      </c>
      <c r="F83" s="48">
        <f t="shared" si="21"/>
        <v>2031</v>
      </c>
      <c r="G83" s="48">
        <f t="shared" si="21"/>
        <v>2032</v>
      </c>
      <c r="H83" s="48">
        <f t="shared" si="21"/>
        <v>2033</v>
      </c>
      <c r="I83" s="48">
        <f t="shared" si="21"/>
        <v>2034</v>
      </c>
      <c r="J83" s="48">
        <f t="shared" si="21"/>
        <v>2035</v>
      </c>
      <c r="K83" s="48">
        <f t="shared" si="21"/>
        <v>2036</v>
      </c>
      <c r="L83" s="48">
        <f t="shared" si="21"/>
        <v>2037</v>
      </c>
      <c r="M83" s="48">
        <f t="shared" si="21"/>
        <v>2038</v>
      </c>
      <c r="N83" s="48">
        <f t="shared" si="21"/>
        <v>2039</v>
      </c>
      <c r="O83" s="48">
        <f t="shared" si="21"/>
        <v>2040</v>
      </c>
      <c r="P83" s="48">
        <f t="shared" si="21"/>
        <v>2041</v>
      </c>
      <c r="Q83" s="48">
        <f t="shared" si="21"/>
        <v>2042</v>
      </c>
      <c r="R83" s="48">
        <f t="shared" si="21"/>
        <v>2043</v>
      </c>
    </row>
    <row r="84" spans="1:18" ht="11.4" x14ac:dyDescent="0.2">
      <c r="A84" s="83" t="s">
        <v>259</v>
      </c>
      <c r="B84" s="83"/>
      <c r="C84" s="302">
        <v>4.4200000000000003E-2</v>
      </c>
      <c r="D84" s="302">
        <v>4.4200000000000003E-2</v>
      </c>
      <c r="E84" s="302">
        <v>4.4200000000000003E-2</v>
      </c>
      <c r="F84" s="302">
        <v>4.4200000000000003E-2</v>
      </c>
      <c r="G84" s="302">
        <v>4.4200000000000003E-2</v>
      </c>
      <c r="H84" s="302">
        <v>4.4200000000000003E-2</v>
      </c>
      <c r="I84" s="302">
        <v>4.4200000000000003E-2</v>
      </c>
      <c r="J84" s="302">
        <v>4.4200000000000003E-2</v>
      </c>
      <c r="K84" s="302">
        <v>4.4200000000000003E-2</v>
      </c>
      <c r="L84" s="302">
        <v>4.4200000000000003E-2</v>
      </c>
      <c r="M84" s="302">
        <v>4.4200000000000003E-2</v>
      </c>
      <c r="N84" s="302">
        <v>4.4200000000000003E-2</v>
      </c>
      <c r="O84" s="302">
        <v>4.4200000000000003E-2</v>
      </c>
      <c r="P84" s="302">
        <v>4.4200000000000003E-2</v>
      </c>
      <c r="Q84" s="302">
        <v>4.4200000000000003E-2</v>
      </c>
      <c r="R84" s="302">
        <v>4.4200000000000003E-2</v>
      </c>
    </row>
    <row r="85" spans="1:18" ht="11.4" x14ac:dyDescent="0.2">
      <c r="A85" s="83" t="s">
        <v>260</v>
      </c>
      <c r="B85" s="83"/>
      <c r="C85" s="302">
        <v>4.284E-4</v>
      </c>
      <c r="D85" s="302">
        <v>4.284E-4</v>
      </c>
      <c r="E85" s="302">
        <v>4.284E-4</v>
      </c>
      <c r="F85" s="302">
        <v>4.284E-4</v>
      </c>
      <c r="G85" s="302">
        <v>4.284E-4</v>
      </c>
      <c r="H85" s="302">
        <v>4.284E-4</v>
      </c>
      <c r="I85" s="302">
        <v>4.284E-4</v>
      </c>
      <c r="J85" s="302">
        <v>4.284E-4</v>
      </c>
      <c r="K85" s="302">
        <v>4.284E-4</v>
      </c>
      <c r="L85" s="302">
        <v>4.284E-4</v>
      </c>
      <c r="M85" s="302">
        <v>4.284E-4</v>
      </c>
      <c r="N85" s="302">
        <v>4.284E-4</v>
      </c>
      <c r="O85" s="302">
        <v>4.284E-4</v>
      </c>
      <c r="P85" s="302">
        <v>4.284E-4</v>
      </c>
      <c r="Q85" s="302">
        <v>4.284E-4</v>
      </c>
      <c r="R85" s="302">
        <v>4.284E-4</v>
      </c>
    </row>
    <row r="86" spans="1:18" ht="12" thickBot="1" x14ac:dyDescent="0.25">
      <c r="A86" s="83"/>
      <c r="B86" s="83"/>
      <c r="C86" s="303"/>
      <c r="D86" s="303"/>
      <c r="E86" s="303"/>
      <c r="F86" s="303"/>
      <c r="G86" s="303"/>
      <c r="H86" s="303"/>
    </row>
    <row r="87" spans="1:18" ht="12" thickBot="1" x14ac:dyDescent="0.25">
      <c r="A87" s="47" t="s">
        <v>258</v>
      </c>
      <c r="B87" s="47"/>
      <c r="C87" s="48">
        <f>C$10</f>
        <v>2028</v>
      </c>
      <c r="D87" s="48">
        <f t="shared" ref="D87:R87" si="22">D$10</f>
        <v>2029</v>
      </c>
      <c r="E87" s="48">
        <f t="shared" si="22"/>
        <v>2030</v>
      </c>
      <c r="F87" s="48">
        <f t="shared" si="22"/>
        <v>2031</v>
      </c>
      <c r="G87" s="48">
        <f t="shared" si="22"/>
        <v>2032</v>
      </c>
      <c r="H87" s="48">
        <f t="shared" si="22"/>
        <v>2033</v>
      </c>
      <c r="I87" s="48">
        <f t="shared" si="22"/>
        <v>2034</v>
      </c>
      <c r="J87" s="48">
        <f t="shared" si="22"/>
        <v>2035</v>
      </c>
      <c r="K87" s="48">
        <f t="shared" si="22"/>
        <v>2036</v>
      </c>
      <c r="L87" s="48">
        <f t="shared" si="22"/>
        <v>2037</v>
      </c>
      <c r="M87" s="48">
        <f t="shared" si="22"/>
        <v>2038</v>
      </c>
      <c r="N87" s="48">
        <f t="shared" si="22"/>
        <v>2039</v>
      </c>
      <c r="O87" s="48">
        <f t="shared" si="22"/>
        <v>2040</v>
      </c>
      <c r="P87" s="48">
        <f t="shared" si="22"/>
        <v>2041</v>
      </c>
      <c r="Q87" s="48">
        <f t="shared" si="22"/>
        <v>2042</v>
      </c>
      <c r="R87" s="48">
        <f t="shared" si="22"/>
        <v>2043</v>
      </c>
    </row>
    <row r="88" spans="1:18" ht="12" thickBot="1" x14ac:dyDescent="0.25">
      <c r="A88" s="297" t="s">
        <v>280</v>
      </c>
      <c r="B88" s="297"/>
      <c r="C88" s="306"/>
      <c r="D88" s="306"/>
      <c r="E88" s="306"/>
      <c r="F88" s="306"/>
      <c r="G88" s="306"/>
      <c r="H88" s="306"/>
      <c r="I88" s="306"/>
      <c r="J88" s="306"/>
      <c r="K88" s="306"/>
      <c r="L88" s="306"/>
      <c r="M88" s="306"/>
      <c r="N88" s="306"/>
      <c r="O88" s="306"/>
      <c r="P88" s="306"/>
      <c r="Q88" s="306"/>
      <c r="R88" s="306"/>
    </row>
    <row r="89" spans="1:18" ht="12" thickBot="1" x14ac:dyDescent="0.25">
      <c r="A89" s="297" t="s">
        <v>281</v>
      </c>
      <c r="B89" s="297"/>
      <c r="C89" s="306"/>
      <c r="D89" s="306"/>
      <c r="E89" s="306"/>
      <c r="F89" s="306"/>
      <c r="G89" s="306"/>
      <c r="H89" s="306"/>
      <c r="I89" s="306"/>
      <c r="J89" s="306"/>
      <c r="K89" s="306"/>
      <c r="L89" s="306"/>
      <c r="M89" s="306"/>
      <c r="N89" s="306"/>
      <c r="O89" s="306"/>
      <c r="P89" s="306"/>
      <c r="Q89" s="306"/>
      <c r="R89" s="306"/>
    </row>
    <row r="90" spans="1:18" ht="11.4" x14ac:dyDescent="0.2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</row>
    <row r="91" spans="1:18" ht="11.4" x14ac:dyDescent="0.2">
      <c r="A91" s="298" t="s">
        <v>288</v>
      </c>
      <c r="B91" s="298"/>
      <c r="C91" s="308">
        <f>C84*C88+C85*C89</f>
        <v>0</v>
      </c>
      <c r="D91" s="308">
        <f t="shared" ref="D91:H91" si="23">D84*D88+D85*D89</f>
        <v>0</v>
      </c>
      <c r="E91" s="308">
        <f t="shared" si="23"/>
        <v>0</v>
      </c>
      <c r="F91" s="308">
        <f t="shared" si="23"/>
        <v>0</v>
      </c>
      <c r="G91" s="308">
        <f t="shared" si="23"/>
        <v>0</v>
      </c>
      <c r="H91" s="308">
        <f t="shared" si="23"/>
        <v>0</v>
      </c>
      <c r="I91" s="308">
        <f t="shared" ref="I91:R91" si="24">I84*I88+I85*I89</f>
        <v>0</v>
      </c>
      <c r="J91" s="308">
        <f t="shared" si="24"/>
        <v>0</v>
      </c>
      <c r="K91" s="308">
        <f t="shared" si="24"/>
        <v>0</v>
      </c>
      <c r="L91" s="308">
        <f t="shared" si="24"/>
        <v>0</v>
      </c>
      <c r="M91" s="308">
        <f t="shared" si="24"/>
        <v>0</v>
      </c>
      <c r="N91" s="308">
        <f t="shared" si="24"/>
        <v>0</v>
      </c>
      <c r="O91" s="308">
        <f t="shared" si="24"/>
        <v>0</v>
      </c>
      <c r="P91" s="308">
        <f t="shared" si="24"/>
        <v>0</v>
      </c>
      <c r="Q91" s="308">
        <f t="shared" si="24"/>
        <v>0</v>
      </c>
      <c r="R91" s="308">
        <f t="shared" si="24"/>
        <v>0</v>
      </c>
    </row>
    <row r="92" spans="1:18" ht="11.4" x14ac:dyDescent="0.2">
      <c r="A92" s="53"/>
      <c r="B92" s="53"/>
      <c r="C92" s="83"/>
      <c r="D92" s="83"/>
      <c r="E92" s="83"/>
      <c r="F92" s="83"/>
      <c r="G92" s="83"/>
      <c r="H92" s="83"/>
    </row>
    <row r="93" spans="1:18" ht="11.4" x14ac:dyDescent="0.2">
      <c r="A93" s="298" t="s">
        <v>282</v>
      </c>
      <c r="B93" s="53"/>
      <c r="C93" s="83"/>
      <c r="D93" s="83"/>
      <c r="E93" s="83"/>
      <c r="F93" s="83"/>
      <c r="G93" s="83"/>
      <c r="H93" s="83"/>
    </row>
    <row r="94" spans="1:18" ht="12" thickBot="1" x14ac:dyDescent="0.25">
      <c r="A94" s="53"/>
      <c r="B94" s="53"/>
      <c r="C94" s="83"/>
      <c r="D94" s="83"/>
      <c r="E94" s="83"/>
      <c r="F94" s="83"/>
      <c r="G94" s="83"/>
      <c r="H94" s="83"/>
    </row>
    <row r="95" spans="1:18" ht="23.4" thickBot="1" x14ac:dyDescent="0.25">
      <c r="A95" s="47" t="s">
        <v>283</v>
      </c>
      <c r="B95" s="304"/>
      <c r="C95" s="48">
        <f>C$10</f>
        <v>2028</v>
      </c>
      <c r="D95" s="48">
        <f t="shared" ref="D95:R95" si="25">D$10</f>
        <v>2029</v>
      </c>
      <c r="E95" s="48">
        <f t="shared" si="25"/>
        <v>2030</v>
      </c>
      <c r="F95" s="48">
        <f t="shared" si="25"/>
        <v>2031</v>
      </c>
      <c r="G95" s="48">
        <f t="shared" si="25"/>
        <v>2032</v>
      </c>
      <c r="H95" s="48">
        <f t="shared" si="25"/>
        <v>2033</v>
      </c>
      <c r="I95" s="48">
        <f t="shared" si="25"/>
        <v>2034</v>
      </c>
      <c r="J95" s="48">
        <f t="shared" si="25"/>
        <v>2035</v>
      </c>
      <c r="K95" s="48">
        <f t="shared" si="25"/>
        <v>2036</v>
      </c>
      <c r="L95" s="48">
        <f t="shared" si="25"/>
        <v>2037</v>
      </c>
      <c r="M95" s="48">
        <f t="shared" si="25"/>
        <v>2038</v>
      </c>
      <c r="N95" s="48">
        <f t="shared" si="25"/>
        <v>2039</v>
      </c>
      <c r="O95" s="48">
        <f t="shared" si="25"/>
        <v>2040</v>
      </c>
      <c r="P95" s="48">
        <f t="shared" si="25"/>
        <v>2041</v>
      </c>
      <c r="Q95" s="48">
        <f t="shared" si="25"/>
        <v>2042</v>
      </c>
      <c r="R95" s="48">
        <f t="shared" si="25"/>
        <v>2043</v>
      </c>
    </row>
    <row r="96" spans="1:18" ht="11.4" x14ac:dyDescent="0.2">
      <c r="A96" s="83" t="s">
        <v>262</v>
      </c>
      <c r="B96" s="83" t="s">
        <v>91</v>
      </c>
      <c r="C96" s="301">
        <v>2.88</v>
      </c>
      <c r="D96" s="301">
        <v>2.88</v>
      </c>
      <c r="E96" s="301">
        <v>2.88</v>
      </c>
      <c r="F96" s="301">
        <v>2.88</v>
      </c>
      <c r="G96" s="301">
        <v>2.88</v>
      </c>
      <c r="H96" s="301">
        <v>2.88</v>
      </c>
      <c r="I96" s="301">
        <v>2.88</v>
      </c>
      <c r="J96" s="301">
        <v>2.88</v>
      </c>
      <c r="K96" s="301">
        <v>2.88</v>
      </c>
      <c r="L96" s="301">
        <v>2.88</v>
      </c>
      <c r="M96" s="301">
        <v>2.88</v>
      </c>
      <c r="N96" s="301">
        <v>2.88</v>
      </c>
      <c r="O96" s="301">
        <v>2.88</v>
      </c>
      <c r="P96" s="301">
        <v>2.88</v>
      </c>
      <c r="Q96" s="301">
        <v>2.88</v>
      </c>
      <c r="R96" s="301">
        <v>2.88</v>
      </c>
    </row>
    <row r="97" spans="1:18" ht="11.4" x14ac:dyDescent="0.2">
      <c r="A97" s="83" t="s">
        <v>263</v>
      </c>
      <c r="B97" s="83" t="s">
        <v>91</v>
      </c>
      <c r="C97" s="301">
        <v>3.94</v>
      </c>
      <c r="D97" s="301">
        <v>3.94</v>
      </c>
      <c r="E97" s="301">
        <v>3.94</v>
      </c>
      <c r="F97" s="301">
        <v>3.94</v>
      </c>
      <c r="G97" s="301">
        <v>3.94</v>
      </c>
      <c r="H97" s="301">
        <v>3.94</v>
      </c>
      <c r="I97" s="301">
        <v>3.94</v>
      </c>
      <c r="J97" s="301">
        <v>3.94</v>
      </c>
      <c r="K97" s="301">
        <v>3.94</v>
      </c>
      <c r="L97" s="301">
        <v>3.94</v>
      </c>
      <c r="M97" s="301">
        <v>3.94</v>
      </c>
      <c r="N97" s="301">
        <v>3.94</v>
      </c>
      <c r="O97" s="301">
        <v>3.94</v>
      </c>
      <c r="P97" s="301">
        <v>3.94</v>
      </c>
      <c r="Q97" s="301">
        <v>3.94</v>
      </c>
      <c r="R97" s="301">
        <v>3.94</v>
      </c>
    </row>
    <row r="98" spans="1:18" ht="11.4" x14ac:dyDescent="0.2">
      <c r="A98" s="83" t="s">
        <v>264</v>
      </c>
      <c r="B98" s="83" t="s">
        <v>91</v>
      </c>
      <c r="C98" s="301">
        <v>6.52</v>
      </c>
      <c r="D98" s="301">
        <v>6.52</v>
      </c>
      <c r="E98" s="301">
        <v>6.52</v>
      </c>
      <c r="F98" s="301">
        <v>6.52</v>
      </c>
      <c r="G98" s="301">
        <v>6.52</v>
      </c>
      <c r="H98" s="301">
        <v>6.52</v>
      </c>
      <c r="I98" s="301">
        <v>6.52</v>
      </c>
      <c r="J98" s="301">
        <v>6.52</v>
      </c>
      <c r="K98" s="301">
        <v>6.52</v>
      </c>
      <c r="L98" s="301">
        <v>6.52</v>
      </c>
      <c r="M98" s="301">
        <v>6.52</v>
      </c>
      <c r="N98" s="301">
        <v>6.52</v>
      </c>
      <c r="O98" s="301">
        <v>6.52</v>
      </c>
      <c r="P98" s="301">
        <v>6.52</v>
      </c>
      <c r="Q98" s="301">
        <v>6.52</v>
      </c>
      <c r="R98" s="301">
        <v>6.52</v>
      </c>
    </row>
    <row r="99" spans="1:18" ht="11.4" x14ac:dyDescent="0.2">
      <c r="A99" s="83" t="s">
        <v>265</v>
      </c>
      <c r="B99" s="83" t="s">
        <v>91</v>
      </c>
      <c r="C99" s="301">
        <v>8.34</v>
      </c>
      <c r="D99" s="301">
        <v>8.34</v>
      </c>
      <c r="E99" s="301">
        <v>8.34</v>
      </c>
      <c r="F99" s="301">
        <v>8.34</v>
      </c>
      <c r="G99" s="301">
        <v>8.34</v>
      </c>
      <c r="H99" s="301">
        <v>8.34</v>
      </c>
      <c r="I99" s="301">
        <v>8.34</v>
      </c>
      <c r="J99" s="301">
        <v>8.34</v>
      </c>
      <c r="K99" s="301">
        <v>8.34</v>
      </c>
      <c r="L99" s="301">
        <v>8.34</v>
      </c>
      <c r="M99" s="301">
        <v>8.34</v>
      </c>
      <c r="N99" s="301">
        <v>8.34</v>
      </c>
      <c r="O99" s="301">
        <v>8.34</v>
      </c>
      <c r="P99" s="301">
        <v>8.34</v>
      </c>
      <c r="Q99" s="301">
        <v>8.34</v>
      </c>
      <c r="R99" s="301">
        <v>8.34</v>
      </c>
    </row>
    <row r="100" spans="1:18" ht="11.4" x14ac:dyDescent="0.2">
      <c r="A100" s="83" t="s">
        <v>266</v>
      </c>
      <c r="B100" s="83" t="s">
        <v>91</v>
      </c>
      <c r="C100" s="301">
        <v>17.75</v>
      </c>
      <c r="D100" s="301">
        <v>17.75</v>
      </c>
      <c r="E100" s="301">
        <v>17.75</v>
      </c>
      <c r="F100" s="301">
        <v>17.75</v>
      </c>
      <c r="G100" s="301">
        <v>17.75</v>
      </c>
      <c r="H100" s="301">
        <v>17.75</v>
      </c>
      <c r="I100" s="301">
        <v>17.75</v>
      </c>
      <c r="J100" s="301">
        <v>17.75</v>
      </c>
      <c r="K100" s="301">
        <v>17.75</v>
      </c>
      <c r="L100" s="301">
        <v>17.75</v>
      </c>
      <c r="M100" s="301">
        <v>17.75</v>
      </c>
      <c r="N100" s="301">
        <v>17.75</v>
      </c>
      <c r="O100" s="301">
        <v>17.75</v>
      </c>
      <c r="P100" s="301">
        <v>17.75</v>
      </c>
      <c r="Q100" s="301">
        <v>17.75</v>
      </c>
      <c r="R100" s="301">
        <v>17.75</v>
      </c>
    </row>
    <row r="101" spans="1:18" ht="11.4" x14ac:dyDescent="0.2">
      <c r="A101" s="83" t="s">
        <v>262</v>
      </c>
      <c r="B101" s="83" t="s">
        <v>98</v>
      </c>
      <c r="C101" s="301">
        <v>7.53</v>
      </c>
      <c r="D101" s="301">
        <v>7.53</v>
      </c>
      <c r="E101" s="301">
        <v>7.53</v>
      </c>
      <c r="F101" s="301">
        <v>7.53</v>
      </c>
      <c r="G101" s="301">
        <v>7.53</v>
      </c>
      <c r="H101" s="301">
        <v>7.53</v>
      </c>
      <c r="I101" s="301">
        <v>7.53</v>
      </c>
      <c r="J101" s="301">
        <v>7.53</v>
      </c>
      <c r="K101" s="301">
        <v>7.53</v>
      </c>
      <c r="L101" s="301">
        <v>7.53</v>
      </c>
      <c r="M101" s="301">
        <v>7.53</v>
      </c>
      <c r="N101" s="301">
        <v>7.53</v>
      </c>
      <c r="O101" s="301">
        <v>7.53</v>
      </c>
      <c r="P101" s="301">
        <v>7.53</v>
      </c>
      <c r="Q101" s="301">
        <v>7.53</v>
      </c>
      <c r="R101" s="301">
        <v>7.53</v>
      </c>
    </row>
    <row r="102" spans="1:18" ht="11.4" x14ac:dyDescent="0.2">
      <c r="A102" s="83" t="s">
        <v>263</v>
      </c>
      <c r="B102" s="83" t="s">
        <v>98</v>
      </c>
      <c r="C102" s="301">
        <v>10.3</v>
      </c>
      <c r="D102" s="301">
        <v>10.3</v>
      </c>
      <c r="E102" s="301">
        <v>10.3</v>
      </c>
      <c r="F102" s="301">
        <v>10.3</v>
      </c>
      <c r="G102" s="301">
        <v>10.3</v>
      </c>
      <c r="H102" s="301">
        <v>10.3</v>
      </c>
      <c r="I102" s="301">
        <v>10.3</v>
      </c>
      <c r="J102" s="301">
        <v>10.3</v>
      </c>
      <c r="K102" s="301">
        <v>10.3</v>
      </c>
      <c r="L102" s="301">
        <v>10.3</v>
      </c>
      <c r="M102" s="301">
        <v>10.3</v>
      </c>
      <c r="N102" s="301">
        <v>10.3</v>
      </c>
      <c r="O102" s="301">
        <v>10.3</v>
      </c>
      <c r="P102" s="301">
        <v>10.3</v>
      </c>
      <c r="Q102" s="301">
        <v>10.3</v>
      </c>
      <c r="R102" s="301">
        <v>10.3</v>
      </c>
    </row>
    <row r="103" spans="1:18" ht="11.4" x14ac:dyDescent="0.2">
      <c r="A103" s="83" t="s">
        <v>264</v>
      </c>
      <c r="B103" s="83" t="s">
        <v>98</v>
      </c>
      <c r="C103" s="301">
        <v>17.04</v>
      </c>
      <c r="D103" s="301">
        <v>17.04</v>
      </c>
      <c r="E103" s="301">
        <v>17.04</v>
      </c>
      <c r="F103" s="301">
        <v>17.04</v>
      </c>
      <c r="G103" s="301">
        <v>17.04</v>
      </c>
      <c r="H103" s="301">
        <v>17.04</v>
      </c>
      <c r="I103" s="301">
        <v>17.04</v>
      </c>
      <c r="J103" s="301">
        <v>17.04</v>
      </c>
      <c r="K103" s="301">
        <v>17.04</v>
      </c>
      <c r="L103" s="301">
        <v>17.04</v>
      </c>
      <c r="M103" s="301">
        <v>17.04</v>
      </c>
      <c r="N103" s="301">
        <v>17.04</v>
      </c>
      <c r="O103" s="301">
        <v>17.04</v>
      </c>
      <c r="P103" s="301">
        <v>17.04</v>
      </c>
      <c r="Q103" s="301">
        <v>17.04</v>
      </c>
      <c r="R103" s="301">
        <v>17.04</v>
      </c>
    </row>
    <row r="104" spans="1:18" ht="11.4" x14ac:dyDescent="0.2">
      <c r="A104" s="83" t="s">
        <v>265</v>
      </c>
      <c r="B104" s="83" t="s">
        <v>98</v>
      </c>
      <c r="C104" s="301">
        <v>21.78</v>
      </c>
      <c r="D104" s="301">
        <v>21.78</v>
      </c>
      <c r="E104" s="301">
        <v>21.78</v>
      </c>
      <c r="F104" s="301">
        <v>21.78</v>
      </c>
      <c r="G104" s="301">
        <v>21.78</v>
      </c>
      <c r="H104" s="301">
        <v>21.78</v>
      </c>
      <c r="I104" s="301">
        <v>21.78</v>
      </c>
      <c r="J104" s="301">
        <v>21.78</v>
      </c>
      <c r="K104" s="301">
        <v>21.78</v>
      </c>
      <c r="L104" s="301">
        <v>21.78</v>
      </c>
      <c r="M104" s="301">
        <v>21.78</v>
      </c>
      <c r="N104" s="301">
        <v>21.78</v>
      </c>
      <c r="O104" s="301">
        <v>21.78</v>
      </c>
      <c r="P104" s="301">
        <v>21.78</v>
      </c>
      <c r="Q104" s="301">
        <v>21.78</v>
      </c>
      <c r="R104" s="301">
        <v>21.78</v>
      </c>
    </row>
    <row r="105" spans="1:18" ht="11.4" x14ac:dyDescent="0.2">
      <c r="A105" s="83" t="s">
        <v>266</v>
      </c>
      <c r="B105" s="83" t="s">
        <v>98</v>
      </c>
      <c r="C105" s="301">
        <v>46.37</v>
      </c>
      <c r="D105" s="301">
        <v>46.37</v>
      </c>
      <c r="E105" s="301">
        <v>46.37</v>
      </c>
      <c r="F105" s="301">
        <v>46.37</v>
      </c>
      <c r="G105" s="301">
        <v>46.37</v>
      </c>
      <c r="H105" s="301">
        <v>46.37</v>
      </c>
      <c r="I105" s="301">
        <v>46.37</v>
      </c>
      <c r="J105" s="301">
        <v>46.37</v>
      </c>
      <c r="K105" s="301">
        <v>46.37</v>
      </c>
      <c r="L105" s="301">
        <v>46.37</v>
      </c>
      <c r="M105" s="301">
        <v>46.37</v>
      </c>
      <c r="N105" s="301">
        <v>46.37</v>
      </c>
      <c r="O105" s="301">
        <v>46.37</v>
      </c>
      <c r="P105" s="301">
        <v>46.37</v>
      </c>
      <c r="Q105" s="301">
        <v>46.37</v>
      </c>
      <c r="R105" s="301">
        <v>46.37</v>
      </c>
    </row>
    <row r="106" spans="1:18" ht="11.4" x14ac:dyDescent="0.2">
      <c r="A106" s="83" t="s">
        <v>262</v>
      </c>
      <c r="B106" s="83" t="s">
        <v>100</v>
      </c>
      <c r="C106" s="301">
        <v>9.06</v>
      </c>
      <c r="D106" s="301">
        <v>9.06</v>
      </c>
      <c r="E106" s="301">
        <v>9.06</v>
      </c>
      <c r="F106" s="301">
        <v>9.06</v>
      </c>
      <c r="G106" s="301">
        <v>9.06</v>
      </c>
      <c r="H106" s="301">
        <v>9.06</v>
      </c>
      <c r="I106" s="301">
        <v>9.06</v>
      </c>
      <c r="J106" s="301">
        <v>9.06</v>
      </c>
      <c r="K106" s="301">
        <v>9.06</v>
      </c>
      <c r="L106" s="301">
        <v>9.06</v>
      </c>
      <c r="M106" s="301">
        <v>9.06</v>
      </c>
      <c r="N106" s="301">
        <v>9.06</v>
      </c>
      <c r="O106" s="301">
        <v>9.06</v>
      </c>
      <c r="P106" s="301">
        <v>9.06</v>
      </c>
      <c r="Q106" s="301">
        <v>9.06</v>
      </c>
      <c r="R106" s="301">
        <v>9.06</v>
      </c>
    </row>
    <row r="107" spans="1:18" ht="11.4" x14ac:dyDescent="0.2">
      <c r="A107" s="83" t="s">
        <v>263</v>
      </c>
      <c r="B107" s="83" t="s">
        <v>100</v>
      </c>
      <c r="C107" s="301">
        <v>12.39</v>
      </c>
      <c r="D107" s="301">
        <v>12.39</v>
      </c>
      <c r="E107" s="301">
        <v>12.39</v>
      </c>
      <c r="F107" s="301">
        <v>12.39</v>
      </c>
      <c r="G107" s="301">
        <v>12.39</v>
      </c>
      <c r="H107" s="301">
        <v>12.39</v>
      </c>
      <c r="I107" s="301">
        <v>12.39</v>
      </c>
      <c r="J107" s="301">
        <v>12.39</v>
      </c>
      <c r="K107" s="301">
        <v>12.39</v>
      </c>
      <c r="L107" s="301">
        <v>12.39</v>
      </c>
      <c r="M107" s="301">
        <v>12.39</v>
      </c>
      <c r="N107" s="301">
        <v>12.39</v>
      </c>
      <c r="O107" s="301">
        <v>12.39</v>
      </c>
      <c r="P107" s="301">
        <v>12.39</v>
      </c>
      <c r="Q107" s="301">
        <v>12.39</v>
      </c>
      <c r="R107" s="301">
        <v>12.39</v>
      </c>
    </row>
    <row r="108" spans="1:18" ht="11.4" x14ac:dyDescent="0.2">
      <c r="A108" s="83" t="s">
        <v>264</v>
      </c>
      <c r="B108" s="83" t="s">
        <v>100</v>
      </c>
      <c r="C108" s="301">
        <v>20.51</v>
      </c>
      <c r="D108" s="301">
        <v>20.51</v>
      </c>
      <c r="E108" s="301">
        <v>20.51</v>
      </c>
      <c r="F108" s="301">
        <v>20.51</v>
      </c>
      <c r="G108" s="301">
        <v>20.51</v>
      </c>
      <c r="H108" s="301">
        <v>20.51</v>
      </c>
      <c r="I108" s="301">
        <v>20.51</v>
      </c>
      <c r="J108" s="301">
        <v>20.51</v>
      </c>
      <c r="K108" s="301">
        <v>20.51</v>
      </c>
      <c r="L108" s="301">
        <v>20.51</v>
      </c>
      <c r="M108" s="301">
        <v>20.51</v>
      </c>
      <c r="N108" s="301">
        <v>20.51</v>
      </c>
      <c r="O108" s="301">
        <v>20.51</v>
      </c>
      <c r="P108" s="301">
        <v>20.51</v>
      </c>
      <c r="Q108" s="301">
        <v>20.51</v>
      </c>
      <c r="R108" s="301">
        <v>20.51</v>
      </c>
    </row>
    <row r="109" spans="1:18" ht="11.4" x14ac:dyDescent="0.2">
      <c r="A109" s="83" t="s">
        <v>265</v>
      </c>
      <c r="B109" s="83" t="s">
        <v>100</v>
      </c>
      <c r="C109" s="301">
        <v>26.22</v>
      </c>
      <c r="D109" s="301">
        <v>26.22</v>
      </c>
      <c r="E109" s="301">
        <v>26.22</v>
      </c>
      <c r="F109" s="301">
        <v>26.22</v>
      </c>
      <c r="G109" s="301">
        <v>26.22</v>
      </c>
      <c r="H109" s="301">
        <v>26.22</v>
      </c>
      <c r="I109" s="301">
        <v>26.22</v>
      </c>
      <c r="J109" s="301">
        <v>26.22</v>
      </c>
      <c r="K109" s="301">
        <v>26.22</v>
      </c>
      <c r="L109" s="301">
        <v>26.22</v>
      </c>
      <c r="M109" s="301">
        <v>26.22</v>
      </c>
      <c r="N109" s="301">
        <v>26.22</v>
      </c>
      <c r="O109" s="301">
        <v>26.22</v>
      </c>
      <c r="P109" s="301">
        <v>26.22</v>
      </c>
      <c r="Q109" s="301">
        <v>26.22</v>
      </c>
      <c r="R109" s="301">
        <v>26.22</v>
      </c>
    </row>
    <row r="110" spans="1:18" ht="11.4" x14ac:dyDescent="0.2">
      <c r="A110" s="83" t="s">
        <v>266</v>
      </c>
      <c r="B110" s="83" t="s">
        <v>100</v>
      </c>
      <c r="C110" s="301">
        <v>55.81</v>
      </c>
      <c r="D110" s="301">
        <v>55.81</v>
      </c>
      <c r="E110" s="301">
        <v>55.81</v>
      </c>
      <c r="F110" s="301">
        <v>55.81</v>
      </c>
      <c r="G110" s="301">
        <v>55.81</v>
      </c>
      <c r="H110" s="301">
        <v>55.81</v>
      </c>
      <c r="I110" s="301">
        <v>55.81</v>
      </c>
      <c r="J110" s="301">
        <v>55.81</v>
      </c>
      <c r="K110" s="301">
        <v>55.81</v>
      </c>
      <c r="L110" s="301">
        <v>55.81</v>
      </c>
      <c r="M110" s="301">
        <v>55.81</v>
      </c>
      <c r="N110" s="301">
        <v>55.81</v>
      </c>
      <c r="O110" s="301">
        <v>55.81</v>
      </c>
      <c r="P110" s="301">
        <v>55.81</v>
      </c>
      <c r="Q110" s="301">
        <v>55.81</v>
      </c>
      <c r="R110" s="301">
        <v>55.81</v>
      </c>
    </row>
    <row r="111" spans="1:18" ht="11.4" x14ac:dyDescent="0.2">
      <c r="A111" s="83"/>
      <c r="B111" s="83"/>
      <c r="C111" s="301"/>
      <c r="D111" s="301"/>
      <c r="E111" s="301"/>
      <c r="F111" s="301"/>
      <c r="G111" s="301"/>
      <c r="H111" s="301"/>
    </row>
    <row r="112" spans="1:18" ht="11.4" x14ac:dyDescent="0.2">
      <c r="A112" s="298" t="s">
        <v>284</v>
      </c>
      <c r="B112" s="83"/>
      <c r="C112" s="301"/>
      <c r="D112" s="301"/>
      <c r="E112" s="301"/>
      <c r="F112" s="301"/>
      <c r="G112" s="301"/>
      <c r="H112" s="301"/>
    </row>
    <row r="113" spans="1:18" ht="12" thickBot="1" x14ac:dyDescent="0.25">
      <c r="A113" s="53"/>
      <c r="B113" s="53"/>
      <c r="C113" s="83"/>
      <c r="D113" s="83"/>
      <c r="E113" s="83"/>
      <c r="F113" s="83"/>
      <c r="G113" s="83"/>
      <c r="H113" s="83"/>
    </row>
    <row r="114" spans="1:18" ht="23.4" thickBot="1" x14ac:dyDescent="0.25">
      <c r="A114" s="47" t="s">
        <v>283</v>
      </c>
      <c r="B114" s="47"/>
      <c r="C114" s="48">
        <f>C$10</f>
        <v>2028</v>
      </c>
      <c r="D114" s="48">
        <f t="shared" ref="D114:R114" si="26">D$10</f>
        <v>2029</v>
      </c>
      <c r="E114" s="48">
        <f t="shared" si="26"/>
        <v>2030</v>
      </c>
      <c r="F114" s="48">
        <f t="shared" si="26"/>
        <v>2031</v>
      </c>
      <c r="G114" s="48">
        <f t="shared" si="26"/>
        <v>2032</v>
      </c>
      <c r="H114" s="48">
        <f t="shared" si="26"/>
        <v>2033</v>
      </c>
      <c r="I114" s="48">
        <f t="shared" si="26"/>
        <v>2034</v>
      </c>
      <c r="J114" s="48">
        <f t="shared" si="26"/>
        <v>2035</v>
      </c>
      <c r="K114" s="48">
        <f t="shared" si="26"/>
        <v>2036</v>
      </c>
      <c r="L114" s="48">
        <f t="shared" si="26"/>
        <v>2037</v>
      </c>
      <c r="M114" s="48">
        <f t="shared" si="26"/>
        <v>2038</v>
      </c>
      <c r="N114" s="48">
        <f t="shared" si="26"/>
        <v>2039</v>
      </c>
      <c r="O114" s="48">
        <f t="shared" si="26"/>
        <v>2040</v>
      </c>
      <c r="P114" s="48">
        <f t="shared" si="26"/>
        <v>2041</v>
      </c>
      <c r="Q114" s="48">
        <f t="shared" si="26"/>
        <v>2042</v>
      </c>
      <c r="R114" s="48">
        <f t="shared" si="26"/>
        <v>2043</v>
      </c>
    </row>
    <row r="115" spans="1:18" ht="12" thickBot="1" x14ac:dyDescent="0.25">
      <c r="A115" s="83" t="s">
        <v>262</v>
      </c>
      <c r="B115" s="83" t="s">
        <v>91</v>
      </c>
      <c r="C115" s="597">
        <f>'L.01 DRK AL-HA'!$T$51/365*FEO!G8</f>
        <v>88</v>
      </c>
      <c r="D115" s="597">
        <f>'L.01 DRK AL-HA'!$T$51/365*FEO!H8</f>
        <v>1460</v>
      </c>
      <c r="E115" s="597">
        <f>'L.01 DRK AL-HA'!$T$51/365*FEO!I8</f>
        <v>1460</v>
      </c>
      <c r="F115" s="597">
        <f>'L.01 DRK AL-HA'!$T$51/365*FEO!J8</f>
        <v>1460</v>
      </c>
      <c r="G115" s="597">
        <f>'L.01 DRK AL-HA'!$T$51/365*FEO!K8</f>
        <v>1464</v>
      </c>
      <c r="H115" s="597">
        <f>'L.01 DRK AL-HA'!$T$51/365*FEO!L8</f>
        <v>1460</v>
      </c>
      <c r="I115" s="597">
        <f>'L.01 DRK AL-HA'!$T$51/365*FEO!M8</f>
        <v>1460</v>
      </c>
      <c r="J115" s="597">
        <f>'L.01 DRK AL-HA'!$T$51/365*FEO!N8</f>
        <v>1460</v>
      </c>
      <c r="K115" s="597">
        <f>'L.01 DRK AL-HA'!$T$51/365*FEO!O8</f>
        <v>1464</v>
      </c>
      <c r="L115" s="597">
        <f>'L.01 DRK AL-HA'!$T$51/365*FEO!P8</f>
        <v>1460</v>
      </c>
      <c r="M115" s="597">
        <f>'L.01 DRK AL-HA'!$T$51/365*FEO!Q8</f>
        <v>1460</v>
      </c>
      <c r="N115" s="597">
        <f>'L.01 DRK AL-HA'!$T$51/365*FEO!R8</f>
        <v>1460</v>
      </c>
      <c r="O115" s="597">
        <f>'L.01 DRK AL-HA'!$T$51/365*FEO!S8</f>
        <v>1464</v>
      </c>
      <c r="P115" s="597">
        <f>'L.01 DRK AL-HA'!$T$51/365*FEO!T8</f>
        <v>1460</v>
      </c>
      <c r="Q115" s="597">
        <f>'L.01 DRK AL-HA'!$T$51/365*FEO!U8</f>
        <v>1460</v>
      </c>
      <c r="R115" s="597">
        <f>'L.01 DRK AL-HA'!$T$51/365*FEO!V8</f>
        <v>1384</v>
      </c>
    </row>
    <row r="116" spans="1:18" ht="12" thickBot="1" x14ac:dyDescent="0.25">
      <c r="A116" s="83" t="s">
        <v>427</v>
      </c>
      <c r="B116" s="83" t="s">
        <v>91</v>
      </c>
      <c r="C116" s="597">
        <f>'L.01 DRK AL-HA'!$U$51/365*FEO!G8</f>
        <v>22</v>
      </c>
      <c r="D116" s="597">
        <f>'L.01 DRK AL-HA'!$U$51/365*FEO!H8</f>
        <v>365</v>
      </c>
      <c r="E116" s="597">
        <f>'L.01 DRK AL-HA'!$U$51/365*FEO!I8</f>
        <v>365</v>
      </c>
      <c r="F116" s="597">
        <f>'L.01 DRK AL-HA'!$U$51/365*FEO!J8</f>
        <v>365</v>
      </c>
      <c r="G116" s="597">
        <f>'L.01 DRK AL-HA'!$U$51/365*FEO!K8</f>
        <v>366</v>
      </c>
      <c r="H116" s="597">
        <f>'L.01 DRK AL-HA'!$U$51/365*FEO!L8</f>
        <v>365</v>
      </c>
      <c r="I116" s="597">
        <f>'L.01 DRK AL-HA'!$U$51/365*FEO!M8</f>
        <v>365</v>
      </c>
      <c r="J116" s="597">
        <f>'L.01 DRK AL-HA'!$U$51/365*FEO!N8</f>
        <v>365</v>
      </c>
      <c r="K116" s="597">
        <f>'L.01 DRK AL-HA'!$U$51/365*FEO!O8</f>
        <v>366</v>
      </c>
      <c r="L116" s="597">
        <f>'L.01 DRK AL-HA'!$U$51/365*FEO!P8</f>
        <v>365</v>
      </c>
      <c r="M116" s="597">
        <f>'L.01 DRK AL-HA'!$U$51/365*FEO!Q8</f>
        <v>365</v>
      </c>
      <c r="N116" s="597">
        <f>'L.01 DRK AL-HA'!$U$51/365*FEO!R8</f>
        <v>365</v>
      </c>
      <c r="O116" s="597">
        <f>'L.01 DRK AL-HA'!$U$51/365*FEO!S8</f>
        <v>366</v>
      </c>
      <c r="P116" s="597">
        <f>'L.01 DRK AL-HA'!$U$51/365*FEO!T8</f>
        <v>365</v>
      </c>
      <c r="Q116" s="597">
        <f>'L.01 DRK AL-HA'!$U$51/365*FEO!U8</f>
        <v>365</v>
      </c>
      <c r="R116" s="597">
        <f>'L.01 DRK AL-HA'!$U$51/365*FEO!V8</f>
        <v>346</v>
      </c>
    </row>
    <row r="117" spans="1:18" ht="12" thickBot="1" x14ac:dyDescent="0.25">
      <c r="A117" s="83" t="s">
        <v>428</v>
      </c>
      <c r="B117" s="83" t="s">
        <v>91</v>
      </c>
      <c r="C117" s="597">
        <f>'L.01 DRK AL-HA'!$V$51/365*FEO!G8</f>
        <v>0</v>
      </c>
      <c r="D117" s="597">
        <f>'L.01 DRK AL-HA'!$V$51/365*FEO!H8</f>
        <v>0</v>
      </c>
      <c r="E117" s="597">
        <f>'L.01 DRK AL-HA'!$V$51/365*FEO!I8</f>
        <v>0</v>
      </c>
      <c r="F117" s="597">
        <f>'L.01 DRK AL-HA'!$V$51/365*FEO!J8</f>
        <v>0</v>
      </c>
      <c r="G117" s="597">
        <f>'L.01 DRK AL-HA'!$V$51/365*FEO!K8</f>
        <v>0</v>
      </c>
      <c r="H117" s="597">
        <f>'L.01 DRK AL-HA'!$V$51/365*FEO!L8</f>
        <v>0</v>
      </c>
      <c r="I117" s="597">
        <f>'L.01 DRK AL-HA'!$V$51/365*FEO!M8</f>
        <v>0</v>
      </c>
      <c r="J117" s="597">
        <f>'L.01 DRK AL-HA'!$V$51/365*FEO!N8</f>
        <v>0</v>
      </c>
      <c r="K117" s="597">
        <f>'L.01 DRK AL-HA'!$V$51/365*FEO!O8</f>
        <v>0</v>
      </c>
      <c r="L117" s="597">
        <f>'L.01 DRK AL-HA'!$V$51/365*FEO!P8</f>
        <v>0</v>
      </c>
      <c r="M117" s="597">
        <f>'L.01 DRK AL-HA'!$V$51/365*FEO!Q8</f>
        <v>0</v>
      </c>
      <c r="N117" s="597">
        <f>'L.01 DRK AL-HA'!$V$51/365*FEO!R8</f>
        <v>0</v>
      </c>
      <c r="O117" s="597">
        <f>'L.01 DRK AL-HA'!$V$51/365*FEO!S8</f>
        <v>0</v>
      </c>
      <c r="P117" s="597">
        <f>'L.01 DRK AL-HA'!$V$51/365*FEO!T8</f>
        <v>0</v>
      </c>
      <c r="Q117" s="597">
        <f>'L.01 DRK AL-HA'!$V$51/365*FEO!U8</f>
        <v>0</v>
      </c>
      <c r="R117" s="597">
        <f>'L.01 DRK AL-HA'!$V$51/365*FEO!V8</f>
        <v>0</v>
      </c>
    </row>
    <row r="118" spans="1:18" ht="12" thickBot="1" x14ac:dyDescent="0.25">
      <c r="A118" s="83" t="s">
        <v>265</v>
      </c>
      <c r="B118" s="83" t="s">
        <v>91</v>
      </c>
      <c r="C118" s="597">
        <f>'L.01 DRK AL-HA'!$W$51/365*FEO!G8</f>
        <v>0</v>
      </c>
      <c r="D118" s="597">
        <f>'L.01 DRK AL-HA'!$W$51/365*FEO!H8</f>
        <v>0</v>
      </c>
      <c r="E118" s="597">
        <f>'L.01 DRK AL-HA'!$W$51/365*FEO!I8</f>
        <v>0</v>
      </c>
      <c r="F118" s="597">
        <f>'L.01 DRK AL-HA'!$W$51/365*FEO!J8</f>
        <v>0</v>
      </c>
      <c r="G118" s="597">
        <f>'L.01 DRK AL-HA'!$W$51/365*FEO!K8</f>
        <v>0</v>
      </c>
      <c r="H118" s="597">
        <f>'L.01 DRK AL-HA'!$W$51/365*FEO!L8</f>
        <v>0</v>
      </c>
      <c r="I118" s="597">
        <f>'L.01 DRK AL-HA'!$W$51/365*FEO!M8</f>
        <v>0</v>
      </c>
      <c r="J118" s="597">
        <f>'L.01 DRK AL-HA'!$W$51/365*FEO!N8</f>
        <v>0</v>
      </c>
      <c r="K118" s="597">
        <f>'L.01 DRK AL-HA'!$W$51/365*FEO!O8</f>
        <v>0</v>
      </c>
      <c r="L118" s="597">
        <f>'L.01 DRK AL-HA'!$W$51/365*FEO!P8</f>
        <v>0</v>
      </c>
      <c r="M118" s="597">
        <f>'L.01 DRK AL-HA'!$W$51/365*FEO!Q8</f>
        <v>0</v>
      </c>
      <c r="N118" s="597">
        <f>'L.01 DRK AL-HA'!$W$51/365*FEO!R8</f>
        <v>0</v>
      </c>
      <c r="O118" s="597">
        <f>'L.01 DRK AL-HA'!$W$51/365*FEO!S8</f>
        <v>0</v>
      </c>
      <c r="P118" s="597">
        <f>'L.01 DRK AL-HA'!$W$51/365*FEO!T8</f>
        <v>0</v>
      </c>
      <c r="Q118" s="597">
        <f>'L.01 DRK AL-HA'!$W$51/365*FEO!U8</f>
        <v>0</v>
      </c>
      <c r="R118" s="597">
        <f>'L.01 DRK AL-HA'!$W$51/365*FEO!V8</f>
        <v>0</v>
      </c>
    </row>
    <row r="119" spans="1:18" ht="12" thickBot="1" x14ac:dyDescent="0.25">
      <c r="A119" s="83" t="s">
        <v>266</v>
      </c>
      <c r="B119" s="83" t="s">
        <v>91</v>
      </c>
      <c r="C119" s="597">
        <f>'L.01 DRK AL-HA'!$X$51/365*FEO!G8</f>
        <v>0</v>
      </c>
      <c r="D119" s="597">
        <f>'L.01 DRK AL-HA'!$X$51/365*FEO!H8</f>
        <v>0</v>
      </c>
      <c r="E119" s="597">
        <f>'L.01 DRK AL-HA'!$X$51/365*FEO!I8</f>
        <v>0</v>
      </c>
      <c r="F119" s="597">
        <f>'L.01 DRK AL-HA'!$X$51/365*FEO!J8</f>
        <v>0</v>
      </c>
      <c r="G119" s="597">
        <f>'L.01 DRK AL-HA'!$X$51/365*FEO!K8</f>
        <v>0</v>
      </c>
      <c r="H119" s="597">
        <f>'L.01 DRK AL-HA'!$X$51/365*FEO!L8</f>
        <v>0</v>
      </c>
      <c r="I119" s="597">
        <f>'L.01 DRK AL-HA'!$X$51/365*FEO!M8</f>
        <v>0</v>
      </c>
      <c r="J119" s="597">
        <f>'L.01 DRK AL-HA'!$X$51/365*FEO!N8</f>
        <v>0</v>
      </c>
      <c r="K119" s="597">
        <f>'L.01 DRK AL-HA'!$X$51/365*FEO!O8</f>
        <v>0</v>
      </c>
      <c r="L119" s="597">
        <f>'L.01 DRK AL-HA'!$X$51/365*FEO!P8</f>
        <v>0</v>
      </c>
      <c r="M119" s="597">
        <f>'L.01 DRK AL-HA'!$X$51/365*FEO!Q8</f>
        <v>0</v>
      </c>
      <c r="N119" s="597">
        <f>'L.01 DRK AL-HA'!$X$51/365*FEO!R8</f>
        <v>0</v>
      </c>
      <c r="O119" s="597">
        <f>'L.01 DRK AL-HA'!$X$51/365*FEO!S8</f>
        <v>0</v>
      </c>
      <c r="P119" s="597">
        <f>'L.01 DRK AL-HA'!$X$51/365*FEO!T8</f>
        <v>0</v>
      </c>
      <c r="Q119" s="597">
        <f>'L.01 DRK AL-HA'!$X$51/365*FEO!U8</f>
        <v>0</v>
      </c>
      <c r="R119" s="597">
        <f>'L.01 DRK AL-HA'!$X$51/365*FEO!V8</f>
        <v>0</v>
      </c>
    </row>
    <row r="120" spans="1:18" ht="12" thickBot="1" x14ac:dyDescent="0.25">
      <c r="A120" s="83" t="s">
        <v>262</v>
      </c>
      <c r="B120" s="83" t="s">
        <v>98</v>
      </c>
      <c r="C120" s="597">
        <f>'L.01 DRK AL-HA'!$T$52/365*FEO!G8</f>
        <v>0</v>
      </c>
      <c r="D120" s="597">
        <f>'L.01 DRK AL-HA'!$T$52/365*FEO!H8</f>
        <v>0</v>
      </c>
      <c r="E120" s="597">
        <f>'L.01 DRK AL-HA'!$T$52/365*FEO!I8</f>
        <v>0</v>
      </c>
      <c r="F120" s="597">
        <f>'L.01 DRK AL-HA'!$T$52/365*FEO!J8</f>
        <v>0</v>
      </c>
      <c r="G120" s="597">
        <f>'L.01 DRK AL-HA'!$T$52/365*FEO!K8</f>
        <v>0</v>
      </c>
      <c r="H120" s="597">
        <f>'L.01 DRK AL-HA'!$T$52/365*FEO!L8</f>
        <v>0</v>
      </c>
      <c r="I120" s="597">
        <f>'L.01 DRK AL-HA'!$T$52/365*FEO!M8</f>
        <v>0</v>
      </c>
      <c r="J120" s="597">
        <f>'L.01 DRK AL-HA'!$T$52/365*FEO!N8</f>
        <v>0</v>
      </c>
      <c r="K120" s="597">
        <f>'L.01 DRK AL-HA'!$T$52/365*FEO!O8</f>
        <v>0</v>
      </c>
      <c r="L120" s="597">
        <f>'L.01 DRK AL-HA'!$T$52/365*FEO!P8</f>
        <v>0</v>
      </c>
      <c r="M120" s="597">
        <f>'L.01 DRK AL-HA'!$T$52/365*FEO!Q8</f>
        <v>0</v>
      </c>
      <c r="N120" s="597">
        <f>'L.01 DRK AL-HA'!$T$52/365*FEO!R8</f>
        <v>0</v>
      </c>
      <c r="O120" s="597">
        <f>'L.01 DRK AL-HA'!$T$52/365*FEO!S8</f>
        <v>0</v>
      </c>
      <c r="P120" s="597">
        <f>'L.01 DRK AL-HA'!$T$52/365*FEO!T8</f>
        <v>0</v>
      </c>
      <c r="Q120" s="597">
        <f>'L.01 DRK AL-HA'!$T$52/365*FEO!U8</f>
        <v>0</v>
      </c>
      <c r="R120" s="597">
        <f>'L.01 DRK AL-HA'!$T$52/365*FEO!V8</f>
        <v>0</v>
      </c>
    </row>
    <row r="121" spans="1:18" ht="12" thickBot="1" x14ac:dyDescent="0.25">
      <c r="A121" s="83" t="s">
        <v>427</v>
      </c>
      <c r="B121" s="83" t="s">
        <v>98</v>
      </c>
      <c r="C121" s="597">
        <f>'L.01 DRK AL-HA'!$U$52/365*FEO!G8</f>
        <v>0</v>
      </c>
      <c r="D121" s="597">
        <f>'L.01 DRK AL-HA'!$U$52/365*FEO!H8</f>
        <v>0</v>
      </c>
      <c r="E121" s="597">
        <f>'L.01 DRK AL-HA'!$U$52/365*FEO!I8</f>
        <v>0</v>
      </c>
      <c r="F121" s="597">
        <f>'L.01 DRK AL-HA'!$U$52/365*FEO!J8</f>
        <v>0</v>
      </c>
      <c r="G121" s="597">
        <f>'L.01 DRK AL-HA'!$U$52/365*FEO!K8</f>
        <v>0</v>
      </c>
      <c r="H121" s="597">
        <f>'L.01 DRK AL-HA'!$U$52/365*FEO!L8</f>
        <v>0</v>
      </c>
      <c r="I121" s="597">
        <f>'L.01 DRK AL-HA'!$U$52/365*FEO!M8</f>
        <v>0</v>
      </c>
      <c r="J121" s="597">
        <f>'L.01 DRK AL-HA'!$U$52/365*FEO!N8</f>
        <v>0</v>
      </c>
      <c r="K121" s="597">
        <f>'L.01 DRK AL-HA'!$U$52/365*FEO!O8</f>
        <v>0</v>
      </c>
      <c r="L121" s="597">
        <f>'L.01 DRK AL-HA'!$U$52/365*FEO!P8</f>
        <v>0</v>
      </c>
      <c r="M121" s="597">
        <f>'L.01 DRK AL-HA'!$U$52/365*FEO!Q8</f>
        <v>0</v>
      </c>
      <c r="N121" s="597">
        <f>'L.01 DRK AL-HA'!$U$52/365*FEO!R8</f>
        <v>0</v>
      </c>
      <c r="O121" s="597">
        <f>'L.01 DRK AL-HA'!$U$52/365*FEO!S8</f>
        <v>0</v>
      </c>
      <c r="P121" s="597">
        <f>'L.01 DRK AL-HA'!$U$52/365*FEO!T8</f>
        <v>0</v>
      </c>
      <c r="Q121" s="597">
        <f>'L.01 DRK AL-HA'!$U$52/365*FEO!U8</f>
        <v>0</v>
      </c>
      <c r="R121" s="597">
        <f>'L.01 DRK AL-HA'!$U$52/365*FEO!V8</f>
        <v>0</v>
      </c>
    </row>
    <row r="122" spans="1:18" ht="12" thickBot="1" x14ac:dyDescent="0.25">
      <c r="A122" s="83" t="s">
        <v>428</v>
      </c>
      <c r="B122" s="83" t="s">
        <v>98</v>
      </c>
      <c r="C122" s="597">
        <f>'L.01 DRK AL-HA'!$V$52/365*FEO!G8</f>
        <v>0</v>
      </c>
      <c r="D122" s="597">
        <f>'L.01 DRK AL-HA'!$V$52/365*FEO!H8</f>
        <v>0</v>
      </c>
      <c r="E122" s="597">
        <f>'L.01 DRK AL-HA'!$V$52/365*FEO!I8</f>
        <v>0</v>
      </c>
      <c r="F122" s="597">
        <f>'L.01 DRK AL-HA'!$V$52/365*FEO!J8</f>
        <v>0</v>
      </c>
      <c r="G122" s="597">
        <f>'L.01 DRK AL-HA'!$V$52/365*FEO!K8</f>
        <v>0</v>
      </c>
      <c r="H122" s="597">
        <f>'L.01 DRK AL-HA'!$V$52/365*FEO!L8</f>
        <v>0</v>
      </c>
      <c r="I122" s="597">
        <f>'L.01 DRK AL-HA'!$V$52/365*FEO!M8</f>
        <v>0</v>
      </c>
      <c r="J122" s="597">
        <f>'L.01 DRK AL-HA'!$V$52/365*FEO!N8</f>
        <v>0</v>
      </c>
      <c r="K122" s="597">
        <f>'L.01 DRK AL-HA'!$V$52/365*FEO!O8</f>
        <v>0</v>
      </c>
      <c r="L122" s="597">
        <f>'L.01 DRK AL-HA'!$V$52/365*FEO!P8</f>
        <v>0</v>
      </c>
      <c r="M122" s="597">
        <f>'L.01 DRK AL-HA'!$V$52/365*FEO!Q8</f>
        <v>0</v>
      </c>
      <c r="N122" s="597">
        <f>'L.01 DRK AL-HA'!$V$52/365*FEO!R8</f>
        <v>0</v>
      </c>
      <c r="O122" s="597">
        <f>'L.01 DRK AL-HA'!$V$52/365*FEO!S8</f>
        <v>0</v>
      </c>
      <c r="P122" s="597">
        <f>'L.01 DRK AL-HA'!$V$52/365*FEO!T8</f>
        <v>0</v>
      </c>
      <c r="Q122" s="597">
        <f>'L.01 DRK AL-HA'!$V$52/365*FEO!U8</f>
        <v>0</v>
      </c>
      <c r="R122" s="597">
        <f>'L.01 DRK AL-HA'!$V$52/365*FEO!V8</f>
        <v>0</v>
      </c>
    </row>
    <row r="123" spans="1:18" ht="12" thickBot="1" x14ac:dyDescent="0.25">
      <c r="A123" s="83" t="s">
        <v>265</v>
      </c>
      <c r="B123" s="83" t="s">
        <v>98</v>
      </c>
      <c r="C123" s="597">
        <f>'L.01 DRK AL-HA'!$W$52/365*FEO!G8</f>
        <v>0</v>
      </c>
      <c r="D123" s="597">
        <f>'L.01 DRK AL-HA'!$W$52/365*FEO!H8</f>
        <v>0</v>
      </c>
      <c r="E123" s="597">
        <f>'L.01 DRK AL-HA'!$W$52/365*FEO!I8</f>
        <v>0</v>
      </c>
      <c r="F123" s="597">
        <f>'L.01 DRK AL-HA'!$W$52/365*FEO!J8</f>
        <v>0</v>
      </c>
      <c r="G123" s="597">
        <f>'L.01 DRK AL-HA'!$W$52/365*FEO!K8</f>
        <v>0</v>
      </c>
      <c r="H123" s="597">
        <f>'L.01 DRK AL-HA'!$W$52/365*FEO!L8</f>
        <v>0</v>
      </c>
      <c r="I123" s="597">
        <f>'L.01 DRK AL-HA'!$W$52/365*FEO!M8</f>
        <v>0</v>
      </c>
      <c r="J123" s="597">
        <f>'L.01 DRK AL-HA'!$W$52/365*FEO!N8</f>
        <v>0</v>
      </c>
      <c r="K123" s="597">
        <f>'L.01 DRK AL-HA'!$W$52/365*FEO!O8</f>
        <v>0</v>
      </c>
      <c r="L123" s="597">
        <f>'L.01 DRK AL-HA'!$W$52/365*FEO!P8</f>
        <v>0</v>
      </c>
      <c r="M123" s="597">
        <f>'L.01 DRK AL-HA'!$W$52/365*FEO!Q8</f>
        <v>0</v>
      </c>
      <c r="N123" s="597">
        <f>'L.01 DRK AL-HA'!$W$52/365*FEO!R8</f>
        <v>0</v>
      </c>
      <c r="O123" s="597">
        <f>'L.01 DRK AL-HA'!$W$52/365*FEO!S8</f>
        <v>0</v>
      </c>
      <c r="P123" s="597">
        <f>'L.01 DRK AL-HA'!$W$52/365*FEO!T8</f>
        <v>0</v>
      </c>
      <c r="Q123" s="597">
        <f>'L.01 DRK AL-HA'!$W$52/365*FEO!U8</f>
        <v>0</v>
      </c>
      <c r="R123" s="597">
        <f>'L.01 DRK AL-HA'!$W$52/365*FEO!V8</f>
        <v>0</v>
      </c>
    </row>
    <row r="124" spans="1:18" ht="12" thickBot="1" x14ac:dyDescent="0.25">
      <c r="A124" s="83" t="s">
        <v>266</v>
      </c>
      <c r="B124" s="83" t="s">
        <v>98</v>
      </c>
      <c r="C124" s="597">
        <f>'L.01 DRK AL-HA'!$X$52/365*FEO!G8</f>
        <v>0</v>
      </c>
      <c r="D124" s="597">
        <f>'L.01 DRK AL-HA'!$X$52/365*FEO!H8</f>
        <v>0</v>
      </c>
      <c r="E124" s="597">
        <f>'L.01 DRK AL-HA'!$X$52/365*FEO!I8</f>
        <v>0</v>
      </c>
      <c r="F124" s="597">
        <f>'L.01 DRK AL-HA'!$X$52/365*FEO!J8</f>
        <v>0</v>
      </c>
      <c r="G124" s="597">
        <f>'L.01 DRK AL-HA'!$X$52/365*FEO!K8</f>
        <v>0</v>
      </c>
      <c r="H124" s="597">
        <f>'L.01 DRK AL-HA'!$X$52/365*FEO!L8</f>
        <v>0</v>
      </c>
      <c r="I124" s="597">
        <f>'L.01 DRK AL-HA'!$X$52/365*FEO!M8</f>
        <v>0</v>
      </c>
      <c r="J124" s="597">
        <f>'L.01 DRK AL-HA'!$X$52/365*FEO!N8</f>
        <v>0</v>
      </c>
      <c r="K124" s="597">
        <f>'L.01 DRK AL-HA'!$X$52/365*FEO!O8</f>
        <v>0</v>
      </c>
      <c r="L124" s="597">
        <f>'L.01 DRK AL-HA'!$X$52/365*FEO!P8</f>
        <v>0</v>
      </c>
      <c r="M124" s="597">
        <f>'L.01 DRK AL-HA'!$X$52/365*FEO!Q8</f>
        <v>0</v>
      </c>
      <c r="N124" s="597">
        <f>'L.01 DRK AL-HA'!$X$52/365*FEO!R8</f>
        <v>0</v>
      </c>
      <c r="O124" s="597">
        <f>'L.01 DRK AL-HA'!$X$52/365*FEO!S8</f>
        <v>0</v>
      </c>
      <c r="P124" s="597">
        <f>'L.01 DRK AL-HA'!$X$52/365*FEO!T8</f>
        <v>0</v>
      </c>
      <c r="Q124" s="597">
        <f>'L.01 DRK AL-HA'!$X$52/365*FEO!U8</f>
        <v>0</v>
      </c>
      <c r="R124" s="597">
        <f>'L.01 DRK AL-HA'!$X$52/365*FEO!V8</f>
        <v>0</v>
      </c>
    </row>
    <row r="125" spans="1:18" ht="12" thickBot="1" x14ac:dyDescent="0.25">
      <c r="A125" s="83" t="s">
        <v>262</v>
      </c>
      <c r="B125" s="83" t="s">
        <v>100</v>
      </c>
      <c r="C125" s="597">
        <f>'L.01 DRK AL-HA'!$T$53/365*FEO!G8</f>
        <v>0</v>
      </c>
      <c r="D125" s="597">
        <f>'L.01 DRK AL-HA'!$T$53/365*FEO!H8</f>
        <v>0</v>
      </c>
      <c r="E125" s="597">
        <f>'L.01 DRK AL-HA'!$T$53/365*FEO!I8</f>
        <v>0</v>
      </c>
      <c r="F125" s="597">
        <f>'L.01 DRK AL-HA'!$T$53/365*FEO!J8</f>
        <v>0</v>
      </c>
      <c r="G125" s="597">
        <f>'L.01 DRK AL-HA'!$T$53/365*FEO!K8</f>
        <v>0</v>
      </c>
      <c r="H125" s="597">
        <f>'L.01 DRK AL-HA'!$T$53/365*FEO!L8</f>
        <v>0</v>
      </c>
      <c r="I125" s="597">
        <f>'L.01 DRK AL-HA'!$T$53/365*FEO!M8</f>
        <v>0</v>
      </c>
      <c r="J125" s="597">
        <f>'L.01 DRK AL-HA'!$T$53/365*FEO!N8</f>
        <v>0</v>
      </c>
      <c r="K125" s="597">
        <f>'L.01 DRK AL-HA'!$T$53/365*FEO!O8</f>
        <v>0</v>
      </c>
      <c r="L125" s="597">
        <f>'L.01 DRK AL-HA'!$T$53/365*FEO!P8</f>
        <v>0</v>
      </c>
      <c r="M125" s="597">
        <f>'L.01 DRK AL-HA'!$T$53/365*FEO!Q8</f>
        <v>0</v>
      </c>
      <c r="N125" s="597">
        <f>'L.01 DRK AL-HA'!$T$53/365*FEO!R8</f>
        <v>0</v>
      </c>
      <c r="O125" s="597">
        <f>'L.01 DRK AL-HA'!$T$53/365*FEO!S8</f>
        <v>0</v>
      </c>
      <c r="P125" s="597">
        <f>'L.01 DRK AL-HA'!$T$53/365*FEO!T8</f>
        <v>0</v>
      </c>
      <c r="Q125" s="597">
        <f>'L.01 DRK AL-HA'!$T$53/365*FEO!U8</f>
        <v>0</v>
      </c>
      <c r="R125" s="597">
        <f>'L.01 DRK AL-HA'!$T$53/365*FEO!V8</f>
        <v>0</v>
      </c>
    </row>
    <row r="126" spans="1:18" ht="12" thickBot="1" x14ac:dyDescent="0.25">
      <c r="A126" s="83" t="s">
        <v>427</v>
      </c>
      <c r="B126" s="83" t="s">
        <v>100</v>
      </c>
      <c r="C126" s="597">
        <f>'L.01 DRK AL-HA'!$U$53/365*FEO!G8</f>
        <v>0</v>
      </c>
      <c r="D126" s="597">
        <f>'L.01 DRK AL-HA'!$U$53/365*FEO!H8</f>
        <v>0</v>
      </c>
      <c r="E126" s="597">
        <f>'L.01 DRK AL-HA'!$U$53/365*FEO!I8</f>
        <v>0</v>
      </c>
      <c r="F126" s="597">
        <f>'L.01 DRK AL-HA'!$U$53/365*FEO!J8</f>
        <v>0</v>
      </c>
      <c r="G126" s="597">
        <f>'L.01 DRK AL-HA'!$U$53/365*FEO!K8</f>
        <v>0</v>
      </c>
      <c r="H126" s="597">
        <f>'L.01 DRK AL-HA'!$U$53/365*FEO!L8</f>
        <v>0</v>
      </c>
      <c r="I126" s="597">
        <f>'L.01 DRK AL-HA'!$U$53/365*FEO!M8</f>
        <v>0</v>
      </c>
      <c r="J126" s="597">
        <f>'L.01 DRK AL-HA'!$U$53/365*FEO!N8</f>
        <v>0</v>
      </c>
      <c r="K126" s="597">
        <f>'L.01 DRK AL-HA'!$U$53/365*FEO!O8</f>
        <v>0</v>
      </c>
      <c r="L126" s="597">
        <f>'L.01 DRK AL-HA'!$U$53/365*FEO!P8</f>
        <v>0</v>
      </c>
      <c r="M126" s="597">
        <f>'L.01 DRK AL-HA'!$U$53/365*FEO!Q8</f>
        <v>0</v>
      </c>
      <c r="N126" s="597">
        <f>'L.01 DRK AL-HA'!$U$53/365*FEO!R8</f>
        <v>0</v>
      </c>
      <c r="O126" s="597">
        <f>'L.01 DRK AL-HA'!$U$53/365*FEO!S8</f>
        <v>0</v>
      </c>
      <c r="P126" s="597">
        <f>'L.01 DRK AL-HA'!$U$53/365*FEO!T8</f>
        <v>0</v>
      </c>
      <c r="Q126" s="597">
        <f>'L.01 DRK AL-HA'!$U$53/365*FEO!U8</f>
        <v>0</v>
      </c>
      <c r="R126" s="597">
        <f>'L.01 DRK AL-HA'!$U$53/365*FEO!V8</f>
        <v>0</v>
      </c>
    </row>
    <row r="127" spans="1:18" ht="12" thickBot="1" x14ac:dyDescent="0.25">
      <c r="A127" s="83" t="s">
        <v>428</v>
      </c>
      <c r="B127" s="83" t="s">
        <v>100</v>
      </c>
      <c r="C127" s="597">
        <f>'L.01 DRK AL-HA'!$V$53/365*FEO!G8</f>
        <v>0</v>
      </c>
      <c r="D127" s="597">
        <f>'L.01 DRK AL-HA'!$V$53/365*FEO!H8</f>
        <v>0</v>
      </c>
      <c r="E127" s="597">
        <f>'L.01 DRK AL-HA'!$V$53/365*FEO!I8</f>
        <v>0</v>
      </c>
      <c r="F127" s="597">
        <f>'L.01 DRK AL-HA'!$V$53/365*FEO!J8</f>
        <v>0</v>
      </c>
      <c r="G127" s="597">
        <f>'L.01 DRK AL-HA'!$V$53/365*FEO!K8</f>
        <v>0</v>
      </c>
      <c r="H127" s="597">
        <f>'L.01 DRK AL-HA'!$V$53/365*FEO!L8</f>
        <v>0</v>
      </c>
      <c r="I127" s="597">
        <f>'L.01 DRK AL-HA'!$V$53/365*FEO!M8</f>
        <v>0</v>
      </c>
      <c r="J127" s="597">
        <f>'L.01 DRK AL-HA'!$V$53/365*FEO!N8</f>
        <v>0</v>
      </c>
      <c r="K127" s="597">
        <f>'L.01 DRK AL-HA'!$V$53/365*FEO!O8</f>
        <v>0</v>
      </c>
      <c r="L127" s="597">
        <f>'L.01 DRK AL-HA'!$V$53/365*FEO!P8</f>
        <v>0</v>
      </c>
      <c r="M127" s="597">
        <f>'L.01 DRK AL-HA'!$V$53/365*FEO!Q8</f>
        <v>0</v>
      </c>
      <c r="N127" s="597">
        <f>'L.01 DRK AL-HA'!$V$53/365*FEO!R8</f>
        <v>0</v>
      </c>
      <c r="O127" s="597">
        <f>'L.01 DRK AL-HA'!$V$53/365*FEO!S8</f>
        <v>0</v>
      </c>
      <c r="P127" s="597">
        <f>'L.01 DRK AL-HA'!$V$53/365*FEO!T8</f>
        <v>0</v>
      </c>
      <c r="Q127" s="597">
        <f>'L.01 DRK AL-HA'!$V$53/365*FEO!U8</f>
        <v>0</v>
      </c>
      <c r="R127" s="597">
        <f>'L.01 DRK AL-HA'!$V$53/365*FEO!V8</f>
        <v>0</v>
      </c>
    </row>
    <row r="128" spans="1:18" ht="12" thickBot="1" x14ac:dyDescent="0.25">
      <c r="A128" s="83" t="s">
        <v>265</v>
      </c>
      <c r="B128" s="83" t="s">
        <v>100</v>
      </c>
      <c r="C128" s="597">
        <f>'L.01 DRK AL-HA'!$W$53/365*FEO!G8</f>
        <v>0</v>
      </c>
      <c r="D128" s="597">
        <f>'L.01 DRK AL-HA'!$W$53/365*FEO!H8</f>
        <v>0</v>
      </c>
      <c r="E128" s="597">
        <f>'L.01 DRK AL-HA'!$W$53/365*FEO!I8</f>
        <v>0</v>
      </c>
      <c r="F128" s="597">
        <f>'L.01 DRK AL-HA'!$W$53/365*FEO!J8</f>
        <v>0</v>
      </c>
      <c r="G128" s="597">
        <f>'L.01 DRK AL-HA'!$W$53/365*FEO!K8</f>
        <v>0</v>
      </c>
      <c r="H128" s="597">
        <f>'L.01 DRK AL-HA'!$W$53/365*FEO!L8</f>
        <v>0</v>
      </c>
      <c r="I128" s="597">
        <f>'L.01 DRK AL-HA'!$W$53/365*FEO!M8</f>
        <v>0</v>
      </c>
      <c r="J128" s="597">
        <f>'L.01 DRK AL-HA'!$W$53/365*FEO!N8</f>
        <v>0</v>
      </c>
      <c r="K128" s="597">
        <f>'L.01 DRK AL-HA'!$W$53/365*FEO!O8</f>
        <v>0</v>
      </c>
      <c r="L128" s="597">
        <f>'L.01 DRK AL-HA'!$W$53/365*FEO!P8</f>
        <v>0</v>
      </c>
      <c r="M128" s="597">
        <f>'L.01 DRK AL-HA'!$W$53/365*FEO!Q8</f>
        <v>0</v>
      </c>
      <c r="N128" s="597">
        <f>'L.01 DRK AL-HA'!$W$53/365*FEO!R8</f>
        <v>0</v>
      </c>
      <c r="O128" s="597">
        <f>'L.01 DRK AL-HA'!$W$53/365*FEO!S8</f>
        <v>0</v>
      </c>
      <c r="P128" s="597">
        <f>'L.01 DRK AL-HA'!$W$53/365*FEO!T8</f>
        <v>0</v>
      </c>
      <c r="Q128" s="597">
        <f>'L.01 DRK AL-HA'!$W$53/365*FEO!U8</f>
        <v>0</v>
      </c>
      <c r="R128" s="597">
        <f>'L.01 DRK AL-HA'!$W$53/365*FEO!V8</f>
        <v>0</v>
      </c>
    </row>
    <row r="129" spans="1:18" ht="12" thickBot="1" x14ac:dyDescent="0.25">
      <c r="A129" s="83" t="s">
        <v>266</v>
      </c>
      <c r="B129" s="83" t="s">
        <v>100</v>
      </c>
      <c r="C129" s="597">
        <f>'L.01 DRK AL-HA'!$X$53/365*FEO!G8</f>
        <v>0</v>
      </c>
      <c r="D129" s="597">
        <f>'L.01 DRK AL-HA'!$X$53/365*FEO!H8</f>
        <v>0</v>
      </c>
      <c r="E129" s="597">
        <f>'L.01 DRK AL-HA'!$X$53/365*FEO!I8</f>
        <v>0</v>
      </c>
      <c r="F129" s="597">
        <f>'L.01 DRK AL-HA'!$X$53/365*FEO!J8</f>
        <v>0</v>
      </c>
      <c r="G129" s="597">
        <f>'L.01 DRK AL-HA'!$X$53/365*FEO!K8</f>
        <v>0</v>
      </c>
      <c r="H129" s="597">
        <f>'L.01 DRK AL-HA'!$X$53/365*FEO!L8</f>
        <v>0</v>
      </c>
      <c r="I129" s="597">
        <f>'L.01 DRK AL-HA'!$X$53/365*FEO!M8</f>
        <v>0</v>
      </c>
      <c r="J129" s="597">
        <f>'L.01 DRK AL-HA'!$X$53/365*FEO!N8</f>
        <v>0</v>
      </c>
      <c r="K129" s="597">
        <f>'L.01 DRK AL-HA'!$X$53/365*FEO!O8</f>
        <v>0</v>
      </c>
      <c r="L129" s="597">
        <f>'L.01 DRK AL-HA'!$X$53/365*FEO!P8</f>
        <v>0</v>
      </c>
      <c r="M129" s="597">
        <f>'L.01 DRK AL-HA'!$X$53/365*FEO!Q8</f>
        <v>0</v>
      </c>
      <c r="N129" s="597">
        <f>'L.01 DRK AL-HA'!$X$53/365*FEO!R8</f>
        <v>0</v>
      </c>
      <c r="O129" s="597">
        <f>'L.01 DRK AL-HA'!$X$53/365*FEO!S8</f>
        <v>0</v>
      </c>
      <c r="P129" s="597">
        <f>'L.01 DRK AL-HA'!$X$53/365*FEO!T8</f>
        <v>0</v>
      </c>
      <c r="Q129" s="597">
        <f>'L.01 DRK AL-HA'!$X$53/365*FEO!U8</f>
        <v>0</v>
      </c>
      <c r="R129" s="597">
        <f>'L.01 DRK AL-HA'!$X$53/365*FEO!V8</f>
        <v>0</v>
      </c>
    </row>
    <row r="130" spans="1:18" ht="11.4" x14ac:dyDescent="0.2">
      <c r="A130" s="298" t="s">
        <v>292</v>
      </c>
      <c r="B130" s="298"/>
      <c r="C130" s="323">
        <f>SUM(C115:C129)</f>
        <v>110</v>
      </c>
      <c r="D130" s="323">
        <f t="shared" ref="D130:H130" si="27">SUM(D115:D129)</f>
        <v>1825</v>
      </c>
      <c r="E130" s="323">
        <f t="shared" si="27"/>
        <v>1825</v>
      </c>
      <c r="F130" s="323">
        <f t="shared" si="27"/>
        <v>1825</v>
      </c>
      <c r="G130" s="323">
        <f t="shared" si="27"/>
        <v>1830</v>
      </c>
      <c r="H130" s="323">
        <f t="shared" si="27"/>
        <v>1825</v>
      </c>
      <c r="I130" s="323">
        <f t="shared" ref="I130:R130" si="28">SUM(I115:I129)</f>
        <v>1825</v>
      </c>
      <c r="J130" s="323">
        <f t="shared" si="28"/>
        <v>1825</v>
      </c>
      <c r="K130" s="323">
        <f t="shared" si="28"/>
        <v>1830</v>
      </c>
      <c r="L130" s="323">
        <f t="shared" si="28"/>
        <v>1825</v>
      </c>
      <c r="M130" s="323">
        <f t="shared" si="28"/>
        <v>1825</v>
      </c>
      <c r="N130" s="323">
        <f t="shared" si="28"/>
        <v>1825</v>
      </c>
      <c r="O130" s="323">
        <f t="shared" si="28"/>
        <v>1830</v>
      </c>
      <c r="P130" s="323">
        <f t="shared" si="28"/>
        <v>1825</v>
      </c>
      <c r="Q130" s="323">
        <f t="shared" si="28"/>
        <v>1825</v>
      </c>
      <c r="R130" s="323">
        <f t="shared" si="28"/>
        <v>1730</v>
      </c>
    </row>
    <row r="131" spans="1:18" ht="11.4" x14ac:dyDescent="0.2">
      <c r="A131" s="53"/>
      <c r="B131" s="5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</row>
    <row r="132" spans="1:18" ht="11.4" x14ac:dyDescent="0.2">
      <c r="A132" s="298" t="s">
        <v>288</v>
      </c>
      <c r="B132" s="298"/>
      <c r="C132" s="308">
        <f>C96*C115+C97*C116+C98*C117+C99*C118+C100*C119+C101*C120+C102*C121+C103*C122+C104*C123+C105*C124+C106*C125+C107*C126+C108*C127+C109*C128+C110*C129</f>
        <v>340.12</v>
      </c>
      <c r="D132" s="308">
        <f t="shared" ref="D132:H132" si="29">D96*D115+D97*D116+D98*D117+D99*D118+D100*D119+D101*D120+D102*D121+D103*D122+D104*D123+D105*D124+D106*D125+D107*D126+D108*D127+D109*D128+D110*D129</f>
        <v>5642.9</v>
      </c>
      <c r="E132" s="308">
        <f t="shared" si="29"/>
        <v>5642.9</v>
      </c>
      <c r="F132" s="308">
        <f t="shared" si="29"/>
        <v>5642.9</v>
      </c>
      <c r="G132" s="308">
        <f t="shared" si="29"/>
        <v>5658.36</v>
      </c>
      <c r="H132" s="308">
        <f t="shared" si="29"/>
        <v>5642.9</v>
      </c>
      <c r="I132" s="308">
        <f t="shared" ref="I132:R132" si="30">I96*I115+I97*I116+I98*I117+I99*I118+I100*I119+I101*I120+I102*I121+I103*I122+I104*I123+I105*I124+I106*I125+I107*I126+I108*I127+I109*I128+I110*I129</f>
        <v>5642.9</v>
      </c>
      <c r="J132" s="308">
        <f t="shared" si="30"/>
        <v>5642.9</v>
      </c>
      <c r="K132" s="308">
        <f t="shared" si="30"/>
        <v>5658.36</v>
      </c>
      <c r="L132" s="308">
        <f t="shared" si="30"/>
        <v>5642.9</v>
      </c>
      <c r="M132" s="308">
        <f t="shared" si="30"/>
        <v>5642.9</v>
      </c>
      <c r="N132" s="308">
        <f t="shared" si="30"/>
        <v>5642.9</v>
      </c>
      <c r="O132" s="308">
        <f t="shared" si="30"/>
        <v>5658.36</v>
      </c>
      <c r="P132" s="308">
        <f t="shared" si="30"/>
        <v>5642.9</v>
      </c>
      <c r="Q132" s="308">
        <f t="shared" si="30"/>
        <v>5642.9</v>
      </c>
      <c r="R132" s="308">
        <f t="shared" si="30"/>
        <v>5349.16</v>
      </c>
    </row>
    <row r="133" spans="1:18" ht="11.4" x14ac:dyDescent="0.2">
      <c r="A133" s="53"/>
      <c r="B133" s="53"/>
      <c r="C133" s="83"/>
      <c r="D133" s="83"/>
      <c r="E133" s="83"/>
      <c r="F133" s="83"/>
      <c r="G133" s="83"/>
      <c r="H133" s="83"/>
    </row>
    <row r="134" spans="1:18" ht="11.4" x14ac:dyDescent="0.2">
      <c r="A134" s="53" t="s">
        <v>261</v>
      </c>
      <c r="B134" s="53"/>
      <c r="C134" s="83"/>
      <c r="D134" s="83"/>
      <c r="E134" s="83"/>
      <c r="F134" s="83"/>
      <c r="G134" s="83"/>
      <c r="H134" s="83"/>
    </row>
    <row r="135" spans="1:18" ht="12" thickBot="1" x14ac:dyDescent="0.25">
      <c r="A135" s="300"/>
      <c r="B135" s="300"/>
      <c r="C135" s="83"/>
      <c r="D135" s="83"/>
      <c r="E135" s="83"/>
      <c r="F135" s="83"/>
      <c r="G135" s="83"/>
      <c r="H135" s="83"/>
    </row>
    <row r="136" spans="1:18" ht="12" thickBot="1" x14ac:dyDescent="0.25">
      <c r="A136" s="47" t="s">
        <v>132</v>
      </c>
      <c r="B136" s="304"/>
      <c r="C136" s="48">
        <f>C$10</f>
        <v>2028</v>
      </c>
      <c r="D136" s="48">
        <f t="shared" ref="D136:R136" si="31">D$10</f>
        <v>2029</v>
      </c>
      <c r="E136" s="48">
        <f t="shared" si="31"/>
        <v>2030</v>
      </c>
      <c r="F136" s="48">
        <f t="shared" si="31"/>
        <v>2031</v>
      </c>
      <c r="G136" s="48">
        <f t="shared" si="31"/>
        <v>2032</v>
      </c>
      <c r="H136" s="48">
        <f t="shared" si="31"/>
        <v>2033</v>
      </c>
      <c r="I136" s="48">
        <f t="shared" si="31"/>
        <v>2034</v>
      </c>
      <c r="J136" s="48">
        <f t="shared" si="31"/>
        <v>2035</v>
      </c>
      <c r="K136" s="48">
        <f t="shared" si="31"/>
        <v>2036</v>
      </c>
      <c r="L136" s="48">
        <f t="shared" si="31"/>
        <v>2037</v>
      </c>
      <c r="M136" s="48">
        <f t="shared" si="31"/>
        <v>2038</v>
      </c>
      <c r="N136" s="48">
        <f t="shared" si="31"/>
        <v>2039</v>
      </c>
      <c r="O136" s="48">
        <f t="shared" si="31"/>
        <v>2040</v>
      </c>
      <c r="P136" s="48">
        <f t="shared" si="31"/>
        <v>2041</v>
      </c>
      <c r="Q136" s="48">
        <f t="shared" si="31"/>
        <v>2042</v>
      </c>
      <c r="R136" s="48">
        <f t="shared" si="31"/>
        <v>2043</v>
      </c>
    </row>
    <row r="137" spans="1:18" ht="12" thickBot="1" x14ac:dyDescent="0.25">
      <c r="A137" s="49" t="s">
        <v>228</v>
      </c>
      <c r="B137" s="305"/>
      <c r="C137" s="311">
        <f>C32</f>
        <v>0</v>
      </c>
      <c r="D137" s="311">
        <f t="shared" ref="D137:H137" si="32">D32</f>
        <v>0</v>
      </c>
      <c r="E137" s="311">
        <f t="shared" si="32"/>
        <v>0</v>
      </c>
      <c r="F137" s="311">
        <f t="shared" si="32"/>
        <v>0</v>
      </c>
      <c r="G137" s="311">
        <f t="shared" si="32"/>
        <v>0</v>
      </c>
      <c r="H137" s="311">
        <f t="shared" si="32"/>
        <v>0</v>
      </c>
      <c r="I137" s="311">
        <f t="shared" ref="I137:R137" si="33">I32</f>
        <v>0</v>
      </c>
      <c r="J137" s="311">
        <f t="shared" si="33"/>
        <v>0</v>
      </c>
      <c r="K137" s="311">
        <f t="shared" si="33"/>
        <v>0</v>
      </c>
      <c r="L137" s="311">
        <f t="shared" si="33"/>
        <v>0</v>
      </c>
      <c r="M137" s="311">
        <f t="shared" si="33"/>
        <v>0</v>
      </c>
      <c r="N137" s="311">
        <f t="shared" si="33"/>
        <v>0</v>
      </c>
      <c r="O137" s="311">
        <f t="shared" si="33"/>
        <v>0</v>
      </c>
      <c r="P137" s="311">
        <f t="shared" si="33"/>
        <v>0</v>
      </c>
      <c r="Q137" s="311">
        <f t="shared" si="33"/>
        <v>0</v>
      </c>
      <c r="R137" s="311">
        <f t="shared" si="33"/>
        <v>0</v>
      </c>
    </row>
    <row r="138" spans="1:18" ht="12" thickBot="1" x14ac:dyDescent="0.25">
      <c r="A138" s="49" t="s">
        <v>256</v>
      </c>
      <c r="B138" s="305"/>
      <c r="C138" s="311">
        <f>C64</f>
        <v>15.84</v>
      </c>
      <c r="D138" s="311">
        <f t="shared" ref="D138:H138" si="34">D64</f>
        <v>262.8</v>
      </c>
      <c r="E138" s="311">
        <f t="shared" si="34"/>
        <v>262.8</v>
      </c>
      <c r="F138" s="311">
        <f t="shared" si="34"/>
        <v>262.8</v>
      </c>
      <c r="G138" s="311">
        <f t="shared" si="34"/>
        <v>263.52</v>
      </c>
      <c r="H138" s="311">
        <f t="shared" si="34"/>
        <v>262.8</v>
      </c>
      <c r="I138" s="311">
        <f t="shared" ref="I138:R138" si="35">I64</f>
        <v>262.8</v>
      </c>
      <c r="J138" s="311">
        <f t="shared" si="35"/>
        <v>262.8</v>
      </c>
      <c r="K138" s="311">
        <f t="shared" si="35"/>
        <v>263.52</v>
      </c>
      <c r="L138" s="311">
        <f t="shared" si="35"/>
        <v>262.8</v>
      </c>
      <c r="M138" s="311">
        <f t="shared" si="35"/>
        <v>262.8</v>
      </c>
      <c r="N138" s="311">
        <f t="shared" si="35"/>
        <v>262.8</v>
      </c>
      <c r="O138" s="311">
        <f t="shared" si="35"/>
        <v>263.52</v>
      </c>
      <c r="P138" s="311">
        <f t="shared" si="35"/>
        <v>262.8</v>
      </c>
      <c r="Q138" s="311">
        <f t="shared" si="35"/>
        <v>262.8</v>
      </c>
      <c r="R138" s="311">
        <f t="shared" si="35"/>
        <v>249.12</v>
      </c>
    </row>
    <row r="139" spans="1:18" ht="12" thickBot="1" x14ac:dyDescent="0.25">
      <c r="A139" s="49" t="s">
        <v>229</v>
      </c>
      <c r="B139" s="305"/>
      <c r="C139" s="311">
        <f>C79</f>
        <v>0</v>
      </c>
      <c r="D139" s="311">
        <f t="shared" ref="D139:H139" si="36">D79</f>
        <v>0</v>
      </c>
      <c r="E139" s="311">
        <f t="shared" si="36"/>
        <v>0</v>
      </c>
      <c r="F139" s="311">
        <f t="shared" si="36"/>
        <v>0</v>
      </c>
      <c r="G139" s="311">
        <f t="shared" si="36"/>
        <v>0</v>
      </c>
      <c r="H139" s="311">
        <f t="shared" si="36"/>
        <v>0</v>
      </c>
      <c r="I139" s="311">
        <f t="shared" ref="I139:R139" si="37">I79</f>
        <v>0</v>
      </c>
      <c r="J139" s="311">
        <f t="shared" si="37"/>
        <v>0</v>
      </c>
      <c r="K139" s="311">
        <f t="shared" si="37"/>
        <v>0</v>
      </c>
      <c r="L139" s="311">
        <f t="shared" si="37"/>
        <v>0</v>
      </c>
      <c r="M139" s="311">
        <f t="shared" si="37"/>
        <v>0</v>
      </c>
      <c r="N139" s="311">
        <f t="shared" si="37"/>
        <v>0</v>
      </c>
      <c r="O139" s="311">
        <f t="shared" si="37"/>
        <v>0</v>
      </c>
      <c r="P139" s="311">
        <f t="shared" si="37"/>
        <v>0</v>
      </c>
      <c r="Q139" s="311">
        <f t="shared" si="37"/>
        <v>0</v>
      </c>
      <c r="R139" s="311">
        <f t="shared" si="37"/>
        <v>0</v>
      </c>
    </row>
    <row r="140" spans="1:18" ht="12" thickBot="1" x14ac:dyDescent="0.25">
      <c r="A140" s="49" t="s">
        <v>279</v>
      </c>
      <c r="B140" s="305"/>
      <c r="C140" s="311">
        <f>C91</f>
        <v>0</v>
      </c>
      <c r="D140" s="311">
        <f t="shared" ref="D140:H140" si="38">D91</f>
        <v>0</v>
      </c>
      <c r="E140" s="311">
        <f t="shared" si="38"/>
        <v>0</v>
      </c>
      <c r="F140" s="311">
        <f t="shared" si="38"/>
        <v>0</v>
      </c>
      <c r="G140" s="311">
        <f t="shared" si="38"/>
        <v>0</v>
      </c>
      <c r="H140" s="311">
        <f t="shared" si="38"/>
        <v>0</v>
      </c>
      <c r="I140" s="311">
        <f t="shared" ref="I140:R140" si="39">I91</f>
        <v>0</v>
      </c>
      <c r="J140" s="311">
        <f t="shared" si="39"/>
        <v>0</v>
      </c>
      <c r="K140" s="311">
        <f t="shared" si="39"/>
        <v>0</v>
      </c>
      <c r="L140" s="311">
        <f t="shared" si="39"/>
        <v>0</v>
      </c>
      <c r="M140" s="311">
        <f t="shared" si="39"/>
        <v>0</v>
      </c>
      <c r="N140" s="311">
        <f t="shared" si="39"/>
        <v>0</v>
      </c>
      <c r="O140" s="311">
        <f t="shared" si="39"/>
        <v>0</v>
      </c>
      <c r="P140" s="311">
        <f t="shared" si="39"/>
        <v>0</v>
      </c>
      <c r="Q140" s="311">
        <f t="shared" si="39"/>
        <v>0</v>
      </c>
      <c r="R140" s="311">
        <f t="shared" si="39"/>
        <v>0</v>
      </c>
    </row>
    <row r="141" spans="1:18" ht="12" thickBot="1" x14ac:dyDescent="0.25">
      <c r="A141" s="49" t="s">
        <v>285</v>
      </c>
      <c r="B141" s="305"/>
      <c r="C141" s="311">
        <f>C132</f>
        <v>340.12</v>
      </c>
      <c r="D141" s="311">
        <f t="shared" ref="D141:H141" si="40">D132</f>
        <v>5642.9</v>
      </c>
      <c r="E141" s="311">
        <f t="shared" si="40"/>
        <v>5642.9</v>
      </c>
      <c r="F141" s="311">
        <f t="shared" si="40"/>
        <v>5642.9</v>
      </c>
      <c r="G141" s="311">
        <f t="shared" si="40"/>
        <v>5658.36</v>
      </c>
      <c r="H141" s="311">
        <f t="shared" si="40"/>
        <v>5642.9</v>
      </c>
      <c r="I141" s="311">
        <f t="shared" ref="I141:R141" si="41">I132</f>
        <v>5642.9</v>
      </c>
      <c r="J141" s="311">
        <f t="shared" si="41"/>
        <v>5642.9</v>
      </c>
      <c r="K141" s="311">
        <f t="shared" si="41"/>
        <v>5658.36</v>
      </c>
      <c r="L141" s="311">
        <f t="shared" si="41"/>
        <v>5642.9</v>
      </c>
      <c r="M141" s="311">
        <f t="shared" si="41"/>
        <v>5642.9</v>
      </c>
      <c r="N141" s="311">
        <f t="shared" si="41"/>
        <v>5642.9</v>
      </c>
      <c r="O141" s="311">
        <f t="shared" si="41"/>
        <v>5658.36</v>
      </c>
      <c r="P141" s="311">
        <f t="shared" si="41"/>
        <v>5642.9</v>
      </c>
      <c r="Q141" s="311">
        <f t="shared" si="41"/>
        <v>5642.9</v>
      </c>
      <c r="R141" s="311">
        <f t="shared" si="41"/>
        <v>5349.16</v>
      </c>
    </row>
    <row r="142" spans="1:18" ht="12" thickBot="1" x14ac:dyDescent="0.25">
      <c r="A142" s="76" t="s">
        <v>288</v>
      </c>
      <c r="B142" s="310"/>
      <c r="C142" s="312">
        <f>SUM(C137:C141)</f>
        <v>355.96</v>
      </c>
      <c r="D142" s="312">
        <f t="shared" ref="D142:R142" si="42">SUM(D137:D141)</f>
        <v>5905.7</v>
      </c>
      <c r="E142" s="312">
        <f t="shared" si="42"/>
        <v>5905.7</v>
      </c>
      <c r="F142" s="312">
        <f t="shared" si="42"/>
        <v>5905.7</v>
      </c>
      <c r="G142" s="312">
        <f t="shared" si="42"/>
        <v>5921.8799999999992</v>
      </c>
      <c r="H142" s="312">
        <f t="shared" si="42"/>
        <v>5905.7</v>
      </c>
      <c r="I142" s="312">
        <f t="shared" si="42"/>
        <v>5905.7</v>
      </c>
      <c r="J142" s="312">
        <f t="shared" si="42"/>
        <v>5905.7</v>
      </c>
      <c r="K142" s="312">
        <f t="shared" si="42"/>
        <v>5921.8799999999992</v>
      </c>
      <c r="L142" s="312">
        <f t="shared" si="42"/>
        <v>5905.7</v>
      </c>
      <c r="M142" s="312">
        <f t="shared" si="42"/>
        <v>5905.7</v>
      </c>
      <c r="N142" s="312">
        <f t="shared" si="42"/>
        <v>5905.7</v>
      </c>
      <c r="O142" s="312">
        <f t="shared" si="42"/>
        <v>5921.8799999999992</v>
      </c>
      <c r="P142" s="312">
        <f t="shared" si="42"/>
        <v>5905.7</v>
      </c>
      <c r="Q142" s="312">
        <f t="shared" si="42"/>
        <v>5905.7</v>
      </c>
      <c r="R142" s="312">
        <f t="shared" si="42"/>
        <v>5598.28</v>
      </c>
    </row>
    <row r="143" spans="1:18" ht="11.4" x14ac:dyDescent="0.2">
      <c r="A143" s="83"/>
      <c r="B143" s="83"/>
      <c r="C143" s="83"/>
      <c r="D143" s="83"/>
      <c r="E143" s="83"/>
      <c r="F143" s="83"/>
      <c r="G143" s="83"/>
      <c r="H143" s="83"/>
    </row>
    <row r="144" spans="1:18" ht="11.4" x14ac:dyDescent="0.2">
      <c r="A144" s="53" t="s">
        <v>230</v>
      </c>
      <c r="B144" s="53"/>
      <c r="C144" s="83"/>
      <c r="D144" s="83"/>
      <c r="E144" s="83"/>
      <c r="F144" s="83"/>
      <c r="G144" s="83"/>
      <c r="H144" s="83"/>
    </row>
    <row r="145" spans="1:19" ht="12" thickBot="1" x14ac:dyDescent="0.25">
      <c r="A145" s="298"/>
      <c r="B145" s="298"/>
      <c r="C145" s="83"/>
      <c r="D145" s="83"/>
      <c r="E145" s="83"/>
      <c r="F145" s="83"/>
      <c r="G145" s="83"/>
      <c r="H145" s="83"/>
    </row>
    <row r="146" spans="1:19" ht="12" thickBot="1" x14ac:dyDescent="0.25">
      <c r="A146" s="47" t="s">
        <v>132</v>
      </c>
      <c r="B146" s="304"/>
      <c r="C146" s="48">
        <f>C$10</f>
        <v>2028</v>
      </c>
      <c r="D146" s="48">
        <f t="shared" ref="D146:R146" si="43">D$10</f>
        <v>2029</v>
      </c>
      <c r="E146" s="48">
        <f t="shared" si="43"/>
        <v>2030</v>
      </c>
      <c r="F146" s="48">
        <f t="shared" si="43"/>
        <v>2031</v>
      </c>
      <c r="G146" s="48">
        <f t="shared" si="43"/>
        <v>2032</v>
      </c>
      <c r="H146" s="48">
        <f t="shared" si="43"/>
        <v>2033</v>
      </c>
      <c r="I146" s="48">
        <f t="shared" si="43"/>
        <v>2034</v>
      </c>
      <c r="J146" s="48">
        <f t="shared" si="43"/>
        <v>2035</v>
      </c>
      <c r="K146" s="48">
        <f t="shared" si="43"/>
        <v>2036</v>
      </c>
      <c r="L146" s="48">
        <f t="shared" si="43"/>
        <v>2037</v>
      </c>
      <c r="M146" s="48">
        <f t="shared" si="43"/>
        <v>2038</v>
      </c>
      <c r="N146" s="48">
        <f t="shared" si="43"/>
        <v>2039</v>
      </c>
      <c r="O146" s="48">
        <f t="shared" si="43"/>
        <v>2040</v>
      </c>
      <c r="P146" s="48">
        <f t="shared" si="43"/>
        <v>2041</v>
      </c>
      <c r="Q146" s="48">
        <f t="shared" si="43"/>
        <v>2042</v>
      </c>
      <c r="R146" s="48">
        <f t="shared" si="43"/>
        <v>2043</v>
      </c>
    </row>
    <row r="147" spans="1:19" ht="12" thickBot="1" x14ac:dyDescent="0.25">
      <c r="A147" s="49" t="s">
        <v>228</v>
      </c>
      <c r="B147" s="305"/>
      <c r="C147" s="311">
        <f>C43</f>
        <v>0</v>
      </c>
      <c r="D147" s="311">
        <f t="shared" ref="D147:H147" si="44">D43</f>
        <v>0</v>
      </c>
      <c r="E147" s="311">
        <f t="shared" si="44"/>
        <v>0</v>
      </c>
      <c r="F147" s="311">
        <f t="shared" si="44"/>
        <v>0</v>
      </c>
      <c r="G147" s="311">
        <f t="shared" si="44"/>
        <v>0</v>
      </c>
      <c r="H147" s="311">
        <f t="shared" si="44"/>
        <v>0</v>
      </c>
      <c r="I147" s="311">
        <f t="shared" ref="I147:R147" si="45">I43</f>
        <v>0</v>
      </c>
      <c r="J147" s="311">
        <f t="shared" si="45"/>
        <v>0</v>
      </c>
      <c r="K147" s="311">
        <f t="shared" si="45"/>
        <v>0</v>
      </c>
      <c r="L147" s="311">
        <f t="shared" si="45"/>
        <v>0</v>
      </c>
      <c r="M147" s="311">
        <f t="shared" si="45"/>
        <v>0</v>
      </c>
      <c r="N147" s="311">
        <f t="shared" si="45"/>
        <v>0</v>
      </c>
      <c r="O147" s="311">
        <f t="shared" si="45"/>
        <v>0</v>
      </c>
      <c r="P147" s="311">
        <f t="shared" si="45"/>
        <v>0</v>
      </c>
      <c r="Q147" s="311">
        <f t="shared" si="45"/>
        <v>0</v>
      </c>
      <c r="R147" s="311">
        <f t="shared" si="45"/>
        <v>0</v>
      </c>
    </row>
    <row r="148" spans="1:19" ht="12" thickBot="1" x14ac:dyDescent="0.25">
      <c r="A148" s="49" t="s">
        <v>286</v>
      </c>
      <c r="B148" s="305"/>
      <c r="C148" s="307"/>
      <c r="D148" s="307"/>
      <c r="E148" s="307"/>
      <c r="F148" s="307"/>
      <c r="G148" s="307"/>
      <c r="H148" s="307"/>
      <c r="I148" s="307"/>
      <c r="J148" s="307"/>
      <c r="K148" s="307"/>
      <c r="L148" s="307"/>
      <c r="M148" s="307"/>
      <c r="N148" s="307"/>
      <c r="O148" s="307"/>
      <c r="P148" s="307"/>
      <c r="Q148" s="307"/>
      <c r="R148" s="307"/>
    </row>
    <row r="149" spans="1:19" ht="12" thickBot="1" x14ac:dyDescent="0.25">
      <c r="A149" s="76" t="s">
        <v>288</v>
      </c>
      <c r="B149" s="310"/>
      <c r="C149" s="312">
        <f t="shared" ref="C149:H149" si="46">SUM(C147:C148)</f>
        <v>0</v>
      </c>
      <c r="D149" s="312">
        <f t="shared" si="46"/>
        <v>0</v>
      </c>
      <c r="E149" s="312">
        <f t="shared" si="46"/>
        <v>0</v>
      </c>
      <c r="F149" s="312">
        <f t="shared" si="46"/>
        <v>0</v>
      </c>
      <c r="G149" s="312">
        <f t="shared" si="46"/>
        <v>0</v>
      </c>
      <c r="H149" s="312">
        <f t="shared" si="46"/>
        <v>0</v>
      </c>
      <c r="I149" s="312">
        <f t="shared" ref="I149:R149" si="47">SUM(I147:I148)</f>
        <v>0</v>
      </c>
      <c r="J149" s="312">
        <f t="shared" si="47"/>
        <v>0</v>
      </c>
      <c r="K149" s="312">
        <f t="shared" si="47"/>
        <v>0</v>
      </c>
      <c r="L149" s="312">
        <f t="shared" si="47"/>
        <v>0</v>
      </c>
      <c r="M149" s="312">
        <f t="shared" si="47"/>
        <v>0</v>
      </c>
      <c r="N149" s="312">
        <f t="shared" si="47"/>
        <v>0</v>
      </c>
      <c r="O149" s="312">
        <f t="shared" si="47"/>
        <v>0</v>
      </c>
      <c r="P149" s="312">
        <f t="shared" si="47"/>
        <v>0</v>
      </c>
      <c r="Q149" s="312">
        <f t="shared" si="47"/>
        <v>0</v>
      </c>
      <c r="R149" s="312">
        <f t="shared" si="47"/>
        <v>0</v>
      </c>
    </row>
    <row r="150" spans="1:19" ht="12" thickBot="1" x14ac:dyDescent="0.25">
      <c r="A150" s="83"/>
      <c r="B150" s="83"/>
      <c r="C150" s="313"/>
      <c r="D150" s="313"/>
      <c r="E150" s="313"/>
      <c r="F150" s="313"/>
      <c r="G150" s="313"/>
      <c r="H150" s="313"/>
      <c r="I150" s="313"/>
      <c r="J150" s="313"/>
      <c r="K150" s="313"/>
      <c r="L150" s="313"/>
      <c r="M150" s="313"/>
      <c r="N150" s="313"/>
      <c r="O150" s="313"/>
      <c r="P150" s="313"/>
      <c r="Q150" s="313"/>
      <c r="R150" s="313"/>
    </row>
    <row r="151" spans="1:19" ht="12" thickBot="1" x14ac:dyDescent="0.25">
      <c r="A151" s="314" t="s">
        <v>88</v>
      </c>
      <c r="B151" s="315"/>
      <c r="C151" s="316">
        <f t="shared" ref="C151:H151" si="48">C142+C149</f>
        <v>355.96</v>
      </c>
      <c r="D151" s="316">
        <f t="shared" si="48"/>
        <v>5905.7</v>
      </c>
      <c r="E151" s="316">
        <f t="shared" si="48"/>
        <v>5905.7</v>
      </c>
      <c r="F151" s="316">
        <f t="shared" si="48"/>
        <v>5905.7</v>
      </c>
      <c r="G151" s="316">
        <f t="shared" si="48"/>
        <v>5921.8799999999992</v>
      </c>
      <c r="H151" s="316">
        <f t="shared" si="48"/>
        <v>5905.7</v>
      </c>
      <c r="I151" s="316">
        <f t="shared" ref="I151:R151" si="49">I142+I149</f>
        <v>5905.7</v>
      </c>
      <c r="J151" s="316">
        <f t="shared" si="49"/>
        <v>5905.7</v>
      </c>
      <c r="K151" s="316">
        <f t="shared" si="49"/>
        <v>5921.8799999999992</v>
      </c>
      <c r="L151" s="316">
        <f t="shared" si="49"/>
        <v>5905.7</v>
      </c>
      <c r="M151" s="316">
        <f t="shared" si="49"/>
        <v>5905.7</v>
      </c>
      <c r="N151" s="316">
        <f t="shared" si="49"/>
        <v>5905.7</v>
      </c>
      <c r="O151" s="316">
        <f t="shared" si="49"/>
        <v>5921.8799999999992</v>
      </c>
      <c r="P151" s="316">
        <f t="shared" si="49"/>
        <v>5905.7</v>
      </c>
      <c r="Q151" s="316">
        <f t="shared" si="49"/>
        <v>5905.7</v>
      </c>
      <c r="R151" s="316">
        <f t="shared" si="49"/>
        <v>5598.28</v>
      </c>
      <c r="S151" s="165"/>
    </row>
    <row r="152" spans="1:19" ht="11.4" x14ac:dyDescent="0.2">
      <c r="A152" s="83"/>
      <c r="B152" s="83"/>
      <c r="C152" s="83"/>
      <c r="D152" s="83"/>
      <c r="E152" s="83"/>
      <c r="F152" s="83"/>
      <c r="G152" s="83"/>
      <c r="H152" s="83"/>
    </row>
    <row r="153" spans="1:19" ht="11.4" x14ac:dyDescent="0.2">
      <c r="A153" s="83"/>
      <c r="B153" s="83"/>
      <c r="C153" s="83"/>
      <c r="D153" s="83"/>
      <c r="E153" s="83"/>
      <c r="F153" s="83"/>
      <c r="G153" s="83"/>
      <c r="H153" s="83"/>
    </row>
    <row r="154" spans="1:19" ht="11.4" x14ac:dyDescent="0.2">
      <c r="A154" s="83"/>
      <c r="B154" s="83"/>
      <c r="C154" s="83"/>
      <c r="D154" s="83"/>
      <c r="E154" s="83"/>
      <c r="F154" s="83"/>
      <c r="G154" s="83"/>
      <c r="H154" s="83"/>
    </row>
    <row r="155" spans="1:19" ht="11.4" x14ac:dyDescent="0.2">
      <c r="A155" s="83"/>
      <c r="B155" s="83"/>
      <c r="C155" s="83"/>
      <c r="D155" s="83"/>
      <c r="E155" s="83"/>
      <c r="F155" s="83"/>
      <c r="G155" s="83"/>
      <c r="H155" s="83"/>
    </row>
    <row r="156" spans="1:19" ht="11.4" x14ac:dyDescent="0.2">
      <c r="A156" s="83"/>
      <c r="B156" s="83"/>
      <c r="C156" s="83"/>
      <c r="D156" s="83"/>
      <c r="E156" s="83"/>
      <c r="F156" s="83"/>
      <c r="G156" s="83"/>
      <c r="H156" s="83"/>
    </row>
    <row r="157" spans="1:19" ht="11.4" x14ac:dyDescent="0.2">
      <c r="A157" s="83"/>
      <c r="B157" s="83"/>
      <c r="C157" s="83"/>
      <c r="D157" s="83"/>
      <c r="E157" s="83"/>
      <c r="F157" s="83"/>
      <c r="G157" s="83"/>
      <c r="H157" s="83"/>
    </row>
    <row r="158" spans="1:19" ht="11.4" x14ac:dyDescent="0.2">
      <c r="A158" s="83"/>
      <c r="B158" s="83"/>
      <c r="C158" s="83"/>
      <c r="D158" s="83"/>
      <c r="E158" s="83"/>
      <c r="F158" s="83"/>
      <c r="G158" s="83"/>
      <c r="H158" s="83"/>
    </row>
    <row r="159" spans="1:19" ht="11.4" x14ac:dyDescent="0.2">
      <c r="A159" s="83"/>
      <c r="B159" s="83"/>
      <c r="C159" s="83"/>
      <c r="D159" s="83"/>
      <c r="E159" s="83"/>
      <c r="F159" s="83"/>
      <c r="G159" s="83"/>
      <c r="H159" s="83"/>
    </row>
    <row r="160" spans="1:19" ht="11.4" x14ac:dyDescent="0.2">
      <c r="A160" s="83"/>
      <c r="B160" s="83"/>
      <c r="C160" s="83"/>
      <c r="D160" s="83"/>
      <c r="E160" s="83"/>
      <c r="F160" s="83"/>
      <c r="G160" s="83"/>
      <c r="H160" s="83"/>
    </row>
    <row r="161" spans="1:8" ht="11.4" x14ac:dyDescent="0.2">
      <c r="A161" s="83"/>
      <c r="B161" s="83"/>
      <c r="C161" s="83"/>
      <c r="D161" s="83"/>
      <c r="E161" s="83"/>
      <c r="F161" s="83"/>
      <c r="G161" s="83"/>
      <c r="H161" s="83"/>
    </row>
    <row r="162" spans="1:8" ht="11.4" x14ac:dyDescent="0.2">
      <c r="A162" s="83"/>
      <c r="B162" s="83"/>
      <c r="C162" s="83"/>
      <c r="D162" s="83"/>
      <c r="E162" s="83"/>
      <c r="F162" s="83"/>
      <c r="G162" s="83"/>
      <c r="H162" s="83"/>
    </row>
    <row r="163" spans="1:8" ht="11.4" x14ac:dyDescent="0.2">
      <c r="A163" s="83"/>
      <c r="B163" s="83"/>
      <c r="C163" s="83"/>
      <c r="D163" s="83"/>
      <c r="E163" s="83"/>
      <c r="F163" s="83"/>
      <c r="G163" s="83"/>
      <c r="H163" s="83"/>
    </row>
    <row r="164" spans="1:8" ht="11.4" x14ac:dyDescent="0.2">
      <c r="A164" s="83"/>
      <c r="B164" s="83"/>
      <c r="C164" s="83"/>
      <c r="D164" s="83"/>
      <c r="E164" s="83"/>
      <c r="F164" s="83"/>
      <c r="G164" s="83"/>
      <c r="H164" s="83"/>
    </row>
    <row r="165" spans="1:8" ht="11.4" x14ac:dyDescent="0.2">
      <c r="A165" s="83"/>
      <c r="B165" s="83"/>
      <c r="C165" s="83"/>
      <c r="D165" s="83"/>
      <c r="E165" s="83"/>
      <c r="F165" s="83"/>
      <c r="G165" s="83"/>
      <c r="H165" s="83"/>
    </row>
    <row r="166" spans="1:8" ht="11.4" x14ac:dyDescent="0.2">
      <c r="A166" s="83"/>
      <c r="B166" s="83"/>
      <c r="C166" s="83"/>
      <c r="D166" s="83"/>
      <c r="E166" s="83"/>
      <c r="F166" s="83"/>
      <c r="G166" s="83"/>
      <c r="H166" s="83"/>
    </row>
    <row r="167" spans="1:8" ht="11.4" x14ac:dyDescent="0.2">
      <c r="A167" s="83"/>
      <c r="B167" s="83"/>
      <c r="C167" s="83"/>
      <c r="D167" s="83"/>
      <c r="E167" s="83"/>
      <c r="F167" s="83"/>
      <c r="G167" s="83"/>
      <c r="H167" s="83"/>
    </row>
    <row r="168" spans="1:8" ht="11.4" x14ac:dyDescent="0.2">
      <c r="A168" s="83"/>
      <c r="B168" s="83"/>
      <c r="C168" s="83"/>
      <c r="D168" s="83"/>
      <c r="E168" s="83"/>
      <c r="F168" s="83"/>
      <c r="G168" s="83"/>
      <c r="H168" s="83"/>
    </row>
    <row r="169" spans="1:8" ht="11.4" x14ac:dyDescent="0.2">
      <c r="A169" s="83"/>
      <c r="B169" s="83"/>
      <c r="C169" s="83"/>
      <c r="D169" s="83"/>
      <c r="E169" s="83"/>
      <c r="F169" s="83"/>
      <c r="G169" s="83"/>
      <c r="H169" s="83"/>
    </row>
    <row r="170" spans="1:8" ht="11.4" x14ac:dyDescent="0.2">
      <c r="A170" s="83"/>
      <c r="B170" s="83"/>
      <c r="C170" s="83"/>
      <c r="D170" s="83"/>
      <c r="E170" s="83"/>
      <c r="F170" s="83"/>
      <c r="G170" s="83"/>
      <c r="H170" s="83"/>
    </row>
    <row r="171" spans="1:8" ht="11.4" x14ac:dyDescent="0.2">
      <c r="A171" s="83"/>
      <c r="B171" s="83"/>
      <c r="C171" s="83"/>
      <c r="D171" s="83"/>
      <c r="E171" s="83"/>
      <c r="F171" s="83"/>
      <c r="G171" s="83"/>
      <c r="H171" s="83"/>
    </row>
    <row r="172" spans="1:8" ht="11.4" x14ac:dyDescent="0.2">
      <c r="A172" s="83"/>
      <c r="B172" s="83"/>
      <c r="C172" s="83"/>
      <c r="D172" s="83"/>
      <c r="E172" s="83"/>
      <c r="F172" s="83"/>
      <c r="G172" s="83"/>
      <c r="H172" s="83"/>
    </row>
    <row r="173" spans="1:8" ht="11.4" x14ac:dyDescent="0.2">
      <c r="A173" s="83"/>
      <c r="B173" s="83"/>
      <c r="C173" s="83"/>
      <c r="D173" s="83"/>
      <c r="E173" s="83"/>
      <c r="F173" s="83"/>
      <c r="G173" s="83"/>
      <c r="H173" s="83"/>
    </row>
    <row r="174" spans="1:8" ht="11.4" x14ac:dyDescent="0.2">
      <c r="A174" s="83"/>
      <c r="B174" s="83"/>
      <c r="C174" s="83"/>
      <c r="D174" s="83"/>
      <c r="E174" s="83"/>
      <c r="F174" s="83"/>
      <c r="G174" s="83"/>
      <c r="H174" s="83"/>
    </row>
    <row r="175" spans="1:8" ht="11.4" x14ac:dyDescent="0.2">
      <c r="A175" s="83"/>
      <c r="B175" s="83"/>
      <c r="C175" s="83"/>
      <c r="D175" s="83"/>
      <c r="E175" s="83"/>
      <c r="F175" s="83"/>
      <c r="G175" s="83"/>
      <c r="H175" s="83"/>
    </row>
    <row r="176" spans="1:8" ht="11.4" x14ac:dyDescent="0.2">
      <c r="A176" s="83"/>
      <c r="B176" s="83"/>
      <c r="C176" s="83"/>
      <c r="D176" s="83"/>
      <c r="E176" s="83"/>
      <c r="F176" s="83"/>
      <c r="G176" s="83"/>
      <c r="H176" s="83"/>
    </row>
    <row r="177" spans="1:8" ht="11.4" x14ac:dyDescent="0.2">
      <c r="A177" s="83"/>
      <c r="B177" s="83"/>
      <c r="C177" s="83"/>
      <c r="D177" s="83"/>
      <c r="E177" s="83"/>
      <c r="F177" s="83"/>
      <c r="G177" s="83"/>
      <c r="H177" s="83"/>
    </row>
    <row r="178" spans="1:8" ht="11.4" x14ac:dyDescent="0.2">
      <c r="A178" s="83"/>
      <c r="B178" s="83"/>
      <c r="C178" s="83"/>
      <c r="D178" s="83"/>
      <c r="E178" s="83"/>
      <c r="F178" s="83"/>
      <c r="G178" s="83"/>
      <c r="H178" s="83"/>
    </row>
    <row r="179" spans="1:8" ht="11.4" x14ac:dyDescent="0.2">
      <c r="A179" s="83"/>
      <c r="B179" s="83"/>
      <c r="C179" s="83"/>
      <c r="D179" s="83"/>
      <c r="E179" s="83"/>
      <c r="F179" s="83"/>
      <c r="G179" s="83"/>
      <c r="H179" s="83"/>
    </row>
    <row r="180" spans="1:8" ht="11.4" x14ac:dyDescent="0.2">
      <c r="A180" s="83"/>
      <c r="B180" s="83"/>
      <c r="C180" s="83"/>
      <c r="D180" s="83"/>
      <c r="E180" s="83"/>
      <c r="F180" s="83"/>
      <c r="G180" s="83"/>
      <c r="H180" s="83"/>
    </row>
    <row r="181" spans="1:8" ht="11.4" x14ac:dyDescent="0.2">
      <c r="A181" s="83"/>
      <c r="B181" s="83"/>
      <c r="C181" s="83"/>
      <c r="D181" s="83"/>
      <c r="E181" s="83"/>
      <c r="F181" s="83"/>
      <c r="G181" s="83"/>
      <c r="H181" s="83"/>
    </row>
  </sheetData>
  <mergeCells count="1">
    <mergeCell ref="P1:R1"/>
  </mergeCells>
  <dataValidations disablePrompts="1" count="4">
    <dataValidation type="list" allowBlank="1" showInputMessage="1" showErrorMessage="1" sqref="D252:D261" xr:uid="{B33CE236-179D-4FA0-BF92-22854E59271F}">
      <formula1>"A,B,C"</formula1>
    </dataValidation>
    <dataValidation type="list" allowBlank="1" showInputMessage="1" showErrorMessage="1" sqref="D192:D203 D317:D329 D176:D187 D206:D211 D224:D227 D229:D232 D213:D218" xr:uid="{E09DF8BC-04AB-4D35-8A1C-43BD7B2314C1}">
      <formula1>$A$150:$A$155</formula1>
    </dataValidation>
    <dataValidation type="list" allowBlank="1" showInputMessage="1" showErrorMessage="1" sqref="E317:E329 E206:E211 E213:E218 E192:E203" xr:uid="{1D544606-8A9F-4699-8F54-9D54D81AB0B7}">
      <formula1>$C$150:$C$155</formula1>
    </dataValidation>
    <dataValidation type="list" allowBlank="1" showInputMessage="1" showErrorMessage="1" sqref="C282:C293 C317:C328 C224:C227 C206:C211 C192:C203 C176:C187 C213:C218 C161:C170 C252:C261 C268:C277 C229:C232" xr:uid="{72D4397A-B67E-40B5-822B-3EEEF31426AC}">
      <formula1>$C$145:$C$146</formula1>
    </dataValidation>
  </dataValidations>
  <hyperlinks>
    <hyperlink ref="A2" location="FEO!A1" display="terug" xr:uid="{CB301571-6EC9-4F53-9A65-670F5F22BFFA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2F120-A081-4EEE-B0A9-86F37F197BCB}">
  <sheetPr>
    <tabColor rgb="FFFFC000"/>
  </sheetPr>
  <dimension ref="A1:S181"/>
  <sheetViews>
    <sheetView workbookViewId="0"/>
  </sheetViews>
  <sheetFormatPr defaultRowHeight="10.199999999999999" x14ac:dyDescent="0.2"/>
  <cols>
    <col min="1" max="1" width="27.875" customWidth="1"/>
    <col min="2" max="2" width="2.375" bestFit="1" customWidth="1"/>
    <col min="3" max="18" width="14.25" customWidth="1"/>
    <col min="19" max="19" width="11.875" bestFit="1" customWidth="1"/>
  </cols>
  <sheetData>
    <row r="1" spans="1:18" ht="16.2" x14ac:dyDescent="0.3">
      <c r="A1" s="51" t="s">
        <v>379</v>
      </c>
      <c r="B1" s="51"/>
      <c r="O1" s="156" t="s">
        <v>83</v>
      </c>
      <c r="P1" s="647" t="s">
        <v>84</v>
      </c>
      <c r="Q1" s="647"/>
      <c r="R1" s="647"/>
    </row>
    <row r="2" spans="1:18" x14ac:dyDescent="0.2">
      <c r="A2" s="56" t="s">
        <v>131</v>
      </c>
      <c r="B2" s="56"/>
      <c r="Q2" s="266" t="str">
        <f>FEO!AA1</f>
        <v>Versie</v>
      </c>
      <c r="R2" s="274" t="str">
        <f>FEO!AA2</f>
        <v>NVI 5b</v>
      </c>
    </row>
    <row r="3" spans="1:18" x14ac:dyDescent="0.2">
      <c r="A3" s="56"/>
      <c r="B3" s="56"/>
    </row>
    <row r="4" spans="1:18" ht="11.4" x14ac:dyDescent="0.2">
      <c r="A4" s="313" t="s">
        <v>507</v>
      </c>
      <c r="B4" s="83"/>
      <c r="C4" s="83"/>
      <c r="D4" s="83"/>
      <c r="E4" s="83"/>
      <c r="F4" s="83"/>
      <c r="G4" s="83"/>
      <c r="H4" s="83"/>
    </row>
    <row r="5" spans="1:18" ht="11.4" x14ac:dyDescent="0.2">
      <c r="A5" s="83"/>
      <c r="B5" s="83"/>
      <c r="C5" s="83"/>
      <c r="D5" s="83"/>
      <c r="E5" s="83"/>
      <c r="F5" s="83"/>
      <c r="G5" s="83"/>
      <c r="H5" s="83"/>
    </row>
    <row r="6" spans="1:18" ht="16.2" x14ac:dyDescent="0.3">
      <c r="A6" s="1" t="s">
        <v>272</v>
      </c>
      <c r="B6" s="83"/>
      <c r="C6" s="83"/>
      <c r="D6" s="83"/>
      <c r="E6" s="83"/>
      <c r="F6" s="83"/>
      <c r="G6" s="83"/>
      <c r="H6" s="83"/>
    </row>
    <row r="7" spans="1:18" ht="11.4" x14ac:dyDescent="0.2">
      <c r="A7" s="83"/>
      <c r="B7" s="83"/>
      <c r="C7" s="83"/>
      <c r="D7" s="83"/>
      <c r="E7" s="83"/>
      <c r="F7" s="83"/>
      <c r="G7" s="83"/>
      <c r="H7" s="83"/>
    </row>
    <row r="8" spans="1:18" ht="11.4" x14ac:dyDescent="0.2">
      <c r="A8" s="298" t="s">
        <v>276</v>
      </c>
      <c r="B8" s="83"/>
      <c r="C8" s="83"/>
      <c r="D8" s="83"/>
      <c r="E8" s="83"/>
      <c r="F8" s="83"/>
      <c r="G8" s="83"/>
      <c r="H8" s="83"/>
    </row>
    <row r="9" spans="1:18" ht="12" thickBot="1" x14ac:dyDescent="0.25">
      <c r="A9" s="53"/>
      <c r="B9" s="53"/>
      <c r="C9" s="83"/>
      <c r="D9" s="83"/>
      <c r="E9" s="83"/>
      <c r="F9" s="83"/>
      <c r="G9" s="83"/>
      <c r="H9" s="83"/>
    </row>
    <row r="10" spans="1:18" ht="12" thickBot="1" x14ac:dyDescent="0.25">
      <c r="A10" s="47" t="s">
        <v>228</v>
      </c>
      <c r="B10" s="304"/>
      <c r="C10" s="48">
        <f>FEO!G5</f>
        <v>2028</v>
      </c>
      <c r="D10" s="48">
        <f>FEO!H5</f>
        <v>2029</v>
      </c>
      <c r="E10" s="48">
        <f>FEO!I5</f>
        <v>2030</v>
      </c>
      <c r="F10" s="48">
        <f>FEO!J5</f>
        <v>2031</v>
      </c>
      <c r="G10" s="48">
        <f>FEO!K5</f>
        <v>2032</v>
      </c>
      <c r="H10" s="48">
        <f>FEO!L5</f>
        <v>2033</v>
      </c>
      <c r="I10" s="48">
        <f>FEO!M5</f>
        <v>2034</v>
      </c>
      <c r="J10" s="48">
        <f>FEO!N5</f>
        <v>2035</v>
      </c>
      <c r="K10" s="48">
        <f>FEO!O5</f>
        <v>2036</v>
      </c>
      <c r="L10" s="48">
        <f>FEO!P5</f>
        <v>2037</v>
      </c>
      <c r="M10" s="48">
        <f>FEO!Q5</f>
        <v>2038</v>
      </c>
      <c r="N10" s="48">
        <f>FEO!R5</f>
        <v>2039</v>
      </c>
      <c r="O10" s="48">
        <f>FEO!S5</f>
        <v>2040</v>
      </c>
      <c r="P10" s="48">
        <f>FEO!T5</f>
        <v>2041</v>
      </c>
      <c r="Q10" s="48">
        <f>FEO!U5</f>
        <v>2042</v>
      </c>
      <c r="R10" s="48">
        <f>FEO!V5</f>
        <v>2043</v>
      </c>
    </row>
    <row r="11" spans="1:18" ht="11.4" x14ac:dyDescent="0.2">
      <c r="A11" s="83" t="s">
        <v>252</v>
      </c>
      <c r="B11" s="83"/>
      <c r="C11" s="302">
        <v>0.433</v>
      </c>
      <c r="D11" s="302">
        <v>0.433</v>
      </c>
      <c r="E11" s="302">
        <v>0.433</v>
      </c>
      <c r="F11" s="302">
        <v>0.433</v>
      </c>
      <c r="G11" s="302">
        <v>0.433</v>
      </c>
      <c r="H11" s="302">
        <v>0.433</v>
      </c>
      <c r="I11" s="302">
        <v>0.433</v>
      </c>
      <c r="J11" s="302">
        <v>0.433</v>
      </c>
      <c r="K11" s="302">
        <v>0.433</v>
      </c>
      <c r="L11" s="302">
        <v>0.433</v>
      </c>
      <c r="M11" s="302">
        <v>0.433</v>
      </c>
      <c r="N11" s="302">
        <v>0.433</v>
      </c>
      <c r="O11" s="302">
        <v>0.433</v>
      </c>
      <c r="P11" s="302">
        <v>0.433</v>
      </c>
      <c r="Q11" s="302">
        <v>0.433</v>
      </c>
      <c r="R11" s="302">
        <v>0.433</v>
      </c>
    </row>
    <row r="12" spans="1:18" ht="11.4" x14ac:dyDescent="0.2">
      <c r="A12" s="83" t="s">
        <v>253</v>
      </c>
      <c r="B12" s="83"/>
      <c r="C12" s="302">
        <v>0.5413</v>
      </c>
      <c r="D12" s="302">
        <v>0.5413</v>
      </c>
      <c r="E12" s="302">
        <v>0.5413</v>
      </c>
      <c r="F12" s="302">
        <v>0.5413</v>
      </c>
      <c r="G12" s="302">
        <v>0.5413</v>
      </c>
      <c r="H12" s="302">
        <v>0.5413</v>
      </c>
      <c r="I12" s="302">
        <v>0.5413</v>
      </c>
      <c r="J12" s="302">
        <v>0.5413</v>
      </c>
      <c r="K12" s="302">
        <v>0.5413</v>
      </c>
      <c r="L12" s="302">
        <v>0.5413</v>
      </c>
      <c r="M12" s="302">
        <v>0.5413</v>
      </c>
      <c r="N12" s="302">
        <v>0.5413</v>
      </c>
      <c r="O12" s="302">
        <v>0.5413</v>
      </c>
      <c r="P12" s="302">
        <v>0.5413</v>
      </c>
      <c r="Q12" s="302">
        <v>0.5413</v>
      </c>
      <c r="R12" s="302">
        <v>0.5413</v>
      </c>
    </row>
    <row r="13" spans="1:18" ht="11.4" x14ac:dyDescent="0.2">
      <c r="A13" s="83" t="s">
        <v>254</v>
      </c>
      <c r="B13" s="83"/>
      <c r="C13" s="302">
        <v>0.6885</v>
      </c>
      <c r="D13" s="302">
        <v>0.6885</v>
      </c>
      <c r="E13" s="302">
        <v>0.6885</v>
      </c>
      <c r="F13" s="302">
        <v>0.6885</v>
      </c>
      <c r="G13" s="302">
        <v>0.6885</v>
      </c>
      <c r="H13" s="302">
        <v>0.6885</v>
      </c>
      <c r="I13" s="302">
        <v>0.6885</v>
      </c>
      <c r="J13" s="302">
        <v>0.6885</v>
      </c>
      <c r="K13" s="302">
        <v>0.6885</v>
      </c>
      <c r="L13" s="302">
        <v>0.6885</v>
      </c>
      <c r="M13" s="302">
        <v>0.6885</v>
      </c>
      <c r="N13" s="302">
        <v>0.6885</v>
      </c>
      <c r="O13" s="302">
        <v>0.6885</v>
      </c>
      <c r="P13" s="302">
        <v>0.6885</v>
      </c>
      <c r="Q13" s="302">
        <v>0.6885</v>
      </c>
      <c r="R13" s="302">
        <v>0.6885</v>
      </c>
    </row>
    <row r="14" spans="1:18" ht="11.4" x14ac:dyDescent="0.2">
      <c r="A14" s="83" t="s">
        <v>254</v>
      </c>
      <c r="B14" s="83"/>
      <c r="C14" s="302">
        <v>0.95699999999999996</v>
      </c>
      <c r="D14" s="302">
        <v>0.95699999999999996</v>
      </c>
      <c r="E14" s="302">
        <v>0.95699999999999996</v>
      </c>
      <c r="F14" s="302">
        <v>0.95699999999999996</v>
      </c>
      <c r="G14" s="302">
        <v>0.95699999999999996</v>
      </c>
      <c r="H14" s="302">
        <v>0.95699999999999996</v>
      </c>
      <c r="I14" s="302">
        <v>0.95699999999999996</v>
      </c>
      <c r="J14" s="302">
        <v>0.95699999999999996</v>
      </c>
      <c r="K14" s="302">
        <v>0.95699999999999996</v>
      </c>
      <c r="L14" s="302">
        <v>0.95699999999999996</v>
      </c>
      <c r="M14" s="302">
        <v>0.95699999999999996</v>
      </c>
      <c r="N14" s="302">
        <v>0.95699999999999996</v>
      </c>
      <c r="O14" s="302">
        <v>0.95699999999999996</v>
      </c>
      <c r="P14" s="302">
        <v>0.95699999999999996</v>
      </c>
      <c r="Q14" s="302">
        <v>0.95699999999999996</v>
      </c>
      <c r="R14" s="302">
        <v>0.95699999999999996</v>
      </c>
    </row>
    <row r="15" spans="1:18" ht="12" thickBot="1" x14ac:dyDescent="0.25">
      <c r="A15" s="83"/>
      <c r="B15" s="83"/>
      <c r="C15" s="295"/>
      <c r="D15" s="295"/>
      <c r="E15" s="295"/>
      <c r="F15" s="295"/>
      <c r="G15" s="295"/>
      <c r="H15" s="295"/>
    </row>
    <row r="16" spans="1:18" ht="12" thickBot="1" x14ac:dyDescent="0.25">
      <c r="A16" s="47" t="s">
        <v>255</v>
      </c>
      <c r="B16" s="304"/>
      <c r="C16" s="48">
        <f>C$10</f>
        <v>2028</v>
      </c>
      <c r="D16" s="48">
        <f t="shared" ref="D16:R16" si="0">D$10</f>
        <v>2029</v>
      </c>
      <c r="E16" s="48">
        <f t="shared" si="0"/>
        <v>2030</v>
      </c>
      <c r="F16" s="48">
        <f t="shared" si="0"/>
        <v>2031</v>
      </c>
      <c r="G16" s="48">
        <f t="shared" si="0"/>
        <v>2032</v>
      </c>
      <c r="H16" s="48">
        <f t="shared" si="0"/>
        <v>2033</v>
      </c>
      <c r="I16" s="48">
        <f t="shared" si="0"/>
        <v>2034</v>
      </c>
      <c r="J16" s="48">
        <f t="shared" si="0"/>
        <v>2035</v>
      </c>
      <c r="K16" s="48">
        <f t="shared" si="0"/>
        <v>2036</v>
      </c>
      <c r="L16" s="48">
        <f t="shared" si="0"/>
        <v>2037</v>
      </c>
      <c r="M16" s="48">
        <f t="shared" si="0"/>
        <v>2038</v>
      </c>
      <c r="N16" s="48">
        <f t="shared" si="0"/>
        <v>2039</v>
      </c>
      <c r="O16" s="48">
        <f t="shared" si="0"/>
        <v>2040</v>
      </c>
      <c r="P16" s="48">
        <f t="shared" si="0"/>
        <v>2041</v>
      </c>
      <c r="Q16" s="48">
        <f t="shared" si="0"/>
        <v>2042</v>
      </c>
      <c r="R16" s="48">
        <f t="shared" si="0"/>
        <v>2043</v>
      </c>
    </row>
    <row r="17" spans="1:18" ht="11.4" x14ac:dyDescent="0.2">
      <c r="A17" s="83" t="s">
        <v>252</v>
      </c>
      <c r="B17" s="83"/>
      <c r="C17" s="302">
        <v>4.5600000000000002E-2</v>
      </c>
      <c r="D17" s="302">
        <v>4.5600000000000002E-2</v>
      </c>
      <c r="E17" s="302">
        <v>4.5600000000000002E-2</v>
      </c>
      <c r="F17" s="302">
        <v>4.5600000000000002E-2</v>
      </c>
      <c r="G17" s="302">
        <v>4.5600000000000002E-2</v>
      </c>
      <c r="H17" s="302">
        <v>4.5600000000000002E-2</v>
      </c>
      <c r="I17" s="302">
        <v>4.5600000000000002E-2</v>
      </c>
      <c r="J17" s="302">
        <v>4.5600000000000002E-2</v>
      </c>
      <c r="K17" s="302">
        <v>4.5600000000000002E-2</v>
      </c>
      <c r="L17" s="302">
        <v>4.5600000000000002E-2</v>
      </c>
      <c r="M17" s="302">
        <v>4.5600000000000002E-2</v>
      </c>
      <c r="N17" s="302">
        <v>4.5600000000000002E-2</v>
      </c>
      <c r="O17" s="302">
        <v>4.5600000000000002E-2</v>
      </c>
      <c r="P17" s="302">
        <v>4.5600000000000002E-2</v>
      </c>
      <c r="Q17" s="302">
        <v>4.5600000000000002E-2</v>
      </c>
      <c r="R17" s="302">
        <v>4.5600000000000002E-2</v>
      </c>
    </row>
    <row r="18" spans="1:18" ht="11.4" x14ac:dyDescent="0.2">
      <c r="A18" s="83" t="s">
        <v>253</v>
      </c>
      <c r="B18" s="83"/>
      <c r="C18" s="302">
        <v>5.7099999999999998E-2</v>
      </c>
      <c r="D18" s="302">
        <v>5.7099999999999998E-2</v>
      </c>
      <c r="E18" s="302">
        <v>5.7099999999999998E-2</v>
      </c>
      <c r="F18" s="302">
        <v>5.7099999999999998E-2</v>
      </c>
      <c r="G18" s="302">
        <v>5.7099999999999998E-2</v>
      </c>
      <c r="H18" s="302">
        <v>5.7099999999999998E-2</v>
      </c>
      <c r="I18" s="302">
        <v>5.7099999999999998E-2</v>
      </c>
      <c r="J18" s="302">
        <v>5.7099999999999998E-2</v>
      </c>
      <c r="K18" s="302">
        <v>5.7099999999999998E-2</v>
      </c>
      <c r="L18" s="302">
        <v>5.7099999999999998E-2</v>
      </c>
      <c r="M18" s="302">
        <v>5.7099999999999998E-2</v>
      </c>
      <c r="N18" s="302">
        <v>5.7099999999999998E-2</v>
      </c>
      <c r="O18" s="302">
        <v>5.7099999999999998E-2</v>
      </c>
      <c r="P18" s="302">
        <v>5.7099999999999998E-2</v>
      </c>
      <c r="Q18" s="302">
        <v>5.7099999999999998E-2</v>
      </c>
      <c r="R18" s="302">
        <v>5.7099999999999998E-2</v>
      </c>
    </row>
    <row r="19" spans="1:18" ht="11.4" x14ac:dyDescent="0.2">
      <c r="A19" s="83" t="s">
        <v>254</v>
      </c>
      <c r="B19" s="83"/>
      <c r="C19" s="302">
        <v>7.2599999999999998E-2</v>
      </c>
      <c r="D19" s="302">
        <v>7.2599999999999998E-2</v>
      </c>
      <c r="E19" s="302">
        <v>7.2599999999999998E-2</v>
      </c>
      <c r="F19" s="302">
        <v>7.2599999999999998E-2</v>
      </c>
      <c r="G19" s="302">
        <v>7.2599999999999998E-2</v>
      </c>
      <c r="H19" s="302">
        <v>7.2599999999999998E-2</v>
      </c>
      <c r="I19" s="302">
        <v>7.2599999999999998E-2</v>
      </c>
      <c r="J19" s="302">
        <v>7.2599999999999998E-2</v>
      </c>
      <c r="K19" s="302">
        <v>7.2599999999999998E-2</v>
      </c>
      <c r="L19" s="302">
        <v>7.2599999999999998E-2</v>
      </c>
      <c r="M19" s="302">
        <v>7.2599999999999998E-2</v>
      </c>
      <c r="N19" s="302">
        <v>7.2599999999999998E-2</v>
      </c>
      <c r="O19" s="302">
        <v>7.2599999999999998E-2</v>
      </c>
      <c r="P19" s="302">
        <v>7.2599999999999998E-2</v>
      </c>
      <c r="Q19" s="302">
        <v>7.2599999999999998E-2</v>
      </c>
      <c r="R19" s="302">
        <v>7.2599999999999998E-2</v>
      </c>
    </row>
    <row r="20" spans="1:18" ht="11.4" x14ac:dyDescent="0.2">
      <c r="A20" s="83" t="s">
        <v>257</v>
      </c>
      <c r="B20" s="83"/>
      <c r="C20" s="302">
        <v>0.1009</v>
      </c>
      <c r="D20" s="302">
        <v>0.1009</v>
      </c>
      <c r="E20" s="302">
        <v>0.1009</v>
      </c>
      <c r="F20" s="302">
        <v>0.1009</v>
      </c>
      <c r="G20" s="302">
        <v>0.1009</v>
      </c>
      <c r="H20" s="302">
        <v>0.1009</v>
      </c>
      <c r="I20" s="302">
        <v>0.1009</v>
      </c>
      <c r="J20" s="302">
        <v>0.1009</v>
      </c>
      <c r="K20" s="302">
        <v>0.1009</v>
      </c>
      <c r="L20" s="302">
        <v>0.1009</v>
      </c>
      <c r="M20" s="302">
        <v>0.1009</v>
      </c>
      <c r="N20" s="302">
        <v>0.1009</v>
      </c>
      <c r="O20" s="302">
        <v>0.1009</v>
      </c>
      <c r="P20" s="302">
        <v>0.1009</v>
      </c>
      <c r="Q20" s="302">
        <v>0.1009</v>
      </c>
      <c r="R20" s="302">
        <v>0.1009</v>
      </c>
    </row>
    <row r="21" spans="1:18" ht="11.4" x14ac:dyDescent="0.2">
      <c r="A21" s="83"/>
      <c r="B21" s="83"/>
      <c r="C21" s="302"/>
      <c r="D21" s="302"/>
      <c r="E21" s="302"/>
      <c r="F21" s="302"/>
      <c r="G21" s="302"/>
      <c r="H21" s="302"/>
    </row>
    <row r="22" spans="1:18" ht="11.4" x14ac:dyDescent="0.2">
      <c r="A22" s="298" t="s">
        <v>289</v>
      </c>
      <c r="B22" s="298"/>
      <c r="C22" s="302"/>
      <c r="D22" s="302"/>
      <c r="E22" s="302"/>
      <c r="F22" s="302"/>
      <c r="G22" s="302"/>
      <c r="H22" s="302"/>
    </row>
    <row r="23" spans="1:18" ht="12" thickBot="1" x14ac:dyDescent="0.25">
      <c r="A23" s="83"/>
      <c r="B23" s="83"/>
      <c r="C23" s="295"/>
      <c r="D23" s="295"/>
      <c r="E23" s="295"/>
      <c r="F23" s="295"/>
      <c r="G23" s="295"/>
      <c r="H23" s="295"/>
    </row>
    <row r="24" spans="1:18" ht="23.4" thickBot="1" x14ac:dyDescent="0.25">
      <c r="A24" s="47" t="s">
        <v>269</v>
      </c>
      <c r="B24" s="47"/>
      <c r="C24" s="48">
        <f>C$10</f>
        <v>2028</v>
      </c>
      <c r="D24" s="48">
        <f t="shared" ref="D24:R24" si="1">D$10</f>
        <v>2029</v>
      </c>
      <c r="E24" s="48">
        <f t="shared" si="1"/>
        <v>2030</v>
      </c>
      <c r="F24" s="48">
        <f t="shared" si="1"/>
        <v>2031</v>
      </c>
      <c r="G24" s="48">
        <f t="shared" si="1"/>
        <v>2032</v>
      </c>
      <c r="H24" s="48">
        <f t="shared" si="1"/>
        <v>2033</v>
      </c>
      <c r="I24" s="48">
        <f t="shared" si="1"/>
        <v>2034</v>
      </c>
      <c r="J24" s="48">
        <f t="shared" si="1"/>
        <v>2035</v>
      </c>
      <c r="K24" s="48">
        <f t="shared" si="1"/>
        <v>2036</v>
      </c>
      <c r="L24" s="48">
        <f t="shared" si="1"/>
        <v>2037</v>
      </c>
      <c r="M24" s="48">
        <f t="shared" si="1"/>
        <v>2038</v>
      </c>
      <c r="N24" s="48">
        <f t="shared" si="1"/>
        <v>2039</v>
      </c>
      <c r="O24" s="48">
        <f t="shared" si="1"/>
        <v>2040</v>
      </c>
      <c r="P24" s="48">
        <f t="shared" si="1"/>
        <v>2041</v>
      </c>
      <c r="Q24" s="48">
        <f t="shared" si="1"/>
        <v>2042</v>
      </c>
      <c r="R24" s="48">
        <f t="shared" si="1"/>
        <v>2043</v>
      </c>
    </row>
    <row r="25" spans="1:18" ht="12" thickBot="1" x14ac:dyDescent="0.25">
      <c r="A25" s="296" t="s">
        <v>252</v>
      </c>
      <c r="B25" s="296"/>
      <c r="C25" s="306"/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306"/>
    </row>
    <row r="26" spans="1:18" ht="12" thickBot="1" x14ac:dyDescent="0.25">
      <c r="A26" s="296" t="s">
        <v>253</v>
      </c>
      <c r="B26" s="296"/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</row>
    <row r="27" spans="1:18" ht="12" thickBot="1" x14ac:dyDescent="0.25">
      <c r="A27" s="296" t="s">
        <v>254</v>
      </c>
      <c r="B27" s="296"/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  <c r="O27" s="306"/>
      <c r="P27" s="306"/>
      <c r="Q27" s="306"/>
      <c r="R27" s="306"/>
    </row>
    <row r="28" spans="1:18" ht="12" thickBot="1" x14ac:dyDescent="0.25">
      <c r="A28" s="297" t="s">
        <v>254</v>
      </c>
      <c r="B28" s="297"/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  <c r="P28" s="306"/>
      <c r="Q28" s="306"/>
      <c r="R28" s="306"/>
    </row>
    <row r="29" spans="1:18" ht="11.4" x14ac:dyDescent="0.2">
      <c r="A29" s="298" t="s">
        <v>287</v>
      </c>
      <c r="B29" s="298"/>
      <c r="C29" s="323">
        <f t="shared" ref="C29:R29" si="2">SUM(C25:C28)</f>
        <v>0</v>
      </c>
      <c r="D29" s="323">
        <f t="shared" si="2"/>
        <v>0</v>
      </c>
      <c r="E29" s="323">
        <f t="shared" si="2"/>
        <v>0</v>
      </c>
      <c r="F29" s="323">
        <f t="shared" si="2"/>
        <v>0</v>
      </c>
      <c r="G29" s="323">
        <f t="shared" si="2"/>
        <v>0</v>
      </c>
      <c r="H29" s="323">
        <f t="shared" si="2"/>
        <v>0</v>
      </c>
      <c r="I29" s="323">
        <f t="shared" si="2"/>
        <v>0</v>
      </c>
      <c r="J29" s="323">
        <f t="shared" si="2"/>
        <v>0</v>
      </c>
      <c r="K29" s="323">
        <f t="shared" si="2"/>
        <v>0</v>
      </c>
      <c r="L29" s="323">
        <f t="shared" si="2"/>
        <v>0</v>
      </c>
      <c r="M29" s="323">
        <f t="shared" si="2"/>
        <v>0</v>
      </c>
      <c r="N29" s="323">
        <f t="shared" si="2"/>
        <v>0</v>
      </c>
      <c r="O29" s="323">
        <f t="shared" si="2"/>
        <v>0</v>
      </c>
      <c r="P29" s="323">
        <f t="shared" si="2"/>
        <v>0</v>
      </c>
      <c r="Q29" s="323">
        <f t="shared" si="2"/>
        <v>0</v>
      </c>
      <c r="R29" s="323">
        <f t="shared" si="2"/>
        <v>0</v>
      </c>
    </row>
    <row r="30" spans="1:18" ht="11.4" x14ac:dyDescent="0.2">
      <c r="A30" s="298" t="s">
        <v>85</v>
      </c>
      <c r="B30" s="298"/>
      <c r="C30" s="323">
        <f>C29-'L.02 DRK ZW-EM'!E156</f>
        <v>-17643.600000000002</v>
      </c>
      <c r="D30" s="323">
        <f>D29-'L.02 DRK ZW-EM'!F156</f>
        <v>-346086</v>
      </c>
      <c r="E30" s="323">
        <f>E29-'L.02 DRK ZW-EM'!G156</f>
        <v>-346086</v>
      </c>
      <c r="F30" s="323">
        <f>F29-'L.02 DRK ZW-EM'!H156</f>
        <v>-346086</v>
      </c>
      <c r="G30" s="323">
        <f>G29-'L.02 DRK ZW-EM'!I156</f>
        <v>-347443.20000000001</v>
      </c>
      <c r="H30" s="323">
        <f>H29-'L.02 DRK ZW-EM'!J156</f>
        <v>-346086</v>
      </c>
      <c r="I30" s="323">
        <f>I29-'L.02 DRK ZW-EM'!K156</f>
        <v>-346086</v>
      </c>
      <c r="J30" s="323">
        <f>J29-'L.02 DRK ZW-EM'!L156</f>
        <v>-346086</v>
      </c>
      <c r="K30" s="323">
        <f>K29-'L.02 DRK ZW-EM'!M156</f>
        <v>-347443.20000000001</v>
      </c>
      <c r="L30" s="323">
        <f>L29-'L.02 DRK ZW-EM'!N156</f>
        <v>-346086</v>
      </c>
      <c r="M30" s="323">
        <f>M29-'L.02 DRK ZW-EM'!O156</f>
        <v>-346086</v>
      </c>
      <c r="N30" s="323">
        <f>N29-'L.02 DRK ZW-EM'!P156</f>
        <v>-346086</v>
      </c>
      <c r="O30" s="323">
        <f>O29-'L.02 DRK ZW-EM'!Q156</f>
        <v>-347443.20000000001</v>
      </c>
      <c r="P30" s="323">
        <f>P29-'L.02 DRK ZW-EM'!R156</f>
        <v>-346086</v>
      </c>
      <c r="Q30" s="323">
        <f>Q29-'L.02 DRK ZW-EM'!S156</f>
        <v>-346086</v>
      </c>
      <c r="R30" s="323">
        <f>R29-'L.02 DRK ZW-EM'!T156</f>
        <v>-328442.40000000002</v>
      </c>
    </row>
    <row r="31" spans="1:18" ht="11.4" x14ac:dyDescent="0.2">
      <c r="A31" s="83"/>
      <c r="B31" s="83"/>
      <c r="C31" s="83"/>
      <c r="D31" s="83"/>
      <c r="E31" s="83"/>
      <c r="F31" s="83"/>
      <c r="G31" s="83"/>
      <c r="H31" s="83"/>
    </row>
    <row r="32" spans="1:18" ht="11.4" x14ac:dyDescent="0.2">
      <c r="A32" s="298" t="s">
        <v>288</v>
      </c>
      <c r="B32" s="298"/>
      <c r="C32" s="308">
        <f>(C$11+C$17)*C25+(C$12+C$18)*C26+(C$13+C$19)*C27+(C$14+C$20)*C28</f>
        <v>0</v>
      </c>
      <c r="D32" s="308">
        <f t="shared" ref="D32:R32" si="3">(D$11+D$17)*D25+(D$12+D$18)*D26+(D$13+D$19)*D27+(D$14+D$20)*D28</f>
        <v>0</v>
      </c>
      <c r="E32" s="308">
        <f t="shared" si="3"/>
        <v>0</v>
      </c>
      <c r="F32" s="308">
        <f t="shared" si="3"/>
        <v>0</v>
      </c>
      <c r="G32" s="308">
        <f t="shared" si="3"/>
        <v>0</v>
      </c>
      <c r="H32" s="308">
        <f t="shared" si="3"/>
        <v>0</v>
      </c>
      <c r="I32" s="308">
        <f t="shared" si="3"/>
        <v>0</v>
      </c>
      <c r="J32" s="308">
        <f t="shared" si="3"/>
        <v>0</v>
      </c>
      <c r="K32" s="308">
        <f t="shared" si="3"/>
        <v>0</v>
      </c>
      <c r="L32" s="308">
        <f t="shared" si="3"/>
        <v>0</v>
      </c>
      <c r="M32" s="308">
        <f t="shared" si="3"/>
        <v>0</v>
      </c>
      <c r="N32" s="308">
        <f t="shared" si="3"/>
        <v>0</v>
      </c>
      <c r="O32" s="308">
        <f t="shared" si="3"/>
        <v>0</v>
      </c>
      <c r="P32" s="308">
        <f t="shared" si="3"/>
        <v>0</v>
      </c>
      <c r="Q32" s="308">
        <f t="shared" si="3"/>
        <v>0</v>
      </c>
      <c r="R32" s="308">
        <f t="shared" si="3"/>
        <v>0</v>
      </c>
    </row>
    <row r="33" spans="1:18" ht="11.4" x14ac:dyDescent="0.2">
      <c r="A33" s="83"/>
      <c r="B33" s="83"/>
      <c r="C33" s="83"/>
      <c r="D33" s="83"/>
      <c r="E33" s="83"/>
      <c r="F33" s="83"/>
      <c r="G33" s="83"/>
      <c r="H33" s="83"/>
    </row>
    <row r="34" spans="1:18" ht="11.4" x14ac:dyDescent="0.2">
      <c r="A34" s="298" t="s">
        <v>290</v>
      </c>
      <c r="B34" s="298"/>
      <c r="C34" s="83"/>
      <c r="D34" s="83"/>
      <c r="E34" s="83"/>
      <c r="F34" s="83"/>
      <c r="G34" s="83"/>
      <c r="H34" s="83"/>
    </row>
    <row r="35" spans="1:18" ht="12" thickBot="1" x14ac:dyDescent="0.25">
      <c r="A35" s="83"/>
      <c r="B35" s="83"/>
      <c r="C35" s="83"/>
      <c r="D35" s="83"/>
      <c r="E35" s="83"/>
      <c r="F35" s="83"/>
      <c r="G35" s="83"/>
      <c r="H35" s="83"/>
    </row>
    <row r="36" spans="1:18" ht="12" thickBot="1" x14ac:dyDescent="0.25">
      <c r="A36" s="47" t="s">
        <v>270</v>
      </c>
      <c r="B36" s="47"/>
      <c r="C36" s="48">
        <f>C$10</f>
        <v>2028</v>
      </c>
      <c r="D36" s="48">
        <f t="shared" ref="D36:R36" si="4">D$10</f>
        <v>2029</v>
      </c>
      <c r="E36" s="48">
        <f t="shared" si="4"/>
        <v>2030</v>
      </c>
      <c r="F36" s="48">
        <f t="shared" si="4"/>
        <v>2031</v>
      </c>
      <c r="G36" s="48">
        <f t="shared" si="4"/>
        <v>2032</v>
      </c>
      <c r="H36" s="48">
        <f t="shared" si="4"/>
        <v>2033</v>
      </c>
      <c r="I36" s="48">
        <f t="shared" si="4"/>
        <v>2034</v>
      </c>
      <c r="J36" s="48">
        <f t="shared" si="4"/>
        <v>2035</v>
      </c>
      <c r="K36" s="48">
        <f t="shared" si="4"/>
        <v>2036</v>
      </c>
      <c r="L36" s="48">
        <f t="shared" si="4"/>
        <v>2037</v>
      </c>
      <c r="M36" s="48">
        <f t="shared" si="4"/>
        <v>2038</v>
      </c>
      <c r="N36" s="48">
        <f t="shared" si="4"/>
        <v>2039</v>
      </c>
      <c r="O36" s="48">
        <f t="shared" si="4"/>
        <v>2040</v>
      </c>
      <c r="P36" s="48">
        <f t="shared" si="4"/>
        <v>2041</v>
      </c>
      <c r="Q36" s="48">
        <f t="shared" si="4"/>
        <v>2042</v>
      </c>
      <c r="R36" s="48">
        <f t="shared" si="4"/>
        <v>2043</v>
      </c>
    </row>
    <row r="37" spans="1:18" ht="12" thickBot="1" x14ac:dyDescent="0.25">
      <c r="A37" s="296" t="s">
        <v>252</v>
      </c>
      <c r="B37" s="296"/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6"/>
    </row>
    <row r="38" spans="1:18" ht="12" thickBot="1" x14ac:dyDescent="0.25">
      <c r="A38" s="296" t="s">
        <v>253</v>
      </c>
      <c r="B38" s="296"/>
      <c r="C38" s="306"/>
      <c r="D38" s="306"/>
      <c r="E38" s="306"/>
      <c r="F38" s="306"/>
      <c r="G38" s="306"/>
      <c r="H38" s="306"/>
      <c r="I38" s="306"/>
      <c r="J38" s="306"/>
      <c r="K38" s="306"/>
      <c r="L38" s="306"/>
      <c r="M38" s="306"/>
      <c r="N38" s="306"/>
      <c r="O38" s="306"/>
      <c r="P38" s="306"/>
      <c r="Q38" s="306"/>
      <c r="R38" s="306"/>
    </row>
    <row r="39" spans="1:18" ht="12" thickBot="1" x14ac:dyDescent="0.25">
      <c r="A39" s="296" t="s">
        <v>254</v>
      </c>
      <c r="B39" s="296"/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6"/>
    </row>
    <row r="40" spans="1:18" ht="12" thickBot="1" x14ac:dyDescent="0.25">
      <c r="A40" s="297" t="s">
        <v>254</v>
      </c>
      <c r="B40" s="297"/>
      <c r="C40" s="306"/>
      <c r="D40" s="306"/>
      <c r="E40" s="306"/>
      <c r="F40" s="306"/>
      <c r="G40" s="306"/>
      <c r="H40" s="306"/>
      <c r="I40" s="306"/>
      <c r="J40" s="306"/>
      <c r="K40" s="306"/>
      <c r="L40" s="306"/>
      <c r="M40" s="306"/>
      <c r="N40" s="306"/>
      <c r="O40" s="306"/>
      <c r="P40" s="306"/>
      <c r="Q40" s="306"/>
      <c r="R40" s="306"/>
    </row>
    <row r="41" spans="1:18" ht="11.4" x14ac:dyDescent="0.2">
      <c r="A41" s="298" t="s">
        <v>287</v>
      </c>
      <c r="B41" s="298"/>
      <c r="C41" s="323">
        <f t="shared" ref="C41:R41" si="5">SUM(C37:C40)</f>
        <v>0</v>
      </c>
      <c r="D41" s="323">
        <f t="shared" si="5"/>
        <v>0</v>
      </c>
      <c r="E41" s="323">
        <f t="shared" si="5"/>
        <v>0</v>
      </c>
      <c r="F41" s="323">
        <f t="shared" si="5"/>
        <v>0</v>
      </c>
      <c r="G41" s="323">
        <f t="shared" si="5"/>
        <v>0</v>
      </c>
      <c r="H41" s="323">
        <f t="shared" si="5"/>
        <v>0</v>
      </c>
      <c r="I41" s="323">
        <f t="shared" si="5"/>
        <v>0</v>
      </c>
      <c r="J41" s="323">
        <f t="shared" si="5"/>
        <v>0</v>
      </c>
      <c r="K41" s="323">
        <f t="shared" si="5"/>
        <v>0</v>
      </c>
      <c r="L41" s="323">
        <f t="shared" si="5"/>
        <v>0</v>
      </c>
      <c r="M41" s="323">
        <f t="shared" si="5"/>
        <v>0</v>
      </c>
      <c r="N41" s="323">
        <f t="shared" si="5"/>
        <v>0</v>
      </c>
      <c r="O41" s="323">
        <f t="shared" si="5"/>
        <v>0</v>
      </c>
      <c r="P41" s="323">
        <f t="shared" si="5"/>
        <v>0</v>
      </c>
      <c r="Q41" s="323">
        <f t="shared" si="5"/>
        <v>0</v>
      </c>
      <c r="R41" s="323">
        <f t="shared" si="5"/>
        <v>0</v>
      </c>
    </row>
    <row r="42" spans="1:18" ht="11.4" x14ac:dyDescent="0.2">
      <c r="A42" s="83"/>
      <c r="B42" s="83"/>
      <c r="C42" s="83"/>
      <c r="D42" s="83"/>
      <c r="E42" s="83"/>
      <c r="F42" s="83"/>
      <c r="G42" s="83"/>
      <c r="H42" s="83"/>
    </row>
    <row r="43" spans="1:18" ht="11.4" x14ac:dyDescent="0.2">
      <c r="A43" s="298" t="s">
        <v>288</v>
      </c>
      <c r="B43" s="298"/>
      <c r="C43" s="308">
        <f>(C$11+C$17)*C37+(C$12+C$18)*C38+(C$13+C$19)*C39+(C$14+C$20)*C40</f>
        <v>0</v>
      </c>
      <c r="D43" s="308">
        <f t="shared" ref="D43:R43" si="6">(D$11+D$17)*D37+(D$12+D$18)*D38+(D$13+D$19)*D39+(D$14+D$20)*D40</f>
        <v>0</v>
      </c>
      <c r="E43" s="308">
        <f t="shared" si="6"/>
        <v>0</v>
      </c>
      <c r="F43" s="308">
        <f t="shared" si="6"/>
        <v>0</v>
      </c>
      <c r="G43" s="308">
        <f t="shared" si="6"/>
        <v>0</v>
      </c>
      <c r="H43" s="308">
        <f t="shared" si="6"/>
        <v>0</v>
      </c>
      <c r="I43" s="308">
        <f t="shared" si="6"/>
        <v>0</v>
      </c>
      <c r="J43" s="308">
        <f t="shared" si="6"/>
        <v>0</v>
      </c>
      <c r="K43" s="308">
        <f t="shared" si="6"/>
        <v>0</v>
      </c>
      <c r="L43" s="308">
        <f t="shared" si="6"/>
        <v>0</v>
      </c>
      <c r="M43" s="308">
        <f t="shared" si="6"/>
        <v>0</v>
      </c>
      <c r="N43" s="308">
        <f t="shared" si="6"/>
        <v>0</v>
      </c>
      <c r="O43" s="308">
        <f t="shared" si="6"/>
        <v>0</v>
      </c>
      <c r="P43" s="308">
        <f t="shared" si="6"/>
        <v>0</v>
      </c>
      <c r="Q43" s="308">
        <f t="shared" si="6"/>
        <v>0</v>
      </c>
      <c r="R43" s="308">
        <f t="shared" si="6"/>
        <v>0</v>
      </c>
    </row>
    <row r="44" spans="1:18" ht="11.4" x14ac:dyDescent="0.2">
      <c r="A44" s="53"/>
      <c r="B44" s="53"/>
      <c r="C44" s="83"/>
      <c r="D44" s="83"/>
      <c r="E44" s="83"/>
      <c r="F44" s="83"/>
      <c r="G44" s="83"/>
      <c r="H44" s="83"/>
    </row>
    <row r="45" spans="1:18" ht="11.4" x14ac:dyDescent="0.2">
      <c r="A45" s="53" t="s">
        <v>273</v>
      </c>
      <c r="B45" s="53"/>
      <c r="C45" s="83"/>
      <c r="D45" s="83"/>
      <c r="E45" s="83"/>
      <c r="F45" s="83"/>
      <c r="G45" s="83"/>
      <c r="H45" s="83"/>
    </row>
    <row r="46" spans="1:18" ht="12" thickBot="1" x14ac:dyDescent="0.25">
      <c r="A46" s="53"/>
      <c r="B46" s="53"/>
      <c r="C46" s="83"/>
      <c r="D46" s="83"/>
      <c r="E46" s="83"/>
      <c r="F46" s="83"/>
      <c r="G46" s="83"/>
      <c r="H46" s="83"/>
    </row>
    <row r="47" spans="1:18" ht="12" thickBot="1" x14ac:dyDescent="0.25">
      <c r="A47" s="47" t="s">
        <v>256</v>
      </c>
      <c r="B47" s="304"/>
      <c r="C47" s="48">
        <f>C$10</f>
        <v>2028</v>
      </c>
      <c r="D47" s="48">
        <f t="shared" ref="D47:R47" si="7">D$10</f>
        <v>2029</v>
      </c>
      <c r="E47" s="48">
        <f t="shared" si="7"/>
        <v>2030</v>
      </c>
      <c r="F47" s="48">
        <f t="shared" si="7"/>
        <v>2031</v>
      </c>
      <c r="G47" s="48">
        <f t="shared" si="7"/>
        <v>2032</v>
      </c>
      <c r="H47" s="48">
        <f t="shared" si="7"/>
        <v>2033</v>
      </c>
      <c r="I47" s="48">
        <f t="shared" si="7"/>
        <v>2034</v>
      </c>
      <c r="J47" s="48">
        <f t="shared" si="7"/>
        <v>2035</v>
      </c>
      <c r="K47" s="48">
        <f t="shared" si="7"/>
        <v>2036</v>
      </c>
      <c r="L47" s="48">
        <f t="shared" si="7"/>
        <v>2037</v>
      </c>
      <c r="M47" s="48">
        <f t="shared" si="7"/>
        <v>2038</v>
      </c>
      <c r="N47" s="48">
        <f t="shared" si="7"/>
        <v>2039</v>
      </c>
      <c r="O47" s="48">
        <f t="shared" si="7"/>
        <v>2040</v>
      </c>
      <c r="P47" s="48">
        <f t="shared" si="7"/>
        <v>2041</v>
      </c>
      <c r="Q47" s="48">
        <f t="shared" si="7"/>
        <v>2042</v>
      </c>
      <c r="R47" s="48">
        <f t="shared" si="7"/>
        <v>2043</v>
      </c>
    </row>
    <row r="48" spans="1:18" ht="11.4" x14ac:dyDescent="0.2">
      <c r="A48" s="83" t="s">
        <v>262</v>
      </c>
      <c r="B48" s="83"/>
      <c r="C48" s="301">
        <v>0.09</v>
      </c>
      <c r="D48" s="301">
        <v>0.09</v>
      </c>
      <c r="E48" s="301">
        <v>0.09</v>
      </c>
      <c r="F48" s="301">
        <v>0.09</v>
      </c>
      <c r="G48" s="301">
        <v>0.09</v>
      </c>
      <c r="H48" s="301">
        <v>0.09</v>
      </c>
      <c r="I48" s="301">
        <v>0.09</v>
      </c>
      <c r="J48" s="301">
        <v>0.09</v>
      </c>
      <c r="K48" s="301">
        <v>0.09</v>
      </c>
      <c r="L48" s="301">
        <v>0.09</v>
      </c>
      <c r="M48" s="301">
        <v>0.09</v>
      </c>
      <c r="N48" s="301">
        <v>0.09</v>
      </c>
      <c r="O48" s="301">
        <v>0.09</v>
      </c>
      <c r="P48" s="301">
        <v>0.09</v>
      </c>
      <c r="Q48" s="301">
        <v>0.09</v>
      </c>
      <c r="R48" s="301">
        <v>0.09</v>
      </c>
    </row>
    <row r="49" spans="1:18" ht="11.4" x14ac:dyDescent="0.2">
      <c r="A49" s="83" t="s">
        <v>427</v>
      </c>
      <c r="B49" s="83"/>
      <c r="C49" s="301">
        <v>0.36</v>
      </c>
      <c r="D49" s="301">
        <v>0.36</v>
      </c>
      <c r="E49" s="301">
        <v>0.36</v>
      </c>
      <c r="F49" s="301">
        <v>0.36</v>
      </c>
      <c r="G49" s="301">
        <v>0.36</v>
      </c>
      <c r="H49" s="301">
        <v>0.36</v>
      </c>
      <c r="I49" s="301">
        <v>0.36</v>
      </c>
      <c r="J49" s="301">
        <v>0.36</v>
      </c>
      <c r="K49" s="301">
        <v>0.36</v>
      </c>
      <c r="L49" s="301">
        <v>0.36</v>
      </c>
      <c r="M49" s="301">
        <v>0.36</v>
      </c>
      <c r="N49" s="301">
        <v>0.36</v>
      </c>
      <c r="O49" s="301">
        <v>0.36</v>
      </c>
      <c r="P49" s="301">
        <v>0.36</v>
      </c>
      <c r="Q49" s="301">
        <v>0.36</v>
      </c>
      <c r="R49" s="301">
        <v>0.36</v>
      </c>
    </row>
    <row r="50" spans="1:18" ht="11.4" x14ac:dyDescent="0.2">
      <c r="A50" s="83" t="s">
        <v>428</v>
      </c>
      <c r="B50" s="83"/>
      <c r="C50" s="301">
        <v>0.87</v>
      </c>
      <c r="D50" s="301">
        <v>0.87</v>
      </c>
      <c r="E50" s="301">
        <v>0.87</v>
      </c>
      <c r="F50" s="301">
        <v>0.87</v>
      </c>
      <c r="G50" s="301">
        <v>0.87</v>
      </c>
      <c r="H50" s="301">
        <v>0.87</v>
      </c>
      <c r="I50" s="301">
        <v>0.87</v>
      </c>
      <c r="J50" s="301">
        <v>0.87</v>
      </c>
      <c r="K50" s="301">
        <v>0.87</v>
      </c>
      <c r="L50" s="301">
        <v>0.87</v>
      </c>
      <c r="M50" s="301">
        <v>0.87</v>
      </c>
      <c r="N50" s="301">
        <v>0.87</v>
      </c>
      <c r="O50" s="301">
        <v>0.87</v>
      </c>
      <c r="P50" s="301">
        <v>0.87</v>
      </c>
      <c r="Q50" s="301">
        <v>0.87</v>
      </c>
      <c r="R50" s="301">
        <v>0.87</v>
      </c>
    </row>
    <row r="51" spans="1:18" ht="11.4" x14ac:dyDescent="0.2">
      <c r="A51" s="83" t="s">
        <v>265</v>
      </c>
      <c r="B51" s="83"/>
      <c r="C51" s="301">
        <v>1.33</v>
      </c>
      <c r="D51" s="301">
        <v>1.33</v>
      </c>
      <c r="E51" s="301">
        <v>1.33</v>
      </c>
      <c r="F51" s="301">
        <v>1.33</v>
      </c>
      <c r="G51" s="301">
        <v>1.33</v>
      </c>
      <c r="H51" s="301">
        <v>1.33</v>
      </c>
      <c r="I51" s="301">
        <v>1.33</v>
      </c>
      <c r="J51" s="301">
        <v>1.33</v>
      </c>
      <c r="K51" s="301">
        <v>1.33</v>
      </c>
      <c r="L51" s="301">
        <v>1.33</v>
      </c>
      <c r="M51" s="301">
        <v>1.33</v>
      </c>
      <c r="N51" s="301">
        <v>1.33</v>
      </c>
      <c r="O51" s="301">
        <v>1.33</v>
      </c>
      <c r="P51" s="301">
        <v>1.33</v>
      </c>
      <c r="Q51" s="301">
        <v>1.33</v>
      </c>
      <c r="R51" s="301">
        <v>1.33</v>
      </c>
    </row>
    <row r="52" spans="1:18" ht="11.4" x14ac:dyDescent="0.2">
      <c r="A52" s="83" t="s">
        <v>266</v>
      </c>
      <c r="B52" s="83"/>
      <c r="C52" s="301">
        <v>2.52</v>
      </c>
      <c r="D52" s="301">
        <v>2.52</v>
      </c>
      <c r="E52" s="301">
        <v>2.52</v>
      </c>
      <c r="F52" s="301">
        <v>2.52</v>
      </c>
      <c r="G52" s="301">
        <v>2.52</v>
      </c>
      <c r="H52" s="301">
        <v>2.52</v>
      </c>
      <c r="I52" s="301">
        <v>2.52</v>
      </c>
      <c r="J52" s="301">
        <v>2.52</v>
      </c>
      <c r="K52" s="301">
        <v>2.52</v>
      </c>
      <c r="L52" s="301">
        <v>2.52</v>
      </c>
      <c r="M52" s="301">
        <v>2.52</v>
      </c>
      <c r="N52" s="301">
        <v>2.52</v>
      </c>
      <c r="O52" s="301">
        <v>2.52</v>
      </c>
      <c r="P52" s="301">
        <v>2.52</v>
      </c>
      <c r="Q52" s="301">
        <v>2.52</v>
      </c>
      <c r="R52" s="301">
        <v>2.52</v>
      </c>
    </row>
    <row r="53" spans="1:18" ht="11.4" x14ac:dyDescent="0.2">
      <c r="A53" s="83"/>
      <c r="B53" s="83"/>
      <c r="C53" s="83"/>
      <c r="D53" s="83"/>
      <c r="E53" s="83"/>
      <c r="F53" s="83"/>
      <c r="G53" s="83"/>
      <c r="H53" s="83"/>
    </row>
    <row r="54" spans="1:18" ht="11.4" x14ac:dyDescent="0.2">
      <c r="A54" s="298" t="s">
        <v>271</v>
      </c>
      <c r="B54" s="83"/>
      <c r="C54" s="83"/>
      <c r="D54" s="83"/>
      <c r="E54" s="83"/>
      <c r="F54" s="83"/>
      <c r="G54" s="83"/>
      <c r="H54" s="83"/>
    </row>
    <row r="55" spans="1:18" ht="12" thickBot="1" x14ac:dyDescent="0.25">
      <c r="A55" s="83"/>
      <c r="B55" s="83"/>
      <c r="C55" s="83"/>
      <c r="D55" s="83"/>
      <c r="E55" s="83"/>
      <c r="F55" s="83"/>
      <c r="G55" s="83"/>
      <c r="H55" s="83"/>
    </row>
    <row r="56" spans="1:18" ht="12" thickBot="1" x14ac:dyDescent="0.25">
      <c r="A56" s="47" t="s">
        <v>256</v>
      </c>
      <c r="B56" s="304"/>
      <c r="C56" s="48">
        <f>C$10</f>
        <v>2028</v>
      </c>
      <c r="D56" s="48">
        <f t="shared" ref="D56:R56" si="8">D$10</f>
        <v>2029</v>
      </c>
      <c r="E56" s="48">
        <f t="shared" si="8"/>
        <v>2030</v>
      </c>
      <c r="F56" s="48">
        <f t="shared" si="8"/>
        <v>2031</v>
      </c>
      <c r="G56" s="48">
        <f t="shared" si="8"/>
        <v>2032</v>
      </c>
      <c r="H56" s="48">
        <f t="shared" si="8"/>
        <v>2033</v>
      </c>
      <c r="I56" s="48">
        <f t="shared" si="8"/>
        <v>2034</v>
      </c>
      <c r="J56" s="48">
        <f t="shared" si="8"/>
        <v>2035</v>
      </c>
      <c r="K56" s="48">
        <f t="shared" si="8"/>
        <v>2036</v>
      </c>
      <c r="L56" s="48">
        <f t="shared" si="8"/>
        <v>2037</v>
      </c>
      <c r="M56" s="48">
        <f t="shared" si="8"/>
        <v>2038</v>
      </c>
      <c r="N56" s="48">
        <f t="shared" si="8"/>
        <v>2039</v>
      </c>
      <c r="O56" s="48">
        <f t="shared" si="8"/>
        <v>2040</v>
      </c>
      <c r="P56" s="48">
        <f t="shared" si="8"/>
        <v>2041</v>
      </c>
      <c r="Q56" s="48">
        <f t="shared" si="8"/>
        <v>2042</v>
      </c>
      <c r="R56" s="48">
        <f t="shared" si="8"/>
        <v>2043</v>
      </c>
    </row>
    <row r="57" spans="1:18" ht="12" thickBot="1" x14ac:dyDescent="0.25">
      <c r="A57" s="83" t="s">
        <v>262</v>
      </c>
      <c r="B57" s="83"/>
      <c r="C57" s="309">
        <f t="shared" ref="C57:R61" si="9">SUMIF($A$115:$A$129,$A57,C$115:C$129)</f>
        <v>1383.2876712328768</v>
      </c>
      <c r="D57" s="309">
        <f t="shared" si="9"/>
        <v>22950</v>
      </c>
      <c r="E57" s="309">
        <f t="shared" si="9"/>
        <v>22950</v>
      </c>
      <c r="F57" s="309">
        <f t="shared" si="9"/>
        <v>22950</v>
      </c>
      <c r="G57" s="309">
        <f t="shared" si="9"/>
        <v>23012.876712328769</v>
      </c>
      <c r="H57" s="309">
        <f t="shared" si="9"/>
        <v>22950</v>
      </c>
      <c r="I57" s="309">
        <f t="shared" si="9"/>
        <v>22950</v>
      </c>
      <c r="J57" s="309">
        <f t="shared" si="9"/>
        <v>22950</v>
      </c>
      <c r="K57" s="309">
        <f t="shared" si="9"/>
        <v>23012.876712328769</v>
      </c>
      <c r="L57" s="309">
        <f t="shared" si="9"/>
        <v>22950</v>
      </c>
      <c r="M57" s="309">
        <f t="shared" si="9"/>
        <v>22950</v>
      </c>
      <c r="N57" s="309">
        <f t="shared" si="9"/>
        <v>22950</v>
      </c>
      <c r="O57" s="309">
        <f t="shared" si="9"/>
        <v>23012.876712328769</v>
      </c>
      <c r="P57" s="309">
        <f t="shared" si="9"/>
        <v>22950</v>
      </c>
      <c r="Q57" s="309">
        <f t="shared" si="9"/>
        <v>22950</v>
      </c>
      <c r="R57" s="309">
        <f t="shared" si="9"/>
        <v>21755.342465753427</v>
      </c>
    </row>
    <row r="58" spans="1:18" ht="12" thickBot="1" x14ac:dyDescent="0.25">
      <c r="A58" s="83" t="s">
        <v>427</v>
      </c>
      <c r="B58" s="83"/>
      <c r="C58" s="309">
        <f t="shared" si="9"/>
        <v>0</v>
      </c>
      <c r="D58" s="309">
        <f t="shared" si="9"/>
        <v>0</v>
      </c>
      <c r="E58" s="309">
        <f t="shared" si="9"/>
        <v>0</v>
      </c>
      <c r="F58" s="309">
        <f t="shared" si="9"/>
        <v>0</v>
      </c>
      <c r="G58" s="309">
        <f t="shared" si="9"/>
        <v>0</v>
      </c>
      <c r="H58" s="309">
        <f t="shared" si="9"/>
        <v>0</v>
      </c>
      <c r="I58" s="309">
        <f t="shared" si="9"/>
        <v>0</v>
      </c>
      <c r="J58" s="309">
        <f t="shared" si="9"/>
        <v>0</v>
      </c>
      <c r="K58" s="309">
        <f t="shared" si="9"/>
        <v>0</v>
      </c>
      <c r="L58" s="309">
        <f t="shared" si="9"/>
        <v>0</v>
      </c>
      <c r="M58" s="309">
        <f t="shared" si="9"/>
        <v>0</v>
      </c>
      <c r="N58" s="309">
        <f t="shared" si="9"/>
        <v>0</v>
      </c>
      <c r="O58" s="309">
        <f t="shared" si="9"/>
        <v>0</v>
      </c>
      <c r="P58" s="309">
        <f t="shared" si="9"/>
        <v>0</v>
      </c>
      <c r="Q58" s="309">
        <f t="shared" si="9"/>
        <v>0</v>
      </c>
      <c r="R58" s="309">
        <f t="shared" si="9"/>
        <v>0</v>
      </c>
    </row>
    <row r="59" spans="1:18" ht="12" thickBot="1" x14ac:dyDescent="0.25">
      <c r="A59" s="83" t="s">
        <v>428</v>
      </c>
      <c r="B59" s="83"/>
      <c r="C59" s="309">
        <f t="shared" si="9"/>
        <v>0</v>
      </c>
      <c r="D59" s="309">
        <f t="shared" si="9"/>
        <v>0</v>
      </c>
      <c r="E59" s="309">
        <f t="shared" si="9"/>
        <v>0</v>
      </c>
      <c r="F59" s="309">
        <f t="shared" si="9"/>
        <v>0</v>
      </c>
      <c r="G59" s="309">
        <f t="shared" si="9"/>
        <v>0</v>
      </c>
      <c r="H59" s="309">
        <f t="shared" si="9"/>
        <v>0</v>
      </c>
      <c r="I59" s="309">
        <f t="shared" si="9"/>
        <v>0</v>
      </c>
      <c r="J59" s="309">
        <f t="shared" si="9"/>
        <v>0</v>
      </c>
      <c r="K59" s="309">
        <f t="shared" si="9"/>
        <v>0</v>
      </c>
      <c r="L59" s="309">
        <f t="shared" si="9"/>
        <v>0</v>
      </c>
      <c r="M59" s="309">
        <f t="shared" si="9"/>
        <v>0</v>
      </c>
      <c r="N59" s="309">
        <f t="shared" si="9"/>
        <v>0</v>
      </c>
      <c r="O59" s="309">
        <f t="shared" si="9"/>
        <v>0</v>
      </c>
      <c r="P59" s="309">
        <f t="shared" si="9"/>
        <v>0</v>
      </c>
      <c r="Q59" s="309">
        <f t="shared" si="9"/>
        <v>0</v>
      </c>
      <c r="R59" s="309">
        <f t="shared" si="9"/>
        <v>0</v>
      </c>
    </row>
    <row r="60" spans="1:18" ht="12" thickBot="1" x14ac:dyDescent="0.25">
      <c r="A60" s="83" t="s">
        <v>265</v>
      </c>
      <c r="B60" s="83"/>
      <c r="C60" s="309">
        <f t="shared" si="9"/>
        <v>0</v>
      </c>
      <c r="D60" s="309">
        <f t="shared" si="9"/>
        <v>0</v>
      </c>
      <c r="E60" s="309">
        <f t="shared" si="9"/>
        <v>0</v>
      </c>
      <c r="F60" s="309">
        <f t="shared" si="9"/>
        <v>0</v>
      </c>
      <c r="G60" s="309">
        <f t="shared" si="9"/>
        <v>0</v>
      </c>
      <c r="H60" s="309">
        <f t="shared" si="9"/>
        <v>0</v>
      </c>
      <c r="I60" s="309">
        <f t="shared" si="9"/>
        <v>0</v>
      </c>
      <c r="J60" s="309">
        <f t="shared" si="9"/>
        <v>0</v>
      </c>
      <c r="K60" s="309">
        <f t="shared" si="9"/>
        <v>0</v>
      </c>
      <c r="L60" s="309">
        <f t="shared" si="9"/>
        <v>0</v>
      </c>
      <c r="M60" s="309">
        <f t="shared" si="9"/>
        <v>0</v>
      </c>
      <c r="N60" s="309">
        <f t="shared" si="9"/>
        <v>0</v>
      </c>
      <c r="O60" s="309">
        <f t="shared" si="9"/>
        <v>0</v>
      </c>
      <c r="P60" s="309">
        <f t="shared" si="9"/>
        <v>0</v>
      </c>
      <c r="Q60" s="309">
        <f t="shared" si="9"/>
        <v>0</v>
      </c>
      <c r="R60" s="309">
        <f t="shared" si="9"/>
        <v>0</v>
      </c>
    </row>
    <row r="61" spans="1:18" ht="12" thickBot="1" x14ac:dyDescent="0.25">
      <c r="A61" s="83" t="s">
        <v>266</v>
      </c>
      <c r="B61" s="83"/>
      <c r="C61" s="309">
        <f t="shared" si="9"/>
        <v>0</v>
      </c>
      <c r="D61" s="309">
        <f t="shared" si="9"/>
        <v>0</v>
      </c>
      <c r="E61" s="309">
        <f t="shared" si="9"/>
        <v>0</v>
      </c>
      <c r="F61" s="309">
        <f t="shared" si="9"/>
        <v>0</v>
      </c>
      <c r="G61" s="309">
        <f t="shared" si="9"/>
        <v>0</v>
      </c>
      <c r="H61" s="309">
        <f t="shared" si="9"/>
        <v>0</v>
      </c>
      <c r="I61" s="309">
        <f t="shared" si="9"/>
        <v>0</v>
      </c>
      <c r="J61" s="309">
        <f t="shared" si="9"/>
        <v>0</v>
      </c>
      <c r="K61" s="309">
        <f t="shared" si="9"/>
        <v>0</v>
      </c>
      <c r="L61" s="309">
        <f t="shared" si="9"/>
        <v>0</v>
      </c>
      <c r="M61" s="309">
        <f t="shared" si="9"/>
        <v>0</v>
      </c>
      <c r="N61" s="309">
        <f t="shared" si="9"/>
        <v>0</v>
      </c>
      <c r="O61" s="309">
        <f t="shared" si="9"/>
        <v>0</v>
      </c>
      <c r="P61" s="309">
        <f t="shared" si="9"/>
        <v>0</v>
      </c>
      <c r="Q61" s="309">
        <f t="shared" si="9"/>
        <v>0</v>
      </c>
      <c r="R61" s="309">
        <f t="shared" si="9"/>
        <v>0</v>
      </c>
    </row>
    <row r="62" spans="1:18" ht="11.4" x14ac:dyDescent="0.2">
      <c r="A62" s="298" t="s">
        <v>292</v>
      </c>
      <c r="B62" s="298"/>
      <c r="C62" s="323">
        <f>SUM(C57:C61)</f>
        <v>1383.2876712328768</v>
      </c>
      <c r="D62" s="323">
        <f t="shared" ref="D62:R62" si="10">SUM(D57:D61)</f>
        <v>22950</v>
      </c>
      <c r="E62" s="323">
        <f t="shared" si="10"/>
        <v>22950</v>
      </c>
      <c r="F62" s="323">
        <f t="shared" si="10"/>
        <v>22950</v>
      </c>
      <c r="G62" s="323">
        <f t="shared" si="10"/>
        <v>23012.876712328769</v>
      </c>
      <c r="H62" s="323">
        <f t="shared" si="10"/>
        <v>22950</v>
      </c>
      <c r="I62" s="323">
        <f t="shared" si="10"/>
        <v>22950</v>
      </c>
      <c r="J62" s="323">
        <f t="shared" si="10"/>
        <v>22950</v>
      </c>
      <c r="K62" s="323">
        <f t="shared" si="10"/>
        <v>23012.876712328769</v>
      </c>
      <c r="L62" s="323">
        <f t="shared" si="10"/>
        <v>22950</v>
      </c>
      <c r="M62" s="323">
        <f t="shared" si="10"/>
        <v>22950</v>
      </c>
      <c r="N62" s="323">
        <f t="shared" si="10"/>
        <v>22950</v>
      </c>
      <c r="O62" s="323">
        <f t="shared" si="10"/>
        <v>23012.876712328769</v>
      </c>
      <c r="P62" s="323">
        <f t="shared" si="10"/>
        <v>22950</v>
      </c>
      <c r="Q62" s="323">
        <f t="shared" si="10"/>
        <v>22950</v>
      </c>
      <c r="R62" s="323">
        <f t="shared" si="10"/>
        <v>21755.342465753427</v>
      </c>
    </row>
    <row r="63" spans="1:18" ht="11.4" x14ac:dyDescent="0.2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</row>
    <row r="64" spans="1:18" ht="11.4" x14ac:dyDescent="0.2">
      <c r="A64" s="298" t="s">
        <v>291</v>
      </c>
      <c r="B64" s="298"/>
      <c r="C64" s="308">
        <f>C48*C57+C49*C58+C50*C59+C51*C60+C52*C61</f>
        <v>124.49589041095891</v>
      </c>
      <c r="D64" s="308">
        <f t="shared" ref="D64:R64" si="11">D48*D57+D49*D58+D50*D59+D51*D60+D52*D61</f>
        <v>2065.5</v>
      </c>
      <c r="E64" s="308">
        <f t="shared" si="11"/>
        <v>2065.5</v>
      </c>
      <c r="F64" s="308">
        <f t="shared" si="11"/>
        <v>2065.5</v>
      </c>
      <c r="G64" s="308">
        <f t="shared" si="11"/>
        <v>2071.158904109589</v>
      </c>
      <c r="H64" s="308">
        <f t="shared" si="11"/>
        <v>2065.5</v>
      </c>
      <c r="I64" s="308">
        <f t="shared" si="11"/>
        <v>2065.5</v>
      </c>
      <c r="J64" s="308">
        <f t="shared" si="11"/>
        <v>2065.5</v>
      </c>
      <c r="K64" s="308">
        <f t="shared" si="11"/>
        <v>2071.158904109589</v>
      </c>
      <c r="L64" s="308">
        <f t="shared" si="11"/>
        <v>2065.5</v>
      </c>
      <c r="M64" s="308">
        <f t="shared" si="11"/>
        <v>2065.5</v>
      </c>
      <c r="N64" s="308">
        <f t="shared" si="11"/>
        <v>2065.5</v>
      </c>
      <c r="O64" s="308">
        <f t="shared" si="11"/>
        <v>2071.158904109589</v>
      </c>
      <c r="P64" s="308">
        <f t="shared" si="11"/>
        <v>2065.5</v>
      </c>
      <c r="Q64" s="308">
        <f t="shared" si="11"/>
        <v>2065.5</v>
      </c>
      <c r="R64" s="308">
        <f t="shared" si="11"/>
        <v>1957.9808219178083</v>
      </c>
    </row>
    <row r="65" spans="1:18" ht="11.4" x14ac:dyDescent="0.2">
      <c r="A65" s="298"/>
      <c r="B65" s="298"/>
      <c r="C65" s="299"/>
      <c r="D65" s="299"/>
      <c r="E65" s="299"/>
      <c r="F65" s="299"/>
      <c r="G65" s="299"/>
      <c r="H65" s="299"/>
    </row>
    <row r="66" spans="1:18" ht="11.4" x14ac:dyDescent="0.2">
      <c r="A66" s="298" t="s">
        <v>274</v>
      </c>
      <c r="B66" s="298"/>
      <c r="C66" s="299"/>
      <c r="D66" s="299"/>
      <c r="E66" s="299"/>
      <c r="F66" s="299"/>
      <c r="G66" s="299"/>
      <c r="H66" s="299"/>
    </row>
    <row r="67" spans="1:18" ht="12" thickBot="1" x14ac:dyDescent="0.25">
      <c r="A67" s="53"/>
      <c r="B67" s="53"/>
      <c r="C67" s="83"/>
      <c r="D67" s="83"/>
      <c r="E67" s="83"/>
      <c r="F67" s="83"/>
      <c r="G67" s="83"/>
      <c r="H67" s="83"/>
    </row>
    <row r="68" spans="1:18" ht="12" thickBot="1" x14ac:dyDescent="0.25">
      <c r="A68" s="47" t="s">
        <v>258</v>
      </c>
      <c r="B68" s="304"/>
      <c r="C68" s="48">
        <f>C$10</f>
        <v>2028</v>
      </c>
      <c r="D68" s="48">
        <f t="shared" ref="D68:R68" si="12">D$10</f>
        <v>2029</v>
      </c>
      <c r="E68" s="48">
        <f t="shared" si="12"/>
        <v>2030</v>
      </c>
      <c r="F68" s="48">
        <f t="shared" si="12"/>
        <v>2031</v>
      </c>
      <c r="G68" s="48">
        <f t="shared" si="12"/>
        <v>2032</v>
      </c>
      <c r="H68" s="48">
        <f t="shared" si="12"/>
        <v>2033</v>
      </c>
      <c r="I68" s="48">
        <f t="shared" si="12"/>
        <v>2034</v>
      </c>
      <c r="J68" s="48">
        <f t="shared" si="12"/>
        <v>2035</v>
      </c>
      <c r="K68" s="48">
        <f t="shared" si="12"/>
        <v>2036</v>
      </c>
      <c r="L68" s="48">
        <f t="shared" si="12"/>
        <v>2037</v>
      </c>
      <c r="M68" s="48">
        <f t="shared" si="12"/>
        <v>2038</v>
      </c>
      <c r="N68" s="48">
        <f t="shared" si="12"/>
        <v>2039</v>
      </c>
      <c r="O68" s="48">
        <f t="shared" si="12"/>
        <v>2040</v>
      </c>
      <c r="P68" s="48">
        <f t="shared" si="12"/>
        <v>2041</v>
      </c>
      <c r="Q68" s="48">
        <f t="shared" si="12"/>
        <v>2042</v>
      </c>
      <c r="R68" s="48">
        <f t="shared" si="12"/>
        <v>2043</v>
      </c>
    </row>
    <row r="69" spans="1:18" ht="11.4" x14ac:dyDescent="0.2">
      <c r="A69" s="296" t="s">
        <v>267</v>
      </c>
      <c r="B69" s="83"/>
      <c r="C69" s="302">
        <v>2.2596999999999999E-2</v>
      </c>
      <c r="D69" s="302">
        <v>2.2596999999999999E-2</v>
      </c>
      <c r="E69" s="302">
        <v>2.2596999999999999E-2</v>
      </c>
      <c r="F69" s="302">
        <v>2.2596999999999999E-2</v>
      </c>
      <c r="G69" s="302">
        <v>2.2596999999999999E-2</v>
      </c>
      <c r="H69" s="302">
        <v>2.2596999999999999E-2</v>
      </c>
      <c r="I69" s="302">
        <v>2.2596999999999999E-2</v>
      </c>
      <c r="J69" s="302">
        <v>2.2596999999999999E-2</v>
      </c>
      <c r="K69" s="302">
        <v>2.2596999999999999E-2</v>
      </c>
      <c r="L69" s="302">
        <v>2.2596999999999999E-2</v>
      </c>
      <c r="M69" s="302">
        <v>2.2596999999999999E-2</v>
      </c>
      <c r="N69" s="302">
        <v>2.2596999999999999E-2</v>
      </c>
      <c r="O69" s="302">
        <v>2.2596999999999999E-2</v>
      </c>
      <c r="P69" s="302">
        <v>2.2596999999999999E-2</v>
      </c>
      <c r="Q69" s="302">
        <v>2.2596999999999999E-2</v>
      </c>
      <c r="R69" s="302">
        <v>2.2596999999999999E-2</v>
      </c>
    </row>
    <row r="70" spans="1:18" ht="12" thickBot="1" x14ac:dyDescent="0.25">
      <c r="A70" s="83"/>
      <c r="B70" s="83"/>
      <c r="C70" s="302"/>
      <c r="D70" s="302"/>
      <c r="E70" s="302"/>
      <c r="F70" s="302"/>
      <c r="G70" s="302"/>
      <c r="H70" s="302"/>
    </row>
    <row r="71" spans="1:18" ht="23.4" thickBot="1" x14ac:dyDescent="0.25">
      <c r="A71" s="47" t="s">
        <v>277</v>
      </c>
      <c r="B71" s="304"/>
      <c r="C71" s="48">
        <f>C$10</f>
        <v>2028</v>
      </c>
      <c r="D71" s="48">
        <f t="shared" ref="D71:R71" si="13">D$10</f>
        <v>2029</v>
      </c>
      <c r="E71" s="48">
        <f t="shared" si="13"/>
        <v>2030</v>
      </c>
      <c r="F71" s="48">
        <f t="shared" si="13"/>
        <v>2031</v>
      </c>
      <c r="G71" s="48">
        <f t="shared" si="13"/>
        <v>2032</v>
      </c>
      <c r="H71" s="48">
        <f t="shared" si="13"/>
        <v>2033</v>
      </c>
      <c r="I71" s="48">
        <f t="shared" si="13"/>
        <v>2034</v>
      </c>
      <c r="J71" s="48">
        <f t="shared" si="13"/>
        <v>2035</v>
      </c>
      <c r="K71" s="48">
        <f t="shared" si="13"/>
        <v>2036</v>
      </c>
      <c r="L71" s="48">
        <f t="shared" si="13"/>
        <v>2037</v>
      </c>
      <c r="M71" s="48">
        <f t="shared" si="13"/>
        <v>2038</v>
      </c>
      <c r="N71" s="48">
        <f t="shared" si="13"/>
        <v>2039</v>
      </c>
      <c r="O71" s="48">
        <f t="shared" si="13"/>
        <v>2040</v>
      </c>
      <c r="P71" s="48">
        <f t="shared" si="13"/>
        <v>2041</v>
      </c>
      <c r="Q71" s="48">
        <f t="shared" si="13"/>
        <v>2042</v>
      </c>
      <c r="R71" s="48">
        <f t="shared" si="13"/>
        <v>2043</v>
      </c>
    </row>
    <row r="72" spans="1:18" ht="11.4" x14ac:dyDescent="0.2">
      <c r="A72" s="296" t="s">
        <v>267</v>
      </c>
      <c r="B72" s="83"/>
      <c r="C72" s="302">
        <v>3.8400000000000001E-4</v>
      </c>
      <c r="D72" s="302">
        <v>3.8400000000000001E-4</v>
      </c>
      <c r="E72" s="302">
        <v>3.8400000000000001E-4</v>
      </c>
      <c r="F72" s="302">
        <v>3.8400000000000001E-4</v>
      </c>
      <c r="G72" s="302">
        <v>3.8400000000000001E-4</v>
      </c>
      <c r="H72" s="302">
        <v>3.8400000000000001E-4</v>
      </c>
      <c r="I72" s="302">
        <v>3.8400000000000001E-4</v>
      </c>
      <c r="J72" s="302">
        <v>3.8400000000000001E-4</v>
      </c>
      <c r="K72" s="302">
        <v>3.8400000000000001E-4</v>
      </c>
      <c r="L72" s="302">
        <v>3.8400000000000001E-4</v>
      </c>
      <c r="M72" s="302">
        <v>3.8400000000000001E-4</v>
      </c>
      <c r="N72" s="302">
        <v>3.8400000000000001E-4</v>
      </c>
      <c r="O72" s="302">
        <v>3.8400000000000001E-4</v>
      </c>
      <c r="P72" s="302">
        <v>3.8400000000000001E-4</v>
      </c>
      <c r="Q72" s="302">
        <v>3.8400000000000001E-4</v>
      </c>
      <c r="R72" s="302">
        <v>3.8400000000000001E-4</v>
      </c>
    </row>
    <row r="73" spans="1:18" ht="11.4" x14ac:dyDescent="0.2">
      <c r="A73" s="83"/>
      <c r="B73" s="83"/>
      <c r="C73" s="302"/>
      <c r="D73" s="302"/>
      <c r="E73" s="302"/>
      <c r="F73" s="302"/>
      <c r="G73" s="302"/>
      <c r="H73" s="302"/>
    </row>
    <row r="74" spans="1:18" ht="11.4" x14ac:dyDescent="0.2">
      <c r="A74" s="298" t="s">
        <v>275</v>
      </c>
      <c r="B74" s="83"/>
      <c r="C74" s="302"/>
      <c r="D74" s="302"/>
      <c r="E74" s="302"/>
      <c r="F74" s="302"/>
      <c r="G74" s="302"/>
      <c r="H74" s="302"/>
    </row>
    <row r="75" spans="1:18" ht="12" thickBot="1" x14ac:dyDescent="0.25">
      <c r="A75" s="83"/>
      <c r="B75" s="83"/>
      <c r="C75" s="83"/>
      <c r="D75" s="83"/>
      <c r="E75" s="83"/>
      <c r="F75" s="83"/>
      <c r="G75" s="83"/>
      <c r="H75" s="83"/>
    </row>
    <row r="76" spans="1:18" ht="12" thickBot="1" x14ac:dyDescent="0.25">
      <c r="A76" s="47" t="s">
        <v>258</v>
      </c>
      <c r="B76" s="47"/>
      <c r="C76" s="48">
        <f>C$10</f>
        <v>2028</v>
      </c>
      <c r="D76" s="48">
        <f t="shared" ref="D76:R76" si="14">D$10</f>
        <v>2029</v>
      </c>
      <c r="E76" s="48">
        <f t="shared" si="14"/>
        <v>2030</v>
      </c>
      <c r="F76" s="48">
        <f t="shared" si="14"/>
        <v>2031</v>
      </c>
      <c r="G76" s="48">
        <f t="shared" si="14"/>
        <v>2032</v>
      </c>
      <c r="H76" s="48">
        <f t="shared" si="14"/>
        <v>2033</v>
      </c>
      <c r="I76" s="48">
        <f t="shared" si="14"/>
        <v>2034</v>
      </c>
      <c r="J76" s="48">
        <f t="shared" si="14"/>
        <v>2035</v>
      </c>
      <c r="K76" s="48">
        <f t="shared" si="14"/>
        <v>2036</v>
      </c>
      <c r="L76" s="48">
        <f t="shared" si="14"/>
        <v>2037</v>
      </c>
      <c r="M76" s="48">
        <f t="shared" si="14"/>
        <v>2038</v>
      </c>
      <c r="N76" s="48">
        <f t="shared" si="14"/>
        <v>2039</v>
      </c>
      <c r="O76" s="48">
        <f t="shared" si="14"/>
        <v>2040</v>
      </c>
      <c r="P76" s="48">
        <f t="shared" si="14"/>
        <v>2041</v>
      </c>
      <c r="Q76" s="48">
        <f t="shared" si="14"/>
        <v>2042</v>
      </c>
      <c r="R76" s="48">
        <f t="shared" si="14"/>
        <v>2043</v>
      </c>
    </row>
    <row r="77" spans="1:18" ht="12" thickBot="1" x14ac:dyDescent="0.25">
      <c r="A77" s="297" t="s">
        <v>268</v>
      </c>
      <c r="B77" s="297"/>
      <c r="C77" s="306"/>
      <c r="D77" s="306"/>
      <c r="E77" s="306"/>
      <c r="F77" s="306"/>
      <c r="G77" s="306"/>
      <c r="H77" s="306"/>
      <c r="I77" s="306"/>
      <c r="J77" s="306"/>
      <c r="K77" s="306"/>
      <c r="L77" s="306"/>
      <c r="M77" s="306"/>
      <c r="N77" s="306"/>
      <c r="O77" s="306"/>
      <c r="P77" s="306"/>
      <c r="Q77" s="306"/>
      <c r="R77" s="306"/>
    </row>
    <row r="78" spans="1:18" ht="11.4" x14ac:dyDescent="0.2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</row>
    <row r="79" spans="1:18" ht="11.4" x14ac:dyDescent="0.2">
      <c r="A79" s="298" t="s">
        <v>288</v>
      </c>
      <c r="B79" s="298"/>
      <c r="C79" s="308">
        <f>(C69+C72)*C77</f>
        <v>0</v>
      </c>
      <c r="D79" s="308">
        <f t="shared" ref="D79:R79" si="15">(D69+D72)*D77</f>
        <v>0</v>
      </c>
      <c r="E79" s="308">
        <f t="shared" si="15"/>
        <v>0</v>
      </c>
      <c r="F79" s="308">
        <f t="shared" si="15"/>
        <v>0</v>
      </c>
      <c r="G79" s="308">
        <f t="shared" si="15"/>
        <v>0</v>
      </c>
      <c r="H79" s="308">
        <f t="shared" si="15"/>
        <v>0</v>
      </c>
      <c r="I79" s="308">
        <f t="shared" si="15"/>
        <v>0</v>
      </c>
      <c r="J79" s="308">
        <f t="shared" si="15"/>
        <v>0</v>
      </c>
      <c r="K79" s="308">
        <f t="shared" si="15"/>
        <v>0</v>
      </c>
      <c r="L79" s="308">
        <f t="shared" si="15"/>
        <v>0</v>
      </c>
      <c r="M79" s="308">
        <f t="shared" si="15"/>
        <v>0</v>
      </c>
      <c r="N79" s="308">
        <f t="shared" si="15"/>
        <v>0</v>
      </c>
      <c r="O79" s="308">
        <f t="shared" si="15"/>
        <v>0</v>
      </c>
      <c r="P79" s="308">
        <f t="shared" si="15"/>
        <v>0</v>
      </c>
      <c r="Q79" s="308">
        <f t="shared" si="15"/>
        <v>0</v>
      </c>
      <c r="R79" s="308">
        <f t="shared" si="15"/>
        <v>0</v>
      </c>
    </row>
    <row r="80" spans="1:18" ht="11.4" x14ac:dyDescent="0.2">
      <c r="A80" s="298"/>
      <c r="B80" s="298"/>
      <c r="C80" s="299"/>
      <c r="D80" s="299"/>
      <c r="E80" s="299"/>
      <c r="F80" s="299"/>
      <c r="G80" s="299"/>
      <c r="H80" s="299"/>
    </row>
    <row r="81" spans="1:18" ht="11.4" x14ac:dyDescent="0.2">
      <c r="A81" s="298" t="s">
        <v>278</v>
      </c>
      <c r="B81" s="298"/>
      <c r="C81" s="299"/>
      <c r="D81" s="299"/>
      <c r="E81" s="299"/>
      <c r="F81" s="299"/>
      <c r="G81" s="299"/>
      <c r="H81" s="299"/>
    </row>
    <row r="82" spans="1:18" ht="12" thickBot="1" x14ac:dyDescent="0.25">
      <c r="A82" s="53"/>
      <c r="B82" s="53"/>
      <c r="C82" s="83"/>
      <c r="D82" s="83"/>
      <c r="E82" s="83"/>
      <c r="F82" s="83"/>
      <c r="G82" s="83"/>
      <c r="H82" s="83"/>
    </row>
    <row r="83" spans="1:18" ht="12" thickBot="1" x14ac:dyDescent="0.25">
      <c r="A83" s="47" t="s">
        <v>279</v>
      </c>
      <c r="B83" s="304"/>
      <c r="C83" s="48">
        <f>C$10</f>
        <v>2028</v>
      </c>
      <c r="D83" s="48">
        <f t="shared" ref="D83:R83" si="16">D$10</f>
        <v>2029</v>
      </c>
      <c r="E83" s="48">
        <f t="shared" si="16"/>
        <v>2030</v>
      </c>
      <c r="F83" s="48">
        <f t="shared" si="16"/>
        <v>2031</v>
      </c>
      <c r="G83" s="48">
        <f t="shared" si="16"/>
        <v>2032</v>
      </c>
      <c r="H83" s="48">
        <f t="shared" si="16"/>
        <v>2033</v>
      </c>
      <c r="I83" s="48">
        <f t="shared" si="16"/>
        <v>2034</v>
      </c>
      <c r="J83" s="48">
        <f t="shared" si="16"/>
        <v>2035</v>
      </c>
      <c r="K83" s="48">
        <f t="shared" si="16"/>
        <v>2036</v>
      </c>
      <c r="L83" s="48">
        <f t="shared" si="16"/>
        <v>2037</v>
      </c>
      <c r="M83" s="48">
        <f t="shared" si="16"/>
        <v>2038</v>
      </c>
      <c r="N83" s="48">
        <f t="shared" si="16"/>
        <v>2039</v>
      </c>
      <c r="O83" s="48">
        <f t="shared" si="16"/>
        <v>2040</v>
      </c>
      <c r="P83" s="48">
        <f t="shared" si="16"/>
        <v>2041</v>
      </c>
      <c r="Q83" s="48">
        <f t="shared" si="16"/>
        <v>2042</v>
      </c>
      <c r="R83" s="48">
        <f t="shared" si="16"/>
        <v>2043</v>
      </c>
    </row>
    <row r="84" spans="1:18" ht="11.4" x14ac:dyDescent="0.2">
      <c r="A84" s="83" t="s">
        <v>259</v>
      </c>
      <c r="B84" s="83"/>
      <c r="C84" s="302">
        <v>4.4200000000000003E-2</v>
      </c>
      <c r="D84" s="302">
        <v>4.4200000000000003E-2</v>
      </c>
      <c r="E84" s="302">
        <v>4.4200000000000003E-2</v>
      </c>
      <c r="F84" s="302">
        <v>4.4200000000000003E-2</v>
      </c>
      <c r="G84" s="302">
        <v>4.4200000000000003E-2</v>
      </c>
      <c r="H84" s="302">
        <v>4.4200000000000003E-2</v>
      </c>
      <c r="I84" s="302">
        <v>4.4200000000000003E-2</v>
      </c>
      <c r="J84" s="302">
        <v>4.4200000000000003E-2</v>
      </c>
      <c r="K84" s="302">
        <v>4.4200000000000003E-2</v>
      </c>
      <c r="L84" s="302">
        <v>4.4200000000000003E-2</v>
      </c>
      <c r="M84" s="302">
        <v>4.4200000000000003E-2</v>
      </c>
      <c r="N84" s="302">
        <v>4.4200000000000003E-2</v>
      </c>
      <c r="O84" s="302">
        <v>4.4200000000000003E-2</v>
      </c>
      <c r="P84" s="302">
        <v>4.4200000000000003E-2</v>
      </c>
      <c r="Q84" s="302">
        <v>4.4200000000000003E-2</v>
      </c>
      <c r="R84" s="302">
        <v>4.4200000000000003E-2</v>
      </c>
    </row>
    <row r="85" spans="1:18" ht="11.4" x14ac:dyDescent="0.2">
      <c r="A85" s="83" t="s">
        <v>260</v>
      </c>
      <c r="B85" s="83"/>
      <c r="C85" s="302">
        <v>4.284E-4</v>
      </c>
      <c r="D85" s="302">
        <v>4.284E-4</v>
      </c>
      <c r="E85" s="302">
        <v>4.284E-4</v>
      </c>
      <c r="F85" s="302">
        <v>4.284E-4</v>
      </c>
      <c r="G85" s="302">
        <v>4.284E-4</v>
      </c>
      <c r="H85" s="302">
        <v>4.284E-4</v>
      </c>
      <c r="I85" s="302">
        <v>4.284E-4</v>
      </c>
      <c r="J85" s="302">
        <v>4.284E-4</v>
      </c>
      <c r="K85" s="302">
        <v>4.284E-4</v>
      </c>
      <c r="L85" s="302">
        <v>4.284E-4</v>
      </c>
      <c r="M85" s="302">
        <v>4.284E-4</v>
      </c>
      <c r="N85" s="302">
        <v>4.284E-4</v>
      </c>
      <c r="O85" s="302">
        <v>4.284E-4</v>
      </c>
      <c r="P85" s="302">
        <v>4.284E-4</v>
      </c>
      <c r="Q85" s="302">
        <v>4.284E-4</v>
      </c>
      <c r="R85" s="302">
        <v>4.284E-4</v>
      </c>
    </row>
    <row r="86" spans="1:18" ht="12" thickBot="1" x14ac:dyDescent="0.25">
      <c r="A86" s="83"/>
      <c r="B86" s="83"/>
      <c r="C86" s="303"/>
      <c r="D86" s="303"/>
      <c r="E86" s="303"/>
      <c r="F86" s="303"/>
      <c r="G86" s="303"/>
      <c r="H86" s="303"/>
    </row>
    <row r="87" spans="1:18" ht="12" thickBot="1" x14ac:dyDescent="0.25">
      <c r="A87" s="47" t="s">
        <v>258</v>
      </c>
      <c r="B87" s="47"/>
      <c r="C87" s="48">
        <f>C$10</f>
        <v>2028</v>
      </c>
      <c r="D87" s="48">
        <f t="shared" ref="D87:R87" si="17">D$10</f>
        <v>2029</v>
      </c>
      <c r="E87" s="48">
        <f t="shared" si="17"/>
        <v>2030</v>
      </c>
      <c r="F87" s="48">
        <f t="shared" si="17"/>
        <v>2031</v>
      </c>
      <c r="G87" s="48">
        <f t="shared" si="17"/>
        <v>2032</v>
      </c>
      <c r="H87" s="48">
        <f t="shared" si="17"/>
        <v>2033</v>
      </c>
      <c r="I87" s="48">
        <f t="shared" si="17"/>
        <v>2034</v>
      </c>
      <c r="J87" s="48">
        <f t="shared" si="17"/>
        <v>2035</v>
      </c>
      <c r="K87" s="48">
        <f t="shared" si="17"/>
        <v>2036</v>
      </c>
      <c r="L87" s="48">
        <f t="shared" si="17"/>
        <v>2037</v>
      </c>
      <c r="M87" s="48">
        <f t="shared" si="17"/>
        <v>2038</v>
      </c>
      <c r="N87" s="48">
        <f t="shared" si="17"/>
        <v>2039</v>
      </c>
      <c r="O87" s="48">
        <f t="shared" si="17"/>
        <v>2040</v>
      </c>
      <c r="P87" s="48">
        <f t="shared" si="17"/>
        <v>2041</v>
      </c>
      <c r="Q87" s="48">
        <f t="shared" si="17"/>
        <v>2042</v>
      </c>
      <c r="R87" s="48">
        <f t="shared" si="17"/>
        <v>2043</v>
      </c>
    </row>
    <row r="88" spans="1:18" ht="12" thickBot="1" x14ac:dyDescent="0.25">
      <c r="A88" s="297" t="s">
        <v>280</v>
      </c>
      <c r="B88" s="297"/>
      <c r="C88" s="306"/>
      <c r="D88" s="306"/>
      <c r="E88" s="306"/>
      <c r="F88" s="306"/>
      <c r="G88" s="306"/>
      <c r="H88" s="306"/>
      <c r="I88" s="306"/>
      <c r="J88" s="306"/>
      <c r="K88" s="306"/>
      <c r="L88" s="306"/>
      <c r="M88" s="306"/>
      <c r="N88" s="306"/>
      <c r="O88" s="306"/>
      <c r="P88" s="306"/>
      <c r="Q88" s="306"/>
      <c r="R88" s="306"/>
    </row>
    <row r="89" spans="1:18" ht="12" thickBot="1" x14ac:dyDescent="0.25">
      <c r="A89" s="297" t="s">
        <v>281</v>
      </c>
      <c r="B89" s="297"/>
      <c r="C89" s="306"/>
      <c r="D89" s="306"/>
      <c r="E89" s="306"/>
      <c r="F89" s="306"/>
      <c r="G89" s="306"/>
      <c r="H89" s="306"/>
      <c r="I89" s="306"/>
      <c r="J89" s="306"/>
      <c r="K89" s="306"/>
      <c r="L89" s="306"/>
      <c r="M89" s="306"/>
      <c r="N89" s="306"/>
      <c r="O89" s="306"/>
      <c r="P89" s="306"/>
      <c r="Q89" s="306"/>
      <c r="R89" s="306"/>
    </row>
    <row r="90" spans="1:18" ht="11.4" x14ac:dyDescent="0.2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</row>
    <row r="91" spans="1:18" ht="11.4" x14ac:dyDescent="0.2">
      <c r="A91" s="298" t="s">
        <v>288</v>
      </c>
      <c r="B91" s="298"/>
      <c r="C91" s="308">
        <f>C84*C88+C85*C89</f>
        <v>0</v>
      </c>
      <c r="D91" s="308">
        <f t="shared" ref="D91:R91" si="18">D84*D88+D85*D89</f>
        <v>0</v>
      </c>
      <c r="E91" s="308">
        <f t="shared" si="18"/>
        <v>0</v>
      </c>
      <c r="F91" s="308">
        <f t="shared" si="18"/>
        <v>0</v>
      </c>
      <c r="G91" s="308">
        <f t="shared" si="18"/>
        <v>0</v>
      </c>
      <c r="H91" s="308">
        <f t="shared" si="18"/>
        <v>0</v>
      </c>
      <c r="I91" s="308">
        <f t="shared" si="18"/>
        <v>0</v>
      </c>
      <c r="J91" s="308">
        <f t="shared" si="18"/>
        <v>0</v>
      </c>
      <c r="K91" s="308">
        <f t="shared" si="18"/>
        <v>0</v>
      </c>
      <c r="L91" s="308">
        <f t="shared" si="18"/>
        <v>0</v>
      </c>
      <c r="M91" s="308">
        <f t="shared" si="18"/>
        <v>0</v>
      </c>
      <c r="N91" s="308">
        <f t="shared" si="18"/>
        <v>0</v>
      </c>
      <c r="O91" s="308">
        <f t="shared" si="18"/>
        <v>0</v>
      </c>
      <c r="P91" s="308">
        <f t="shared" si="18"/>
        <v>0</v>
      </c>
      <c r="Q91" s="308">
        <f t="shared" si="18"/>
        <v>0</v>
      </c>
      <c r="R91" s="308">
        <f t="shared" si="18"/>
        <v>0</v>
      </c>
    </row>
    <row r="92" spans="1:18" ht="11.4" x14ac:dyDescent="0.2">
      <c r="A92" s="53"/>
      <c r="B92" s="53"/>
      <c r="C92" s="83"/>
      <c r="D92" s="83"/>
      <c r="E92" s="83"/>
      <c r="F92" s="83"/>
      <c r="G92" s="83"/>
      <c r="H92" s="83"/>
    </row>
    <row r="93" spans="1:18" ht="11.4" x14ac:dyDescent="0.2">
      <c r="A93" s="298" t="s">
        <v>282</v>
      </c>
      <c r="B93" s="53"/>
      <c r="C93" s="83"/>
      <c r="D93" s="83"/>
      <c r="E93" s="83"/>
      <c r="F93" s="83"/>
      <c r="G93" s="83"/>
      <c r="H93" s="83"/>
    </row>
    <row r="94" spans="1:18" ht="12" thickBot="1" x14ac:dyDescent="0.25">
      <c r="A94" s="53"/>
      <c r="B94" s="53"/>
      <c r="C94" s="83"/>
      <c r="D94" s="83"/>
      <c r="E94" s="83"/>
      <c r="F94" s="83"/>
      <c r="G94" s="83"/>
      <c r="H94" s="83"/>
    </row>
    <row r="95" spans="1:18" ht="23.4" thickBot="1" x14ac:dyDescent="0.25">
      <c r="A95" s="47" t="s">
        <v>283</v>
      </c>
      <c r="B95" s="304"/>
      <c r="C95" s="48">
        <f>C$10</f>
        <v>2028</v>
      </c>
      <c r="D95" s="48">
        <f t="shared" ref="D95:R95" si="19">D$10</f>
        <v>2029</v>
      </c>
      <c r="E95" s="48">
        <f t="shared" si="19"/>
        <v>2030</v>
      </c>
      <c r="F95" s="48">
        <f t="shared" si="19"/>
        <v>2031</v>
      </c>
      <c r="G95" s="48">
        <f t="shared" si="19"/>
        <v>2032</v>
      </c>
      <c r="H95" s="48">
        <f t="shared" si="19"/>
        <v>2033</v>
      </c>
      <c r="I95" s="48">
        <f t="shared" si="19"/>
        <v>2034</v>
      </c>
      <c r="J95" s="48">
        <f t="shared" si="19"/>
        <v>2035</v>
      </c>
      <c r="K95" s="48">
        <f t="shared" si="19"/>
        <v>2036</v>
      </c>
      <c r="L95" s="48">
        <f t="shared" si="19"/>
        <v>2037</v>
      </c>
      <c r="M95" s="48">
        <f t="shared" si="19"/>
        <v>2038</v>
      </c>
      <c r="N95" s="48">
        <f t="shared" si="19"/>
        <v>2039</v>
      </c>
      <c r="O95" s="48">
        <f t="shared" si="19"/>
        <v>2040</v>
      </c>
      <c r="P95" s="48">
        <f t="shared" si="19"/>
        <v>2041</v>
      </c>
      <c r="Q95" s="48">
        <f t="shared" si="19"/>
        <v>2042</v>
      </c>
      <c r="R95" s="48">
        <f t="shared" si="19"/>
        <v>2043</v>
      </c>
    </row>
    <row r="96" spans="1:18" ht="11.4" x14ac:dyDescent="0.2">
      <c r="A96" s="83" t="s">
        <v>262</v>
      </c>
      <c r="B96" s="83" t="s">
        <v>91</v>
      </c>
      <c r="C96" s="301">
        <v>2.88</v>
      </c>
      <c r="D96" s="301">
        <v>2.88</v>
      </c>
      <c r="E96" s="301">
        <v>2.88</v>
      </c>
      <c r="F96" s="301">
        <v>2.88</v>
      </c>
      <c r="G96" s="301">
        <v>2.88</v>
      </c>
      <c r="H96" s="301">
        <v>2.88</v>
      </c>
      <c r="I96" s="301">
        <v>2.88</v>
      </c>
      <c r="J96" s="301">
        <v>2.88</v>
      </c>
      <c r="K96" s="301">
        <v>2.88</v>
      </c>
      <c r="L96" s="301">
        <v>2.88</v>
      </c>
      <c r="M96" s="301">
        <v>2.88</v>
      </c>
      <c r="N96" s="301">
        <v>2.88</v>
      </c>
      <c r="O96" s="301">
        <v>2.88</v>
      </c>
      <c r="P96" s="301">
        <v>2.88</v>
      </c>
      <c r="Q96" s="301">
        <v>2.88</v>
      </c>
      <c r="R96" s="301">
        <v>2.88</v>
      </c>
    </row>
    <row r="97" spans="1:18" ht="11.4" x14ac:dyDescent="0.2">
      <c r="A97" s="83" t="s">
        <v>427</v>
      </c>
      <c r="B97" s="83" t="s">
        <v>91</v>
      </c>
      <c r="C97" s="301">
        <v>3.94</v>
      </c>
      <c r="D97" s="301">
        <v>3.94</v>
      </c>
      <c r="E97" s="301">
        <v>3.94</v>
      </c>
      <c r="F97" s="301">
        <v>3.94</v>
      </c>
      <c r="G97" s="301">
        <v>3.94</v>
      </c>
      <c r="H97" s="301">
        <v>3.94</v>
      </c>
      <c r="I97" s="301">
        <v>3.94</v>
      </c>
      <c r="J97" s="301">
        <v>3.94</v>
      </c>
      <c r="K97" s="301">
        <v>3.94</v>
      </c>
      <c r="L97" s="301">
        <v>3.94</v>
      </c>
      <c r="M97" s="301">
        <v>3.94</v>
      </c>
      <c r="N97" s="301">
        <v>3.94</v>
      </c>
      <c r="O97" s="301">
        <v>3.94</v>
      </c>
      <c r="P97" s="301">
        <v>3.94</v>
      </c>
      <c r="Q97" s="301">
        <v>3.94</v>
      </c>
      <c r="R97" s="301">
        <v>3.94</v>
      </c>
    </row>
    <row r="98" spans="1:18" ht="11.4" x14ac:dyDescent="0.2">
      <c r="A98" s="83" t="s">
        <v>428</v>
      </c>
      <c r="B98" s="83" t="s">
        <v>91</v>
      </c>
      <c r="C98" s="301">
        <v>6.52</v>
      </c>
      <c r="D98" s="301">
        <v>6.52</v>
      </c>
      <c r="E98" s="301">
        <v>6.52</v>
      </c>
      <c r="F98" s="301">
        <v>6.52</v>
      </c>
      <c r="G98" s="301">
        <v>6.52</v>
      </c>
      <c r="H98" s="301">
        <v>6.52</v>
      </c>
      <c r="I98" s="301">
        <v>6.52</v>
      </c>
      <c r="J98" s="301">
        <v>6.52</v>
      </c>
      <c r="K98" s="301">
        <v>6.52</v>
      </c>
      <c r="L98" s="301">
        <v>6.52</v>
      </c>
      <c r="M98" s="301">
        <v>6.52</v>
      </c>
      <c r="N98" s="301">
        <v>6.52</v>
      </c>
      <c r="O98" s="301">
        <v>6.52</v>
      </c>
      <c r="P98" s="301">
        <v>6.52</v>
      </c>
      <c r="Q98" s="301">
        <v>6.52</v>
      </c>
      <c r="R98" s="301">
        <v>6.52</v>
      </c>
    </row>
    <row r="99" spans="1:18" ht="11.4" x14ac:dyDescent="0.2">
      <c r="A99" s="83" t="s">
        <v>265</v>
      </c>
      <c r="B99" s="83" t="s">
        <v>91</v>
      </c>
      <c r="C99" s="301">
        <v>8.34</v>
      </c>
      <c r="D99" s="301">
        <v>8.34</v>
      </c>
      <c r="E99" s="301">
        <v>8.34</v>
      </c>
      <c r="F99" s="301">
        <v>8.34</v>
      </c>
      <c r="G99" s="301">
        <v>8.34</v>
      </c>
      <c r="H99" s="301">
        <v>8.34</v>
      </c>
      <c r="I99" s="301">
        <v>8.34</v>
      </c>
      <c r="J99" s="301">
        <v>8.34</v>
      </c>
      <c r="K99" s="301">
        <v>8.34</v>
      </c>
      <c r="L99" s="301">
        <v>8.34</v>
      </c>
      <c r="M99" s="301">
        <v>8.34</v>
      </c>
      <c r="N99" s="301">
        <v>8.34</v>
      </c>
      <c r="O99" s="301">
        <v>8.34</v>
      </c>
      <c r="P99" s="301">
        <v>8.34</v>
      </c>
      <c r="Q99" s="301">
        <v>8.34</v>
      </c>
      <c r="R99" s="301">
        <v>8.34</v>
      </c>
    </row>
    <row r="100" spans="1:18" ht="11.4" x14ac:dyDescent="0.2">
      <c r="A100" s="83" t="s">
        <v>266</v>
      </c>
      <c r="B100" s="83" t="s">
        <v>91</v>
      </c>
      <c r="C100" s="301">
        <v>17.75</v>
      </c>
      <c r="D100" s="301">
        <v>17.75</v>
      </c>
      <c r="E100" s="301">
        <v>17.75</v>
      </c>
      <c r="F100" s="301">
        <v>17.75</v>
      </c>
      <c r="G100" s="301">
        <v>17.75</v>
      </c>
      <c r="H100" s="301">
        <v>17.75</v>
      </c>
      <c r="I100" s="301">
        <v>17.75</v>
      </c>
      <c r="J100" s="301">
        <v>17.75</v>
      </c>
      <c r="K100" s="301">
        <v>17.75</v>
      </c>
      <c r="L100" s="301">
        <v>17.75</v>
      </c>
      <c r="M100" s="301">
        <v>17.75</v>
      </c>
      <c r="N100" s="301">
        <v>17.75</v>
      </c>
      <c r="O100" s="301">
        <v>17.75</v>
      </c>
      <c r="P100" s="301">
        <v>17.75</v>
      </c>
      <c r="Q100" s="301">
        <v>17.75</v>
      </c>
      <c r="R100" s="301">
        <v>17.75</v>
      </c>
    </row>
    <row r="101" spans="1:18" ht="11.4" x14ac:dyDescent="0.2">
      <c r="A101" s="83" t="s">
        <v>262</v>
      </c>
      <c r="B101" s="83" t="s">
        <v>98</v>
      </c>
      <c r="C101" s="301">
        <v>7.53</v>
      </c>
      <c r="D101" s="301">
        <v>7.53</v>
      </c>
      <c r="E101" s="301">
        <v>7.53</v>
      </c>
      <c r="F101" s="301">
        <v>7.53</v>
      </c>
      <c r="G101" s="301">
        <v>7.53</v>
      </c>
      <c r="H101" s="301">
        <v>7.53</v>
      </c>
      <c r="I101" s="301">
        <v>7.53</v>
      </c>
      <c r="J101" s="301">
        <v>7.53</v>
      </c>
      <c r="K101" s="301">
        <v>7.53</v>
      </c>
      <c r="L101" s="301">
        <v>7.53</v>
      </c>
      <c r="M101" s="301">
        <v>7.53</v>
      </c>
      <c r="N101" s="301">
        <v>7.53</v>
      </c>
      <c r="O101" s="301">
        <v>7.53</v>
      </c>
      <c r="P101" s="301">
        <v>7.53</v>
      </c>
      <c r="Q101" s="301">
        <v>7.53</v>
      </c>
      <c r="R101" s="301">
        <v>7.53</v>
      </c>
    </row>
    <row r="102" spans="1:18" ht="11.4" x14ac:dyDescent="0.2">
      <c r="A102" s="83" t="s">
        <v>427</v>
      </c>
      <c r="B102" s="83" t="s">
        <v>98</v>
      </c>
      <c r="C102" s="301">
        <v>10.3</v>
      </c>
      <c r="D102" s="301">
        <v>10.3</v>
      </c>
      <c r="E102" s="301">
        <v>10.3</v>
      </c>
      <c r="F102" s="301">
        <v>10.3</v>
      </c>
      <c r="G102" s="301">
        <v>10.3</v>
      </c>
      <c r="H102" s="301">
        <v>10.3</v>
      </c>
      <c r="I102" s="301">
        <v>10.3</v>
      </c>
      <c r="J102" s="301">
        <v>10.3</v>
      </c>
      <c r="K102" s="301">
        <v>10.3</v>
      </c>
      <c r="L102" s="301">
        <v>10.3</v>
      </c>
      <c r="M102" s="301">
        <v>10.3</v>
      </c>
      <c r="N102" s="301">
        <v>10.3</v>
      </c>
      <c r="O102" s="301">
        <v>10.3</v>
      </c>
      <c r="P102" s="301">
        <v>10.3</v>
      </c>
      <c r="Q102" s="301">
        <v>10.3</v>
      </c>
      <c r="R102" s="301">
        <v>10.3</v>
      </c>
    </row>
    <row r="103" spans="1:18" ht="11.4" x14ac:dyDescent="0.2">
      <c r="A103" s="83" t="s">
        <v>428</v>
      </c>
      <c r="B103" s="83" t="s">
        <v>98</v>
      </c>
      <c r="C103" s="301">
        <v>17.04</v>
      </c>
      <c r="D103" s="301">
        <v>17.04</v>
      </c>
      <c r="E103" s="301">
        <v>17.04</v>
      </c>
      <c r="F103" s="301">
        <v>17.04</v>
      </c>
      <c r="G103" s="301">
        <v>17.04</v>
      </c>
      <c r="H103" s="301">
        <v>17.04</v>
      </c>
      <c r="I103" s="301">
        <v>17.04</v>
      </c>
      <c r="J103" s="301">
        <v>17.04</v>
      </c>
      <c r="K103" s="301">
        <v>17.04</v>
      </c>
      <c r="L103" s="301">
        <v>17.04</v>
      </c>
      <c r="M103" s="301">
        <v>17.04</v>
      </c>
      <c r="N103" s="301">
        <v>17.04</v>
      </c>
      <c r="O103" s="301">
        <v>17.04</v>
      </c>
      <c r="P103" s="301">
        <v>17.04</v>
      </c>
      <c r="Q103" s="301">
        <v>17.04</v>
      </c>
      <c r="R103" s="301">
        <v>17.04</v>
      </c>
    </row>
    <row r="104" spans="1:18" ht="11.4" x14ac:dyDescent="0.2">
      <c r="A104" s="83" t="s">
        <v>265</v>
      </c>
      <c r="B104" s="83" t="s">
        <v>98</v>
      </c>
      <c r="C104" s="301">
        <v>21.78</v>
      </c>
      <c r="D104" s="301">
        <v>21.78</v>
      </c>
      <c r="E104" s="301">
        <v>21.78</v>
      </c>
      <c r="F104" s="301">
        <v>21.78</v>
      </c>
      <c r="G104" s="301">
        <v>21.78</v>
      </c>
      <c r="H104" s="301">
        <v>21.78</v>
      </c>
      <c r="I104" s="301">
        <v>21.78</v>
      </c>
      <c r="J104" s="301">
        <v>21.78</v>
      </c>
      <c r="K104" s="301">
        <v>21.78</v>
      </c>
      <c r="L104" s="301">
        <v>21.78</v>
      </c>
      <c r="M104" s="301">
        <v>21.78</v>
      </c>
      <c r="N104" s="301">
        <v>21.78</v>
      </c>
      <c r="O104" s="301">
        <v>21.78</v>
      </c>
      <c r="P104" s="301">
        <v>21.78</v>
      </c>
      <c r="Q104" s="301">
        <v>21.78</v>
      </c>
      <c r="R104" s="301">
        <v>21.78</v>
      </c>
    </row>
    <row r="105" spans="1:18" ht="11.4" x14ac:dyDescent="0.2">
      <c r="A105" s="83" t="s">
        <v>266</v>
      </c>
      <c r="B105" s="83" t="s">
        <v>98</v>
      </c>
      <c r="C105" s="301">
        <v>46.37</v>
      </c>
      <c r="D105" s="301">
        <v>46.37</v>
      </c>
      <c r="E105" s="301">
        <v>46.37</v>
      </c>
      <c r="F105" s="301">
        <v>46.37</v>
      </c>
      <c r="G105" s="301">
        <v>46.37</v>
      </c>
      <c r="H105" s="301">
        <v>46.37</v>
      </c>
      <c r="I105" s="301">
        <v>46.37</v>
      </c>
      <c r="J105" s="301">
        <v>46.37</v>
      </c>
      <c r="K105" s="301">
        <v>46.37</v>
      </c>
      <c r="L105" s="301">
        <v>46.37</v>
      </c>
      <c r="M105" s="301">
        <v>46.37</v>
      </c>
      <c r="N105" s="301">
        <v>46.37</v>
      </c>
      <c r="O105" s="301">
        <v>46.37</v>
      </c>
      <c r="P105" s="301">
        <v>46.37</v>
      </c>
      <c r="Q105" s="301">
        <v>46.37</v>
      </c>
      <c r="R105" s="301">
        <v>46.37</v>
      </c>
    </row>
    <row r="106" spans="1:18" ht="11.4" x14ac:dyDescent="0.2">
      <c r="A106" s="83" t="s">
        <v>262</v>
      </c>
      <c r="B106" s="83" t="s">
        <v>100</v>
      </c>
      <c r="C106" s="301">
        <v>9.06</v>
      </c>
      <c r="D106" s="301">
        <v>9.06</v>
      </c>
      <c r="E106" s="301">
        <v>9.06</v>
      </c>
      <c r="F106" s="301">
        <v>9.06</v>
      </c>
      <c r="G106" s="301">
        <v>9.06</v>
      </c>
      <c r="H106" s="301">
        <v>9.06</v>
      </c>
      <c r="I106" s="301">
        <v>9.06</v>
      </c>
      <c r="J106" s="301">
        <v>9.06</v>
      </c>
      <c r="K106" s="301">
        <v>9.06</v>
      </c>
      <c r="L106" s="301">
        <v>9.06</v>
      </c>
      <c r="M106" s="301">
        <v>9.06</v>
      </c>
      <c r="N106" s="301">
        <v>9.06</v>
      </c>
      <c r="O106" s="301">
        <v>9.06</v>
      </c>
      <c r="P106" s="301">
        <v>9.06</v>
      </c>
      <c r="Q106" s="301">
        <v>9.06</v>
      </c>
      <c r="R106" s="301">
        <v>9.06</v>
      </c>
    </row>
    <row r="107" spans="1:18" ht="11.4" x14ac:dyDescent="0.2">
      <c r="A107" s="83" t="s">
        <v>427</v>
      </c>
      <c r="B107" s="83" t="s">
        <v>100</v>
      </c>
      <c r="C107" s="301">
        <v>12.39</v>
      </c>
      <c r="D107" s="301">
        <v>12.39</v>
      </c>
      <c r="E107" s="301">
        <v>12.39</v>
      </c>
      <c r="F107" s="301">
        <v>12.39</v>
      </c>
      <c r="G107" s="301">
        <v>12.39</v>
      </c>
      <c r="H107" s="301">
        <v>12.39</v>
      </c>
      <c r="I107" s="301">
        <v>12.39</v>
      </c>
      <c r="J107" s="301">
        <v>12.39</v>
      </c>
      <c r="K107" s="301">
        <v>12.39</v>
      </c>
      <c r="L107" s="301">
        <v>12.39</v>
      </c>
      <c r="M107" s="301">
        <v>12.39</v>
      </c>
      <c r="N107" s="301">
        <v>12.39</v>
      </c>
      <c r="O107" s="301">
        <v>12.39</v>
      </c>
      <c r="P107" s="301">
        <v>12.39</v>
      </c>
      <c r="Q107" s="301">
        <v>12.39</v>
      </c>
      <c r="R107" s="301">
        <v>12.39</v>
      </c>
    </row>
    <row r="108" spans="1:18" ht="11.4" x14ac:dyDescent="0.2">
      <c r="A108" s="83" t="s">
        <v>428</v>
      </c>
      <c r="B108" s="83" t="s">
        <v>100</v>
      </c>
      <c r="C108" s="301">
        <v>20.51</v>
      </c>
      <c r="D108" s="301">
        <v>20.51</v>
      </c>
      <c r="E108" s="301">
        <v>20.51</v>
      </c>
      <c r="F108" s="301">
        <v>20.51</v>
      </c>
      <c r="G108" s="301">
        <v>20.51</v>
      </c>
      <c r="H108" s="301">
        <v>20.51</v>
      </c>
      <c r="I108" s="301">
        <v>20.51</v>
      </c>
      <c r="J108" s="301">
        <v>20.51</v>
      </c>
      <c r="K108" s="301">
        <v>20.51</v>
      </c>
      <c r="L108" s="301">
        <v>20.51</v>
      </c>
      <c r="M108" s="301">
        <v>20.51</v>
      </c>
      <c r="N108" s="301">
        <v>20.51</v>
      </c>
      <c r="O108" s="301">
        <v>20.51</v>
      </c>
      <c r="P108" s="301">
        <v>20.51</v>
      </c>
      <c r="Q108" s="301">
        <v>20.51</v>
      </c>
      <c r="R108" s="301">
        <v>20.51</v>
      </c>
    </row>
    <row r="109" spans="1:18" ht="11.4" x14ac:dyDescent="0.2">
      <c r="A109" s="83" t="s">
        <v>265</v>
      </c>
      <c r="B109" s="83" t="s">
        <v>100</v>
      </c>
      <c r="C109" s="301">
        <v>26.22</v>
      </c>
      <c r="D109" s="301">
        <v>26.22</v>
      </c>
      <c r="E109" s="301">
        <v>26.22</v>
      </c>
      <c r="F109" s="301">
        <v>26.22</v>
      </c>
      <c r="G109" s="301">
        <v>26.22</v>
      </c>
      <c r="H109" s="301">
        <v>26.22</v>
      </c>
      <c r="I109" s="301">
        <v>26.22</v>
      </c>
      <c r="J109" s="301">
        <v>26.22</v>
      </c>
      <c r="K109" s="301">
        <v>26.22</v>
      </c>
      <c r="L109" s="301">
        <v>26.22</v>
      </c>
      <c r="M109" s="301">
        <v>26.22</v>
      </c>
      <c r="N109" s="301">
        <v>26.22</v>
      </c>
      <c r="O109" s="301">
        <v>26.22</v>
      </c>
      <c r="P109" s="301">
        <v>26.22</v>
      </c>
      <c r="Q109" s="301">
        <v>26.22</v>
      </c>
      <c r="R109" s="301">
        <v>26.22</v>
      </c>
    </row>
    <row r="110" spans="1:18" ht="11.4" x14ac:dyDescent="0.2">
      <c r="A110" s="83" t="s">
        <v>266</v>
      </c>
      <c r="B110" s="83" t="s">
        <v>100</v>
      </c>
      <c r="C110" s="301">
        <v>55.81</v>
      </c>
      <c r="D110" s="301">
        <v>55.81</v>
      </c>
      <c r="E110" s="301">
        <v>55.81</v>
      </c>
      <c r="F110" s="301">
        <v>55.81</v>
      </c>
      <c r="G110" s="301">
        <v>55.81</v>
      </c>
      <c r="H110" s="301">
        <v>55.81</v>
      </c>
      <c r="I110" s="301">
        <v>55.81</v>
      </c>
      <c r="J110" s="301">
        <v>55.81</v>
      </c>
      <c r="K110" s="301">
        <v>55.81</v>
      </c>
      <c r="L110" s="301">
        <v>55.81</v>
      </c>
      <c r="M110" s="301">
        <v>55.81</v>
      </c>
      <c r="N110" s="301">
        <v>55.81</v>
      </c>
      <c r="O110" s="301">
        <v>55.81</v>
      </c>
      <c r="P110" s="301">
        <v>55.81</v>
      </c>
      <c r="Q110" s="301">
        <v>55.81</v>
      </c>
      <c r="R110" s="301">
        <v>55.81</v>
      </c>
    </row>
    <row r="111" spans="1:18" ht="11.4" x14ac:dyDescent="0.2">
      <c r="A111" s="83"/>
      <c r="B111" s="83"/>
      <c r="C111" s="301"/>
      <c r="D111" s="301"/>
      <c r="E111" s="301"/>
      <c r="F111" s="301"/>
      <c r="G111" s="301"/>
      <c r="H111" s="301"/>
    </row>
    <row r="112" spans="1:18" ht="11.4" x14ac:dyDescent="0.2">
      <c r="A112" s="298" t="s">
        <v>284</v>
      </c>
      <c r="B112" s="83"/>
      <c r="C112" s="301"/>
      <c r="D112" s="301"/>
      <c r="E112" s="301"/>
      <c r="F112" s="301"/>
      <c r="G112" s="301"/>
      <c r="H112" s="301"/>
    </row>
    <row r="113" spans="1:18" ht="12" thickBot="1" x14ac:dyDescent="0.25">
      <c r="A113" s="53"/>
      <c r="B113" s="53"/>
      <c r="C113" s="83"/>
      <c r="D113" s="83"/>
      <c r="E113" s="83"/>
      <c r="F113" s="83"/>
      <c r="G113" s="83"/>
      <c r="H113" s="83"/>
    </row>
    <row r="114" spans="1:18" ht="23.4" thickBot="1" x14ac:dyDescent="0.25">
      <c r="A114" s="47" t="s">
        <v>283</v>
      </c>
      <c r="B114" s="47"/>
      <c r="C114" s="48">
        <f>C$10</f>
        <v>2028</v>
      </c>
      <c r="D114" s="48">
        <f t="shared" ref="D114:R114" si="20">D$10</f>
        <v>2029</v>
      </c>
      <c r="E114" s="48">
        <f t="shared" si="20"/>
        <v>2030</v>
      </c>
      <c r="F114" s="48">
        <f t="shared" si="20"/>
        <v>2031</v>
      </c>
      <c r="G114" s="48">
        <f t="shared" si="20"/>
        <v>2032</v>
      </c>
      <c r="H114" s="48">
        <f t="shared" si="20"/>
        <v>2033</v>
      </c>
      <c r="I114" s="48">
        <f t="shared" si="20"/>
        <v>2034</v>
      </c>
      <c r="J114" s="48">
        <f t="shared" si="20"/>
        <v>2035</v>
      </c>
      <c r="K114" s="48">
        <f t="shared" si="20"/>
        <v>2036</v>
      </c>
      <c r="L114" s="48">
        <f t="shared" si="20"/>
        <v>2037</v>
      </c>
      <c r="M114" s="48">
        <f t="shared" si="20"/>
        <v>2038</v>
      </c>
      <c r="N114" s="48">
        <f t="shared" si="20"/>
        <v>2039</v>
      </c>
      <c r="O114" s="48">
        <f t="shared" si="20"/>
        <v>2040</v>
      </c>
      <c r="P114" s="48">
        <f t="shared" si="20"/>
        <v>2041</v>
      </c>
      <c r="Q114" s="48">
        <f t="shared" si="20"/>
        <v>2042</v>
      </c>
      <c r="R114" s="48">
        <f t="shared" si="20"/>
        <v>2043</v>
      </c>
    </row>
    <row r="115" spans="1:18" ht="12" thickBot="1" x14ac:dyDescent="0.25">
      <c r="A115" s="83" t="s">
        <v>262</v>
      </c>
      <c r="B115" s="83" t="s">
        <v>91</v>
      </c>
      <c r="C115" s="597">
        <f>'L.02 DRK ZW-EM'!$X$130/365*FEO!G8</f>
        <v>1383.2876712328768</v>
      </c>
      <c r="D115" s="597">
        <f>'L.02 DRK ZW-EM'!$X$130/365*FEO!H8</f>
        <v>22950</v>
      </c>
      <c r="E115" s="597">
        <f>'L.02 DRK ZW-EM'!$X$130/365*FEO!I8</f>
        <v>22950</v>
      </c>
      <c r="F115" s="597">
        <f>'L.02 DRK ZW-EM'!$X$130/365*FEO!J8</f>
        <v>22950</v>
      </c>
      <c r="G115" s="597">
        <f>'L.02 DRK ZW-EM'!$X$130/365*FEO!K8</f>
        <v>23012.876712328769</v>
      </c>
      <c r="H115" s="597">
        <f>'L.02 DRK ZW-EM'!$X$130/365*FEO!L8</f>
        <v>22950</v>
      </c>
      <c r="I115" s="597">
        <f>'L.02 DRK ZW-EM'!$X$130/365*FEO!M8</f>
        <v>22950</v>
      </c>
      <c r="J115" s="597">
        <f>'L.02 DRK ZW-EM'!$X$130/365*FEO!N8</f>
        <v>22950</v>
      </c>
      <c r="K115" s="597">
        <f>'L.02 DRK ZW-EM'!$X$130/365*FEO!O8</f>
        <v>23012.876712328769</v>
      </c>
      <c r="L115" s="597">
        <f>'L.02 DRK ZW-EM'!$X$130/365*FEO!P8</f>
        <v>22950</v>
      </c>
      <c r="M115" s="597">
        <f>'L.02 DRK ZW-EM'!$X$130/365*FEO!Q8</f>
        <v>22950</v>
      </c>
      <c r="N115" s="597">
        <f>'L.02 DRK ZW-EM'!$X$130/365*FEO!R8</f>
        <v>22950</v>
      </c>
      <c r="O115" s="597">
        <f>'L.02 DRK ZW-EM'!$X$130/365*FEO!S8</f>
        <v>23012.876712328769</v>
      </c>
      <c r="P115" s="597">
        <f>'L.02 DRK ZW-EM'!$X$130/365*FEO!T8</f>
        <v>22950</v>
      </c>
      <c r="Q115" s="597">
        <f>'L.02 DRK ZW-EM'!$X$130/365*FEO!U8</f>
        <v>22950</v>
      </c>
      <c r="R115" s="597">
        <f>'L.02 DRK ZW-EM'!$X$130/365*FEO!V8</f>
        <v>21755.342465753427</v>
      </c>
    </row>
    <row r="116" spans="1:18" ht="12" thickBot="1" x14ac:dyDescent="0.25">
      <c r="A116" s="83" t="s">
        <v>263</v>
      </c>
      <c r="B116" s="83" t="s">
        <v>91</v>
      </c>
      <c r="C116" s="597">
        <f>'L.02 DRK ZW-EM'!$Y$130/365*FEO!G8</f>
        <v>1383.2876712328768</v>
      </c>
      <c r="D116" s="597">
        <f>'L.02 DRK ZW-EM'!$Y$130/365*FEO!H8</f>
        <v>22950</v>
      </c>
      <c r="E116" s="597">
        <f>'L.02 DRK ZW-EM'!$Y$130/365*FEO!I8</f>
        <v>22950</v>
      </c>
      <c r="F116" s="597">
        <f>'L.02 DRK ZW-EM'!$Y$130/365*FEO!J8</f>
        <v>22950</v>
      </c>
      <c r="G116" s="597">
        <f>'L.02 DRK ZW-EM'!$Y$130/365*FEO!K8</f>
        <v>23012.876712328769</v>
      </c>
      <c r="H116" s="597">
        <f>'L.02 DRK ZW-EM'!$Y$130/365*FEO!L8</f>
        <v>22950</v>
      </c>
      <c r="I116" s="597">
        <f>'L.02 DRK ZW-EM'!$Y$130/365*FEO!M8</f>
        <v>22950</v>
      </c>
      <c r="J116" s="597">
        <f>'L.02 DRK ZW-EM'!$Y$130/365*FEO!N8</f>
        <v>22950</v>
      </c>
      <c r="K116" s="597">
        <f>'L.02 DRK ZW-EM'!$Y$130/365*FEO!O8</f>
        <v>23012.876712328769</v>
      </c>
      <c r="L116" s="597">
        <f>'L.02 DRK ZW-EM'!$Y$130/365*FEO!P8</f>
        <v>22950</v>
      </c>
      <c r="M116" s="597">
        <f>'L.02 DRK ZW-EM'!$Y$130/365*FEO!Q8</f>
        <v>22950</v>
      </c>
      <c r="N116" s="597">
        <f>'L.02 DRK ZW-EM'!$Y$130/365*FEO!R8</f>
        <v>22950</v>
      </c>
      <c r="O116" s="597">
        <f>'L.02 DRK ZW-EM'!$Y$130/365*FEO!S8</f>
        <v>23012.876712328769</v>
      </c>
      <c r="P116" s="597">
        <f>'L.02 DRK ZW-EM'!$Y$130/365*FEO!T8</f>
        <v>22950</v>
      </c>
      <c r="Q116" s="597">
        <f>'L.02 DRK ZW-EM'!$Y$130/365*FEO!U8</f>
        <v>22950</v>
      </c>
      <c r="R116" s="597">
        <f>'L.02 DRK ZW-EM'!$Y$130/365*FEO!V8</f>
        <v>21755.342465753427</v>
      </c>
    </row>
    <row r="117" spans="1:18" ht="12" thickBot="1" x14ac:dyDescent="0.25">
      <c r="A117" s="83" t="s">
        <v>264</v>
      </c>
      <c r="B117" s="83" t="s">
        <v>91</v>
      </c>
      <c r="C117" s="597">
        <f>'L.02 DRK ZW-EM'!$Z$130/365*FEO!G8</f>
        <v>0</v>
      </c>
      <c r="D117" s="597">
        <f>'L.02 DRK ZW-EM'!$Z$130/365*FEO!H8</f>
        <v>0</v>
      </c>
      <c r="E117" s="597">
        <f>'L.02 DRK ZW-EM'!$Z$130/365*FEO!I8</f>
        <v>0</v>
      </c>
      <c r="F117" s="597">
        <f>'L.02 DRK ZW-EM'!$Z$130/365*FEO!J8</f>
        <v>0</v>
      </c>
      <c r="G117" s="597">
        <f>'L.02 DRK ZW-EM'!$Z$130/365*FEO!K8</f>
        <v>0</v>
      </c>
      <c r="H117" s="597">
        <f>'L.02 DRK ZW-EM'!$Z$130/365*FEO!L8</f>
        <v>0</v>
      </c>
      <c r="I117" s="597">
        <f>'L.02 DRK ZW-EM'!$Z$130/365*FEO!M8</f>
        <v>0</v>
      </c>
      <c r="J117" s="597">
        <f>'L.02 DRK ZW-EM'!$Z$130/365*FEO!N8</f>
        <v>0</v>
      </c>
      <c r="K117" s="597">
        <f>'L.02 DRK ZW-EM'!$Z$130/365*FEO!O8</f>
        <v>0</v>
      </c>
      <c r="L117" s="597">
        <f>'L.02 DRK ZW-EM'!$Z$130/365*FEO!P8</f>
        <v>0</v>
      </c>
      <c r="M117" s="597">
        <f>'L.02 DRK ZW-EM'!$Z$130/365*FEO!Q8</f>
        <v>0</v>
      </c>
      <c r="N117" s="597">
        <f>'L.02 DRK ZW-EM'!$Z$130/365*FEO!R8</f>
        <v>0</v>
      </c>
      <c r="O117" s="597">
        <f>'L.02 DRK ZW-EM'!$Z$130/365*FEO!S8</f>
        <v>0</v>
      </c>
      <c r="P117" s="597">
        <f>'L.02 DRK ZW-EM'!$Z$130/365*FEO!T8</f>
        <v>0</v>
      </c>
      <c r="Q117" s="597">
        <f>'L.02 DRK ZW-EM'!$Z$130/365*FEO!U8</f>
        <v>0</v>
      </c>
      <c r="R117" s="597">
        <f>'L.02 DRK ZW-EM'!$Z$130/365*FEO!V8</f>
        <v>0</v>
      </c>
    </row>
    <row r="118" spans="1:18" ht="12" thickBot="1" x14ac:dyDescent="0.25">
      <c r="A118" s="83" t="s">
        <v>265</v>
      </c>
      <c r="B118" s="83" t="s">
        <v>91</v>
      </c>
      <c r="C118" s="597">
        <f>'L.02 DRK ZW-EM'!$AA$130/365*FEO!G8</f>
        <v>0</v>
      </c>
      <c r="D118" s="597">
        <f>'L.02 DRK ZW-EM'!$AA$130/365*FEO!H8</f>
        <v>0</v>
      </c>
      <c r="E118" s="597">
        <f>'L.02 DRK ZW-EM'!$AA$130/365*FEO!I8</f>
        <v>0</v>
      </c>
      <c r="F118" s="597">
        <f>'L.02 DRK ZW-EM'!$AA$130/365*FEO!J8</f>
        <v>0</v>
      </c>
      <c r="G118" s="597">
        <f>'L.02 DRK ZW-EM'!$AA$130/365*FEO!K8</f>
        <v>0</v>
      </c>
      <c r="H118" s="597">
        <f>'L.02 DRK ZW-EM'!$AA$130/365*FEO!L8</f>
        <v>0</v>
      </c>
      <c r="I118" s="597">
        <f>'L.02 DRK ZW-EM'!$AA$130/365*FEO!M8</f>
        <v>0</v>
      </c>
      <c r="J118" s="597">
        <f>'L.02 DRK ZW-EM'!$AA$130/365*FEO!N8</f>
        <v>0</v>
      </c>
      <c r="K118" s="597">
        <f>'L.02 DRK ZW-EM'!$AA$130/365*FEO!O8</f>
        <v>0</v>
      </c>
      <c r="L118" s="597">
        <f>'L.02 DRK ZW-EM'!$AA$130/365*FEO!P8</f>
        <v>0</v>
      </c>
      <c r="M118" s="597">
        <f>'L.02 DRK ZW-EM'!$AA$130/365*FEO!Q8</f>
        <v>0</v>
      </c>
      <c r="N118" s="597">
        <f>'L.02 DRK ZW-EM'!$AA$130/365*FEO!R8</f>
        <v>0</v>
      </c>
      <c r="O118" s="597">
        <f>'L.02 DRK ZW-EM'!$AA$130/365*FEO!S8</f>
        <v>0</v>
      </c>
      <c r="P118" s="597">
        <f>'L.02 DRK ZW-EM'!$AA$130/365*FEO!T8</f>
        <v>0</v>
      </c>
      <c r="Q118" s="597">
        <f>'L.02 DRK ZW-EM'!$AA$130/365*FEO!U8</f>
        <v>0</v>
      </c>
      <c r="R118" s="597">
        <f>'L.02 DRK ZW-EM'!$AA$130/365*FEO!V8</f>
        <v>0</v>
      </c>
    </row>
    <row r="119" spans="1:18" ht="12" thickBot="1" x14ac:dyDescent="0.25">
      <c r="A119" s="83" t="s">
        <v>266</v>
      </c>
      <c r="B119" s="83" t="s">
        <v>91</v>
      </c>
      <c r="C119" s="597">
        <f>'L.02 DRK ZW-EM'!$AB$130/365*FEO!G8</f>
        <v>0</v>
      </c>
      <c r="D119" s="597">
        <f>'L.02 DRK ZW-EM'!$AB$130/365*FEO!H8</f>
        <v>0</v>
      </c>
      <c r="E119" s="597">
        <f>'L.02 DRK ZW-EM'!$AB$130/365*FEO!I8</f>
        <v>0</v>
      </c>
      <c r="F119" s="597">
        <f>'L.02 DRK ZW-EM'!$AB$130/365*FEO!J8</f>
        <v>0</v>
      </c>
      <c r="G119" s="597">
        <f>'L.02 DRK ZW-EM'!$AB$130/365*FEO!K8</f>
        <v>0</v>
      </c>
      <c r="H119" s="597">
        <f>'L.02 DRK ZW-EM'!$AB$130/365*FEO!L8</f>
        <v>0</v>
      </c>
      <c r="I119" s="597">
        <f>'L.02 DRK ZW-EM'!$AB$130/365*FEO!M8</f>
        <v>0</v>
      </c>
      <c r="J119" s="597">
        <f>'L.02 DRK ZW-EM'!$AB$130/365*FEO!N8</f>
        <v>0</v>
      </c>
      <c r="K119" s="597">
        <f>'L.02 DRK ZW-EM'!$AB$130/365*FEO!O8</f>
        <v>0</v>
      </c>
      <c r="L119" s="597">
        <f>'L.02 DRK ZW-EM'!$AB$130/365*FEO!P8</f>
        <v>0</v>
      </c>
      <c r="M119" s="597">
        <f>'L.02 DRK ZW-EM'!$AB$130/365*FEO!Q8</f>
        <v>0</v>
      </c>
      <c r="N119" s="597">
        <f>'L.02 DRK ZW-EM'!$AB$130/365*FEO!R8</f>
        <v>0</v>
      </c>
      <c r="O119" s="597">
        <f>'L.02 DRK ZW-EM'!$AB$130/365*FEO!S8</f>
        <v>0</v>
      </c>
      <c r="P119" s="597">
        <f>'L.02 DRK ZW-EM'!$AB$130/365*FEO!T8</f>
        <v>0</v>
      </c>
      <c r="Q119" s="597">
        <f>'L.02 DRK ZW-EM'!$AB$130/365*FEO!U8</f>
        <v>0</v>
      </c>
      <c r="R119" s="597">
        <f>'L.02 DRK ZW-EM'!$AB$130/365*FEO!V8</f>
        <v>0</v>
      </c>
    </row>
    <row r="120" spans="1:18" ht="12" thickBot="1" x14ac:dyDescent="0.25">
      <c r="A120" s="83" t="s">
        <v>262</v>
      </c>
      <c r="B120" s="83" t="s">
        <v>98</v>
      </c>
      <c r="C120" s="597">
        <f>'L.02 DRK ZW-EM'!$X$131/365*FEO!G8</f>
        <v>0</v>
      </c>
      <c r="D120" s="597">
        <f>'L.02 DRK ZW-EM'!$X$131/365*FEO!H8</f>
        <v>0</v>
      </c>
      <c r="E120" s="597">
        <f>'L.02 DRK ZW-EM'!$X$131/365*FEO!I8</f>
        <v>0</v>
      </c>
      <c r="F120" s="597">
        <f>'L.02 DRK ZW-EM'!$X$131/365*FEO!J8</f>
        <v>0</v>
      </c>
      <c r="G120" s="597">
        <f>'L.02 DRK ZW-EM'!$X$131/365*FEO!K8</f>
        <v>0</v>
      </c>
      <c r="H120" s="597">
        <f>'L.02 DRK ZW-EM'!$X$131/365*FEO!L8</f>
        <v>0</v>
      </c>
      <c r="I120" s="597">
        <f>'L.02 DRK ZW-EM'!$X$131/365*FEO!M8</f>
        <v>0</v>
      </c>
      <c r="J120" s="597">
        <f>'L.02 DRK ZW-EM'!$X$131/365*FEO!N8</f>
        <v>0</v>
      </c>
      <c r="K120" s="597">
        <f>'L.02 DRK ZW-EM'!$X$131/365*FEO!O8</f>
        <v>0</v>
      </c>
      <c r="L120" s="597">
        <f>'L.02 DRK ZW-EM'!$X$131/365*FEO!P8</f>
        <v>0</v>
      </c>
      <c r="M120" s="597">
        <f>'L.02 DRK ZW-EM'!$X$131/365*FEO!Q8</f>
        <v>0</v>
      </c>
      <c r="N120" s="597">
        <f>'L.02 DRK ZW-EM'!$X$131/365*FEO!R8</f>
        <v>0</v>
      </c>
      <c r="O120" s="597">
        <f>'L.02 DRK ZW-EM'!$X$131/365*FEO!S8</f>
        <v>0</v>
      </c>
      <c r="P120" s="597">
        <f>'L.02 DRK ZW-EM'!$X$131/365*FEO!T8</f>
        <v>0</v>
      </c>
      <c r="Q120" s="597">
        <f>'L.02 DRK ZW-EM'!$X$131/365*FEO!U8</f>
        <v>0</v>
      </c>
      <c r="R120" s="597">
        <f>'L.02 DRK ZW-EM'!$X$131/365*FEO!V8</f>
        <v>0</v>
      </c>
    </row>
    <row r="121" spans="1:18" ht="12" thickBot="1" x14ac:dyDescent="0.25">
      <c r="A121" s="83" t="s">
        <v>263</v>
      </c>
      <c r="B121" s="83" t="s">
        <v>98</v>
      </c>
      <c r="C121" s="597">
        <f>'L.02 DRK ZW-EM'!$Y$131/365*FEO!G8</f>
        <v>0</v>
      </c>
      <c r="D121" s="597">
        <f>'L.02 DRK ZW-EM'!$Y$131/365*FEO!H8</f>
        <v>0</v>
      </c>
      <c r="E121" s="597">
        <f>'L.02 DRK ZW-EM'!$Y$131/365*FEO!I8</f>
        <v>0</v>
      </c>
      <c r="F121" s="597">
        <f>'L.02 DRK ZW-EM'!$Y$131/365*FEO!J8</f>
        <v>0</v>
      </c>
      <c r="G121" s="597">
        <f>'L.02 DRK ZW-EM'!$Y$131/365*FEO!K8</f>
        <v>0</v>
      </c>
      <c r="H121" s="597">
        <f>'L.02 DRK ZW-EM'!$Y$131/365*FEO!L8</f>
        <v>0</v>
      </c>
      <c r="I121" s="597">
        <f>'L.02 DRK ZW-EM'!$Y$131/365*FEO!M8</f>
        <v>0</v>
      </c>
      <c r="J121" s="597">
        <f>'L.02 DRK ZW-EM'!$Y$131/365*FEO!N8</f>
        <v>0</v>
      </c>
      <c r="K121" s="597">
        <f>'L.02 DRK ZW-EM'!$Y$131/365*FEO!O8</f>
        <v>0</v>
      </c>
      <c r="L121" s="597">
        <f>'L.02 DRK ZW-EM'!$Y$131/365*FEO!P8</f>
        <v>0</v>
      </c>
      <c r="M121" s="597">
        <f>'L.02 DRK ZW-EM'!$Y$131/365*FEO!Q8</f>
        <v>0</v>
      </c>
      <c r="N121" s="597">
        <f>'L.02 DRK ZW-EM'!$Y$131/365*FEO!R8</f>
        <v>0</v>
      </c>
      <c r="O121" s="597">
        <f>'L.02 DRK ZW-EM'!$Y$131/365*FEO!S8</f>
        <v>0</v>
      </c>
      <c r="P121" s="597">
        <f>'L.02 DRK ZW-EM'!$Y$131/365*FEO!T8</f>
        <v>0</v>
      </c>
      <c r="Q121" s="597">
        <f>'L.02 DRK ZW-EM'!$Y$131/365*FEO!U8</f>
        <v>0</v>
      </c>
      <c r="R121" s="597">
        <f>'L.02 DRK ZW-EM'!$Y$131/365*FEO!V8</f>
        <v>0</v>
      </c>
    </row>
    <row r="122" spans="1:18" ht="12" thickBot="1" x14ac:dyDescent="0.25">
      <c r="A122" s="83" t="s">
        <v>264</v>
      </c>
      <c r="B122" s="83" t="s">
        <v>98</v>
      </c>
      <c r="C122" s="597">
        <f>'L.02 DRK ZW-EM'!$Z$131/365*FEO!G8</f>
        <v>0</v>
      </c>
      <c r="D122" s="597">
        <f>'L.02 DRK ZW-EM'!$Z$131/365*FEO!H8</f>
        <v>0</v>
      </c>
      <c r="E122" s="597">
        <f>'L.02 DRK ZW-EM'!$Z$131/365*FEO!I8</f>
        <v>0</v>
      </c>
      <c r="F122" s="597">
        <f>'L.02 DRK ZW-EM'!$Z$131/365*FEO!J8</f>
        <v>0</v>
      </c>
      <c r="G122" s="597">
        <f>'L.02 DRK ZW-EM'!$Z$131/365*FEO!K8</f>
        <v>0</v>
      </c>
      <c r="H122" s="597">
        <f>'L.02 DRK ZW-EM'!$Z$131/365*FEO!L8</f>
        <v>0</v>
      </c>
      <c r="I122" s="597">
        <f>'L.02 DRK ZW-EM'!$Z$131/365*FEO!M8</f>
        <v>0</v>
      </c>
      <c r="J122" s="597">
        <f>'L.02 DRK ZW-EM'!$Z$131/365*FEO!N8</f>
        <v>0</v>
      </c>
      <c r="K122" s="597">
        <f>'L.02 DRK ZW-EM'!$Z$131/365*FEO!O8</f>
        <v>0</v>
      </c>
      <c r="L122" s="597">
        <f>'L.02 DRK ZW-EM'!$Z$131/365*FEO!P8</f>
        <v>0</v>
      </c>
      <c r="M122" s="597">
        <f>'L.02 DRK ZW-EM'!$Z$131/365*FEO!Q8</f>
        <v>0</v>
      </c>
      <c r="N122" s="597">
        <f>'L.02 DRK ZW-EM'!$Z$131/365*FEO!R8</f>
        <v>0</v>
      </c>
      <c r="O122" s="597">
        <f>'L.02 DRK ZW-EM'!$Z$131/365*FEO!S8</f>
        <v>0</v>
      </c>
      <c r="P122" s="597">
        <f>'L.02 DRK ZW-EM'!$Z$131/365*FEO!T8</f>
        <v>0</v>
      </c>
      <c r="Q122" s="597">
        <f>'L.02 DRK ZW-EM'!$Z$131/365*FEO!U8</f>
        <v>0</v>
      </c>
      <c r="R122" s="597">
        <f>'L.02 DRK ZW-EM'!$Z$131/365*FEO!V8</f>
        <v>0</v>
      </c>
    </row>
    <row r="123" spans="1:18" ht="12" thickBot="1" x14ac:dyDescent="0.25">
      <c r="A123" s="83" t="s">
        <v>265</v>
      </c>
      <c r="B123" s="83" t="s">
        <v>98</v>
      </c>
      <c r="C123" s="597">
        <f>'L.02 DRK ZW-EM'!$AA$131/365*FEO!G8</f>
        <v>0</v>
      </c>
      <c r="D123" s="597">
        <f>'L.02 DRK ZW-EM'!$AA$131/365*FEO!H8</f>
        <v>0</v>
      </c>
      <c r="E123" s="597">
        <f>'L.02 DRK ZW-EM'!$AA$131/365*FEO!I8</f>
        <v>0</v>
      </c>
      <c r="F123" s="597">
        <f>'L.02 DRK ZW-EM'!$AA$131/365*FEO!J8</f>
        <v>0</v>
      </c>
      <c r="G123" s="597">
        <f>'L.02 DRK ZW-EM'!$AA$131/365*FEO!K8</f>
        <v>0</v>
      </c>
      <c r="H123" s="597">
        <f>'L.02 DRK ZW-EM'!$AA$131/365*FEO!L8</f>
        <v>0</v>
      </c>
      <c r="I123" s="597">
        <f>'L.02 DRK ZW-EM'!$AA$131/365*FEO!M8</f>
        <v>0</v>
      </c>
      <c r="J123" s="597">
        <f>'L.02 DRK ZW-EM'!$AA$131/365*FEO!N8</f>
        <v>0</v>
      </c>
      <c r="K123" s="597">
        <f>'L.02 DRK ZW-EM'!$AA$131/365*FEO!O8</f>
        <v>0</v>
      </c>
      <c r="L123" s="597">
        <f>'L.02 DRK ZW-EM'!$AA$131/365*FEO!P8</f>
        <v>0</v>
      </c>
      <c r="M123" s="597">
        <f>'L.02 DRK ZW-EM'!$AA$131/365*FEO!Q8</f>
        <v>0</v>
      </c>
      <c r="N123" s="597">
        <f>'L.02 DRK ZW-EM'!$AA$131/365*FEO!R8</f>
        <v>0</v>
      </c>
      <c r="O123" s="597">
        <f>'L.02 DRK ZW-EM'!$AA$131/365*FEO!S8</f>
        <v>0</v>
      </c>
      <c r="P123" s="597">
        <f>'L.02 DRK ZW-EM'!$AA$131/365*FEO!T8</f>
        <v>0</v>
      </c>
      <c r="Q123" s="597">
        <f>'L.02 DRK ZW-EM'!$AA$131/365*FEO!U8</f>
        <v>0</v>
      </c>
      <c r="R123" s="597">
        <f>'L.02 DRK ZW-EM'!$AA$131/365*FEO!V8</f>
        <v>0</v>
      </c>
    </row>
    <row r="124" spans="1:18" ht="12" thickBot="1" x14ac:dyDescent="0.25">
      <c r="A124" s="83" t="s">
        <v>266</v>
      </c>
      <c r="B124" s="83" t="s">
        <v>98</v>
      </c>
      <c r="C124" s="597">
        <f>'L.02 DRK ZW-EM'!$AB$131/365*FEO!G8</f>
        <v>0</v>
      </c>
      <c r="D124" s="597">
        <f>'L.02 DRK ZW-EM'!$AB$131/365*FEO!H8</f>
        <v>0</v>
      </c>
      <c r="E124" s="597">
        <f>'L.02 DRK ZW-EM'!$AB$131/365*FEO!I8</f>
        <v>0</v>
      </c>
      <c r="F124" s="597">
        <f>'L.02 DRK ZW-EM'!$AB$131/365*FEO!J8</f>
        <v>0</v>
      </c>
      <c r="G124" s="597">
        <f>'L.02 DRK ZW-EM'!$AB$131/365*FEO!K8</f>
        <v>0</v>
      </c>
      <c r="H124" s="597">
        <f>'L.02 DRK ZW-EM'!$AB$131/365*FEO!L8</f>
        <v>0</v>
      </c>
      <c r="I124" s="597">
        <f>'L.02 DRK ZW-EM'!$AB$131/365*FEO!M8</f>
        <v>0</v>
      </c>
      <c r="J124" s="597">
        <f>'L.02 DRK ZW-EM'!$AB$131/365*FEO!N8</f>
        <v>0</v>
      </c>
      <c r="K124" s="597">
        <f>'L.02 DRK ZW-EM'!$AB$131/365*FEO!O8</f>
        <v>0</v>
      </c>
      <c r="L124" s="597">
        <f>'L.02 DRK ZW-EM'!$AB$131/365*FEO!P8</f>
        <v>0</v>
      </c>
      <c r="M124" s="597">
        <f>'L.02 DRK ZW-EM'!$AB$131/365*FEO!Q8</f>
        <v>0</v>
      </c>
      <c r="N124" s="597">
        <f>'L.02 DRK ZW-EM'!$AB$131/365*FEO!R8</f>
        <v>0</v>
      </c>
      <c r="O124" s="597">
        <f>'L.02 DRK ZW-EM'!$AB$131/365*FEO!S8</f>
        <v>0</v>
      </c>
      <c r="P124" s="597">
        <f>'L.02 DRK ZW-EM'!$AB$131/365*FEO!T8</f>
        <v>0</v>
      </c>
      <c r="Q124" s="597">
        <f>'L.02 DRK ZW-EM'!$AB$131/365*FEO!U8</f>
        <v>0</v>
      </c>
      <c r="R124" s="597">
        <f>'L.02 DRK ZW-EM'!$AB$131/365*FEO!V8</f>
        <v>0</v>
      </c>
    </row>
    <row r="125" spans="1:18" ht="12" thickBot="1" x14ac:dyDescent="0.25">
      <c r="A125" s="83" t="s">
        <v>262</v>
      </c>
      <c r="B125" s="83" t="s">
        <v>100</v>
      </c>
      <c r="C125" s="597">
        <f>'L.02 DRK ZW-EM'!$X$132/365*FEO!G8</f>
        <v>0</v>
      </c>
      <c r="D125" s="597">
        <f>'L.02 DRK ZW-EM'!$X$132/365*FEO!H8</f>
        <v>0</v>
      </c>
      <c r="E125" s="597">
        <f>'L.02 DRK ZW-EM'!$X$132/365*FEO!I8</f>
        <v>0</v>
      </c>
      <c r="F125" s="597">
        <f>'L.02 DRK ZW-EM'!$X$132/365*FEO!J8</f>
        <v>0</v>
      </c>
      <c r="G125" s="597">
        <f>'L.02 DRK ZW-EM'!$X$132/365*FEO!K8</f>
        <v>0</v>
      </c>
      <c r="H125" s="597">
        <f>'L.02 DRK ZW-EM'!$X$132/365*FEO!L8</f>
        <v>0</v>
      </c>
      <c r="I125" s="597">
        <f>'L.02 DRK ZW-EM'!$X$132/365*FEO!M8</f>
        <v>0</v>
      </c>
      <c r="J125" s="597">
        <f>'L.02 DRK ZW-EM'!$X$132/365*FEO!N8</f>
        <v>0</v>
      </c>
      <c r="K125" s="597">
        <f>'L.02 DRK ZW-EM'!$X$132/365*FEO!O8</f>
        <v>0</v>
      </c>
      <c r="L125" s="597">
        <f>'L.02 DRK ZW-EM'!$X$132/365*FEO!P8</f>
        <v>0</v>
      </c>
      <c r="M125" s="597">
        <f>'L.02 DRK ZW-EM'!$X$132/365*FEO!Q8</f>
        <v>0</v>
      </c>
      <c r="N125" s="597">
        <f>'L.02 DRK ZW-EM'!$X$132/365*FEO!R8</f>
        <v>0</v>
      </c>
      <c r="O125" s="597">
        <f>'L.02 DRK ZW-EM'!$X$132/365*FEO!S8</f>
        <v>0</v>
      </c>
      <c r="P125" s="597">
        <f>'L.02 DRK ZW-EM'!$X$132/365*FEO!T8</f>
        <v>0</v>
      </c>
      <c r="Q125" s="597">
        <f>'L.02 DRK ZW-EM'!$X$132/365*FEO!U8</f>
        <v>0</v>
      </c>
      <c r="R125" s="597">
        <f>'L.02 DRK ZW-EM'!$X$132/365*FEO!V8</f>
        <v>0</v>
      </c>
    </row>
    <row r="126" spans="1:18" ht="12" thickBot="1" x14ac:dyDescent="0.25">
      <c r="A126" s="83" t="s">
        <v>263</v>
      </c>
      <c r="B126" s="83" t="s">
        <v>100</v>
      </c>
      <c r="C126" s="597">
        <f>'L.02 DRK ZW-EM'!$Y$132/365*FEO!G8</f>
        <v>0</v>
      </c>
      <c r="D126" s="597">
        <f>'L.02 DRK ZW-EM'!$Y$132/365*FEO!H8</f>
        <v>0</v>
      </c>
      <c r="E126" s="597">
        <f>'L.02 DRK ZW-EM'!$Y$132/365*FEO!I8</f>
        <v>0</v>
      </c>
      <c r="F126" s="597">
        <f>'L.02 DRK ZW-EM'!$Y$132/365*FEO!J8</f>
        <v>0</v>
      </c>
      <c r="G126" s="597">
        <f>'L.02 DRK ZW-EM'!$Y$132/365*FEO!K8</f>
        <v>0</v>
      </c>
      <c r="H126" s="597">
        <f>'L.02 DRK ZW-EM'!$Y$132/365*FEO!L8</f>
        <v>0</v>
      </c>
      <c r="I126" s="597">
        <f>'L.02 DRK ZW-EM'!$Y$132/365*FEO!M8</f>
        <v>0</v>
      </c>
      <c r="J126" s="597">
        <f>'L.02 DRK ZW-EM'!$Y$132/365*FEO!N8</f>
        <v>0</v>
      </c>
      <c r="K126" s="597">
        <f>'L.02 DRK ZW-EM'!$Y$132/365*FEO!O8</f>
        <v>0</v>
      </c>
      <c r="L126" s="597">
        <f>'L.02 DRK ZW-EM'!$Y$132/365*FEO!P8</f>
        <v>0</v>
      </c>
      <c r="M126" s="597">
        <f>'L.02 DRK ZW-EM'!$Y$132/365*FEO!Q8</f>
        <v>0</v>
      </c>
      <c r="N126" s="597">
        <f>'L.02 DRK ZW-EM'!$Y$132/365*FEO!R8</f>
        <v>0</v>
      </c>
      <c r="O126" s="597">
        <f>'L.02 DRK ZW-EM'!$Y$132/365*FEO!S8</f>
        <v>0</v>
      </c>
      <c r="P126" s="597">
        <f>'L.02 DRK ZW-EM'!$Y$132/365*FEO!T8</f>
        <v>0</v>
      </c>
      <c r="Q126" s="597">
        <f>'L.02 DRK ZW-EM'!$Y$132/365*FEO!U8</f>
        <v>0</v>
      </c>
      <c r="R126" s="597">
        <f>'L.02 DRK ZW-EM'!$Y$132/365*FEO!V8</f>
        <v>0</v>
      </c>
    </row>
    <row r="127" spans="1:18" ht="12" thickBot="1" x14ac:dyDescent="0.25">
      <c r="A127" s="83" t="s">
        <v>264</v>
      </c>
      <c r="B127" s="83" t="s">
        <v>100</v>
      </c>
      <c r="C127" s="597">
        <f>'L.02 DRK ZW-EM'!$Z$132/365*FEO!G8</f>
        <v>0</v>
      </c>
      <c r="D127" s="597">
        <f>'L.02 DRK ZW-EM'!$Z$132/365*FEO!H8</f>
        <v>0</v>
      </c>
      <c r="E127" s="597">
        <f>'L.02 DRK ZW-EM'!$Z$132/365*FEO!I8</f>
        <v>0</v>
      </c>
      <c r="F127" s="597">
        <f>'L.02 DRK ZW-EM'!$Z$132/365*FEO!J8</f>
        <v>0</v>
      </c>
      <c r="G127" s="597">
        <f>'L.02 DRK ZW-EM'!$Z$132/365*FEO!K8</f>
        <v>0</v>
      </c>
      <c r="H127" s="597">
        <f>'L.02 DRK ZW-EM'!$Z$132/365*FEO!L8</f>
        <v>0</v>
      </c>
      <c r="I127" s="597">
        <f>'L.02 DRK ZW-EM'!$Z$132/365*FEO!M8</f>
        <v>0</v>
      </c>
      <c r="J127" s="597">
        <f>'L.02 DRK ZW-EM'!$Z$132/365*FEO!N8</f>
        <v>0</v>
      </c>
      <c r="K127" s="597">
        <f>'L.02 DRK ZW-EM'!$Z$132/365*FEO!O8</f>
        <v>0</v>
      </c>
      <c r="L127" s="597">
        <f>'L.02 DRK ZW-EM'!$Z$132/365*FEO!P8</f>
        <v>0</v>
      </c>
      <c r="M127" s="597">
        <f>'L.02 DRK ZW-EM'!$Z$132/365*FEO!Q8</f>
        <v>0</v>
      </c>
      <c r="N127" s="597">
        <f>'L.02 DRK ZW-EM'!$Z$132/365*FEO!R8</f>
        <v>0</v>
      </c>
      <c r="O127" s="597">
        <f>'L.02 DRK ZW-EM'!$Z$132/365*FEO!S8</f>
        <v>0</v>
      </c>
      <c r="P127" s="597">
        <f>'L.02 DRK ZW-EM'!$Z$132/365*FEO!T8</f>
        <v>0</v>
      </c>
      <c r="Q127" s="597">
        <f>'L.02 DRK ZW-EM'!$Z$132/365*FEO!U8</f>
        <v>0</v>
      </c>
      <c r="R127" s="597">
        <f>'L.02 DRK ZW-EM'!$Z$132/365*FEO!V8</f>
        <v>0</v>
      </c>
    </row>
    <row r="128" spans="1:18" ht="12" thickBot="1" x14ac:dyDescent="0.25">
      <c r="A128" s="83" t="s">
        <v>265</v>
      </c>
      <c r="B128" s="83" t="s">
        <v>100</v>
      </c>
      <c r="C128" s="597">
        <f>'L.02 DRK ZW-EM'!$AA$132/365*FEO!G8</f>
        <v>0</v>
      </c>
      <c r="D128" s="597">
        <f>'L.02 DRK ZW-EM'!$AA$132/365*FEO!H8</f>
        <v>0</v>
      </c>
      <c r="E128" s="597">
        <f>'L.02 DRK ZW-EM'!$AA$132/365*FEO!I8</f>
        <v>0</v>
      </c>
      <c r="F128" s="597">
        <f>'L.02 DRK ZW-EM'!$AA$132/365*FEO!J8</f>
        <v>0</v>
      </c>
      <c r="G128" s="597">
        <f>'L.02 DRK ZW-EM'!$AA$132/365*FEO!K8</f>
        <v>0</v>
      </c>
      <c r="H128" s="597">
        <f>'L.02 DRK ZW-EM'!$AA$132/365*FEO!L8</f>
        <v>0</v>
      </c>
      <c r="I128" s="597">
        <f>'L.02 DRK ZW-EM'!$AA$132/365*FEO!M8</f>
        <v>0</v>
      </c>
      <c r="J128" s="597">
        <f>'L.02 DRK ZW-EM'!$AA$132/365*FEO!N8</f>
        <v>0</v>
      </c>
      <c r="K128" s="597">
        <f>'L.02 DRK ZW-EM'!$AA$132/365*FEO!O8</f>
        <v>0</v>
      </c>
      <c r="L128" s="597">
        <f>'L.02 DRK ZW-EM'!$AA$132/365*FEO!P8</f>
        <v>0</v>
      </c>
      <c r="M128" s="597">
        <f>'L.02 DRK ZW-EM'!$AA$132/365*FEO!Q8</f>
        <v>0</v>
      </c>
      <c r="N128" s="597">
        <f>'L.02 DRK ZW-EM'!$AA$132/365*FEO!R8</f>
        <v>0</v>
      </c>
      <c r="O128" s="597">
        <f>'L.02 DRK ZW-EM'!$AA$132/365*FEO!S8</f>
        <v>0</v>
      </c>
      <c r="P128" s="597">
        <f>'L.02 DRK ZW-EM'!$AA$132/365*FEO!T8</f>
        <v>0</v>
      </c>
      <c r="Q128" s="597">
        <f>'L.02 DRK ZW-EM'!$AA$132/365*FEO!U8</f>
        <v>0</v>
      </c>
      <c r="R128" s="597">
        <f>'L.02 DRK ZW-EM'!$AA$132/365*FEO!V8</f>
        <v>0</v>
      </c>
    </row>
    <row r="129" spans="1:18" ht="12" thickBot="1" x14ac:dyDescent="0.25">
      <c r="A129" s="83" t="s">
        <v>266</v>
      </c>
      <c r="B129" s="83" t="s">
        <v>100</v>
      </c>
      <c r="C129" s="597">
        <f>'L.02 DRK ZW-EM'!$AB$132/365*FEO!G8</f>
        <v>0</v>
      </c>
      <c r="D129" s="597">
        <f>'L.02 DRK ZW-EM'!$AB$132/365*FEO!H8</f>
        <v>0</v>
      </c>
      <c r="E129" s="597">
        <f>'L.02 DRK ZW-EM'!$AB$132/365*FEO!I8</f>
        <v>0</v>
      </c>
      <c r="F129" s="597">
        <f>'L.02 DRK ZW-EM'!$AB$132/365*FEO!J8</f>
        <v>0</v>
      </c>
      <c r="G129" s="597">
        <f>'L.02 DRK ZW-EM'!$AB$132/365*FEO!K8</f>
        <v>0</v>
      </c>
      <c r="H129" s="597">
        <f>'L.02 DRK ZW-EM'!$AB$132/365*FEO!L8</f>
        <v>0</v>
      </c>
      <c r="I129" s="597">
        <f>'L.02 DRK ZW-EM'!$AB$132/365*FEO!M8</f>
        <v>0</v>
      </c>
      <c r="J129" s="597">
        <f>'L.02 DRK ZW-EM'!$AB$132/365*FEO!N8</f>
        <v>0</v>
      </c>
      <c r="K129" s="597">
        <f>'L.02 DRK ZW-EM'!$AB$132/365*FEO!O8</f>
        <v>0</v>
      </c>
      <c r="L129" s="597">
        <f>'L.02 DRK ZW-EM'!$AB$132/365*FEO!P8</f>
        <v>0</v>
      </c>
      <c r="M129" s="597">
        <f>'L.02 DRK ZW-EM'!$AB$132/365*FEO!Q8</f>
        <v>0</v>
      </c>
      <c r="N129" s="597">
        <f>'L.02 DRK ZW-EM'!$AB$132/365*FEO!R8</f>
        <v>0</v>
      </c>
      <c r="O129" s="597">
        <f>'L.02 DRK ZW-EM'!$AB$132/365*FEO!S8</f>
        <v>0</v>
      </c>
      <c r="P129" s="597">
        <f>'L.02 DRK ZW-EM'!$AB$132/365*FEO!T8</f>
        <v>0</v>
      </c>
      <c r="Q129" s="597">
        <f>'L.02 DRK ZW-EM'!$AB$132/365*FEO!U8</f>
        <v>0</v>
      </c>
      <c r="R129" s="597">
        <f>'L.02 DRK ZW-EM'!$AB$132/365*FEO!V8</f>
        <v>0</v>
      </c>
    </row>
    <row r="130" spans="1:18" ht="11.4" x14ac:dyDescent="0.2">
      <c r="A130" s="298" t="s">
        <v>292</v>
      </c>
      <c r="B130" s="298"/>
      <c r="C130" s="323">
        <f>SUM(C115:C129)</f>
        <v>2766.5753424657537</v>
      </c>
      <c r="D130" s="323">
        <f t="shared" ref="D130:R130" si="21">SUM(D115:D129)</f>
        <v>45900</v>
      </c>
      <c r="E130" s="323">
        <f t="shared" si="21"/>
        <v>45900</v>
      </c>
      <c r="F130" s="323">
        <f t="shared" si="21"/>
        <v>45900</v>
      </c>
      <c r="G130" s="323">
        <f t="shared" si="21"/>
        <v>46025.753424657538</v>
      </c>
      <c r="H130" s="323">
        <f t="shared" si="21"/>
        <v>45900</v>
      </c>
      <c r="I130" s="323">
        <f t="shared" si="21"/>
        <v>45900</v>
      </c>
      <c r="J130" s="323">
        <f t="shared" si="21"/>
        <v>45900</v>
      </c>
      <c r="K130" s="323">
        <f t="shared" si="21"/>
        <v>46025.753424657538</v>
      </c>
      <c r="L130" s="323">
        <f t="shared" si="21"/>
        <v>45900</v>
      </c>
      <c r="M130" s="323">
        <f t="shared" si="21"/>
        <v>45900</v>
      </c>
      <c r="N130" s="323">
        <f t="shared" si="21"/>
        <v>45900</v>
      </c>
      <c r="O130" s="323">
        <f t="shared" si="21"/>
        <v>46025.753424657538</v>
      </c>
      <c r="P130" s="323">
        <f t="shared" si="21"/>
        <v>45900</v>
      </c>
      <c r="Q130" s="323">
        <f t="shared" si="21"/>
        <v>45900</v>
      </c>
      <c r="R130" s="323">
        <f t="shared" si="21"/>
        <v>43510.684931506854</v>
      </c>
    </row>
    <row r="131" spans="1:18" ht="11.4" x14ac:dyDescent="0.2">
      <c r="A131" s="53"/>
      <c r="B131" s="5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</row>
    <row r="132" spans="1:18" ht="11.4" x14ac:dyDescent="0.2">
      <c r="A132" s="298" t="s">
        <v>288</v>
      </c>
      <c r="B132" s="298"/>
      <c r="C132" s="308">
        <f>C96*C115+C97*C116+C98*C117+C99*C118+C100*C119+C101*C120+C102*C121+C103*C122+C104*C123+C105*C124+C106*C125+C107*C126+C108*C127+C109*C128+C110*C129</f>
        <v>9434.0219178082189</v>
      </c>
      <c r="D132" s="308">
        <f t="shared" ref="D132:R132" si="22">D96*D115+D97*D116+D98*D117+D99*D118+D100*D119+D101*D120+D102*D121+D103*D122+D104*D123+D105*D124+D106*D125+D107*D126+D108*D127+D109*D128+D110*D129</f>
        <v>156519</v>
      </c>
      <c r="E132" s="308">
        <f t="shared" si="22"/>
        <v>156519</v>
      </c>
      <c r="F132" s="308">
        <f t="shared" si="22"/>
        <v>156519</v>
      </c>
      <c r="G132" s="308">
        <f t="shared" si="22"/>
        <v>156947.81917808219</v>
      </c>
      <c r="H132" s="308">
        <f t="shared" si="22"/>
        <v>156519</v>
      </c>
      <c r="I132" s="308">
        <f t="shared" si="22"/>
        <v>156519</v>
      </c>
      <c r="J132" s="308">
        <f t="shared" si="22"/>
        <v>156519</v>
      </c>
      <c r="K132" s="308">
        <f t="shared" si="22"/>
        <v>156947.81917808219</v>
      </c>
      <c r="L132" s="308">
        <f t="shared" si="22"/>
        <v>156519</v>
      </c>
      <c r="M132" s="308">
        <f t="shared" si="22"/>
        <v>156519</v>
      </c>
      <c r="N132" s="308">
        <f t="shared" si="22"/>
        <v>156519</v>
      </c>
      <c r="O132" s="308">
        <f t="shared" si="22"/>
        <v>156947.81917808219</v>
      </c>
      <c r="P132" s="308">
        <f t="shared" si="22"/>
        <v>156519</v>
      </c>
      <c r="Q132" s="308">
        <f t="shared" si="22"/>
        <v>156519</v>
      </c>
      <c r="R132" s="308">
        <f t="shared" si="22"/>
        <v>148371.43561643836</v>
      </c>
    </row>
    <row r="133" spans="1:18" ht="11.4" x14ac:dyDescent="0.2">
      <c r="A133" s="53"/>
      <c r="B133" s="53"/>
      <c r="C133" s="83"/>
      <c r="D133" s="83"/>
      <c r="E133" s="83"/>
      <c r="F133" s="83"/>
      <c r="G133" s="83"/>
      <c r="H133" s="83"/>
    </row>
    <row r="134" spans="1:18" ht="11.4" x14ac:dyDescent="0.2">
      <c r="A134" s="53" t="s">
        <v>261</v>
      </c>
      <c r="B134" s="53"/>
      <c r="C134" s="83"/>
      <c r="D134" s="83"/>
      <c r="E134" s="83"/>
      <c r="F134" s="83"/>
      <c r="G134" s="83"/>
      <c r="H134" s="83"/>
    </row>
    <row r="135" spans="1:18" ht="12" thickBot="1" x14ac:dyDescent="0.25">
      <c r="A135" s="300"/>
      <c r="B135" s="300"/>
      <c r="C135" s="83"/>
      <c r="D135" s="83"/>
      <c r="E135" s="83"/>
      <c r="F135" s="83"/>
      <c r="G135" s="83"/>
      <c r="H135" s="83"/>
    </row>
    <row r="136" spans="1:18" ht="12" thickBot="1" x14ac:dyDescent="0.25">
      <c r="A136" s="47" t="s">
        <v>132</v>
      </c>
      <c r="B136" s="304"/>
      <c r="C136" s="48">
        <f>C$10</f>
        <v>2028</v>
      </c>
      <c r="D136" s="48">
        <f t="shared" ref="D136:R136" si="23">D$10</f>
        <v>2029</v>
      </c>
      <c r="E136" s="48">
        <f t="shared" si="23"/>
        <v>2030</v>
      </c>
      <c r="F136" s="48">
        <f t="shared" si="23"/>
        <v>2031</v>
      </c>
      <c r="G136" s="48">
        <f t="shared" si="23"/>
        <v>2032</v>
      </c>
      <c r="H136" s="48">
        <f t="shared" si="23"/>
        <v>2033</v>
      </c>
      <c r="I136" s="48">
        <f t="shared" si="23"/>
        <v>2034</v>
      </c>
      <c r="J136" s="48">
        <f t="shared" si="23"/>
        <v>2035</v>
      </c>
      <c r="K136" s="48">
        <f t="shared" si="23"/>
        <v>2036</v>
      </c>
      <c r="L136" s="48">
        <f t="shared" si="23"/>
        <v>2037</v>
      </c>
      <c r="M136" s="48">
        <f t="shared" si="23"/>
        <v>2038</v>
      </c>
      <c r="N136" s="48">
        <f t="shared" si="23"/>
        <v>2039</v>
      </c>
      <c r="O136" s="48">
        <f t="shared" si="23"/>
        <v>2040</v>
      </c>
      <c r="P136" s="48">
        <f t="shared" si="23"/>
        <v>2041</v>
      </c>
      <c r="Q136" s="48">
        <f t="shared" si="23"/>
        <v>2042</v>
      </c>
      <c r="R136" s="48">
        <f t="shared" si="23"/>
        <v>2043</v>
      </c>
    </row>
    <row r="137" spans="1:18" ht="12" thickBot="1" x14ac:dyDescent="0.25">
      <c r="A137" s="49" t="s">
        <v>228</v>
      </c>
      <c r="B137" s="305"/>
      <c r="C137" s="311">
        <f>C32</f>
        <v>0</v>
      </c>
      <c r="D137" s="311">
        <f t="shared" ref="D137:R137" si="24">D32</f>
        <v>0</v>
      </c>
      <c r="E137" s="311">
        <f t="shared" si="24"/>
        <v>0</v>
      </c>
      <c r="F137" s="311">
        <f t="shared" si="24"/>
        <v>0</v>
      </c>
      <c r="G137" s="311">
        <f t="shared" si="24"/>
        <v>0</v>
      </c>
      <c r="H137" s="311">
        <f t="shared" si="24"/>
        <v>0</v>
      </c>
      <c r="I137" s="311">
        <f t="shared" si="24"/>
        <v>0</v>
      </c>
      <c r="J137" s="311">
        <f t="shared" si="24"/>
        <v>0</v>
      </c>
      <c r="K137" s="311">
        <f t="shared" si="24"/>
        <v>0</v>
      </c>
      <c r="L137" s="311">
        <f t="shared" si="24"/>
        <v>0</v>
      </c>
      <c r="M137" s="311">
        <f t="shared" si="24"/>
        <v>0</v>
      </c>
      <c r="N137" s="311">
        <f t="shared" si="24"/>
        <v>0</v>
      </c>
      <c r="O137" s="311">
        <f t="shared" si="24"/>
        <v>0</v>
      </c>
      <c r="P137" s="311">
        <f t="shared" si="24"/>
        <v>0</v>
      </c>
      <c r="Q137" s="311">
        <f t="shared" si="24"/>
        <v>0</v>
      </c>
      <c r="R137" s="311">
        <f t="shared" si="24"/>
        <v>0</v>
      </c>
    </row>
    <row r="138" spans="1:18" ht="12" thickBot="1" x14ac:dyDescent="0.25">
      <c r="A138" s="49" t="s">
        <v>256</v>
      </c>
      <c r="B138" s="305"/>
      <c r="C138" s="311">
        <f>C64</f>
        <v>124.49589041095891</v>
      </c>
      <c r="D138" s="311">
        <f t="shared" ref="D138:R138" si="25">D64</f>
        <v>2065.5</v>
      </c>
      <c r="E138" s="311">
        <f t="shared" si="25"/>
        <v>2065.5</v>
      </c>
      <c r="F138" s="311">
        <f t="shared" si="25"/>
        <v>2065.5</v>
      </c>
      <c r="G138" s="311">
        <f t="shared" si="25"/>
        <v>2071.158904109589</v>
      </c>
      <c r="H138" s="311">
        <f t="shared" si="25"/>
        <v>2065.5</v>
      </c>
      <c r="I138" s="311">
        <f t="shared" si="25"/>
        <v>2065.5</v>
      </c>
      <c r="J138" s="311">
        <f t="shared" si="25"/>
        <v>2065.5</v>
      </c>
      <c r="K138" s="311">
        <f t="shared" si="25"/>
        <v>2071.158904109589</v>
      </c>
      <c r="L138" s="311">
        <f t="shared" si="25"/>
        <v>2065.5</v>
      </c>
      <c r="M138" s="311">
        <f t="shared" si="25"/>
        <v>2065.5</v>
      </c>
      <c r="N138" s="311">
        <f t="shared" si="25"/>
        <v>2065.5</v>
      </c>
      <c r="O138" s="311">
        <f t="shared" si="25"/>
        <v>2071.158904109589</v>
      </c>
      <c r="P138" s="311">
        <f t="shared" si="25"/>
        <v>2065.5</v>
      </c>
      <c r="Q138" s="311">
        <f t="shared" si="25"/>
        <v>2065.5</v>
      </c>
      <c r="R138" s="311">
        <f t="shared" si="25"/>
        <v>1957.9808219178083</v>
      </c>
    </row>
    <row r="139" spans="1:18" ht="12" thickBot="1" x14ac:dyDescent="0.25">
      <c r="A139" s="49" t="s">
        <v>229</v>
      </c>
      <c r="B139" s="305"/>
      <c r="C139" s="311">
        <f>C79</f>
        <v>0</v>
      </c>
      <c r="D139" s="311">
        <f t="shared" ref="D139:R139" si="26">D79</f>
        <v>0</v>
      </c>
      <c r="E139" s="311">
        <f t="shared" si="26"/>
        <v>0</v>
      </c>
      <c r="F139" s="311">
        <f t="shared" si="26"/>
        <v>0</v>
      </c>
      <c r="G139" s="311">
        <f t="shared" si="26"/>
        <v>0</v>
      </c>
      <c r="H139" s="311">
        <f t="shared" si="26"/>
        <v>0</v>
      </c>
      <c r="I139" s="311">
        <f t="shared" si="26"/>
        <v>0</v>
      </c>
      <c r="J139" s="311">
        <f t="shared" si="26"/>
        <v>0</v>
      </c>
      <c r="K139" s="311">
        <f t="shared" si="26"/>
        <v>0</v>
      </c>
      <c r="L139" s="311">
        <f t="shared" si="26"/>
        <v>0</v>
      </c>
      <c r="M139" s="311">
        <f t="shared" si="26"/>
        <v>0</v>
      </c>
      <c r="N139" s="311">
        <f t="shared" si="26"/>
        <v>0</v>
      </c>
      <c r="O139" s="311">
        <f t="shared" si="26"/>
        <v>0</v>
      </c>
      <c r="P139" s="311">
        <f t="shared" si="26"/>
        <v>0</v>
      </c>
      <c r="Q139" s="311">
        <f t="shared" si="26"/>
        <v>0</v>
      </c>
      <c r="R139" s="311">
        <f t="shared" si="26"/>
        <v>0</v>
      </c>
    </row>
    <row r="140" spans="1:18" ht="12" thickBot="1" x14ac:dyDescent="0.25">
      <c r="A140" s="49" t="s">
        <v>279</v>
      </c>
      <c r="B140" s="305"/>
      <c r="C140" s="311">
        <f>C91</f>
        <v>0</v>
      </c>
      <c r="D140" s="311">
        <f t="shared" ref="D140:R140" si="27">D91</f>
        <v>0</v>
      </c>
      <c r="E140" s="311">
        <f t="shared" si="27"/>
        <v>0</v>
      </c>
      <c r="F140" s="311">
        <f t="shared" si="27"/>
        <v>0</v>
      </c>
      <c r="G140" s="311">
        <f t="shared" si="27"/>
        <v>0</v>
      </c>
      <c r="H140" s="311">
        <f t="shared" si="27"/>
        <v>0</v>
      </c>
      <c r="I140" s="311">
        <f t="shared" si="27"/>
        <v>0</v>
      </c>
      <c r="J140" s="311">
        <f t="shared" si="27"/>
        <v>0</v>
      </c>
      <c r="K140" s="311">
        <f t="shared" si="27"/>
        <v>0</v>
      </c>
      <c r="L140" s="311">
        <f t="shared" si="27"/>
        <v>0</v>
      </c>
      <c r="M140" s="311">
        <f t="shared" si="27"/>
        <v>0</v>
      </c>
      <c r="N140" s="311">
        <f t="shared" si="27"/>
        <v>0</v>
      </c>
      <c r="O140" s="311">
        <f t="shared" si="27"/>
        <v>0</v>
      </c>
      <c r="P140" s="311">
        <f t="shared" si="27"/>
        <v>0</v>
      </c>
      <c r="Q140" s="311">
        <f t="shared" si="27"/>
        <v>0</v>
      </c>
      <c r="R140" s="311">
        <f t="shared" si="27"/>
        <v>0</v>
      </c>
    </row>
    <row r="141" spans="1:18" ht="12" thickBot="1" x14ac:dyDescent="0.25">
      <c r="A141" s="49" t="s">
        <v>285</v>
      </c>
      <c r="B141" s="305"/>
      <c r="C141" s="311">
        <f>C132</f>
        <v>9434.0219178082189</v>
      </c>
      <c r="D141" s="311">
        <f t="shared" ref="D141:R141" si="28">D132</f>
        <v>156519</v>
      </c>
      <c r="E141" s="311">
        <f t="shared" si="28"/>
        <v>156519</v>
      </c>
      <c r="F141" s="311">
        <f t="shared" si="28"/>
        <v>156519</v>
      </c>
      <c r="G141" s="311">
        <f t="shared" si="28"/>
        <v>156947.81917808219</v>
      </c>
      <c r="H141" s="311">
        <f t="shared" si="28"/>
        <v>156519</v>
      </c>
      <c r="I141" s="311">
        <f t="shared" si="28"/>
        <v>156519</v>
      </c>
      <c r="J141" s="311">
        <f t="shared" si="28"/>
        <v>156519</v>
      </c>
      <c r="K141" s="311">
        <f t="shared" si="28"/>
        <v>156947.81917808219</v>
      </c>
      <c r="L141" s="311">
        <f t="shared" si="28"/>
        <v>156519</v>
      </c>
      <c r="M141" s="311">
        <f t="shared" si="28"/>
        <v>156519</v>
      </c>
      <c r="N141" s="311">
        <f t="shared" si="28"/>
        <v>156519</v>
      </c>
      <c r="O141" s="311">
        <f t="shared" si="28"/>
        <v>156947.81917808219</v>
      </c>
      <c r="P141" s="311">
        <f t="shared" si="28"/>
        <v>156519</v>
      </c>
      <c r="Q141" s="311">
        <f t="shared" si="28"/>
        <v>156519</v>
      </c>
      <c r="R141" s="311">
        <f t="shared" si="28"/>
        <v>148371.43561643836</v>
      </c>
    </row>
    <row r="142" spans="1:18" ht="12" thickBot="1" x14ac:dyDescent="0.25">
      <c r="A142" s="76" t="s">
        <v>288</v>
      </c>
      <c r="B142" s="310"/>
      <c r="C142" s="316">
        <f t="shared" ref="C142:D142" si="29">SUM(C137:C141)</f>
        <v>9558.5178082191778</v>
      </c>
      <c r="D142" s="316">
        <f t="shared" si="29"/>
        <v>158584.5</v>
      </c>
      <c r="E142" s="316">
        <f>SUM(E137:E141)</f>
        <v>158584.5</v>
      </c>
      <c r="F142" s="316">
        <f t="shared" ref="F142:R142" si="30">SUM(F137:F141)</f>
        <v>158584.5</v>
      </c>
      <c r="G142" s="316">
        <f t="shared" si="30"/>
        <v>159018.97808219178</v>
      </c>
      <c r="H142" s="316">
        <f t="shared" si="30"/>
        <v>158584.5</v>
      </c>
      <c r="I142" s="316">
        <f t="shared" si="30"/>
        <v>158584.5</v>
      </c>
      <c r="J142" s="316">
        <f t="shared" si="30"/>
        <v>158584.5</v>
      </c>
      <c r="K142" s="316">
        <f t="shared" si="30"/>
        <v>159018.97808219178</v>
      </c>
      <c r="L142" s="316">
        <f t="shared" si="30"/>
        <v>158584.5</v>
      </c>
      <c r="M142" s="316">
        <f t="shared" si="30"/>
        <v>158584.5</v>
      </c>
      <c r="N142" s="316">
        <f t="shared" si="30"/>
        <v>158584.5</v>
      </c>
      <c r="O142" s="316">
        <f t="shared" si="30"/>
        <v>159018.97808219178</v>
      </c>
      <c r="P142" s="316">
        <f t="shared" si="30"/>
        <v>158584.5</v>
      </c>
      <c r="Q142" s="316">
        <f t="shared" si="30"/>
        <v>158584.5</v>
      </c>
      <c r="R142" s="316">
        <f t="shared" si="30"/>
        <v>150329.41643835616</v>
      </c>
    </row>
    <row r="143" spans="1:18" ht="11.4" x14ac:dyDescent="0.2">
      <c r="A143" s="83"/>
      <c r="B143" s="83"/>
      <c r="C143" s="83"/>
      <c r="D143" s="83"/>
      <c r="E143" s="83"/>
      <c r="F143" s="83"/>
      <c r="G143" s="83"/>
      <c r="H143" s="83"/>
    </row>
    <row r="144" spans="1:18" ht="11.4" x14ac:dyDescent="0.2">
      <c r="A144" s="53" t="s">
        <v>230</v>
      </c>
      <c r="B144" s="53"/>
      <c r="C144" s="83"/>
      <c r="D144" s="83"/>
      <c r="E144" s="83"/>
      <c r="F144" s="83"/>
      <c r="G144" s="83"/>
      <c r="H144" s="83"/>
    </row>
    <row r="145" spans="1:19" ht="12" thickBot="1" x14ac:dyDescent="0.25">
      <c r="A145" s="298"/>
      <c r="B145" s="298"/>
      <c r="C145" s="83"/>
      <c r="D145" s="83"/>
      <c r="E145" s="83"/>
      <c r="F145" s="83"/>
      <c r="G145" s="83"/>
      <c r="H145" s="83"/>
    </row>
    <row r="146" spans="1:19" ht="12" thickBot="1" x14ac:dyDescent="0.25">
      <c r="A146" s="47" t="s">
        <v>132</v>
      </c>
      <c r="B146" s="304"/>
      <c r="C146" s="48">
        <f>C$10</f>
        <v>2028</v>
      </c>
      <c r="D146" s="48">
        <f t="shared" ref="D146:R146" si="31">D$10</f>
        <v>2029</v>
      </c>
      <c r="E146" s="48">
        <f t="shared" si="31"/>
        <v>2030</v>
      </c>
      <c r="F146" s="48">
        <f t="shared" si="31"/>
        <v>2031</v>
      </c>
      <c r="G146" s="48">
        <f t="shared" si="31"/>
        <v>2032</v>
      </c>
      <c r="H146" s="48">
        <f t="shared" si="31"/>
        <v>2033</v>
      </c>
      <c r="I146" s="48">
        <f t="shared" si="31"/>
        <v>2034</v>
      </c>
      <c r="J146" s="48">
        <f t="shared" si="31"/>
        <v>2035</v>
      </c>
      <c r="K146" s="48">
        <f t="shared" si="31"/>
        <v>2036</v>
      </c>
      <c r="L146" s="48">
        <f t="shared" si="31"/>
        <v>2037</v>
      </c>
      <c r="M146" s="48">
        <f t="shared" si="31"/>
        <v>2038</v>
      </c>
      <c r="N146" s="48">
        <f t="shared" si="31"/>
        <v>2039</v>
      </c>
      <c r="O146" s="48">
        <f t="shared" si="31"/>
        <v>2040</v>
      </c>
      <c r="P146" s="48">
        <f t="shared" si="31"/>
        <v>2041</v>
      </c>
      <c r="Q146" s="48">
        <f t="shared" si="31"/>
        <v>2042</v>
      </c>
      <c r="R146" s="48">
        <f t="shared" si="31"/>
        <v>2043</v>
      </c>
    </row>
    <row r="147" spans="1:19" ht="12" thickBot="1" x14ac:dyDescent="0.25">
      <c r="A147" s="49" t="s">
        <v>228</v>
      </c>
      <c r="B147" s="305"/>
      <c r="C147" s="311">
        <f>C43</f>
        <v>0</v>
      </c>
      <c r="D147" s="311">
        <f t="shared" ref="D147:R147" si="32">D43</f>
        <v>0</v>
      </c>
      <c r="E147" s="311">
        <f t="shared" si="32"/>
        <v>0</v>
      </c>
      <c r="F147" s="311">
        <f t="shared" si="32"/>
        <v>0</v>
      </c>
      <c r="G147" s="311">
        <f t="shared" si="32"/>
        <v>0</v>
      </c>
      <c r="H147" s="311">
        <f t="shared" si="32"/>
        <v>0</v>
      </c>
      <c r="I147" s="311">
        <f t="shared" si="32"/>
        <v>0</v>
      </c>
      <c r="J147" s="311">
        <f t="shared" si="32"/>
        <v>0</v>
      </c>
      <c r="K147" s="311">
        <f t="shared" si="32"/>
        <v>0</v>
      </c>
      <c r="L147" s="311">
        <f t="shared" si="32"/>
        <v>0</v>
      </c>
      <c r="M147" s="311">
        <f t="shared" si="32"/>
        <v>0</v>
      </c>
      <c r="N147" s="311">
        <f t="shared" si="32"/>
        <v>0</v>
      </c>
      <c r="O147" s="311">
        <f t="shared" si="32"/>
        <v>0</v>
      </c>
      <c r="P147" s="311">
        <f t="shared" si="32"/>
        <v>0</v>
      </c>
      <c r="Q147" s="311">
        <f t="shared" si="32"/>
        <v>0</v>
      </c>
      <c r="R147" s="311">
        <f t="shared" si="32"/>
        <v>0</v>
      </c>
    </row>
    <row r="148" spans="1:19" ht="12" thickBot="1" x14ac:dyDescent="0.25">
      <c r="A148" s="49" t="s">
        <v>286</v>
      </c>
      <c r="B148" s="305"/>
      <c r="C148" s="307">
        <v>0</v>
      </c>
      <c r="D148" s="307">
        <v>0</v>
      </c>
      <c r="E148" s="307">
        <v>0</v>
      </c>
      <c r="F148" s="307">
        <v>0</v>
      </c>
      <c r="G148" s="307">
        <v>0</v>
      </c>
      <c r="H148" s="307">
        <v>0</v>
      </c>
      <c r="I148" s="307"/>
      <c r="J148" s="307"/>
      <c r="K148" s="307"/>
      <c r="L148" s="307"/>
      <c r="M148" s="307"/>
      <c r="N148" s="307"/>
      <c r="O148" s="307"/>
      <c r="P148" s="307"/>
      <c r="Q148" s="307"/>
      <c r="R148" s="307"/>
    </row>
    <row r="149" spans="1:19" ht="12" thickBot="1" x14ac:dyDescent="0.25">
      <c r="A149" s="76" t="s">
        <v>288</v>
      </c>
      <c r="B149" s="310"/>
      <c r="C149" s="312">
        <f t="shared" ref="C149:R149" si="33">SUM(C147:C148)</f>
        <v>0</v>
      </c>
      <c r="D149" s="312">
        <f t="shared" si="33"/>
        <v>0</v>
      </c>
      <c r="E149" s="312">
        <f t="shared" si="33"/>
        <v>0</v>
      </c>
      <c r="F149" s="312">
        <f t="shared" si="33"/>
        <v>0</v>
      </c>
      <c r="G149" s="312">
        <f t="shared" si="33"/>
        <v>0</v>
      </c>
      <c r="H149" s="312">
        <f t="shared" si="33"/>
        <v>0</v>
      </c>
      <c r="I149" s="312">
        <f t="shared" si="33"/>
        <v>0</v>
      </c>
      <c r="J149" s="312">
        <f t="shared" si="33"/>
        <v>0</v>
      </c>
      <c r="K149" s="312">
        <f t="shared" si="33"/>
        <v>0</v>
      </c>
      <c r="L149" s="312">
        <f t="shared" si="33"/>
        <v>0</v>
      </c>
      <c r="M149" s="312">
        <f t="shared" si="33"/>
        <v>0</v>
      </c>
      <c r="N149" s="312">
        <f t="shared" si="33"/>
        <v>0</v>
      </c>
      <c r="O149" s="312">
        <f t="shared" si="33"/>
        <v>0</v>
      </c>
      <c r="P149" s="312">
        <f t="shared" si="33"/>
        <v>0</v>
      </c>
      <c r="Q149" s="312">
        <f t="shared" si="33"/>
        <v>0</v>
      </c>
      <c r="R149" s="312">
        <f t="shared" si="33"/>
        <v>0</v>
      </c>
    </row>
    <row r="150" spans="1:19" ht="12" thickBot="1" x14ac:dyDescent="0.25">
      <c r="A150" s="83"/>
      <c r="B150" s="83"/>
      <c r="C150" s="313"/>
      <c r="D150" s="313"/>
      <c r="E150" s="313"/>
      <c r="F150" s="313"/>
      <c r="G150" s="313"/>
      <c r="H150" s="313"/>
      <c r="I150" s="313"/>
      <c r="J150" s="313"/>
      <c r="K150" s="313"/>
      <c r="L150" s="313"/>
      <c r="M150" s="313"/>
      <c r="N150" s="313"/>
      <c r="O150" s="313"/>
      <c r="P150" s="313"/>
      <c r="Q150" s="313"/>
      <c r="R150" s="313"/>
    </row>
    <row r="151" spans="1:19" ht="12" thickBot="1" x14ac:dyDescent="0.25">
      <c r="A151" s="314" t="s">
        <v>88</v>
      </c>
      <c r="B151" s="315"/>
      <c r="C151" s="316">
        <f t="shared" ref="C151:R151" si="34">C142+C149</f>
        <v>9558.5178082191778</v>
      </c>
      <c r="D151" s="316">
        <f t="shared" si="34"/>
        <v>158584.5</v>
      </c>
      <c r="E151" s="316">
        <f t="shared" si="34"/>
        <v>158584.5</v>
      </c>
      <c r="F151" s="316">
        <f t="shared" si="34"/>
        <v>158584.5</v>
      </c>
      <c r="G151" s="316">
        <f t="shared" si="34"/>
        <v>159018.97808219178</v>
      </c>
      <c r="H151" s="316">
        <f t="shared" si="34"/>
        <v>158584.5</v>
      </c>
      <c r="I151" s="316">
        <f t="shared" si="34"/>
        <v>158584.5</v>
      </c>
      <c r="J151" s="316">
        <f t="shared" si="34"/>
        <v>158584.5</v>
      </c>
      <c r="K151" s="316">
        <f t="shared" si="34"/>
        <v>159018.97808219178</v>
      </c>
      <c r="L151" s="316">
        <f t="shared" si="34"/>
        <v>158584.5</v>
      </c>
      <c r="M151" s="316">
        <f t="shared" si="34"/>
        <v>158584.5</v>
      </c>
      <c r="N151" s="316">
        <f t="shared" si="34"/>
        <v>158584.5</v>
      </c>
      <c r="O151" s="316">
        <f t="shared" si="34"/>
        <v>159018.97808219178</v>
      </c>
      <c r="P151" s="316">
        <f t="shared" si="34"/>
        <v>158584.5</v>
      </c>
      <c r="Q151" s="316">
        <f t="shared" si="34"/>
        <v>158584.5</v>
      </c>
      <c r="R151" s="316">
        <f t="shared" si="34"/>
        <v>150329.41643835616</v>
      </c>
      <c r="S151" s="165"/>
    </row>
    <row r="152" spans="1:19" ht="11.4" x14ac:dyDescent="0.2">
      <c r="A152" s="83"/>
      <c r="B152" s="83"/>
      <c r="C152" s="83"/>
      <c r="D152" s="83"/>
      <c r="E152" s="83"/>
      <c r="F152" s="83"/>
      <c r="G152" s="83"/>
      <c r="H152" s="83"/>
    </row>
    <row r="153" spans="1:19" ht="11.4" x14ac:dyDescent="0.2">
      <c r="A153" s="83"/>
      <c r="B153" s="83"/>
      <c r="C153" s="83"/>
      <c r="D153" s="83"/>
      <c r="E153" s="83"/>
      <c r="F153" s="83"/>
      <c r="G153" s="83"/>
      <c r="H153" s="83"/>
    </row>
    <row r="154" spans="1:19" ht="11.4" x14ac:dyDescent="0.2">
      <c r="A154" s="83"/>
      <c r="B154" s="83"/>
      <c r="C154" s="83"/>
      <c r="D154" s="83"/>
      <c r="E154" s="83"/>
      <c r="F154" s="83"/>
      <c r="G154" s="83"/>
      <c r="H154" s="83"/>
    </row>
    <row r="155" spans="1:19" ht="11.4" x14ac:dyDescent="0.2">
      <c r="A155" s="83"/>
      <c r="B155" s="83"/>
      <c r="C155" s="83"/>
      <c r="D155" s="83"/>
      <c r="E155" s="83"/>
      <c r="F155" s="83"/>
      <c r="G155" s="83"/>
      <c r="H155" s="83"/>
    </row>
    <row r="156" spans="1:19" ht="11.4" x14ac:dyDescent="0.2">
      <c r="A156" s="83"/>
      <c r="B156" s="83"/>
      <c r="C156" s="83"/>
      <c r="D156" s="83"/>
      <c r="E156" s="83"/>
      <c r="F156" s="83"/>
      <c r="G156" s="83"/>
      <c r="H156" s="83"/>
    </row>
    <row r="157" spans="1:19" ht="11.4" x14ac:dyDescent="0.2">
      <c r="A157" s="83"/>
      <c r="B157" s="83"/>
      <c r="C157" s="83"/>
      <c r="D157" s="83"/>
      <c r="E157" s="83"/>
      <c r="F157" s="83"/>
      <c r="G157" s="83"/>
      <c r="H157" s="83"/>
    </row>
    <row r="158" spans="1:19" ht="11.4" x14ac:dyDescent="0.2">
      <c r="A158" s="83"/>
      <c r="B158" s="83"/>
      <c r="C158" s="83"/>
      <c r="D158" s="83"/>
      <c r="E158" s="83"/>
      <c r="F158" s="83"/>
      <c r="G158" s="83"/>
      <c r="H158" s="83"/>
    </row>
    <row r="159" spans="1:19" ht="11.4" x14ac:dyDescent="0.2">
      <c r="A159" s="83"/>
      <c r="B159" s="83"/>
      <c r="C159" s="83"/>
      <c r="D159" s="83"/>
      <c r="E159" s="83"/>
      <c r="F159" s="83"/>
      <c r="G159" s="83"/>
      <c r="H159" s="83"/>
    </row>
    <row r="160" spans="1:19" ht="11.4" x14ac:dyDescent="0.2">
      <c r="A160" s="83"/>
      <c r="B160" s="83"/>
      <c r="C160" s="83"/>
      <c r="D160" s="83"/>
      <c r="E160" s="83"/>
      <c r="F160" s="83"/>
      <c r="G160" s="83"/>
      <c r="H160" s="83"/>
    </row>
    <row r="161" spans="1:8" ht="11.4" x14ac:dyDescent="0.2">
      <c r="A161" s="83"/>
      <c r="B161" s="83"/>
      <c r="C161" s="83"/>
      <c r="D161" s="83"/>
      <c r="E161" s="83"/>
      <c r="F161" s="83"/>
      <c r="G161" s="83"/>
      <c r="H161" s="83"/>
    </row>
    <row r="162" spans="1:8" ht="11.4" x14ac:dyDescent="0.2">
      <c r="A162" s="83"/>
      <c r="B162" s="83"/>
      <c r="C162" s="83"/>
      <c r="D162" s="83"/>
      <c r="E162" s="83"/>
      <c r="F162" s="83"/>
      <c r="G162" s="83"/>
      <c r="H162" s="83"/>
    </row>
    <row r="163" spans="1:8" ht="11.4" x14ac:dyDescent="0.2">
      <c r="A163" s="83"/>
      <c r="B163" s="83"/>
      <c r="C163" s="83"/>
      <c r="D163" s="83"/>
      <c r="E163" s="83"/>
      <c r="F163" s="83"/>
      <c r="G163" s="83"/>
      <c r="H163" s="83"/>
    </row>
    <row r="164" spans="1:8" ht="11.4" x14ac:dyDescent="0.2">
      <c r="A164" s="83"/>
      <c r="B164" s="83"/>
      <c r="C164" s="83"/>
      <c r="D164" s="83"/>
      <c r="E164" s="83"/>
      <c r="F164" s="83"/>
      <c r="G164" s="83"/>
      <c r="H164" s="83"/>
    </row>
    <row r="165" spans="1:8" ht="11.4" x14ac:dyDescent="0.2">
      <c r="A165" s="83"/>
      <c r="B165" s="83"/>
      <c r="C165" s="83"/>
      <c r="D165" s="83"/>
      <c r="E165" s="83"/>
      <c r="F165" s="83"/>
      <c r="G165" s="83"/>
      <c r="H165" s="83"/>
    </row>
    <row r="166" spans="1:8" ht="11.4" x14ac:dyDescent="0.2">
      <c r="A166" s="83"/>
      <c r="B166" s="83"/>
      <c r="C166" s="83"/>
      <c r="D166" s="83"/>
      <c r="E166" s="83"/>
      <c r="F166" s="83"/>
      <c r="G166" s="83"/>
      <c r="H166" s="83"/>
    </row>
    <row r="167" spans="1:8" ht="11.4" x14ac:dyDescent="0.2">
      <c r="A167" s="83"/>
      <c r="B167" s="83"/>
      <c r="C167" s="83"/>
      <c r="D167" s="83"/>
      <c r="E167" s="83"/>
      <c r="F167" s="83"/>
      <c r="G167" s="83"/>
      <c r="H167" s="83"/>
    </row>
    <row r="168" spans="1:8" ht="11.4" x14ac:dyDescent="0.2">
      <c r="A168" s="83"/>
      <c r="B168" s="83"/>
      <c r="C168" s="83"/>
      <c r="D168" s="83"/>
      <c r="E168" s="83"/>
      <c r="F168" s="83"/>
      <c r="G168" s="83"/>
      <c r="H168" s="83"/>
    </row>
    <row r="169" spans="1:8" ht="11.4" x14ac:dyDescent="0.2">
      <c r="A169" s="83"/>
      <c r="B169" s="83"/>
      <c r="C169" s="83"/>
      <c r="D169" s="83"/>
      <c r="E169" s="83"/>
      <c r="F169" s="83"/>
      <c r="G169" s="83"/>
      <c r="H169" s="83"/>
    </row>
    <row r="170" spans="1:8" ht="11.4" x14ac:dyDescent="0.2">
      <c r="A170" s="83"/>
      <c r="B170" s="83"/>
      <c r="C170" s="83"/>
      <c r="D170" s="83"/>
      <c r="E170" s="83"/>
      <c r="F170" s="83"/>
      <c r="G170" s="83"/>
      <c r="H170" s="83"/>
    </row>
    <row r="171" spans="1:8" ht="11.4" x14ac:dyDescent="0.2">
      <c r="A171" s="83"/>
      <c r="B171" s="83"/>
      <c r="C171" s="83"/>
      <c r="D171" s="83"/>
      <c r="E171" s="83"/>
      <c r="F171" s="83"/>
      <c r="G171" s="83"/>
      <c r="H171" s="83"/>
    </row>
    <row r="172" spans="1:8" ht="11.4" x14ac:dyDescent="0.2">
      <c r="A172" s="83"/>
      <c r="B172" s="83"/>
      <c r="C172" s="83"/>
      <c r="D172" s="83"/>
      <c r="E172" s="83"/>
      <c r="F172" s="83"/>
      <c r="G172" s="83"/>
      <c r="H172" s="83"/>
    </row>
    <row r="173" spans="1:8" ht="11.4" x14ac:dyDescent="0.2">
      <c r="A173" s="83"/>
      <c r="B173" s="83"/>
      <c r="C173" s="83"/>
      <c r="D173" s="83"/>
      <c r="E173" s="83"/>
      <c r="F173" s="83"/>
      <c r="G173" s="83"/>
      <c r="H173" s="83"/>
    </row>
    <row r="174" spans="1:8" ht="11.4" x14ac:dyDescent="0.2">
      <c r="A174" s="83"/>
      <c r="B174" s="83"/>
      <c r="C174" s="83"/>
      <c r="D174" s="83"/>
      <c r="E174" s="83"/>
      <c r="F174" s="83"/>
      <c r="G174" s="83"/>
      <c r="H174" s="83"/>
    </row>
    <row r="175" spans="1:8" ht="11.4" x14ac:dyDescent="0.2">
      <c r="A175" s="83"/>
      <c r="B175" s="83"/>
      <c r="C175" s="83"/>
      <c r="D175" s="83"/>
      <c r="E175" s="83"/>
      <c r="F175" s="83"/>
      <c r="G175" s="83"/>
      <c r="H175" s="83"/>
    </row>
    <row r="176" spans="1:8" ht="11.4" x14ac:dyDescent="0.2">
      <c r="A176" s="83"/>
      <c r="B176" s="83"/>
      <c r="C176" s="83"/>
      <c r="D176" s="83"/>
      <c r="E176" s="83"/>
      <c r="F176" s="83"/>
      <c r="G176" s="83"/>
      <c r="H176" s="83"/>
    </row>
    <row r="177" spans="1:8" ht="11.4" x14ac:dyDescent="0.2">
      <c r="A177" s="83"/>
      <c r="B177" s="83"/>
      <c r="C177" s="83"/>
      <c r="D177" s="83"/>
      <c r="E177" s="83"/>
      <c r="F177" s="83"/>
      <c r="G177" s="83"/>
      <c r="H177" s="83"/>
    </row>
    <row r="178" spans="1:8" ht="11.4" x14ac:dyDescent="0.2">
      <c r="A178" s="83"/>
      <c r="B178" s="83"/>
      <c r="C178" s="83"/>
      <c r="D178" s="83"/>
      <c r="E178" s="83"/>
      <c r="F178" s="83"/>
      <c r="G178" s="83"/>
      <c r="H178" s="83"/>
    </row>
    <row r="179" spans="1:8" ht="11.4" x14ac:dyDescent="0.2">
      <c r="A179" s="83"/>
      <c r="B179" s="83"/>
      <c r="C179" s="83"/>
      <c r="D179" s="83"/>
      <c r="E179" s="83"/>
      <c r="F179" s="83"/>
      <c r="G179" s="83"/>
      <c r="H179" s="83"/>
    </row>
    <row r="180" spans="1:8" ht="11.4" x14ac:dyDescent="0.2">
      <c r="A180" s="83"/>
      <c r="B180" s="83"/>
      <c r="C180" s="83"/>
      <c r="D180" s="83"/>
      <c r="E180" s="83"/>
      <c r="F180" s="83"/>
      <c r="G180" s="83"/>
      <c r="H180" s="83"/>
    </row>
    <row r="181" spans="1:8" ht="11.4" x14ac:dyDescent="0.2">
      <c r="A181" s="83"/>
      <c r="B181" s="83"/>
      <c r="C181" s="83"/>
      <c r="D181" s="83"/>
      <c r="E181" s="83"/>
      <c r="F181" s="83"/>
      <c r="G181" s="83"/>
      <c r="H181" s="83"/>
    </row>
  </sheetData>
  <mergeCells count="1">
    <mergeCell ref="P1:R1"/>
  </mergeCells>
  <dataValidations disablePrompts="1" count="4">
    <dataValidation type="list" allowBlank="1" showInputMessage="1" showErrorMessage="1" sqref="C282:C293 C317:C328 C224:C227 C206:C211 C192:C203 C176:C187 C213:C218 C161:C170 C252:C261 C268:C277 C229:C232" xr:uid="{A5448740-8338-48FD-A845-3F1055CC93D3}">
      <formula1>$C$145:$C$146</formula1>
    </dataValidation>
    <dataValidation type="list" allowBlank="1" showInputMessage="1" showErrorMessage="1" sqref="E317:E329 E206:E211 E213:E218 E192:E203" xr:uid="{DD6DC316-ACE8-4D7E-94D5-CB600EA41A88}">
      <formula1>$C$150:$C$155</formula1>
    </dataValidation>
    <dataValidation type="list" allowBlank="1" showInputMessage="1" showErrorMessage="1" sqref="D192:D203 D317:D329 D176:D187 D206:D211 D224:D227 D229:D232 D213:D218" xr:uid="{C07F1095-7841-4FAA-9813-39B3B28C04CE}">
      <formula1>$A$150:$A$155</formula1>
    </dataValidation>
    <dataValidation type="list" allowBlank="1" showInputMessage="1" showErrorMessage="1" sqref="D252:D261" xr:uid="{C021945D-5C80-4541-87C5-212D412139AA}">
      <formula1>"A,B,C"</formula1>
    </dataValidation>
  </dataValidations>
  <hyperlinks>
    <hyperlink ref="A2" location="FEO!A1" display="terug" xr:uid="{1ECA677B-A1C3-4DFE-9E39-F4332134095C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Q10"/>
  <sheetViews>
    <sheetView workbookViewId="0"/>
  </sheetViews>
  <sheetFormatPr defaultRowHeight="10.199999999999999" x14ac:dyDescent="0.2"/>
  <cols>
    <col min="1" max="1" width="22" customWidth="1"/>
    <col min="2" max="17" width="14" customWidth="1"/>
  </cols>
  <sheetData>
    <row r="1" spans="1:17" ht="16.2" x14ac:dyDescent="0.3">
      <c r="A1" s="51" t="s">
        <v>371</v>
      </c>
      <c r="N1" s="156" t="s">
        <v>83</v>
      </c>
      <c r="O1" s="647" t="s">
        <v>84</v>
      </c>
      <c r="P1" s="647"/>
      <c r="Q1" s="647"/>
    </row>
    <row r="2" spans="1:17" x14ac:dyDescent="0.2">
      <c r="A2" s="56" t="s">
        <v>131</v>
      </c>
      <c r="P2" s="266" t="str">
        <f>FEO!AA1</f>
        <v>Versie</v>
      </c>
      <c r="Q2" s="274" t="str">
        <f>FEO!AA2</f>
        <v>NVI 5b</v>
      </c>
    </row>
    <row r="3" spans="1:17" ht="10.8" thickBot="1" x14ac:dyDescent="0.25">
      <c r="A3" s="56"/>
    </row>
    <row r="4" spans="1:17" ht="12" thickBot="1" x14ac:dyDescent="0.25">
      <c r="A4" s="47" t="s">
        <v>132</v>
      </c>
      <c r="B4" s="48">
        <f>FEO!G5</f>
        <v>2028</v>
      </c>
      <c r="C4" s="48">
        <f>FEO!H5</f>
        <v>2029</v>
      </c>
      <c r="D4" s="48">
        <f>FEO!I5</f>
        <v>2030</v>
      </c>
      <c r="E4" s="48">
        <f>FEO!J5</f>
        <v>2031</v>
      </c>
      <c r="F4" s="48">
        <f>FEO!K5</f>
        <v>2032</v>
      </c>
      <c r="G4" s="48">
        <f>FEO!L5</f>
        <v>2033</v>
      </c>
      <c r="H4" s="48">
        <f>FEO!M5</f>
        <v>2034</v>
      </c>
      <c r="I4" s="48">
        <f>FEO!N5</f>
        <v>2035</v>
      </c>
      <c r="J4" s="48">
        <f>FEO!O5</f>
        <v>2036</v>
      </c>
      <c r="K4" s="48">
        <f>FEO!P5</f>
        <v>2037</v>
      </c>
      <c r="L4" s="48">
        <f>FEO!Q5</f>
        <v>2038</v>
      </c>
      <c r="M4" s="48">
        <f>FEO!R5</f>
        <v>2039</v>
      </c>
      <c r="N4" s="48">
        <f>FEO!S5</f>
        <v>2040</v>
      </c>
      <c r="O4" s="48">
        <f>FEO!T5</f>
        <v>2041</v>
      </c>
      <c r="P4" s="48">
        <f>FEO!U5</f>
        <v>2042</v>
      </c>
      <c r="Q4" s="48">
        <f>FEO!V5</f>
        <v>2043</v>
      </c>
    </row>
    <row r="5" spans="1:17" ht="23.4" thickBot="1" x14ac:dyDescent="0.25">
      <c r="A5" s="49" t="s">
        <v>133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17" ht="12" thickBot="1" x14ac:dyDescent="0.25">
      <c r="A6" s="49" t="s">
        <v>134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17" ht="12" thickBot="1" x14ac:dyDescent="0.25">
      <c r="A7" s="49" t="s">
        <v>135</v>
      </c>
      <c r="B7" s="50">
        <f t="shared" ref="B7" si="0">B5*B6</f>
        <v>0</v>
      </c>
      <c r="C7" s="50">
        <f t="shared" ref="C7:G7" si="1">C5*C6</f>
        <v>0</v>
      </c>
      <c r="D7" s="50">
        <f t="shared" si="1"/>
        <v>0</v>
      </c>
      <c r="E7" s="50">
        <f t="shared" si="1"/>
        <v>0</v>
      </c>
      <c r="F7" s="50">
        <f t="shared" si="1"/>
        <v>0</v>
      </c>
      <c r="G7" s="50">
        <f t="shared" si="1"/>
        <v>0</v>
      </c>
      <c r="H7" s="50">
        <f t="shared" ref="H7:Q7" si="2">H5*H6</f>
        <v>0</v>
      </c>
      <c r="I7" s="50">
        <f t="shared" si="2"/>
        <v>0</v>
      </c>
      <c r="J7" s="50">
        <f t="shared" si="2"/>
        <v>0</v>
      </c>
      <c r="K7" s="50">
        <f t="shared" si="2"/>
        <v>0</v>
      </c>
      <c r="L7" s="50">
        <f t="shared" si="2"/>
        <v>0</v>
      </c>
      <c r="M7" s="50">
        <f t="shared" si="2"/>
        <v>0</v>
      </c>
      <c r="N7" s="50">
        <f t="shared" si="2"/>
        <v>0</v>
      </c>
      <c r="O7" s="50">
        <f t="shared" si="2"/>
        <v>0</v>
      </c>
      <c r="P7" s="50">
        <f t="shared" si="2"/>
        <v>0</v>
      </c>
      <c r="Q7" s="50">
        <f t="shared" si="2"/>
        <v>0</v>
      </c>
    </row>
    <row r="10" spans="1:17" x14ac:dyDescent="0.2">
      <c r="A10" s="2"/>
    </row>
  </sheetData>
  <mergeCells count="1">
    <mergeCell ref="O1:Q1"/>
  </mergeCells>
  <hyperlinks>
    <hyperlink ref="A2" location="FEO!A1" display="terug" xr:uid="{00000000-0004-0000-0900-000000000000}"/>
  </hyperlink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Q10"/>
  <sheetViews>
    <sheetView workbookViewId="0"/>
  </sheetViews>
  <sheetFormatPr defaultRowHeight="10.199999999999999" x14ac:dyDescent="0.2"/>
  <cols>
    <col min="1" max="1" width="22" customWidth="1"/>
    <col min="2" max="17" width="14" customWidth="1"/>
  </cols>
  <sheetData>
    <row r="1" spans="1:17" ht="16.2" x14ac:dyDescent="0.3">
      <c r="A1" s="51" t="s">
        <v>370</v>
      </c>
      <c r="N1" s="156" t="s">
        <v>83</v>
      </c>
      <c r="O1" s="647" t="s">
        <v>84</v>
      </c>
      <c r="P1" s="647"/>
      <c r="Q1" s="647"/>
    </row>
    <row r="2" spans="1:17" x14ac:dyDescent="0.2">
      <c r="A2" s="56" t="s">
        <v>131</v>
      </c>
      <c r="P2" s="266" t="str">
        <f>FEO!AA1</f>
        <v>Versie</v>
      </c>
      <c r="Q2" s="274" t="str">
        <f>FEO!AA2</f>
        <v>NVI 5b</v>
      </c>
    </row>
    <row r="3" spans="1:17" ht="10.8" thickBot="1" x14ac:dyDescent="0.25">
      <c r="A3" s="56"/>
    </row>
    <row r="4" spans="1:17" ht="12" thickBot="1" x14ac:dyDescent="0.25">
      <c r="A4" s="47" t="s">
        <v>132</v>
      </c>
      <c r="B4" s="48">
        <f>FEO!G5</f>
        <v>2028</v>
      </c>
      <c r="C4" s="48">
        <f>FEO!H5</f>
        <v>2029</v>
      </c>
      <c r="D4" s="48">
        <f>FEO!I5</f>
        <v>2030</v>
      </c>
      <c r="E4" s="48">
        <f>FEO!J5</f>
        <v>2031</v>
      </c>
      <c r="F4" s="48">
        <f>FEO!K5</f>
        <v>2032</v>
      </c>
      <c r="G4" s="48">
        <f>FEO!L5</f>
        <v>2033</v>
      </c>
      <c r="H4" s="48">
        <f>FEO!M5</f>
        <v>2034</v>
      </c>
      <c r="I4" s="48">
        <f>FEO!N5</f>
        <v>2035</v>
      </c>
      <c r="J4" s="48">
        <f>FEO!O5</f>
        <v>2036</v>
      </c>
      <c r="K4" s="48">
        <f>FEO!P5</f>
        <v>2037</v>
      </c>
      <c r="L4" s="48">
        <f>FEO!Q5</f>
        <v>2038</v>
      </c>
      <c r="M4" s="48">
        <f>FEO!R5</f>
        <v>2039</v>
      </c>
      <c r="N4" s="48">
        <f>FEO!S5</f>
        <v>2040</v>
      </c>
      <c r="O4" s="48">
        <f>FEO!T5</f>
        <v>2041</v>
      </c>
      <c r="P4" s="48">
        <f>FEO!U5</f>
        <v>2042</v>
      </c>
      <c r="Q4" s="48">
        <f>FEO!V5</f>
        <v>2043</v>
      </c>
    </row>
    <row r="5" spans="1:17" ht="23.4" thickBot="1" x14ac:dyDescent="0.25">
      <c r="A5" s="49" t="s">
        <v>133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17" ht="12" thickBot="1" x14ac:dyDescent="0.25">
      <c r="A6" s="49" t="s">
        <v>134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</row>
    <row r="7" spans="1:17" ht="12" thickBot="1" x14ac:dyDescent="0.25">
      <c r="A7" s="49" t="s">
        <v>135</v>
      </c>
      <c r="B7" s="50">
        <f t="shared" ref="B7:G7" si="0">B5*B6</f>
        <v>0</v>
      </c>
      <c r="C7" s="50">
        <f t="shared" si="0"/>
        <v>0</v>
      </c>
      <c r="D7" s="50">
        <f t="shared" si="0"/>
        <v>0</v>
      </c>
      <c r="E7" s="50">
        <f t="shared" si="0"/>
        <v>0</v>
      </c>
      <c r="F7" s="50">
        <f t="shared" si="0"/>
        <v>0</v>
      </c>
      <c r="G7" s="50">
        <f t="shared" si="0"/>
        <v>0</v>
      </c>
      <c r="H7" s="50">
        <f t="shared" ref="H7:Q7" si="1">H5*H6</f>
        <v>0</v>
      </c>
      <c r="I7" s="50">
        <f t="shared" si="1"/>
        <v>0</v>
      </c>
      <c r="J7" s="50">
        <f t="shared" si="1"/>
        <v>0</v>
      </c>
      <c r="K7" s="50">
        <f t="shared" si="1"/>
        <v>0</v>
      </c>
      <c r="L7" s="50">
        <f t="shared" si="1"/>
        <v>0</v>
      </c>
      <c r="M7" s="50">
        <f t="shared" si="1"/>
        <v>0</v>
      </c>
      <c r="N7" s="50">
        <f t="shared" si="1"/>
        <v>0</v>
      </c>
      <c r="O7" s="50">
        <f t="shared" si="1"/>
        <v>0</v>
      </c>
      <c r="P7" s="50">
        <f t="shared" si="1"/>
        <v>0</v>
      </c>
      <c r="Q7" s="50">
        <f t="shared" si="1"/>
        <v>0</v>
      </c>
    </row>
    <row r="10" spans="1:17" x14ac:dyDescent="0.2">
      <c r="A10" s="2"/>
    </row>
  </sheetData>
  <mergeCells count="1">
    <mergeCell ref="O1:Q1"/>
  </mergeCells>
  <hyperlinks>
    <hyperlink ref="A2" location="FEO!A1" display="terug" xr:uid="{00000000-0004-0000-0B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2986-583A-4106-A92B-0666F37F1D5C}">
  <sheetPr>
    <tabColor rgb="FFFFC000"/>
  </sheetPr>
  <dimension ref="A1:R104"/>
  <sheetViews>
    <sheetView workbookViewId="0"/>
  </sheetViews>
  <sheetFormatPr defaultRowHeight="10.199999999999999" x14ac:dyDescent="0.2"/>
  <cols>
    <col min="1" max="1" width="27.25" customWidth="1"/>
    <col min="2" max="15" width="17.125" customWidth="1"/>
    <col min="17" max="17" width="14.625" bestFit="1" customWidth="1"/>
  </cols>
  <sheetData>
    <row r="1" spans="1:15" ht="16.2" x14ac:dyDescent="0.3">
      <c r="A1" s="51" t="s">
        <v>332</v>
      </c>
      <c r="L1" s="156" t="s">
        <v>83</v>
      </c>
      <c r="M1" s="647" t="s">
        <v>84</v>
      </c>
      <c r="N1" s="647"/>
      <c r="O1" s="647"/>
    </row>
    <row r="2" spans="1:15" x14ac:dyDescent="0.2">
      <c r="A2" s="56" t="s">
        <v>131</v>
      </c>
      <c r="N2" s="266" t="str">
        <f>FEO!AA1</f>
        <v>Versie</v>
      </c>
      <c r="O2" s="274" t="str">
        <f>FEO!AA2</f>
        <v>NVI 5b</v>
      </c>
    </row>
    <row r="3" spans="1:15" ht="10.8" thickBot="1" x14ac:dyDescent="0.25">
      <c r="A3" s="56"/>
    </row>
    <row r="4" spans="1:15" ht="12" thickBot="1" x14ac:dyDescent="0.25">
      <c r="A4" s="47" t="s">
        <v>151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12" thickBot="1" x14ac:dyDescent="0.25">
      <c r="A5" s="47" t="s">
        <v>210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5" ht="12" thickBot="1" x14ac:dyDescent="0.25">
      <c r="A6" s="47" t="s">
        <v>145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12" thickBot="1" x14ac:dyDescent="0.25">
      <c r="A7" s="463" t="s">
        <v>328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ht="11.4" x14ac:dyDescent="0.2">
      <c r="A8" s="376"/>
      <c r="B8" s="376"/>
      <c r="C8" s="37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6"/>
    </row>
    <row r="9" spans="1:15" ht="11.4" x14ac:dyDescent="0.2">
      <c r="A9" s="378" t="s">
        <v>326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</row>
    <row r="10" spans="1:15" ht="12" thickBot="1" x14ac:dyDescent="0.25">
      <c r="A10" s="377"/>
      <c r="B10" s="377"/>
      <c r="C10" s="377"/>
      <c r="D10" s="377"/>
      <c r="E10" s="377"/>
      <c r="F10" s="377"/>
      <c r="G10" s="377"/>
      <c r="H10" s="377"/>
      <c r="I10" s="377"/>
      <c r="J10" s="377"/>
      <c r="K10" s="377"/>
      <c r="L10" s="377"/>
      <c r="M10" s="377"/>
      <c r="N10" s="377"/>
      <c r="O10" s="377"/>
    </row>
    <row r="11" spans="1:15" ht="23.4" thickBot="1" x14ac:dyDescent="0.25">
      <c r="A11" s="375" t="s">
        <v>309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</row>
    <row r="12" spans="1:15" ht="23.4" thickBot="1" x14ac:dyDescent="0.25">
      <c r="A12" s="76" t="s">
        <v>321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</row>
    <row r="13" spans="1:15" ht="12" thickBot="1" x14ac:dyDescent="0.25">
      <c r="A13" s="375" t="s">
        <v>325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</row>
    <row r="14" spans="1:15" ht="23.4" thickBot="1" x14ac:dyDescent="0.25">
      <c r="A14" s="76" t="s">
        <v>321</v>
      </c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</row>
    <row r="15" spans="1:15" ht="12" thickBot="1" x14ac:dyDescent="0.25">
      <c r="A15" s="248" t="s">
        <v>146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</row>
    <row r="16" spans="1:15" ht="12" thickBot="1" x14ac:dyDescent="0.25">
      <c r="A16" s="248" t="s">
        <v>146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</row>
    <row r="17" spans="1:15" ht="12" thickBot="1" x14ac:dyDescent="0.25">
      <c r="A17" s="248" t="s">
        <v>146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</row>
    <row r="18" spans="1:15" ht="12" thickBot="1" x14ac:dyDescent="0.25">
      <c r="A18" s="248" t="s">
        <v>146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</row>
    <row r="19" spans="1:15" ht="12" thickBot="1" x14ac:dyDescent="0.25">
      <c r="A19" s="248" t="s">
        <v>146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</row>
    <row r="20" spans="1:15" ht="12" thickBot="1" x14ac:dyDescent="0.25">
      <c r="A20" s="248" t="s">
        <v>146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</row>
    <row r="21" spans="1:15" ht="12" thickBot="1" x14ac:dyDescent="0.25">
      <c r="A21" s="248" t="s">
        <v>146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</row>
    <row r="22" spans="1:15" ht="12" thickBot="1" x14ac:dyDescent="0.25">
      <c r="A22" s="248" t="s">
        <v>146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</row>
    <row r="23" spans="1:15" ht="12" thickBot="1" x14ac:dyDescent="0.25">
      <c r="A23" s="248" t="s">
        <v>146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</row>
    <row r="24" spans="1:15" ht="12" thickBot="1" x14ac:dyDescent="0.25">
      <c r="A24" s="248" t="s">
        <v>146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</row>
    <row r="25" spans="1:15" ht="12" thickBot="1" x14ac:dyDescent="0.25">
      <c r="A25" s="248" t="s">
        <v>146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</row>
    <row r="26" spans="1:15" ht="12" thickBot="1" x14ac:dyDescent="0.25">
      <c r="A26" s="248" t="s">
        <v>146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</row>
    <row r="27" spans="1:15" ht="12" thickBot="1" x14ac:dyDescent="0.25">
      <c r="A27" s="248" t="s">
        <v>146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</row>
    <row r="28" spans="1:15" ht="12" thickBot="1" x14ac:dyDescent="0.25">
      <c r="A28" s="76" t="s">
        <v>314</v>
      </c>
      <c r="B28" s="380">
        <f>(SUM(B15:B27))</f>
        <v>0</v>
      </c>
      <c r="C28" s="380">
        <f t="shared" ref="C28:O28" si="0">(SUM(C15:C27))</f>
        <v>0</v>
      </c>
      <c r="D28" s="380">
        <f t="shared" si="0"/>
        <v>0</v>
      </c>
      <c r="E28" s="380">
        <f t="shared" si="0"/>
        <v>0</v>
      </c>
      <c r="F28" s="380">
        <f t="shared" si="0"/>
        <v>0</v>
      </c>
      <c r="G28" s="380">
        <f t="shared" si="0"/>
        <v>0</v>
      </c>
      <c r="H28" s="380">
        <f t="shared" si="0"/>
        <v>0</v>
      </c>
      <c r="I28" s="380">
        <f t="shared" si="0"/>
        <v>0</v>
      </c>
      <c r="J28" s="380">
        <f t="shared" si="0"/>
        <v>0</v>
      </c>
      <c r="K28" s="380">
        <f t="shared" si="0"/>
        <v>0</v>
      </c>
      <c r="L28" s="380">
        <f t="shared" si="0"/>
        <v>0</v>
      </c>
      <c r="M28" s="380">
        <f t="shared" si="0"/>
        <v>0</v>
      </c>
      <c r="N28" s="380">
        <f t="shared" si="0"/>
        <v>0</v>
      </c>
      <c r="O28" s="380">
        <f t="shared" si="0"/>
        <v>0</v>
      </c>
    </row>
    <row r="29" spans="1:15" ht="12" thickBot="1" x14ac:dyDescent="0.25">
      <c r="A29" s="49" t="s">
        <v>305</v>
      </c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</row>
    <row r="30" spans="1:15" ht="12" thickBot="1" x14ac:dyDescent="0.25">
      <c r="A30" s="49" t="s">
        <v>307</v>
      </c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</row>
    <row r="31" spans="1:15" ht="12" thickBot="1" x14ac:dyDescent="0.25">
      <c r="A31" s="49" t="s">
        <v>239</v>
      </c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</row>
    <row r="32" spans="1:15" ht="12" thickBot="1" x14ac:dyDescent="0.25">
      <c r="A32" s="76" t="s">
        <v>308</v>
      </c>
      <c r="B32" s="380">
        <f>(SUM(B29:B31))</f>
        <v>0</v>
      </c>
      <c r="C32" s="380">
        <f t="shared" ref="C32:O32" si="1">(SUM(C29:C31))</f>
        <v>0</v>
      </c>
      <c r="D32" s="380">
        <f t="shared" si="1"/>
        <v>0</v>
      </c>
      <c r="E32" s="380">
        <f t="shared" si="1"/>
        <v>0</v>
      </c>
      <c r="F32" s="380">
        <f t="shared" si="1"/>
        <v>0</v>
      </c>
      <c r="G32" s="380">
        <f t="shared" si="1"/>
        <v>0</v>
      </c>
      <c r="H32" s="380">
        <f t="shared" si="1"/>
        <v>0</v>
      </c>
      <c r="I32" s="380">
        <f t="shared" si="1"/>
        <v>0</v>
      </c>
      <c r="J32" s="380">
        <f t="shared" si="1"/>
        <v>0</v>
      </c>
      <c r="K32" s="380">
        <f t="shared" si="1"/>
        <v>0</v>
      </c>
      <c r="L32" s="380">
        <f t="shared" si="1"/>
        <v>0</v>
      </c>
      <c r="M32" s="380">
        <f t="shared" si="1"/>
        <v>0</v>
      </c>
      <c r="N32" s="380">
        <f t="shared" si="1"/>
        <v>0</v>
      </c>
      <c r="O32" s="380">
        <f t="shared" si="1"/>
        <v>0</v>
      </c>
    </row>
    <row r="33" spans="1:15" ht="12" thickBot="1" x14ac:dyDescent="0.25">
      <c r="A33" s="76" t="s">
        <v>312</v>
      </c>
      <c r="B33" s="380">
        <f>B32+B28</f>
        <v>0</v>
      </c>
      <c r="C33" s="380">
        <f t="shared" ref="C33:O33" si="2">C32+C28</f>
        <v>0</v>
      </c>
      <c r="D33" s="380">
        <f t="shared" si="2"/>
        <v>0</v>
      </c>
      <c r="E33" s="380">
        <f t="shared" si="2"/>
        <v>0</v>
      </c>
      <c r="F33" s="380">
        <f t="shared" si="2"/>
        <v>0</v>
      </c>
      <c r="G33" s="380">
        <f t="shared" si="2"/>
        <v>0</v>
      </c>
      <c r="H33" s="380">
        <f t="shared" si="2"/>
        <v>0</v>
      </c>
      <c r="I33" s="380">
        <f t="shared" si="2"/>
        <v>0</v>
      </c>
      <c r="J33" s="380">
        <f t="shared" si="2"/>
        <v>0</v>
      </c>
      <c r="K33" s="380">
        <f t="shared" si="2"/>
        <v>0</v>
      </c>
      <c r="L33" s="380">
        <f t="shared" si="2"/>
        <v>0</v>
      </c>
      <c r="M33" s="380">
        <f t="shared" si="2"/>
        <v>0</v>
      </c>
      <c r="N33" s="380">
        <f t="shared" si="2"/>
        <v>0</v>
      </c>
      <c r="O33" s="380">
        <f t="shared" si="2"/>
        <v>0</v>
      </c>
    </row>
    <row r="34" spans="1:15" ht="12" thickBot="1" x14ac:dyDescent="0.25">
      <c r="A34" s="49" t="s">
        <v>154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</row>
    <row r="35" spans="1:15" ht="12" thickBot="1" x14ac:dyDescent="0.25">
      <c r="A35" s="49" t="s">
        <v>155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</row>
    <row r="36" spans="1:15" ht="23.4" thickBot="1" x14ac:dyDescent="0.25">
      <c r="A36" s="49" t="s">
        <v>310</v>
      </c>
      <c r="B36" s="78">
        <f t="shared" ref="B36:O36" si="3">B11*365.25</f>
        <v>0</v>
      </c>
      <c r="C36" s="78">
        <f t="shared" si="3"/>
        <v>0</v>
      </c>
      <c r="D36" s="78">
        <f t="shared" si="3"/>
        <v>0</v>
      </c>
      <c r="E36" s="78">
        <f t="shared" si="3"/>
        <v>0</v>
      </c>
      <c r="F36" s="78">
        <f t="shared" si="3"/>
        <v>0</v>
      </c>
      <c r="G36" s="78">
        <f t="shared" si="3"/>
        <v>0</v>
      </c>
      <c r="H36" s="78">
        <f t="shared" si="3"/>
        <v>0</v>
      </c>
      <c r="I36" s="78">
        <f t="shared" si="3"/>
        <v>0</v>
      </c>
      <c r="J36" s="78">
        <f t="shared" si="3"/>
        <v>0</v>
      </c>
      <c r="K36" s="78">
        <f t="shared" si="3"/>
        <v>0</v>
      </c>
      <c r="L36" s="78">
        <f t="shared" si="3"/>
        <v>0</v>
      </c>
      <c r="M36" s="78">
        <f t="shared" si="3"/>
        <v>0</v>
      </c>
      <c r="N36" s="78">
        <f t="shared" si="3"/>
        <v>0</v>
      </c>
      <c r="O36" s="78">
        <f t="shared" si="3"/>
        <v>0</v>
      </c>
    </row>
    <row r="37" spans="1:15" ht="23.4" thickBot="1" x14ac:dyDescent="0.25">
      <c r="A37" s="49" t="s">
        <v>206</v>
      </c>
      <c r="B37" s="78">
        <f>IF(B34=0,0,B35-B34+1)</f>
        <v>0</v>
      </c>
      <c r="C37" s="78">
        <f t="shared" ref="C37:O37" si="4">IF(C34=0,0,C35-C34+1)</f>
        <v>0</v>
      </c>
      <c r="D37" s="78">
        <f t="shared" si="4"/>
        <v>0</v>
      </c>
      <c r="E37" s="78">
        <f t="shared" si="4"/>
        <v>0</v>
      </c>
      <c r="F37" s="78">
        <f t="shared" si="4"/>
        <v>0</v>
      </c>
      <c r="G37" s="78">
        <f t="shared" si="4"/>
        <v>0</v>
      </c>
      <c r="H37" s="78">
        <f t="shared" si="4"/>
        <v>0</v>
      </c>
      <c r="I37" s="78">
        <f t="shared" si="4"/>
        <v>0</v>
      </c>
      <c r="J37" s="78">
        <f t="shared" si="4"/>
        <v>0</v>
      </c>
      <c r="K37" s="78">
        <f t="shared" si="4"/>
        <v>0</v>
      </c>
      <c r="L37" s="78">
        <f t="shared" si="4"/>
        <v>0</v>
      </c>
      <c r="M37" s="78">
        <f t="shared" si="4"/>
        <v>0</v>
      </c>
      <c r="N37" s="78">
        <f t="shared" si="4"/>
        <v>0</v>
      </c>
      <c r="O37" s="78">
        <f t="shared" si="4"/>
        <v>0</v>
      </c>
    </row>
    <row r="38" spans="1:15" ht="12" thickBot="1" x14ac:dyDescent="0.25">
      <c r="A38" s="49" t="s">
        <v>141</v>
      </c>
      <c r="B38" s="50">
        <f>IFERROR((B33)/B36,0)</f>
        <v>0</v>
      </c>
      <c r="C38" s="50">
        <f t="shared" ref="C38:O38" si="5">IFERROR((C33)/C36,0)</f>
        <v>0</v>
      </c>
      <c r="D38" s="50">
        <f t="shared" si="5"/>
        <v>0</v>
      </c>
      <c r="E38" s="50">
        <f t="shared" si="5"/>
        <v>0</v>
      </c>
      <c r="F38" s="50">
        <f t="shared" si="5"/>
        <v>0</v>
      </c>
      <c r="G38" s="50">
        <f t="shared" si="5"/>
        <v>0</v>
      </c>
      <c r="H38" s="50">
        <f t="shared" si="5"/>
        <v>0</v>
      </c>
      <c r="I38" s="50">
        <f t="shared" si="5"/>
        <v>0</v>
      </c>
      <c r="J38" s="50">
        <f t="shared" si="5"/>
        <v>0</v>
      </c>
      <c r="K38" s="50">
        <f t="shared" si="5"/>
        <v>0</v>
      </c>
      <c r="L38" s="50">
        <f t="shared" si="5"/>
        <v>0</v>
      </c>
      <c r="M38" s="50">
        <f t="shared" si="5"/>
        <v>0</v>
      </c>
      <c r="N38" s="50">
        <f t="shared" si="5"/>
        <v>0</v>
      </c>
      <c r="O38" s="50">
        <f t="shared" si="5"/>
        <v>0</v>
      </c>
    </row>
    <row r="40" spans="1:15" ht="11.4" x14ac:dyDescent="0.2">
      <c r="A40" s="378" t="s">
        <v>327</v>
      </c>
    </row>
    <row r="41" spans="1:15" ht="10.8" thickBot="1" x14ac:dyDescent="0.25"/>
    <row r="42" spans="1:15" ht="12" thickBot="1" x14ac:dyDescent="0.25">
      <c r="A42" s="314" t="s">
        <v>322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15" ht="12" thickBot="1" x14ac:dyDescent="0.25">
      <c r="A43" s="248" t="s">
        <v>146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1:15" ht="12" thickBot="1" x14ac:dyDescent="0.25">
      <c r="A44" s="248" t="s">
        <v>146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1:15" ht="12" thickBot="1" x14ac:dyDescent="0.25">
      <c r="A45" s="248" t="s">
        <v>146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1:15" ht="12" thickBot="1" x14ac:dyDescent="0.25">
      <c r="A46" s="248" t="s">
        <v>146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1:15" ht="12" thickBot="1" x14ac:dyDescent="0.25">
      <c r="A47" s="248" t="s">
        <v>146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1:15" ht="12" thickBot="1" x14ac:dyDescent="0.25">
      <c r="A48" s="248" t="s">
        <v>146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1:18" ht="12" thickBot="1" x14ac:dyDescent="0.25">
      <c r="A49" s="248" t="s">
        <v>146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1:18" ht="12" thickBot="1" x14ac:dyDescent="0.25">
      <c r="A50" s="248" t="s">
        <v>146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1:18" ht="12" thickBot="1" x14ac:dyDescent="0.25">
      <c r="A51" s="248" t="s">
        <v>146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1:18" ht="12" thickBot="1" x14ac:dyDescent="0.25">
      <c r="A52" s="248" t="s">
        <v>146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1:18" ht="12" thickBot="1" x14ac:dyDescent="0.25">
      <c r="A53" s="248" t="s">
        <v>146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1:18" ht="12" thickBot="1" x14ac:dyDescent="0.25">
      <c r="A54" s="248" t="s">
        <v>146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1:18" ht="12" thickBot="1" x14ac:dyDescent="0.25">
      <c r="A55" s="248" t="s">
        <v>146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</row>
    <row r="56" spans="1:18" ht="12" thickBot="1" x14ac:dyDescent="0.25">
      <c r="A56" s="76" t="s">
        <v>323</v>
      </c>
      <c r="B56" s="380">
        <f>(SUM(B43:B55))</f>
        <v>0</v>
      </c>
      <c r="C56" s="380">
        <f t="shared" ref="C56:O56" si="6">(SUM(C43:C55))</f>
        <v>0</v>
      </c>
      <c r="D56" s="380">
        <f t="shared" si="6"/>
        <v>0</v>
      </c>
      <c r="E56" s="380">
        <f t="shared" si="6"/>
        <v>0</v>
      </c>
      <c r="F56" s="380">
        <f t="shared" si="6"/>
        <v>0</v>
      </c>
      <c r="G56" s="380">
        <f t="shared" si="6"/>
        <v>0</v>
      </c>
      <c r="H56" s="380">
        <f t="shared" si="6"/>
        <v>0</v>
      </c>
      <c r="I56" s="380">
        <f t="shared" si="6"/>
        <v>0</v>
      </c>
      <c r="J56" s="380">
        <f t="shared" si="6"/>
        <v>0</v>
      </c>
      <c r="K56" s="380">
        <f t="shared" si="6"/>
        <v>0</v>
      </c>
      <c r="L56" s="380">
        <f t="shared" si="6"/>
        <v>0</v>
      </c>
      <c r="M56" s="380">
        <f t="shared" si="6"/>
        <v>0</v>
      </c>
      <c r="N56" s="380">
        <f t="shared" si="6"/>
        <v>0</v>
      </c>
      <c r="O56" s="380">
        <f t="shared" si="6"/>
        <v>0</v>
      </c>
    </row>
    <row r="57" spans="1:18" ht="12" thickBot="1" x14ac:dyDescent="0.25">
      <c r="A57" s="76" t="s">
        <v>211</v>
      </c>
      <c r="B57" s="245">
        <f t="shared" ref="B57:C57" si="7">B56/365</f>
        <v>0</v>
      </c>
      <c r="C57" s="245">
        <f t="shared" si="7"/>
        <v>0</v>
      </c>
      <c r="D57" s="245">
        <f>D56/365</f>
        <v>0</v>
      </c>
      <c r="E57" s="245">
        <f t="shared" ref="E57:O57" si="8">E56/365</f>
        <v>0</v>
      </c>
      <c r="F57" s="245">
        <f t="shared" si="8"/>
        <v>0</v>
      </c>
      <c r="G57" s="245">
        <f t="shared" si="8"/>
        <v>0</v>
      </c>
      <c r="H57" s="245">
        <f t="shared" si="8"/>
        <v>0</v>
      </c>
      <c r="I57" s="245">
        <f t="shared" si="8"/>
        <v>0</v>
      </c>
      <c r="J57" s="245">
        <f t="shared" si="8"/>
        <v>0</v>
      </c>
      <c r="K57" s="245">
        <f t="shared" si="8"/>
        <v>0</v>
      </c>
      <c r="L57" s="245">
        <f t="shared" si="8"/>
        <v>0</v>
      </c>
      <c r="M57" s="245">
        <f t="shared" si="8"/>
        <v>0</v>
      </c>
      <c r="N57" s="245">
        <f t="shared" si="8"/>
        <v>0</v>
      </c>
      <c r="O57" s="245">
        <f t="shared" si="8"/>
        <v>0</v>
      </c>
    </row>
    <row r="59" spans="1:18" ht="11.4" x14ac:dyDescent="0.2">
      <c r="A59" s="378" t="s">
        <v>324</v>
      </c>
    </row>
    <row r="61" spans="1:18" ht="12" thickBot="1" x14ac:dyDescent="0.25">
      <c r="A61" s="52" t="s">
        <v>142</v>
      </c>
    </row>
    <row r="62" spans="1:18" ht="12" thickBot="1" x14ac:dyDescent="0.25">
      <c r="A62" s="54">
        <f>FEO!$G$5</f>
        <v>2028</v>
      </c>
      <c r="B62" s="55">
        <f>IF(AND($A62&gt;YEAR(B$34),$A62&lt;YEAR(B$35)),(DATE($A62,12,31)-DATE($A62,1,0))*B$38,IF(AND($A62=YEAR(B$34),$A62=YEAR(B$35)),(B$35-B$34+1)*B$38,IF($A62=YEAR(B$34),(DATE(YEAR(B$34),12,31)-B$34+1)*B$38,IF($A62=YEAR(B$35),(B$35-DATE(YEAR(B$35),1,1)+1)*B$38,0))))+IF(AND($A62&gt;YEAR(B$34),$A62&lt;YEAR(B$35)),(DATE($A62,12,31)-DATE($A62,1,0))*B$57,IF(AND($A62=YEAR(B$34),$A62=YEAR(B$35)),(B$35-B$34)*B$57,IF($A62=YEAR(B$34),(DATE(YEAR(B$34),12,31)-B$34+1)*B$57,IF($A62=YEAR(B$35),(B$35-DATE(YEAR(B$35),1,1)+1)*B$57,0))))</f>
        <v>0</v>
      </c>
      <c r="C62" s="55">
        <f t="shared" ref="C62:O63" si="9">IF(AND($A62&gt;YEAR(C$34),$A62&lt;YEAR(C$35)),(DATE($A62,12,31)-DATE($A62,1,0))*C$38,IF(AND($A62=YEAR(C$34),$A62=YEAR(C$35)),(C$35-C$34+1)*C$38,IF($A62=YEAR(C$34),(DATE(YEAR(C$34),12,31)-C$34+1)*C$38,IF($A62=YEAR(C$35),(C$35-DATE(YEAR(C$35),1,1)+1)*C$38,0))))+IF(AND($A62&gt;YEAR(C$34),$A62&lt;YEAR(C$35)),(DATE($A62,12,31)-DATE($A62,1,0))*C$57,IF(AND($A62=YEAR(C$34),$A62=YEAR(C$35)),(C$35-C$34)*C$57,IF($A62=YEAR(C$34),(DATE(YEAR(C$34),12,31)-C$34+1)*C$57,IF($A62=YEAR(C$35),(C$35-DATE(YEAR(C$35),1,1)+1)*C$57,0))))</f>
        <v>0</v>
      </c>
      <c r="D62" s="55">
        <f t="shared" si="9"/>
        <v>0</v>
      </c>
      <c r="E62" s="55">
        <f t="shared" si="9"/>
        <v>0</v>
      </c>
      <c r="F62" s="55">
        <f t="shared" si="9"/>
        <v>0</v>
      </c>
      <c r="G62" s="55">
        <f t="shared" si="9"/>
        <v>0</v>
      </c>
      <c r="H62" s="55">
        <f t="shared" si="9"/>
        <v>0</v>
      </c>
      <c r="I62" s="55">
        <f t="shared" si="9"/>
        <v>0</v>
      </c>
      <c r="J62" s="55">
        <f t="shared" si="9"/>
        <v>0</v>
      </c>
      <c r="K62" s="55">
        <f t="shared" si="9"/>
        <v>0</v>
      </c>
      <c r="L62" s="55">
        <f t="shared" si="9"/>
        <v>0</v>
      </c>
      <c r="M62" s="55">
        <f t="shared" si="9"/>
        <v>0</v>
      </c>
      <c r="N62" s="55">
        <f t="shared" si="9"/>
        <v>0</v>
      </c>
      <c r="O62" s="55">
        <f t="shared" si="9"/>
        <v>0</v>
      </c>
      <c r="Q62" s="615"/>
      <c r="R62" s="110"/>
    </row>
    <row r="63" spans="1:18" ht="12" thickBot="1" x14ac:dyDescent="0.25">
      <c r="A63" s="54">
        <f>FEO!$H$5</f>
        <v>2029</v>
      </c>
      <c r="B63" s="55">
        <f>IF(AND($A63&gt;YEAR(B$34),$A63&lt;YEAR(B$35)),(DATE($A63,12,31)-DATE($A63,1,0))*B$38,IF(AND($A63=YEAR(B$34),$A63=YEAR(B$35)),(B$35-B$34+1)*B$38,IF($A63=YEAR(B$34),(DATE(YEAR(B$34),12,31)-B$34+1)*B$38,IF($A63=YEAR(B$35),(B$35-DATE(YEAR(B$35),1,1)+1)*B$38,0))))+IF(AND($A63&gt;YEAR(B$34),$A63&lt;YEAR(B$35)),(DATE($A63,12,31)-DATE($A63,1,0))*B$57,IF(AND($A63=YEAR(B$34),$A63=YEAR(B$35)),(B$35-B$34)*B$57,IF($A63=YEAR(B$34),(DATE(YEAR(B$34),12,31)-B$34+1)*B$57,IF($A63=YEAR(B$35),(B$35-DATE(YEAR(B$35),1,1)+1)*B$57,0))))</f>
        <v>0</v>
      </c>
      <c r="C63" s="55">
        <f t="shared" si="9"/>
        <v>0</v>
      </c>
      <c r="D63" s="55">
        <f t="shared" si="9"/>
        <v>0</v>
      </c>
      <c r="E63" s="55">
        <f t="shared" si="9"/>
        <v>0</v>
      </c>
      <c r="F63" s="55">
        <f t="shared" si="9"/>
        <v>0</v>
      </c>
      <c r="G63" s="55">
        <f t="shared" si="9"/>
        <v>0</v>
      </c>
      <c r="H63" s="55">
        <f t="shared" si="9"/>
        <v>0</v>
      </c>
      <c r="I63" s="55">
        <f t="shared" si="9"/>
        <v>0</v>
      </c>
      <c r="J63" s="55">
        <f t="shared" si="9"/>
        <v>0</v>
      </c>
      <c r="K63" s="55">
        <f t="shared" si="9"/>
        <v>0</v>
      </c>
      <c r="L63" s="55">
        <f t="shared" si="9"/>
        <v>0</v>
      </c>
      <c r="M63" s="55">
        <f t="shared" si="9"/>
        <v>0</v>
      </c>
      <c r="N63" s="55">
        <f t="shared" si="9"/>
        <v>0</v>
      </c>
      <c r="O63" s="55">
        <f t="shared" si="9"/>
        <v>0</v>
      </c>
      <c r="Q63" s="615"/>
      <c r="R63" s="110"/>
    </row>
    <row r="64" spans="1:18" ht="12" thickBot="1" x14ac:dyDescent="0.25">
      <c r="A64" s="54">
        <f>FEO!$I$5</f>
        <v>2030</v>
      </c>
      <c r="B64" s="55">
        <f t="shared" ref="B64:O77" si="10">IF(AND($A64&gt;YEAR(B$34),$A64&lt;YEAR(B$35)),(DATE($A64,12,31)-DATE($A64,1,0))*B$38,IF(AND($A64=YEAR(B$34),$A64=YEAR(B$35)),(B$35-B$34+1)*B$38,IF($A64=YEAR(B$34),(DATE(YEAR(B$34),12,31)-B$34+1)*B$38,IF($A64=YEAR(B$35),(B$35-DATE(YEAR(B$35),1,1)+1)*B$38,0))))+IF(AND($A64&gt;YEAR(B$34),$A64&lt;YEAR(B$35)),(DATE($A64,12,31)-DATE($A64,1,0))*B$57,IF(AND($A64=YEAR(B$34),$A64=YEAR(B$35)),(B$35-B$34)*B$57,IF($A64=YEAR(B$34),(DATE(YEAR(B$34),12,31)-B$34+1)*B$57,IF($A64=YEAR(B$35),(B$35-DATE(YEAR(B$35),1,1)+1)*B$57,0))))</f>
        <v>0</v>
      </c>
      <c r="C64" s="55">
        <f t="shared" si="10"/>
        <v>0</v>
      </c>
      <c r="D64" s="55">
        <f t="shared" si="10"/>
        <v>0</v>
      </c>
      <c r="E64" s="55">
        <f t="shared" si="10"/>
        <v>0</v>
      </c>
      <c r="F64" s="55">
        <f t="shared" si="10"/>
        <v>0</v>
      </c>
      <c r="G64" s="55">
        <f t="shared" si="10"/>
        <v>0</v>
      </c>
      <c r="H64" s="55">
        <f t="shared" si="10"/>
        <v>0</v>
      </c>
      <c r="I64" s="55">
        <f t="shared" si="10"/>
        <v>0</v>
      </c>
      <c r="J64" s="55">
        <f t="shared" si="10"/>
        <v>0</v>
      </c>
      <c r="K64" s="55">
        <f t="shared" si="10"/>
        <v>0</v>
      </c>
      <c r="L64" s="55">
        <f t="shared" si="10"/>
        <v>0</v>
      </c>
      <c r="M64" s="55">
        <f t="shared" si="10"/>
        <v>0</v>
      </c>
      <c r="N64" s="55">
        <f t="shared" si="10"/>
        <v>0</v>
      </c>
      <c r="O64" s="55">
        <f t="shared" si="10"/>
        <v>0</v>
      </c>
      <c r="Q64" s="615"/>
      <c r="R64" s="110"/>
    </row>
    <row r="65" spans="1:18" ht="12" thickBot="1" x14ac:dyDescent="0.25">
      <c r="A65" s="54">
        <f>FEO!$J$5</f>
        <v>2031</v>
      </c>
      <c r="B65" s="55">
        <f t="shared" si="10"/>
        <v>0</v>
      </c>
      <c r="C65" s="55">
        <f t="shared" si="10"/>
        <v>0</v>
      </c>
      <c r="D65" s="55">
        <f t="shared" si="10"/>
        <v>0</v>
      </c>
      <c r="E65" s="55">
        <f t="shared" si="10"/>
        <v>0</v>
      </c>
      <c r="F65" s="55">
        <f t="shared" si="10"/>
        <v>0</v>
      </c>
      <c r="G65" s="55">
        <f t="shared" si="10"/>
        <v>0</v>
      </c>
      <c r="H65" s="55">
        <f t="shared" si="10"/>
        <v>0</v>
      </c>
      <c r="I65" s="55">
        <f t="shared" si="10"/>
        <v>0</v>
      </c>
      <c r="J65" s="55">
        <f t="shared" si="10"/>
        <v>0</v>
      </c>
      <c r="K65" s="55">
        <f t="shared" si="10"/>
        <v>0</v>
      </c>
      <c r="L65" s="55">
        <f t="shared" si="10"/>
        <v>0</v>
      </c>
      <c r="M65" s="55">
        <f t="shared" si="10"/>
        <v>0</v>
      </c>
      <c r="N65" s="55">
        <f t="shared" si="10"/>
        <v>0</v>
      </c>
      <c r="O65" s="55">
        <f t="shared" si="10"/>
        <v>0</v>
      </c>
      <c r="Q65" s="615"/>
      <c r="R65" s="110"/>
    </row>
    <row r="66" spans="1:18" ht="12" thickBot="1" x14ac:dyDescent="0.25">
      <c r="A66" s="54">
        <f>FEO!$K$5</f>
        <v>2032</v>
      </c>
      <c r="B66" s="55">
        <f t="shared" si="10"/>
        <v>0</v>
      </c>
      <c r="C66" s="55">
        <f t="shared" si="10"/>
        <v>0</v>
      </c>
      <c r="D66" s="55">
        <f t="shared" si="10"/>
        <v>0</v>
      </c>
      <c r="E66" s="55">
        <f t="shared" si="10"/>
        <v>0</v>
      </c>
      <c r="F66" s="55">
        <f t="shared" si="10"/>
        <v>0</v>
      </c>
      <c r="G66" s="55">
        <f t="shared" si="10"/>
        <v>0</v>
      </c>
      <c r="H66" s="55">
        <f t="shared" si="10"/>
        <v>0</v>
      </c>
      <c r="I66" s="55">
        <f t="shared" si="10"/>
        <v>0</v>
      </c>
      <c r="J66" s="55">
        <f t="shared" si="10"/>
        <v>0</v>
      </c>
      <c r="K66" s="55">
        <f t="shared" si="10"/>
        <v>0</v>
      </c>
      <c r="L66" s="55">
        <f t="shared" si="10"/>
        <v>0</v>
      </c>
      <c r="M66" s="55">
        <f t="shared" si="10"/>
        <v>0</v>
      </c>
      <c r="N66" s="55">
        <f t="shared" si="10"/>
        <v>0</v>
      </c>
      <c r="O66" s="55">
        <f t="shared" si="10"/>
        <v>0</v>
      </c>
      <c r="Q66" s="615"/>
      <c r="R66" s="110"/>
    </row>
    <row r="67" spans="1:18" ht="12" thickBot="1" x14ac:dyDescent="0.25">
      <c r="A67" s="54">
        <f>FEO!$L$5</f>
        <v>2033</v>
      </c>
      <c r="B67" s="55">
        <f t="shared" si="10"/>
        <v>0</v>
      </c>
      <c r="C67" s="55">
        <f t="shared" si="10"/>
        <v>0</v>
      </c>
      <c r="D67" s="55">
        <f t="shared" si="10"/>
        <v>0</v>
      </c>
      <c r="E67" s="55">
        <f t="shared" si="10"/>
        <v>0</v>
      </c>
      <c r="F67" s="55">
        <f t="shared" si="10"/>
        <v>0</v>
      </c>
      <c r="G67" s="55">
        <f t="shared" si="10"/>
        <v>0</v>
      </c>
      <c r="H67" s="55">
        <f t="shared" si="10"/>
        <v>0</v>
      </c>
      <c r="I67" s="55">
        <f t="shared" si="10"/>
        <v>0</v>
      </c>
      <c r="J67" s="55">
        <f t="shared" si="10"/>
        <v>0</v>
      </c>
      <c r="K67" s="55">
        <f t="shared" si="10"/>
        <v>0</v>
      </c>
      <c r="L67" s="55">
        <f t="shared" si="10"/>
        <v>0</v>
      </c>
      <c r="M67" s="55">
        <f t="shared" si="10"/>
        <v>0</v>
      </c>
      <c r="N67" s="55">
        <f t="shared" si="10"/>
        <v>0</v>
      </c>
      <c r="O67" s="55">
        <f t="shared" si="10"/>
        <v>0</v>
      </c>
      <c r="Q67" s="615"/>
      <c r="R67" s="110"/>
    </row>
    <row r="68" spans="1:18" ht="12" thickBot="1" x14ac:dyDescent="0.25">
      <c r="A68" s="54">
        <f>FEO!$M$5</f>
        <v>2034</v>
      </c>
      <c r="B68" s="55">
        <f t="shared" si="10"/>
        <v>0</v>
      </c>
      <c r="C68" s="55">
        <f t="shared" si="10"/>
        <v>0</v>
      </c>
      <c r="D68" s="55">
        <f t="shared" si="10"/>
        <v>0</v>
      </c>
      <c r="E68" s="55">
        <f t="shared" si="10"/>
        <v>0</v>
      </c>
      <c r="F68" s="55">
        <f t="shared" si="10"/>
        <v>0</v>
      </c>
      <c r="G68" s="55">
        <f t="shared" si="10"/>
        <v>0</v>
      </c>
      <c r="H68" s="55">
        <f t="shared" si="10"/>
        <v>0</v>
      </c>
      <c r="I68" s="55">
        <f t="shared" si="10"/>
        <v>0</v>
      </c>
      <c r="J68" s="55">
        <f t="shared" si="10"/>
        <v>0</v>
      </c>
      <c r="K68" s="55">
        <f t="shared" si="10"/>
        <v>0</v>
      </c>
      <c r="L68" s="55">
        <f t="shared" si="10"/>
        <v>0</v>
      </c>
      <c r="M68" s="55">
        <f t="shared" si="10"/>
        <v>0</v>
      </c>
      <c r="N68" s="55">
        <f t="shared" si="10"/>
        <v>0</v>
      </c>
      <c r="O68" s="55">
        <f t="shared" si="10"/>
        <v>0</v>
      </c>
      <c r="Q68" s="615"/>
      <c r="R68" s="110"/>
    </row>
    <row r="69" spans="1:18" ht="12" thickBot="1" x14ac:dyDescent="0.25">
      <c r="A69" s="54">
        <f>FEO!$N$5</f>
        <v>2035</v>
      </c>
      <c r="B69" s="55">
        <f t="shared" si="10"/>
        <v>0</v>
      </c>
      <c r="C69" s="55">
        <f t="shared" si="10"/>
        <v>0</v>
      </c>
      <c r="D69" s="55">
        <f t="shared" si="10"/>
        <v>0</v>
      </c>
      <c r="E69" s="55">
        <f t="shared" si="10"/>
        <v>0</v>
      </c>
      <c r="F69" s="55">
        <f t="shared" si="10"/>
        <v>0</v>
      </c>
      <c r="G69" s="55">
        <f t="shared" si="10"/>
        <v>0</v>
      </c>
      <c r="H69" s="55">
        <f t="shared" si="10"/>
        <v>0</v>
      </c>
      <c r="I69" s="55">
        <f t="shared" si="10"/>
        <v>0</v>
      </c>
      <c r="J69" s="55">
        <f t="shared" si="10"/>
        <v>0</v>
      </c>
      <c r="K69" s="55">
        <f t="shared" si="10"/>
        <v>0</v>
      </c>
      <c r="L69" s="55">
        <f t="shared" si="10"/>
        <v>0</v>
      </c>
      <c r="M69" s="55">
        <f t="shared" si="10"/>
        <v>0</v>
      </c>
      <c r="N69" s="55">
        <f t="shared" si="10"/>
        <v>0</v>
      </c>
      <c r="O69" s="55">
        <f t="shared" si="10"/>
        <v>0</v>
      </c>
      <c r="Q69" s="615"/>
      <c r="R69" s="110"/>
    </row>
    <row r="70" spans="1:18" ht="12" thickBot="1" x14ac:dyDescent="0.25">
      <c r="A70" s="54">
        <f>FEO!$O$5</f>
        <v>2036</v>
      </c>
      <c r="B70" s="55">
        <f t="shared" si="10"/>
        <v>0</v>
      </c>
      <c r="C70" s="55">
        <f t="shared" si="10"/>
        <v>0</v>
      </c>
      <c r="D70" s="55">
        <f t="shared" si="10"/>
        <v>0</v>
      </c>
      <c r="E70" s="55">
        <f t="shared" si="10"/>
        <v>0</v>
      </c>
      <c r="F70" s="55">
        <f t="shared" si="10"/>
        <v>0</v>
      </c>
      <c r="G70" s="55">
        <f t="shared" si="10"/>
        <v>0</v>
      </c>
      <c r="H70" s="55">
        <f t="shared" si="10"/>
        <v>0</v>
      </c>
      <c r="I70" s="55">
        <f t="shared" si="10"/>
        <v>0</v>
      </c>
      <c r="J70" s="55">
        <f t="shared" si="10"/>
        <v>0</v>
      </c>
      <c r="K70" s="55">
        <f t="shared" si="10"/>
        <v>0</v>
      </c>
      <c r="L70" s="55">
        <f t="shared" si="10"/>
        <v>0</v>
      </c>
      <c r="M70" s="55">
        <f t="shared" si="10"/>
        <v>0</v>
      </c>
      <c r="N70" s="55">
        <f t="shared" si="10"/>
        <v>0</v>
      </c>
      <c r="O70" s="55">
        <f t="shared" si="10"/>
        <v>0</v>
      </c>
      <c r="Q70" s="615"/>
      <c r="R70" s="110"/>
    </row>
    <row r="71" spans="1:18" ht="12" thickBot="1" x14ac:dyDescent="0.25">
      <c r="A71" s="54">
        <f>FEO!$P$5</f>
        <v>2037</v>
      </c>
      <c r="B71" s="55">
        <f t="shared" si="10"/>
        <v>0</v>
      </c>
      <c r="C71" s="55">
        <f t="shared" si="10"/>
        <v>0</v>
      </c>
      <c r="D71" s="55">
        <f t="shared" si="10"/>
        <v>0</v>
      </c>
      <c r="E71" s="55">
        <f t="shared" si="10"/>
        <v>0</v>
      </c>
      <c r="F71" s="55">
        <f t="shared" si="10"/>
        <v>0</v>
      </c>
      <c r="G71" s="55">
        <f t="shared" si="10"/>
        <v>0</v>
      </c>
      <c r="H71" s="55">
        <f t="shared" si="10"/>
        <v>0</v>
      </c>
      <c r="I71" s="55">
        <f t="shared" si="10"/>
        <v>0</v>
      </c>
      <c r="J71" s="55">
        <f t="shared" si="10"/>
        <v>0</v>
      </c>
      <c r="K71" s="55">
        <f t="shared" si="10"/>
        <v>0</v>
      </c>
      <c r="L71" s="55">
        <f t="shared" si="10"/>
        <v>0</v>
      </c>
      <c r="M71" s="55">
        <f t="shared" si="10"/>
        <v>0</v>
      </c>
      <c r="N71" s="55">
        <f t="shared" si="10"/>
        <v>0</v>
      </c>
      <c r="O71" s="55">
        <f t="shared" si="10"/>
        <v>0</v>
      </c>
      <c r="Q71" s="615"/>
      <c r="R71" s="110"/>
    </row>
    <row r="72" spans="1:18" ht="12" thickBot="1" x14ac:dyDescent="0.25">
      <c r="A72" s="54">
        <f>FEO!$Q$5</f>
        <v>2038</v>
      </c>
      <c r="B72" s="55">
        <f t="shared" si="10"/>
        <v>0</v>
      </c>
      <c r="C72" s="55">
        <f t="shared" si="10"/>
        <v>0</v>
      </c>
      <c r="D72" s="55">
        <f t="shared" si="10"/>
        <v>0</v>
      </c>
      <c r="E72" s="55">
        <f t="shared" si="10"/>
        <v>0</v>
      </c>
      <c r="F72" s="55">
        <f t="shared" si="10"/>
        <v>0</v>
      </c>
      <c r="G72" s="55">
        <f t="shared" si="10"/>
        <v>0</v>
      </c>
      <c r="H72" s="55">
        <f t="shared" si="10"/>
        <v>0</v>
      </c>
      <c r="I72" s="55">
        <f t="shared" si="10"/>
        <v>0</v>
      </c>
      <c r="J72" s="55">
        <f t="shared" si="10"/>
        <v>0</v>
      </c>
      <c r="K72" s="55">
        <f t="shared" si="10"/>
        <v>0</v>
      </c>
      <c r="L72" s="55">
        <f t="shared" si="10"/>
        <v>0</v>
      </c>
      <c r="M72" s="55">
        <f t="shared" si="10"/>
        <v>0</v>
      </c>
      <c r="N72" s="55">
        <f t="shared" si="10"/>
        <v>0</v>
      </c>
      <c r="O72" s="55">
        <f t="shared" si="10"/>
        <v>0</v>
      </c>
      <c r="Q72" s="615"/>
      <c r="R72" s="110"/>
    </row>
    <row r="73" spans="1:18" ht="12" thickBot="1" x14ac:dyDescent="0.25">
      <c r="A73" s="54">
        <f>FEO!$R$5</f>
        <v>2039</v>
      </c>
      <c r="B73" s="55">
        <f t="shared" si="10"/>
        <v>0</v>
      </c>
      <c r="C73" s="55">
        <f t="shared" si="10"/>
        <v>0</v>
      </c>
      <c r="D73" s="55">
        <f t="shared" si="10"/>
        <v>0</v>
      </c>
      <c r="E73" s="55">
        <f t="shared" si="10"/>
        <v>0</v>
      </c>
      <c r="F73" s="55">
        <f t="shared" si="10"/>
        <v>0</v>
      </c>
      <c r="G73" s="55">
        <f t="shared" si="10"/>
        <v>0</v>
      </c>
      <c r="H73" s="55">
        <f t="shared" si="10"/>
        <v>0</v>
      </c>
      <c r="I73" s="55">
        <f t="shared" si="10"/>
        <v>0</v>
      </c>
      <c r="J73" s="55">
        <f t="shared" si="10"/>
        <v>0</v>
      </c>
      <c r="K73" s="55">
        <f t="shared" si="10"/>
        <v>0</v>
      </c>
      <c r="L73" s="55">
        <f t="shared" si="10"/>
        <v>0</v>
      </c>
      <c r="M73" s="55">
        <f t="shared" si="10"/>
        <v>0</v>
      </c>
      <c r="N73" s="55">
        <f t="shared" si="10"/>
        <v>0</v>
      </c>
      <c r="O73" s="55">
        <f t="shared" si="10"/>
        <v>0</v>
      </c>
      <c r="Q73" s="615"/>
      <c r="R73" s="110"/>
    </row>
    <row r="74" spans="1:18" ht="12" thickBot="1" x14ac:dyDescent="0.25">
      <c r="A74" s="54">
        <f>FEO!$S$5</f>
        <v>2040</v>
      </c>
      <c r="B74" s="55">
        <f t="shared" si="10"/>
        <v>0</v>
      </c>
      <c r="C74" s="55">
        <f t="shared" si="10"/>
        <v>0</v>
      </c>
      <c r="D74" s="55">
        <f t="shared" si="10"/>
        <v>0</v>
      </c>
      <c r="E74" s="55">
        <f t="shared" si="10"/>
        <v>0</v>
      </c>
      <c r="F74" s="55">
        <f t="shared" si="10"/>
        <v>0</v>
      </c>
      <c r="G74" s="55">
        <f t="shared" si="10"/>
        <v>0</v>
      </c>
      <c r="H74" s="55">
        <f t="shared" si="10"/>
        <v>0</v>
      </c>
      <c r="I74" s="55">
        <f t="shared" si="10"/>
        <v>0</v>
      </c>
      <c r="J74" s="55">
        <f t="shared" si="10"/>
        <v>0</v>
      </c>
      <c r="K74" s="55">
        <f t="shared" si="10"/>
        <v>0</v>
      </c>
      <c r="L74" s="55">
        <f t="shared" si="10"/>
        <v>0</v>
      </c>
      <c r="M74" s="55">
        <f t="shared" si="10"/>
        <v>0</v>
      </c>
      <c r="N74" s="55">
        <f t="shared" si="10"/>
        <v>0</v>
      </c>
      <c r="O74" s="55">
        <f t="shared" si="10"/>
        <v>0</v>
      </c>
      <c r="Q74" s="615"/>
      <c r="R74" s="110"/>
    </row>
    <row r="75" spans="1:18" ht="12" thickBot="1" x14ac:dyDescent="0.25">
      <c r="A75" s="54">
        <f>FEO!$T$5</f>
        <v>2041</v>
      </c>
      <c r="B75" s="55">
        <f t="shared" si="10"/>
        <v>0</v>
      </c>
      <c r="C75" s="55">
        <f t="shared" si="10"/>
        <v>0</v>
      </c>
      <c r="D75" s="55">
        <f t="shared" si="10"/>
        <v>0</v>
      </c>
      <c r="E75" s="55">
        <f t="shared" si="10"/>
        <v>0</v>
      </c>
      <c r="F75" s="55">
        <f t="shared" si="10"/>
        <v>0</v>
      </c>
      <c r="G75" s="55">
        <f t="shared" si="10"/>
        <v>0</v>
      </c>
      <c r="H75" s="55">
        <f t="shared" si="10"/>
        <v>0</v>
      </c>
      <c r="I75" s="55">
        <f t="shared" si="10"/>
        <v>0</v>
      </c>
      <c r="J75" s="55">
        <f t="shared" si="10"/>
        <v>0</v>
      </c>
      <c r="K75" s="55">
        <f t="shared" si="10"/>
        <v>0</v>
      </c>
      <c r="L75" s="55">
        <f t="shared" si="10"/>
        <v>0</v>
      </c>
      <c r="M75" s="55">
        <f t="shared" si="10"/>
        <v>0</v>
      </c>
      <c r="N75" s="55">
        <f t="shared" si="10"/>
        <v>0</v>
      </c>
      <c r="O75" s="55">
        <f t="shared" si="10"/>
        <v>0</v>
      </c>
      <c r="Q75" s="615"/>
      <c r="R75" s="110"/>
    </row>
    <row r="76" spans="1:18" ht="12" thickBot="1" x14ac:dyDescent="0.25">
      <c r="A76" s="54">
        <f>FEO!$U$5</f>
        <v>2042</v>
      </c>
      <c r="B76" s="55">
        <f t="shared" si="10"/>
        <v>0</v>
      </c>
      <c r="C76" s="55">
        <f t="shared" si="10"/>
        <v>0</v>
      </c>
      <c r="D76" s="55">
        <f t="shared" si="10"/>
        <v>0</v>
      </c>
      <c r="E76" s="55">
        <f t="shared" si="10"/>
        <v>0</v>
      </c>
      <c r="F76" s="55">
        <f t="shared" si="10"/>
        <v>0</v>
      </c>
      <c r="G76" s="55">
        <f t="shared" si="10"/>
        <v>0</v>
      </c>
      <c r="H76" s="55">
        <f t="shared" si="10"/>
        <v>0</v>
      </c>
      <c r="I76" s="55">
        <f t="shared" si="10"/>
        <v>0</v>
      </c>
      <c r="J76" s="55">
        <f t="shared" si="10"/>
        <v>0</v>
      </c>
      <c r="K76" s="55">
        <f t="shared" si="10"/>
        <v>0</v>
      </c>
      <c r="L76" s="55">
        <f t="shared" si="10"/>
        <v>0</v>
      </c>
      <c r="M76" s="55">
        <f t="shared" si="10"/>
        <v>0</v>
      </c>
      <c r="N76" s="55">
        <f t="shared" si="10"/>
        <v>0</v>
      </c>
      <c r="O76" s="55">
        <f t="shared" si="10"/>
        <v>0</v>
      </c>
      <c r="Q76" s="615"/>
      <c r="R76" s="110"/>
    </row>
    <row r="77" spans="1:18" ht="12" thickBot="1" x14ac:dyDescent="0.25">
      <c r="A77" s="54">
        <f>FEO!$V$5</f>
        <v>2043</v>
      </c>
      <c r="B77" s="55">
        <f t="shared" si="10"/>
        <v>0</v>
      </c>
      <c r="C77" s="55">
        <f t="shared" si="10"/>
        <v>0</v>
      </c>
      <c r="D77" s="55">
        <f t="shared" si="10"/>
        <v>0</v>
      </c>
      <c r="E77" s="55">
        <f t="shared" si="10"/>
        <v>0</v>
      </c>
      <c r="F77" s="55">
        <f t="shared" si="10"/>
        <v>0</v>
      </c>
      <c r="G77" s="55">
        <f t="shared" si="10"/>
        <v>0</v>
      </c>
      <c r="H77" s="55">
        <f t="shared" si="10"/>
        <v>0</v>
      </c>
      <c r="I77" s="55">
        <f t="shared" si="10"/>
        <v>0</v>
      </c>
      <c r="J77" s="55">
        <f t="shared" si="10"/>
        <v>0</v>
      </c>
      <c r="K77" s="55">
        <f t="shared" si="10"/>
        <v>0</v>
      </c>
      <c r="L77" s="55">
        <f t="shared" si="10"/>
        <v>0</v>
      </c>
      <c r="M77" s="55">
        <f t="shared" si="10"/>
        <v>0</v>
      </c>
      <c r="N77" s="55">
        <f t="shared" si="10"/>
        <v>0</v>
      </c>
      <c r="O77" s="55">
        <f t="shared" si="10"/>
        <v>0</v>
      </c>
      <c r="Q77" s="615"/>
      <c r="R77" s="110"/>
    </row>
    <row r="78" spans="1:18" ht="10.8" thickBot="1" x14ac:dyDescent="0.25">
      <c r="R78" s="110"/>
    </row>
    <row r="79" spans="1:18" ht="12" thickBot="1" x14ac:dyDescent="0.25">
      <c r="A79" s="116" t="s">
        <v>143</v>
      </c>
      <c r="B79" s="77">
        <f t="shared" ref="B79:O79" si="11">SUM(B62:B77)</f>
        <v>0</v>
      </c>
      <c r="C79" s="77">
        <f t="shared" si="11"/>
        <v>0</v>
      </c>
      <c r="D79" s="77">
        <f t="shared" si="11"/>
        <v>0</v>
      </c>
      <c r="E79" s="77">
        <f t="shared" si="11"/>
        <v>0</v>
      </c>
      <c r="F79" s="77">
        <f t="shared" si="11"/>
        <v>0</v>
      </c>
      <c r="G79" s="77">
        <f t="shared" si="11"/>
        <v>0</v>
      </c>
      <c r="H79" s="77">
        <f t="shared" si="11"/>
        <v>0</v>
      </c>
      <c r="I79" s="77">
        <f t="shared" si="11"/>
        <v>0</v>
      </c>
      <c r="J79" s="77">
        <f t="shared" si="11"/>
        <v>0</v>
      </c>
      <c r="K79" s="77">
        <f t="shared" si="11"/>
        <v>0</v>
      </c>
      <c r="L79" s="77">
        <f t="shared" si="11"/>
        <v>0</v>
      </c>
      <c r="M79" s="77">
        <f t="shared" si="11"/>
        <v>0</v>
      </c>
      <c r="N79" s="77">
        <f t="shared" si="11"/>
        <v>0</v>
      </c>
      <c r="O79" s="77">
        <f t="shared" si="11"/>
        <v>0</v>
      </c>
      <c r="R79" s="110"/>
    </row>
    <row r="80" spans="1:18" ht="10.8" thickBot="1" x14ac:dyDescent="0.25">
      <c r="R80" s="110"/>
    </row>
    <row r="81" spans="1:18" ht="12" thickBot="1" x14ac:dyDescent="0.25">
      <c r="A81" s="116" t="s">
        <v>311</v>
      </c>
      <c r="B81" s="77">
        <f t="shared" ref="B81:O81" si="12">B13+B33-B79+B57*B37</f>
        <v>0</v>
      </c>
      <c r="C81" s="77">
        <f t="shared" si="12"/>
        <v>0</v>
      </c>
      <c r="D81" s="77">
        <f t="shared" si="12"/>
        <v>0</v>
      </c>
      <c r="E81" s="77">
        <f t="shared" si="12"/>
        <v>0</v>
      </c>
      <c r="F81" s="77">
        <f t="shared" si="12"/>
        <v>0</v>
      </c>
      <c r="G81" s="77">
        <f t="shared" si="12"/>
        <v>0</v>
      </c>
      <c r="H81" s="77">
        <f t="shared" si="12"/>
        <v>0</v>
      </c>
      <c r="I81" s="77">
        <f t="shared" si="12"/>
        <v>0</v>
      </c>
      <c r="J81" s="77">
        <f t="shared" si="12"/>
        <v>0</v>
      </c>
      <c r="K81" s="77">
        <f t="shared" si="12"/>
        <v>0</v>
      </c>
      <c r="L81" s="77">
        <f t="shared" si="12"/>
        <v>0</v>
      </c>
      <c r="M81" s="77">
        <f t="shared" si="12"/>
        <v>0</v>
      </c>
      <c r="N81" s="77">
        <f t="shared" si="12"/>
        <v>0</v>
      </c>
      <c r="O81" s="77">
        <f t="shared" si="12"/>
        <v>0</v>
      </c>
      <c r="R81" s="110"/>
    </row>
    <row r="82" spans="1:18" x14ac:dyDescent="0.2">
      <c r="A82" t="s">
        <v>205</v>
      </c>
      <c r="B82" s="237">
        <f t="shared" ref="B82:O82" si="13">B13+(B36-B37)*B38-B81</f>
        <v>0</v>
      </c>
      <c r="C82" s="237">
        <f t="shared" si="13"/>
        <v>0</v>
      </c>
      <c r="D82" s="237">
        <f t="shared" si="13"/>
        <v>0</v>
      </c>
      <c r="E82" s="237">
        <f t="shared" si="13"/>
        <v>0</v>
      </c>
      <c r="F82" s="237">
        <f t="shared" si="13"/>
        <v>0</v>
      </c>
      <c r="G82" s="237">
        <f t="shared" si="13"/>
        <v>0</v>
      </c>
      <c r="H82" s="237">
        <f t="shared" si="13"/>
        <v>0</v>
      </c>
      <c r="I82" s="237">
        <f t="shared" si="13"/>
        <v>0</v>
      </c>
      <c r="J82" s="237">
        <f t="shared" si="13"/>
        <v>0</v>
      </c>
      <c r="K82" s="237">
        <f t="shared" si="13"/>
        <v>0</v>
      </c>
      <c r="L82" s="237">
        <f t="shared" si="13"/>
        <v>0</v>
      </c>
      <c r="M82" s="237">
        <f t="shared" si="13"/>
        <v>0</v>
      </c>
      <c r="N82" s="237">
        <f t="shared" si="13"/>
        <v>0</v>
      </c>
      <c r="O82" s="237">
        <f t="shared" si="13"/>
        <v>0</v>
      </c>
      <c r="Q82" s="110"/>
      <c r="R82" s="110"/>
    </row>
    <row r="83" spans="1:18" x14ac:dyDescent="0.2">
      <c r="F83" s="115"/>
      <c r="Q83" s="110"/>
      <c r="R83" s="110"/>
    </row>
    <row r="84" spans="1:18" x14ac:dyDescent="0.2">
      <c r="F84" s="111"/>
      <c r="G84" s="111"/>
      <c r="H84" s="112"/>
      <c r="I84" s="112"/>
      <c r="J84" s="111"/>
      <c r="Q84" s="110"/>
      <c r="R84" s="110"/>
    </row>
    <row r="85" spans="1:18" x14ac:dyDescent="0.2">
      <c r="F85" s="111"/>
      <c r="G85" s="111"/>
      <c r="H85" s="112"/>
      <c r="I85" s="112"/>
      <c r="J85" s="111"/>
      <c r="Q85" s="110"/>
      <c r="R85" s="110"/>
    </row>
    <row r="86" spans="1:18" x14ac:dyDescent="0.2">
      <c r="F86" s="111"/>
      <c r="G86" s="111"/>
      <c r="H86" s="112"/>
      <c r="I86" s="112"/>
      <c r="J86" s="111"/>
      <c r="R86" s="110"/>
    </row>
    <row r="87" spans="1:18" x14ac:dyDescent="0.2">
      <c r="F87" s="111"/>
      <c r="G87" s="111"/>
      <c r="H87" s="112"/>
      <c r="I87" s="112"/>
      <c r="J87" s="111"/>
    </row>
    <row r="88" spans="1:18" x14ac:dyDescent="0.2">
      <c r="D88" s="87"/>
      <c r="E88" s="87"/>
      <c r="F88" s="111"/>
      <c r="G88" s="111"/>
      <c r="H88" s="113"/>
      <c r="I88" s="113"/>
      <c r="J88" s="113"/>
      <c r="K88" s="87"/>
    </row>
    <row r="89" spans="1:18" x14ac:dyDescent="0.2">
      <c r="D89" s="87"/>
      <c r="E89" s="87"/>
      <c r="F89" s="111"/>
      <c r="G89" s="111"/>
      <c r="H89" s="113"/>
      <c r="I89" s="113"/>
      <c r="J89" s="113"/>
      <c r="K89" s="87"/>
    </row>
    <row r="90" spans="1:18" ht="11.4" x14ac:dyDescent="0.2">
      <c r="D90" s="87"/>
      <c r="E90" s="87"/>
      <c r="F90" s="114"/>
      <c r="G90" s="111"/>
      <c r="H90" s="113"/>
      <c r="I90" s="113"/>
      <c r="J90" s="113"/>
      <c r="K90" s="114"/>
    </row>
    <row r="91" spans="1:18" ht="11.4" x14ac:dyDescent="0.2">
      <c r="D91" s="87"/>
      <c r="E91" s="87"/>
      <c r="F91" s="114"/>
      <c r="G91" s="111"/>
      <c r="H91" s="113"/>
      <c r="I91" s="113"/>
      <c r="J91" s="113"/>
      <c r="K91" s="114"/>
    </row>
    <row r="92" spans="1:18" ht="11.4" x14ac:dyDescent="0.2">
      <c r="F92" s="114"/>
      <c r="G92" s="111"/>
      <c r="H92" s="111"/>
      <c r="I92" s="111"/>
      <c r="J92" s="111"/>
      <c r="K92" s="114"/>
    </row>
    <row r="93" spans="1:18" ht="11.4" x14ac:dyDescent="0.2">
      <c r="F93" s="114"/>
      <c r="G93" s="111"/>
      <c r="H93" s="111"/>
      <c r="I93" s="111"/>
      <c r="J93" s="111"/>
    </row>
    <row r="94" spans="1:18" ht="11.4" x14ac:dyDescent="0.2">
      <c r="F94" s="114"/>
      <c r="G94" s="111"/>
      <c r="H94" s="111"/>
      <c r="I94" s="111"/>
      <c r="J94" s="111"/>
    </row>
    <row r="95" spans="1:18" ht="11.4" x14ac:dyDescent="0.2">
      <c r="F95" s="114"/>
      <c r="G95" s="111"/>
      <c r="H95" s="111"/>
      <c r="I95" s="111"/>
      <c r="J95" s="111"/>
    </row>
    <row r="96" spans="1:18" ht="11.4" x14ac:dyDescent="0.2">
      <c r="F96" s="114"/>
      <c r="G96" s="111"/>
      <c r="H96" s="111"/>
      <c r="I96" s="111"/>
      <c r="J96" s="111"/>
    </row>
    <row r="97" spans="6:10" ht="11.4" x14ac:dyDescent="0.2">
      <c r="F97" s="114"/>
      <c r="G97" s="111"/>
      <c r="H97" s="111"/>
      <c r="I97" s="111"/>
      <c r="J97" s="111"/>
    </row>
    <row r="98" spans="6:10" ht="11.4" x14ac:dyDescent="0.2">
      <c r="F98" s="114"/>
      <c r="G98" s="111"/>
      <c r="H98" s="111"/>
      <c r="I98" s="111"/>
      <c r="J98" s="111"/>
    </row>
    <row r="99" spans="6:10" ht="11.4" x14ac:dyDescent="0.2">
      <c r="F99" s="114"/>
      <c r="G99" s="111"/>
      <c r="H99" s="111"/>
      <c r="I99" s="111"/>
      <c r="J99" s="111"/>
    </row>
    <row r="100" spans="6:10" ht="11.4" x14ac:dyDescent="0.2">
      <c r="F100" s="114"/>
      <c r="G100" s="111"/>
      <c r="H100" s="111"/>
      <c r="I100" s="111"/>
      <c r="J100" s="111"/>
    </row>
    <row r="101" spans="6:10" ht="11.4" x14ac:dyDescent="0.2">
      <c r="F101" s="114"/>
      <c r="G101" s="111"/>
      <c r="H101" s="111"/>
      <c r="I101" s="111"/>
      <c r="J101" s="111"/>
    </row>
    <row r="102" spans="6:10" ht="11.4" x14ac:dyDescent="0.2">
      <c r="F102" s="114"/>
      <c r="G102" s="111"/>
      <c r="H102" s="111"/>
      <c r="I102" s="111"/>
      <c r="J102" s="111"/>
    </row>
    <row r="103" spans="6:10" ht="11.4" x14ac:dyDescent="0.2">
      <c r="F103" s="114"/>
      <c r="G103" s="111"/>
      <c r="H103" s="111"/>
      <c r="I103" s="111"/>
      <c r="J103" s="111"/>
    </row>
    <row r="104" spans="6:10" ht="11.4" x14ac:dyDescent="0.2">
      <c r="F104" s="114"/>
      <c r="G104" s="115"/>
      <c r="H104" s="111"/>
      <c r="I104" s="111"/>
      <c r="J104" s="111"/>
    </row>
  </sheetData>
  <mergeCells count="1">
    <mergeCell ref="M1:O1"/>
  </mergeCells>
  <hyperlinks>
    <hyperlink ref="A2" location="FEO!A1" display="terug" xr:uid="{A3A43448-01B3-46C9-A8EF-CE7017C21236}"/>
  </hyperlink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96337-6A13-4A5F-BFB3-755E0DF7392B}">
  <sheetPr>
    <tabColor rgb="FFFFC000"/>
  </sheetPr>
  <dimension ref="A1:R413"/>
  <sheetViews>
    <sheetView workbookViewId="0"/>
  </sheetViews>
  <sheetFormatPr defaultRowHeight="10.199999999999999" x14ac:dyDescent="0.2"/>
  <cols>
    <col min="1" max="1" width="27.25" customWidth="1"/>
    <col min="2" max="15" width="17.125" customWidth="1"/>
    <col min="17" max="17" width="14.625" bestFit="1" customWidth="1"/>
  </cols>
  <sheetData>
    <row r="1" spans="1:15" ht="16.2" x14ac:dyDescent="0.3">
      <c r="A1" s="51" t="s">
        <v>330</v>
      </c>
      <c r="L1" s="156" t="s">
        <v>83</v>
      </c>
      <c r="M1" s="647" t="s">
        <v>84</v>
      </c>
      <c r="N1" s="647"/>
      <c r="O1" s="647"/>
    </row>
    <row r="2" spans="1:15" x14ac:dyDescent="0.2">
      <c r="A2" s="56" t="s">
        <v>131</v>
      </c>
      <c r="N2" s="266" t="str">
        <f>FEO!AA1</f>
        <v>Versie</v>
      </c>
      <c r="O2" s="274" t="str">
        <f>FEO!AA2</f>
        <v>NVI 5b</v>
      </c>
    </row>
    <row r="3" spans="1:15" ht="10.8" thickBot="1" x14ac:dyDescent="0.25">
      <c r="A3" s="56"/>
    </row>
    <row r="4" spans="1:15" ht="12" thickBot="1" x14ac:dyDescent="0.25">
      <c r="A4" s="47" t="s">
        <v>151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12" thickBot="1" x14ac:dyDescent="0.25">
      <c r="A5" s="49" t="s">
        <v>210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5" ht="12" thickBot="1" x14ac:dyDescent="0.25">
      <c r="A6" s="49" t="s">
        <v>145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23.4" thickBot="1" x14ac:dyDescent="0.25">
      <c r="A7" s="375" t="s">
        <v>309</v>
      </c>
      <c r="B7" s="59">
        <v>16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9" spans="1:15" ht="23.4" thickBot="1" x14ac:dyDescent="0.25">
      <c r="A9" s="76" t="s">
        <v>321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</row>
    <row r="10" spans="1:15" ht="12" thickBot="1" x14ac:dyDescent="0.25">
      <c r="A10" s="248" t="s">
        <v>146</v>
      </c>
      <c r="B10" s="81">
        <v>100000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</row>
    <row r="11" spans="1:15" ht="12" thickBot="1" x14ac:dyDescent="0.25">
      <c r="A11" s="248" t="s">
        <v>146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</row>
    <row r="12" spans="1:15" ht="12" thickBot="1" x14ac:dyDescent="0.25">
      <c r="A12" s="248" t="s">
        <v>146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</row>
    <row r="13" spans="1:15" ht="12" thickBot="1" x14ac:dyDescent="0.25">
      <c r="A13" s="248" t="s">
        <v>146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</row>
    <row r="14" spans="1:15" ht="12" thickBot="1" x14ac:dyDescent="0.25">
      <c r="A14" s="248" t="s">
        <v>146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</row>
    <row r="15" spans="1:15" ht="12" thickBot="1" x14ac:dyDescent="0.25">
      <c r="A15" s="248" t="s">
        <v>146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</row>
    <row r="16" spans="1:15" ht="12" thickBot="1" x14ac:dyDescent="0.25">
      <c r="A16" s="248" t="s">
        <v>146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</row>
    <row r="17" spans="1:17" ht="12" thickBot="1" x14ac:dyDescent="0.25">
      <c r="A17" s="248" t="s">
        <v>146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17" ht="12" thickBot="1" x14ac:dyDescent="0.25">
      <c r="A18" s="248" t="s">
        <v>146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</row>
    <row r="19" spans="1:17" ht="12" thickBot="1" x14ac:dyDescent="0.25">
      <c r="A19" s="248" t="s">
        <v>146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</row>
    <row r="20" spans="1:17" ht="12" thickBot="1" x14ac:dyDescent="0.25">
      <c r="A20" s="248" t="s">
        <v>146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</row>
    <row r="21" spans="1:17" ht="12" thickBot="1" x14ac:dyDescent="0.25">
      <c r="A21" s="248" t="s">
        <v>146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</row>
    <row r="22" spans="1:17" ht="12" thickBot="1" x14ac:dyDescent="0.25">
      <c r="A22" s="248" t="s">
        <v>146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</row>
    <row r="23" spans="1:17" ht="12" thickBot="1" x14ac:dyDescent="0.25">
      <c r="A23" s="248" t="s">
        <v>146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</row>
    <row r="24" spans="1:17" ht="12" thickBot="1" x14ac:dyDescent="0.25">
      <c r="A24" s="76" t="s">
        <v>314</v>
      </c>
      <c r="B24" s="245">
        <f>SUM(B10:B23)</f>
        <v>100000</v>
      </c>
      <c r="C24" s="245">
        <f t="shared" ref="C24:O24" si="0">SUM(C10:C23)</f>
        <v>0</v>
      </c>
      <c r="D24" s="245">
        <f t="shared" si="0"/>
        <v>0</v>
      </c>
      <c r="E24" s="245">
        <f t="shared" si="0"/>
        <v>0</v>
      </c>
      <c r="F24" s="245">
        <f t="shared" si="0"/>
        <v>0</v>
      </c>
      <c r="G24" s="245">
        <f t="shared" si="0"/>
        <v>0</v>
      </c>
      <c r="H24" s="245">
        <f t="shared" si="0"/>
        <v>0</v>
      </c>
      <c r="I24" s="245">
        <f t="shared" si="0"/>
        <v>0</v>
      </c>
      <c r="J24" s="245">
        <f t="shared" si="0"/>
        <v>0</v>
      </c>
      <c r="K24" s="245">
        <f t="shared" si="0"/>
        <v>0</v>
      </c>
      <c r="L24" s="245">
        <f t="shared" si="0"/>
        <v>0</v>
      </c>
      <c r="M24" s="245">
        <f t="shared" si="0"/>
        <v>0</v>
      </c>
      <c r="N24" s="245">
        <f t="shared" si="0"/>
        <v>0</v>
      </c>
      <c r="O24" s="245">
        <f t="shared" si="0"/>
        <v>0</v>
      </c>
    </row>
    <row r="25" spans="1:17" ht="12" thickBot="1" x14ac:dyDescent="0.25">
      <c r="A25" s="49" t="s">
        <v>305</v>
      </c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</row>
    <row r="26" spans="1:17" ht="12" thickBot="1" x14ac:dyDescent="0.25">
      <c r="A26" s="49" t="s">
        <v>307</v>
      </c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</row>
    <row r="27" spans="1:17" ht="12" thickBot="1" x14ac:dyDescent="0.25">
      <c r="A27" s="49" t="s">
        <v>239</v>
      </c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</row>
    <row r="28" spans="1:17" ht="12" thickBot="1" x14ac:dyDescent="0.25">
      <c r="A28" s="76" t="s">
        <v>308</v>
      </c>
      <c r="B28" s="245">
        <f>SUM(B25:B27)</f>
        <v>0</v>
      </c>
      <c r="C28" s="245">
        <f t="shared" ref="C28:O28" si="1">SUM(C25:C27)</f>
        <v>0</v>
      </c>
      <c r="D28" s="245">
        <f t="shared" si="1"/>
        <v>0</v>
      </c>
      <c r="E28" s="245">
        <f t="shared" si="1"/>
        <v>0</v>
      </c>
      <c r="F28" s="245">
        <f t="shared" si="1"/>
        <v>0</v>
      </c>
      <c r="G28" s="245">
        <f t="shared" si="1"/>
        <v>0</v>
      </c>
      <c r="H28" s="245">
        <f t="shared" si="1"/>
        <v>0</v>
      </c>
      <c r="I28" s="245">
        <f t="shared" si="1"/>
        <v>0</v>
      </c>
      <c r="J28" s="245">
        <f t="shared" si="1"/>
        <v>0</v>
      </c>
      <c r="K28" s="245">
        <f t="shared" si="1"/>
        <v>0</v>
      </c>
      <c r="L28" s="245">
        <f t="shared" si="1"/>
        <v>0</v>
      </c>
      <c r="M28" s="245">
        <f t="shared" si="1"/>
        <v>0</v>
      </c>
      <c r="N28" s="245">
        <f t="shared" si="1"/>
        <v>0</v>
      </c>
      <c r="O28" s="245">
        <f t="shared" si="1"/>
        <v>0</v>
      </c>
    </row>
    <row r="29" spans="1:17" ht="12" thickBot="1" x14ac:dyDescent="0.25">
      <c r="A29" s="76" t="s">
        <v>312</v>
      </c>
      <c r="B29" s="380">
        <f>B28+B24</f>
        <v>100000</v>
      </c>
      <c r="C29" s="380">
        <f t="shared" ref="C29:O29" si="2">C28+C24</f>
        <v>0</v>
      </c>
      <c r="D29" s="380">
        <f t="shared" si="2"/>
        <v>0</v>
      </c>
      <c r="E29" s="380">
        <f t="shared" si="2"/>
        <v>0</v>
      </c>
      <c r="F29" s="380">
        <f t="shared" si="2"/>
        <v>0</v>
      </c>
      <c r="G29" s="380">
        <f t="shared" si="2"/>
        <v>0</v>
      </c>
      <c r="H29" s="380">
        <f t="shared" si="2"/>
        <v>0</v>
      </c>
      <c r="I29" s="380">
        <f t="shared" si="2"/>
        <v>0</v>
      </c>
      <c r="J29" s="380">
        <f t="shared" si="2"/>
        <v>0</v>
      </c>
      <c r="K29" s="380">
        <f t="shared" si="2"/>
        <v>0</v>
      </c>
      <c r="L29" s="380">
        <f t="shared" si="2"/>
        <v>0</v>
      </c>
      <c r="M29" s="380">
        <f t="shared" si="2"/>
        <v>0</v>
      </c>
      <c r="N29" s="380">
        <f t="shared" si="2"/>
        <v>0</v>
      </c>
      <c r="O29" s="380">
        <f t="shared" si="2"/>
        <v>0</v>
      </c>
    </row>
    <row r="30" spans="1:17" ht="12" thickBot="1" x14ac:dyDescent="0.25">
      <c r="A30" s="49" t="s">
        <v>154</v>
      </c>
      <c r="B30" s="62">
        <v>47097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</row>
    <row r="31" spans="1:17" ht="12" thickBot="1" x14ac:dyDescent="0.25">
      <c r="A31" s="49" t="s">
        <v>155</v>
      </c>
      <c r="B31" s="62">
        <v>52577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Q31" s="87"/>
    </row>
    <row r="32" spans="1:17" ht="23.4" thickBot="1" x14ac:dyDescent="0.25">
      <c r="A32" s="49" t="s">
        <v>310</v>
      </c>
      <c r="B32" s="78">
        <f>365.25*B7</f>
        <v>5844</v>
      </c>
      <c r="C32" s="78">
        <f t="shared" ref="C32:O32" si="3">365.25*C7</f>
        <v>0</v>
      </c>
      <c r="D32" s="78">
        <f t="shared" si="3"/>
        <v>0</v>
      </c>
      <c r="E32" s="78">
        <f t="shared" si="3"/>
        <v>0</v>
      </c>
      <c r="F32" s="78">
        <f t="shared" si="3"/>
        <v>0</v>
      </c>
      <c r="G32" s="78">
        <f t="shared" si="3"/>
        <v>0</v>
      </c>
      <c r="H32" s="78">
        <f t="shared" si="3"/>
        <v>0</v>
      </c>
      <c r="I32" s="78">
        <f t="shared" si="3"/>
        <v>0</v>
      </c>
      <c r="J32" s="78">
        <f t="shared" si="3"/>
        <v>0</v>
      </c>
      <c r="K32" s="78">
        <f t="shared" si="3"/>
        <v>0</v>
      </c>
      <c r="L32" s="78">
        <f t="shared" si="3"/>
        <v>0</v>
      </c>
      <c r="M32" s="78">
        <f t="shared" si="3"/>
        <v>0</v>
      </c>
      <c r="N32" s="78">
        <f t="shared" si="3"/>
        <v>0</v>
      </c>
      <c r="O32" s="78">
        <f t="shared" si="3"/>
        <v>0</v>
      </c>
      <c r="Q32" s="87"/>
    </row>
    <row r="33" spans="1:18" ht="23.4" thickBot="1" x14ac:dyDescent="0.25">
      <c r="A33" s="49" t="s">
        <v>206</v>
      </c>
      <c r="B33" s="78">
        <f t="shared" ref="B33:O33" si="4">IF(B30=0,0,B31-B30+1)</f>
        <v>5481</v>
      </c>
      <c r="C33" s="78">
        <f t="shared" si="4"/>
        <v>0</v>
      </c>
      <c r="D33" s="78">
        <f t="shared" si="4"/>
        <v>0</v>
      </c>
      <c r="E33" s="78">
        <f t="shared" si="4"/>
        <v>0</v>
      </c>
      <c r="F33" s="78">
        <f t="shared" si="4"/>
        <v>0</v>
      </c>
      <c r="G33" s="78">
        <f t="shared" si="4"/>
        <v>0</v>
      </c>
      <c r="H33" s="78">
        <f t="shared" si="4"/>
        <v>0</v>
      </c>
      <c r="I33" s="78">
        <f t="shared" si="4"/>
        <v>0</v>
      </c>
      <c r="J33" s="78">
        <f t="shared" si="4"/>
        <v>0</v>
      </c>
      <c r="K33" s="78">
        <f t="shared" si="4"/>
        <v>0</v>
      </c>
      <c r="L33" s="78">
        <f t="shared" si="4"/>
        <v>0</v>
      </c>
      <c r="M33" s="78">
        <f t="shared" si="4"/>
        <v>0</v>
      </c>
      <c r="N33" s="78">
        <f t="shared" si="4"/>
        <v>0</v>
      </c>
      <c r="O33" s="78">
        <f t="shared" si="4"/>
        <v>0</v>
      </c>
      <c r="Q33" s="259"/>
      <c r="R33" s="259"/>
    </row>
    <row r="34" spans="1:18" ht="12" thickBot="1" x14ac:dyDescent="0.25">
      <c r="A34" s="49" t="s">
        <v>141</v>
      </c>
      <c r="B34" s="50">
        <f>IFERROR((B29)/B32,0)</f>
        <v>17.111567419575632</v>
      </c>
      <c r="C34" s="50">
        <f t="shared" ref="C34:O34" si="5">IFERROR((C29)/C32,0)</f>
        <v>0</v>
      </c>
      <c r="D34" s="50">
        <f t="shared" si="5"/>
        <v>0</v>
      </c>
      <c r="E34" s="50">
        <f t="shared" si="5"/>
        <v>0</v>
      </c>
      <c r="F34" s="50">
        <f t="shared" si="5"/>
        <v>0</v>
      </c>
      <c r="G34" s="50">
        <f t="shared" si="5"/>
        <v>0</v>
      </c>
      <c r="H34" s="50">
        <f t="shared" si="5"/>
        <v>0</v>
      </c>
      <c r="I34" s="50">
        <f t="shared" si="5"/>
        <v>0</v>
      </c>
      <c r="J34" s="50">
        <f t="shared" si="5"/>
        <v>0</v>
      </c>
      <c r="K34" s="50">
        <f t="shared" si="5"/>
        <v>0</v>
      </c>
      <c r="L34" s="50">
        <f t="shared" si="5"/>
        <v>0</v>
      </c>
      <c r="M34" s="50">
        <f t="shared" si="5"/>
        <v>0</v>
      </c>
      <c r="N34" s="50">
        <f t="shared" si="5"/>
        <v>0</v>
      </c>
      <c r="O34" s="50">
        <f t="shared" si="5"/>
        <v>0</v>
      </c>
    </row>
    <row r="35" spans="1:18" x14ac:dyDescent="0.2">
      <c r="H35" s="258"/>
      <c r="I35" s="258"/>
    </row>
    <row r="36" spans="1:18" ht="11.4" x14ac:dyDescent="0.2">
      <c r="A36" s="545" t="s">
        <v>479</v>
      </c>
      <c r="H36" s="258"/>
      <c r="I36" s="258"/>
    </row>
    <row r="37" spans="1:18" x14ac:dyDescent="0.2">
      <c r="H37" s="258"/>
      <c r="I37" s="258"/>
    </row>
    <row r="38" spans="1:18" ht="12" thickBot="1" x14ac:dyDescent="0.25">
      <c r="A38" s="52" t="s">
        <v>142</v>
      </c>
      <c r="B38" s="87"/>
    </row>
    <row r="39" spans="1:18" ht="12" thickBot="1" x14ac:dyDescent="0.25">
      <c r="A39" s="54">
        <f>FEO!$G$5</f>
        <v>2028</v>
      </c>
      <c r="B39" s="55">
        <f>IF(AND($A39&gt;YEAR(B$30),$A39&lt;YEAR(B$31)),(DATE($A39,12,31)-DATE($A39,1,0))*B$34,IF(AND($A39=YEAR(B$30),$A39=YEAR(B$31)),(B$31-B$30+1)*B$34,IF($A39=YEAR(B$30),(DATE(YEAR(B$30),12,31)-B$30+1)*B$34,IF($A39=YEAR(B$31),(B$31-DATE(YEAR(B$31),1,1)+1)*B$34,0))))</f>
        <v>376.45448323066393</v>
      </c>
      <c r="C39" s="55">
        <f t="shared" ref="C39:O39" si="6">IF(AND($A39&gt;YEAR(C$30),$A39&lt;YEAR(C$31)),(DATE($A39,12,31)-DATE($A39,1,0))*C$34,IF(AND($A39=YEAR(C$30),$A39=YEAR(C$31)),(C$31-C$30)*C$34,IF($A39=YEAR(C$30),(DATE(YEAR(C$30),12,31)-C$30+1)*C$34,IF($A39=YEAR(C$31),(C$31-DATE(YEAR(C$31),1,1)+1)*C$34,0))))</f>
        <v>0</v>
      </c>
      <c r="D39" s="55">
        <f t="shared" si="6"/>
        <v>0</v>
      </c>
      <c r="E39" s="55">
        <f t="shared" si="6"/>
        <v>0</v>
      </c>
      <c r="F39" s="55">
        <f t="shared" si="6"/>
        <v>0</v>
      </c>
      <c r="G39" s="55">
        <f t="shared" si="6"/>
        <v>0</v>
      </c>
      <c r="H39" s="55">
        <f t="shared" si="6"/>
        <v>0</v>
      </c>
      <c r="I39" s="55">
        <f t="shared" si="6"/>
        <v>0</v>
      </c>
      <c r="J39" s="55">
        <f t="shared" si="6"/>
        <v>0</v>
      </c>
      <c r="K39" s="55">
        <f t="shared" si="6"/>
        <v>0</v>
      </c>
      <c r="L39" s="55">
        <f t="shared" si="6"/>
        <v>0</v>
      </c>
      <c r="M39" s="55">
        <f t="shared" si="6"/>
        <v>0</v>
      </c>
      <c r="N39" s="55">
        <f t="shared" si="6"/>
        <v>0</v>
      </c>
      <c r="O39" s="55">
        <f t="shared" si="6"/>
        <v>0</v>
      </c>
      <c r="P39" s="87"/>
      <c r="Q39" s="87"/>
      <c r="R39" s="87"/>
    </row>
    <row r="40" spans="1:18" ht="12" thickBot="1" x14ac:dyDescent="0.25">
      <c r="A40" s="54">
        <f>FEO!$H$5</f>
        <v>2029</v>
      </c>
      <c r="B40" s="55">
        <f t="shared" ref="B40:O54" si="7">IF(AND($A40&gt;YEAR(B$30),$A40&lt;YEAR(B$31)),(DATE($A40,12,31)-DATE($A40,1,0))*B$34,IF(AND($A40=YEAR(B$30),$A40=YEAR(B$31)),(B$31-B$30)*B$34,IF($A40=YEAR(B$30),(DATE(YEAR(B$30),12,31)-B$30+1)*B$34,IF($A40=YEAR(B$31),(B$31-DATE(YEAR(B$31),1,1)+1)*B$34,0))))</f>
        <v>6245.7221081451053</v>
      </c>
      <c r="C40" s="55">
        <f t="shared" si="7"/>
        <v>0</v>
      </c>
      <c r="D40" s="55">
        <f t="shared" si="7"/>
        <v>0</v>
      </c>
      <c r="E40" s="55">
        <f t="shared" si="7"/>
        <v>0</v>
      </c>
      <c r="F40" s="55">
        <f t="shared" si="7"/>
        <v>0</v>
      </c>
      <c r="G40" s="55">
        <f t="shared" si="7"/>
        <v>0</v>
      </c>
      <c r="H40" s="55">
        <f t="shared" si="7"/>
        <v>0</v>
      </c>
      <c r="I40" s="55">
        <f t="shared" si="7"/>
        <v>0</v>
      </c>
      <c r="J40" s="55">
        <f t="shared" si="7"/>
        <v>0</v>
      </c>
      <c r="K40" s="55">
        <f t="shared" si="7"/>
        <v>0</v>
      </c>
      <c r="L40" s="55">
        <f t="shared" si="7"/>
        <v>0</v>
      </c>
      <c r="M40" s="55">
        <f t="shared" si="7"/>
        <v>0</v>
      </c>
      <c r="N40" s="55">
        <f t="shared" si="7"/>
        <v>0</v>
      </c>
      <c r="O40" s="55">
        <f t="shared" si="7"/>
        <v>0</v>
      </c>
      <c r="P40" s="87"/>
      <c r="Q40" s="87"/>
      <c r="R40" s="87"/>
    </row>
    <row r="41" spans="1:18" ht="12" thickBot="1" x14ac:dyDescent="0.25">
      <c r="A41" s="54">
        <f>FEO!$I$5</f>
        <v>2030</v>
      </c>
      <c r="B41" s="55">
        <f t="shared" si="7"/>
        <v>6245.7221081451053</v>
      </c>
      <c r="C41" s="55">
        <f t="shared" si="7"/>
        <v>0</v>
      </c>
      <c r="D41" s="55">
        <f t="shared" si="7"/>
        <v>0</v>
      </c>
      <c r="E41" s="55">
        <f t="shared" si="7"/>
        <v>0</v>
      </c>
      <c r="F41" s="55">
        <f t="shared" si="7"/>
        <v>0</v>
      </c>
      <c r="G41" s="55">
        <f t="shared" si="7"/>
        <v>0</v>
      </c>
      <c r="H41" s="55">
        <f t="shared" si="7"/>
        <v>0</v>
      </c>
      <c r="I41" s="55">
        <f t="shared" si="7"/>
        <v>0</v>
      </c>
      <c r="J41" s="55">
        <f t="shared" si="7"/>
        <v>0</v>
      </c>
      <c r="K41" s="55">
        <f t="shared" si="7"/>
        <v>0</v>
      </c>
      <c r="L41" s="55">
        <f t="shared" si="7"/>
        <v>0</v>
      </c>
      <c r="M41" s="55">
        <f t="shared" si="7"/>
        <v>0</v>
      </c>
      <c r="N41" s="55">
        <f t="shared" si="7"/>
        <v>0</v>
      </c>
      <c r="O41" s="55">
        <f t="shared" si="7"/>
        <v>0</v>
      </c>
      <c r="P41" s="87"/>
      <c r="Q41" s="87"/>
      <c r="R41" s="87"/>
    </row>
    <row r="42" spans="1:18" ht="12" thickBot="1" x14ac:dyDescent="0.25">
      <c r="A42" s="54">
        <f>FEO!$J$5</f>
        <v>2031</v>
      </c>
      <c r="B42" s="55">
        <f t="shared" si="7"/>
        <v>6245.7221081451053</v>
      </c>
      <c r="C42" s="55">
        <f t="shared" si="7"/>
        <v>0</v>
      </c>
      <c r="D42" s="55">
        <f t="shared" si="7"/>
        <v>0</v>
      </c>
      <c r="E42" s="55">
        <f t="shared" si="7"/>
        <v>0</v>
      </c>
      <c r="F42" s="55">
        <f t="shared" si="7"/>
        <v>0</v>
      </c>
      <c r="G42" s="55">
        <f t="shared" si="7"/>
        <v>0</v>
      </c>
      <c r="H42" s="55">
        <f t="shared" si="7"/>
        <v>0</v>
      </c>
      <c r="I42" s="55">
        <f t="shared" si="7"/>
        <v>0</v>
      </c>
      <c r="J42" s="55">
        <f t="shared" si="7"/>
        <v>0</v>
      </c>
      <c r="K42" s="55">
        <f t="shared" si="7"/>
        <v>0</v>
      </c>
      <c r="L42" s="55">
        <f t="shared" si="7"/>
        <v>0</v>
      </c>
      <c r="M42" s="55">
        <f t="shared" si="7"/>
        <v>0</v>
      </c>
      <c r="N42" s="55">
        <f t="shared" si="7"/>
        <v>0</v>
      </c>
      <c r="O42" s="55">
        <f t="shared" si="7"/>
        <v>0</v>
      </c>
      <c r="P42" s="87"/>
      <c r="Q42" s="87"/>
      <c r="R42" s="87"/>
    </row>
    <row r="43" spans="1:18" ht="12" thickBot="1" x14ac:dyDescent="0.25">
      <c r="A43" s="54">
        <f>FEO!$K$5</f>
        <v>2032</v>
      </c>
      <c r="B43" s="55">
        <f t="shared" si="7"/>
        <v>6262.8336755646815</v>
      </c>
      <c r="C43" s="55">
        <f t="shared" si="7"/>
        <v>0</v>
      </c>
      <c r="D43" s="55">
        <f t="shared" si="7"/>
        <v>0</v>
      </c>
      <c r="E43" s="55">
        <f t="shared" si="7"/>
        <v>0</v>
      </c>
      <c r="F43" s="55">
        <f t="shared" si="7"/>
        <v>0</v>
      </c>
      <c r="G43" s="55">
        <f t="shared" si="7"/>
        <v>0</v>
      </c>
      <c r="H43" s="55">
        <f t="shared" si="7"/>
        <v>0</v>
      </c>
      <c r="I43" s="55">
        <f t="shared" si="7"/>
        <v>0</v>
      </c>
      <c r="J43" s="55">
        <f t="shared" si="7"/>
        <v>0</v>
      </c>
      <c r="K43" s="55">
        <f t="shared" si="7"/>
        <v>0</v>
      </c>
      <c r="L43" s="55">
        <f t="shared" si="7"/>
        <v>0</v>
      </c>
      <c r="M43" s="55">
        <f t="shared" si="7"/>
        <v>0</v>
      </c>
      <c r="N43" s="55">
        <f t="shared" si="7"/>
        <v>0</v>
      </c>
      <c r="O43" s="55">
        <f t="shared" si="7"/>
        <v>0</v>
      </c>
      <c r="P43" s="87"/>
      <c r="Q43" s="87"/>
      <c r="R43" s="87"/>
    </row>
    <row r="44" spans="1:18" ht="12" thickBot="1" x14ac:dyDescent="0.25">
      <c r="A44" s="54">
        <f>FEO!$L$5</f>
        <v>2033</v>
      </c>
      <c r="B44" s="55">
        <f t="shared" si="7"/>
        <v>6245.7221081451053</v>
      </c>
      <c r="C44" s="55">
        <f t="shared" si="7"/>
        <v>0</v>
      </c>
      <c r="D44" s="55">
        <f t="shared" si="7"/>
        <v>0</v>
      </c>
      <c r="E44" s="55">
        <f t="shared" si="7"/>
        <v>0</v>
      </c>
      <c r="F44" s="55">
        <f t="shared" si="7"/>
        <v>0</v>
      </c>
      <c r="G44" s="55">
        <f t="shared" si="7"/>
        <v>0</v>
      </c>
      <c r="H44" s="55">
        <f t="shared" si="7"/>
        <v>0</v>
      </c>
      <c r="I44" s="55">
        <f t="shared" si="7"/>
        <v>0</v>
      </c>
      <c r="J44" s="55">
        <f t="shared" si="7"/>
        <v>0</v>
      </c>
      <c r="K44" s="55">
        <f t="shared" si="7"/>
        <v>0</v>
      </c>
      <c r="L44" s="55">
        <f t="shared" si="7"/>
        <v>0</v>
      </c>
      <c r="M44" s="55">
        <f t="shared" si="7"/>
        <v>0</v>
      </c>
      <c r="N44" s="55">
        <f t="shared" si="7"/>
        <v>0</v>
      </c>
      <c r="O44" s="55">
        <f t="shared" si="7"/>
        <v>0</v>
      </c>
      <c r="P44" s="87"/>
      <c r="Q44" s="87"/>
      <c r="R44" s="87"/>
    </row>
    <row r="45" spans="1:18" ht="12" thickBot="1" x14ac:dyDescent="0.25">
      <c r="A45" s="54">
        <f>FEO!$M$5</f>
        <v>2034</v>
      </c>
      <c r="B45" s="55">
        <f t="shared" si="7"/>
        <v>6245.7221081451053</v>
      </c>
      <c r="C45" s="55">
        <f t="shared" si="7"/>
        <v>0</v>
      </c>
      <c r="D45" s="55">
        <f t="shared" si="7"/>
        <v>0</v>
      </c>
      <c r="E45" s="55">
        <f t="shared" si="7"/>
        <v>0</v>
      </c>
      <c r="F45" s="55">
        <f t="shared" si="7"/>
        <v>0</v>
      </c>
      <c r="G45" s="55">
        <f t="shared" si="7"/>
        <v>0</v>
      </c>
      <c r="H45" s="55">
        <f t="shared" si="7"/>
        <v>0</v>
      </c>
      <c r="I45" s="55">
        <f t="shared" si="7"/>
        <v>0</v>
      </c>
      <c r="J45" s="55">
        <f t="shared" si="7"/>
        <v>0</v>
      </c>
      <c r="K45" s="55">
        <f t="shared" si="7"/>
        <v>0</v>
      </c>
      <c r="L45" s="55">
        <f t="shared" si="7"/>
        <v>0</v>
      </c>
      <c r="M45" s="55">
        <f t="shared" si="7"/>
        <v>0</v>
      </c>
      <c r="N45" s="55">
        <f t="shared" si="7"/>
        <v>0</v>
      </c>
      <c r="O45" s="55">
        <f t="shared" si="7"/>
        <v>0</v>
      </c>
      <c r="P45" s="87"/>
      <c r="Q45" s="87"/>
      <c r="R45" s="87"/>
    </row>
    <row r="46" spans="1:18" ht="12" thickBot="1" x14ac:dyDescent="0.25">
      <c r="A46" s="54">
        <f>FEO!$N$5</f>
        <v>2035</v>
      </c>
      <c r="B46" s="55">
        <f t="shared" si="7"/>
        <v>6245.7221081451053</v>
      </c>
      <c r="C46" s="55">
        <f t="shared" si="7"/>
        <v>0</v>
      </c>
      <c r="D46" s="55">
        <f t="shared" si="7"/>
        <v>0</v>
      </c>
      <c r="E46" s="55">
        <f t="shared" si="7"/>
        <v>0</v>
      </c>
      <c r="F46" s="55">
        <f t="shared" si="7"/>
        <v>0</v>
      </c>
      <c r="G46" s="55">
        <f t="shared" si="7"/>
        <v>0</v>
      </c>
      <c r="H46" s="55">
        <f t="shared" si="7"/>
        <v>0</v>
      </c>
      <c r="I46" s="55">
        <f t="shared" si="7"/>
        <v>0</v>
      </c>
      <c r="J46" s="55">
        <f t="shared" si="7"/>
        <v>0</v>
      </c>
      <c r="K46" s="55">
        <f t="shared" si="7"/>
        <v>0</v>
      </c>
      <c r="L46" s="55">
        <f t="shared" si="7"/>
        <v>0</v>
      </c>
      <c r="M46" s="55">
        <f t="shared" si="7"/>
        <v>0</v>
      </c>
      <c r="N46" s="55">
        <f t="shared" si="7"/>
        <v>0</v>
      </c>
      <c r="O46" s="55">
        <f t="shared" si="7"/>
        <v>0</v>
      </c>
      <c r="P46" s="87"/>
      <c r="Q46" s="87"/>
      <c r="R46" s="87"/>
    </row>
    <row r="47" spans="1:18" ht="12" thickBot="1" x14ac:dyDescent="0.25">
      <c r="A47" s="54">
        <f>FEO!$O$5</f>
        <v>2036</v>
      </c>
      <c r="B47" s="55">
        <f t="shared" si="7"/>
        <v>6262.8336755646815</v>
      </c>
      <c r="C47" s="55">
        <f t="shared" si="7"/>
        <v>0</v>
      </c>
      <c r="D47" s="55">
        <f t="shared" si="7"/>
        <v>0</v>
      </c>
      <c r="E47" s="55">
        <f t="shared" si="7"/>
        <v>0</v>
      </c>
      <c r="F47" s="55">
        <f t="shared" si="7"/>
        <v>0</v>
      </c>
      <c r="G47" s="55">
        <f t="shared" si="7"/>
        <v>0</v>
      </c>
      <c r="H47" s="55">
        <f t="shared" si="7"/>
        <v>0</v>
      </c>
      <c r="I47" s="55">
        <f t="shared" si="7"/>
        <v>0</v>
      </c>
      <c r="J47" s="55">
        <f t="shared" si="7"/>
        <v>0</v>
      </c>
      <c r="K47" s="55">
        <f t="shared" si="7"/>
        <v>0</v>
      </c>
      <c r="L47" s="55">
        <f t="shared" si="7"/>
        <v>0</v>
      </c>
      <c r="M47" s="55">
        <f t="shared" si="7"/>
        <v>0</v>
      </c>
      <c r="N47" s="55">
        <f t="shared" si="7"/>
        <v>0</v>
      </c>
      <c r="O47" s="55">
        <f t="shared" si="7"/>
        <v>0</v>
      </c>
      <c r="P47" s="87"/>
      <c r="Q47" s="87"/>
      <c r="R47" s="87"/>
    </row>
    <row r="48" spans="1:18" ht="12" thickBot="1" x14ac:dyDescent="0.25">
      <c r="A48" s="54">
        <f>FEO!$P$5</f>
        <v>2037</v>
      </c>
      <c r="B48" s="55">
        <f t="shared" si="7"/>
        <v>6245.7221081451053</v>
      </c>
      <c r="C48" s="55">
        <f t="shared" si="7"/>
        <v>0</v>
      </c>
      <c r="D48" s="55">
        <f t="shared" si="7"/>
        <v>0</v>
      </c>
      <c r="E48" s="55">
        <f t="shared" si="7"/>
        <v>0</v>
      </c>
      <c r="F48" s="55">
        <f t="shared" si="7"/>
        <v>0</v>
      </c>
      <c r="G48" s="55">
        <f t="shared" si="7"/>
        <v>0</v>
      </c>
      <c r="H48" s="55">
        <f t="shared" si="7"/>
        <v>0</v>
      </c>
      <c r="I48" s="55">
        <f t="shared" si="7"/>
        <v>0</v>
      </c>
      <c r="J48" s="55">
        <f t="shared" si="7"/>
        <v>0</v>
      </c>
      <c r="K48" s="55">
        <f t="shared" si="7"/>
        <v>0</v>
      </c>
      <c r="L48" s="55">
        <f t="shared" si="7"/>
        <v>0</v>
      </c>
      <c r="M48" s="55">
        <f t="shared" si="7"/>
        <v>0</v>
      </c>
      <c r="N48" s="55">
        <f t="shared" si="7"/>
        <v>0</v>
      </c>
      <c r="O48" s="55">
        <f t="shared" si="7"/>
        <v>0</v>
      </c>
      <c r="P48" s="87"/>
      <c r="Q48" s="87"/>
      <c r="R48" s="87"/>
    </row>
    <row r="49" spans="1:18" ht="12" thickBot="1" x14ac:dyDescent="0.25">
      <c r="A49" s="54">
        <f>FEO!$Q$5</f>
        <v>2038</v>
      </c>
      <c r="B49" s="55">
        <f t="shared" si="7"/>
        <v>6245.7221081451053</v>
      </c>
      <c r="C49" s="55">
        <f t="shared" si="7"/>
        <v>0</v>
      </c>
      <c r="D49" s="55">
        <f t="shared" si="7"/>
        <v>0</v>
      </c>
      <c r="E49" s="55">
        <f t="shared" si="7"/>
        <v>0</v>
      </c>
      <c r="F49" s="55">
        <f t="shared" si="7"/>
        <v>0</v>
      </c>
      <c r="G49" s="55">
        <f t="shared" si="7"/>
        <v>0</v>
      </c>
      <c r="H49" s="55">
        <f t="shared" si="7"/>
        <v>0</v>
      </c>
      <c r="I49" s="55">
        <f t="shared" si="7"/>
        <v>0</v>
      </c>
      <c r="J49" s="55">
        <f t="shared" si="7"/>
        <v>0</v>
      </c>
      <c r="K49" s="55">
        <f t="shared" si="7"/>
        <v>0</v>
      </c>
      <c r="L49" s="55">
        <f t="shared" si="7"/>
        <v>0</v>
      </c>
      <c r="M49" s="55">
        <f t="shared" si="7"/>
        <v>0</v>
      </c>
      <c r="N49" s="55">
        <f t="shared" si="7"/>
        <v>0</v>
      </c>
      <c r="O49" s="55">
        <f t="shared" si="7"/>
        <v>0</v>
      </c>
      <c r="P49" s="87"/>
      <c r="Q49" s="87"/>
      <c r="R49" s="87"/>
    </row>
    <row r="50" spans="1:18" ht="12" thickBot="1" x14ac:dyDescent="0.25">
      <c r="A50" s="54">
        <f>FEO!$R$5</f>
        <v>2039</v>
      </c>
      <c r="B50" s="55">
        <f t="shared" si="7"/>
        <v>6245.7221081451053</v>
      </c>
      <c r="C50" s="55">
        <f t="shared" si="7"/>
        <v>0</v>
      </c>
      <c r="D50" s="55">
        <f t="shared" si="7"/>
        <v>0</v>
      </c>
      <c r="E50" s="55">
        <f t="shared" si="7"/>
        <v>0</v>
      </c>
      <c r="F50" s="55">
        <f t="shared" si="7"/>
        <v>0</v>
      </c>
      <c r="G50" s="55">
        <f t="shared" si="7"/>
        <v>0</v>
      </c>
      <c r="H50" s="55">
        <f t="shared" si="7"/>
        <v>0</v>
      </c>
      <c r="I50" s="55">
        <f t="shared" si="7"/>
        <v>0</v>
      </c>
      <c r="J50" s="55">
        <f t="shared" si="7"/>
        <v>0</v>
      </c>
      <c r="K50" s="55">
        <f t="shared" si="7"/>
        <v>0</v>
      </c>
      <c r="L50" s="55">
        <f t="shared" si="7"/>
        <v>0</v>
      </c>
      <c r="M50" s="55">
        <f t="shared" si="7"/>
        <v>0</v>
      </c>
      <c r="N50" s="55">
        <f t="shared" si="7"/>
        <v>0</v>
      </c>
      <c r="O50" s="55">
        <f t="shared" si="7"/>
        <v>0</v>
      </c>
      <c r="P50" s="87"/>
      <c r="Q50" s="87"/>
      <c r="R50" s="87"/>
    </row>
    <row r="51" spans="1:18" ht="12" thickBot="1" x14ac:dyDescent="0.25">
      <c r="A51" s="54">
        <f>FEO!$S$5</f>
        <v>2040</v>
      </c>
      <c r="B51" s="55">
        <f t="shared" si="7"/>
        <v>6262.8336755646815</v>
      </c>
      <c r="C51" s="55">
        <f t="shared" si="7"/>
        <v>0</v>
      </c>
      <c r="D51" s="55">
        <f t="shared" si="7"/>
        <v>0</v>
      </c>
      <c r="E51" s="55">
        <f t="shared" si="7"/>
        <v>0</v>
      </c>
      <c r="F51" s="55">
        <f t="shared" si="7"/>
        <v>0</v>
      </c>
      <c r="G51" s="55">
        <f t="shared" si="7"/>
        <v>0</v>
      </c>
      <c r="H51" s="55">
        <f t="shared" si="7"/>
        <v>0</v>
      </c>
      <c r="I51" s="55">
        <f t="shared" si="7"/>
        <v>0</v>
      </c>
      <c r="J51" s="55">
        <f t="shared" si="7"/>
        <v>0</v>
      </c>
      <c r="K51" s="55">
        <f t="shared" si="7"/>
        <v>0</v>
      </c>
      <c r="L51" s="55">
        <f t="shared" si="7"/>
        <v>0</v>
      </c>
      <c r="M51" s="55">
        <f t="shared" si="7"/>
        <v>0</v>
      </c>
      <c r="N51" s="55">
        <f t="shared" si="7"/>
        <v>0</v>
      </c>
      <c r="O51" s="55">
        <f t="shared" si="7"/>
        <v>0</v>
      </c>
      <c r="P51" s="87"/>
      <c r="Q51" s="87"/>
      <c r="R51" s="87"/>
    </row>
    <row r="52" spans="1:18" ht="12" thickBot="1" x14ac:dyDescent="0.25">
      <c r="A52" s="54">
        <f>FEO!$T$5</f>
        <v>2041</v>
      </c>
      <c r="B52" s="55">
        <f t="shared" si="7"/>
        <v>6245.7221081451053</v>
      </c>
      <c r="C52" s="55">
        <f t="shared" si="7"/>
        <v>0</v>
      </c>
      <c r="D52" s="55">
        <f t="shared" si="7"/>
        <v>0</v>
      </c>
      <c r="E52" s="55">
        <f t="shared" si="7"/>
        <v>0</v>
      </c>
      <c r="F52" s="55">
        <f t="shared" si="7"/>
        <v>0</v>
      </c>
      <c r="G52" s="55">
        <f t="shared" si="7"/>
        <v>0</v>
      </c>
      <c r="H52" s="55">
        <f t="shared" si="7"/>
        <v>0</v>
      </c>
      <c r="I52" s="55">
        <f t="shared" si="7"/>
        <v>0</v>
      </c>
      <c r="J52" s="55">
        <f t="shared" si="7"/>
        <v>0</v>
      </c>
      <c r="K52" s="55">
        <f t="shared" si="7"/>
        <v>0</v>
      </c>
      <c r="L52" s="55">
        <f t="shared" si="7"/>
        <v>0</v>
      </c>
      <c r="M52" s="55">
        <f t="shared" si="7"/>
        <v>0</v>
      </c>
      <c r="N52" s="55">
        <f t="shared" si="7"/>
        <v>0</v>
      </c>
      <c r="O52" s="55">
        <f t="shared" si="7"/>
        <v>0</v>
      </c>
      <c r="P52" s="87"/>
      <c r="Q52" s="87"/>
      <c r="R52" s="87"/>
    </row>
    <row r="53" spans="1:18" ht="12" thickBot="1" x14ac:dyDescent="0.25">
      <c r="A53" s="54">
        <f>FEO!$U$5</f>
        <v>2042</v>
      </c>
      <c r="B53" s="55">
        <f t="shared" si="7"/>
        <v>6245.7221081451053</v>
      </c>
      <c r="C53" s="55">
        <f t="shared" si="7"/>
        <v>0</v>
      </c>
      <c r="D53" s="55">
        <f t="shared" si="7"/>
        <v>0</v>
      </c>
      <c r="E53" s="55">
        <f t="shared" si="7"/>
        <v>0</v>
      </c>
      <c r="F53" s="55">
        <f t="shared" si="7"/>
        <v>0</v>
      </c>
      <c r="G53" s="55">
        <f t="shared" si="7"/>
        <v>0</v>
      </c>
      <c r="H53" s="55">
        <f t="shared" si="7"/>
        <v>0</v>
      </c>
      <c r="I53" s="55">
        <f t="shared" si="7"/>
        <v>0</v>
      </c>
      <c r="J53" s="55">
        <f t="shared" si="7"/>
        <v>0</v>
      </c>
      <c r="K53" s="55">
        <f t="shared" si="7"/>
        <v>0</v>
      </c>
      <c r="L53" s="55">
        <f t="shared" si="7"/>
        <v>0</v>
      </c>
      <c r="M53" s="55">
        <f t="shared" si="7"/>
        <v>0</v>
      </c>
      <c r="N53" s="55">
        <f t="shared" si="7"/>
        <v>0</v>
      </c>
      <c r="O53" s="55">
        <f t="shared" si="7"/>
        <v>0</v>
      </c>
      <c r="P53" s="87"/>
      <c r="Q53" s="87"/>
      <c r="R53" s="87"/>
    </row>
    <row r="54" spans="1:18" ht="12" thickBot="1" x14ac:dyDescent="0.25">
      <c r="A54" s="54">
        <f>FEO!$V$5</f>
        <v>2043</v>
      </c>
      <c r="B54" s="55">
        <f t="shared" si="7"/>
        <v>5920.6023271731683</v>
      </c>
      <c r="C54" s="55">
        <f t="shared" si="7"/>
        <v>0</v>
      </c>
      <c r="D54" s="55">
        <f t="shared" si="7"/>
        <v>0</v>
      </c>
      <c r="E54" s="55">
        <f t="shared" si="7"/>
        <v>0</v>
      </c>
      <c r="F54" s="55">
        <f t="shared" si="7"/>
        <v>0</v>
      </c>
      <c r="G54" s="55">
        <f t="shared" si="7"/>
        <v>0</v>
      </c>
      <c r="H54" s="55">
        <f t="shared" si="7"/>
        <v>0</v>
      </c>
      <c r="I54" s="55">
        <f t="shared" si="7"/>
        <v>0</v>
      </c>
      <c r="J54" s="55">
        <f t="shared" si="7"/>
        <v>0</v>
      </c>
      <c r="K54" s="55">
        <f t="shared" si="7"/>
        <v>0</v>
      </c>
      <c r="L54" s="55">
        <f t="shared" si="7"/>
        <v>0</v>
      </c>
      <c r="M54" s="55">
        <f t="shared" si="7"/>
        <v>0</v>
      </c>
      <c r="N54" s="55">
        <f t="shared" si="7"/>
        <v>0</v>
      </c>
      <c r="O54" s="55">
        <f t="shared" si="7"/>
        <v>0</v>
      </c>
      <c r="P54" s="87"/>
      <c r="Q54" s="87"/>
      <c r="R54" s="87"/>
    </row>
    <row r="55" spans="1:18" ht="10.8" thickBot="1" x14ac:dyDescent="0.25"/>
    <row r="56" spans="1:18" ht="12" thickBot="1" x14ac:dyDescent="0.25">
      <c r="A56" s="116" t="s">
        <v>143</v>
      </c>
      <c r="B56" s="77">
        <f t="shared" ref="B56:O56" si="8">SUM(B39:B54)</f>
        <v>93788.501026694023</v>
      </c>
      <c r="C56" s="77">
        <f t="shared" si="8"/>
        <v>0</v>
      </c>
      <c r="D56" s="77">
        <f t="shared" si="8"/>
        <v>0</v>
      </c>
      <c r="E56" s="77">
        <f t="shared" si="8"/>
        <v>0</v>
      </c>
      <c r="F56" s="77">
        <f t="shared" si="8"/>
        <v>0</v>
      </c>
      <c r="G56" s="77">
        <f t="shared" si="8"/>
        <v>0</v>
      </c>
      <c r="H56" s="77">
        <f t="shared" si="8"/>
        <v>0</v>
      </c>
      <c r="I56" s="77">
        <f t="shared" si="8"/>
        <v>0</v>
      </c>
      <c r="J56" s="77">
        <f t="shared" si="8"/>
        <v>0</v>
      </c>
      <c r="K56" s="77">
        <f t="shared" si="8"/>
        <v>0</v>
      </c>
      <c r="L56" s="77">
        <f t="shared" si="8"/>
        <v>0</v>
      </c>
      <c r="M56" s="77">
        <f t="shared" si="8"/>
        <v>0</v>
      </c>
      <c r="N56" s="77">
        <f t="shared" si="8"/>
        <v>0</v>
      </c>
      <c r="O56" s="77">
        <f t="shared" si="8"/>
        <v>0</v>
      </c>
    </row>
    <row r="57" spans="1:18" ht="10.8" thickBot="1" x14ac:dyDescent="0.25"/>
    <row r="58" spans="1:18" ht="12" thickBot="1" x14ac:dyDescent="0.25">
      <c r="A58" s="116" t="s">
        <v>311</v>
      </c>
      <c r="B58" s="77">
        <f t="shared" ref="B58:O58" si="9">B29-B56</f>
        <v>6211.4989733059774</v>
      </c>
      <c r="C58" s="77">
        <f t="shared" si="9"/>
        <v>0</v>
      </c>
      <c r="D58" s="77">
        <f t="shared" si="9"/>
        <v>0</v>
      </c>
      <c r="E58" s="77">
        <f t="shared" si="9"/>
        <v>0</v>
      </c>
      <c r="F58" s="77">
        <f t="shared" si="9"/>
        <v>0</v>
      </c>
      <c r="G58" s="77">
        <f t="shared" si="9"/>
        <v>0</v>
      </c>
      <c r="H58" s="77">
        <f t="shared" si="9"/>
        <v>0</v>
      </c>
      <c r="I58" s="77">
        <f t="shared" si="9"/>
        <v>0</v>
      </c>
      <c r="J58" s="77">
        <f t="shared" si="9"/>
        <v>0</v>
      </c>
      <c r="K58" s="77">
        <f t="shared" si="9"/>
        <v>0</v>
      </c>
      <c r="L58" s="77">
        <f t="shared" si="9"/>
        <v>0</v>
      </c>
      <c r="M58" s="77">
        <f t="shared" si="9"/>
        <v>0</v>
      </c>
      <c r="N58" s="77">
        <f t="shared" si="9"/>
        <v>0</v>
      </c>
      <c r="O58" s="77">
        <f t="shared" si="9"/>
        <v>0</v>
      </c>
    </row>
    <row r="59" spans="1:18" x14ac:dyDescent="0.2">
      <c r="A59" t="s">
        <v>205</v>
      </c>
      <c r="B59" s="237">
        <f t="shared" ref="B59:O59" si="10">(B32-B33)*B34-B58</f>
        <v>-2.2737367544323206E-11</v>
      </c>
      <c r="C59" s="237">
        <f t="shared" si="10"/>
        <v>0</v>
      </c>
      <c r="D59" s="237">
        <f t="shared" si="10"/>
        <v>0</v>
      </c>
      <c r="E59" s="237">
        <f t="shared" si="10"/>
        <v>0</v>
      </c>
      <c r="F59" s="237">
        <f t="shared" si="10"/>
        <v>0</v>
      </c>
      <c r="G59" s="237">
        <f t="shared" si="10"/>
        <v>0</v>
      </c>
      <c r="H59" s="237">
        <f t="shared" si="10"/>
        <v>0</v>
      </c>
      <c r="I59" s="237">
        <f t="shared" si="10"/>
        <v>0</v>
      </c>
      <c r="J59" s="237">
        <f t="shared" si="10"/>
        <v>0</v>
      </c>
      <c r="K59" s="237">
        <f t="shared" si="10"/>
        <v>0</v>
      </c>
      <c r="L59" s="237">
        <f t="shared" si="10"/>
        <v>0</v>
      </c>
      <c r="M59" s="237">
        <f t="shared" si="10"/>
        <v>0</v>
      </c>
      <c r="N59" s="237">
        <f t="shared" si="10"/>
        <v>0</v>
      </c>
      <c r="O59" s="237">
        <f t="shared" si="10"/>
        <v>0</v>
      </c>
    </row>
    <row r="60" spans="1:18" ht="10.8" thickBot="1" x14ac:dyDescent="0.25">
      <c r="F60" s="115"/>
      <c r="Q60" s="110"/>
    </row>
    <row r="61" spans="1:18" ht="12" thickBot="1" x14ac:dyDescent="0.25">
      <c r="A61" s="116" t="s">
        <v>156</v>
      </c>
      <c r="B61" s="77">
        <f t="shared" ref="B61:O62" si="11">IF(B$8=$A61,SUM(B$39:B$54),0)</f>
        <v>0</v>
      </c>
      <c r="C61" s="77">
        <f t="shared" si="11"/>
        <v>0</v>
      </c>
      <c r="D61" s="77">
        <f t="shared" si="11"/>
        <v>0</v>
      </c>
      <c r="E61" s="77">
        <f t="shared" si="11"/>
        <v>0</v>
      </c>
      <c r="F61" s="77">
        <f t="shared" si="11"/>
        <v>0</v>
      </c>
      <c r="G61" s="77">
        <f t="shared" si="11"/>
        <v>0</v>
      </c>
      <c r="H61" s="77">
        <f t="shared" si="11"/>
        <v>0</v>
      </c>
      <c r="I61" s="77">
        <f t="shared" si="11"/>
        <v>0</v>
      </c>
      <c r="J61" s="77">
        <f t="shared" si="11"/>
        <v>0</v>
      </c>
      <c r="K61" s="77">
        <f t="shared" si="11"/>
        <v>0</v>
      </c>
      <c r="L61" s="77">
        <f t="shared" si="11"/>
        <v>0</v>
      </c>
      <c r="M61" s="77">
        <f t="shared" si="11"/>
        <v>0</v>
      </c>
      <c r="N61" s="77">
        <f t="shared" si="11"/>
        <v>0</v>
      </c>
      <c r="O61" s="77">
        <f t="shared" si="11"/>
        <v>0</v>
      </c>
      <c r="Q61" s="110"/>
    </row>
    <row r="62" spans="1:18" ht="12" thickBot="1" x14ac:dyDescent="0.25">
      <c r="A62" s="116" t="s">
        <v>219</v>
      </c>
      <c r="B62" s="77">
        <f t="shared" si="11"/>
        <v>0</v>
      </c>
      <c r="C62" s="77">
        <f t="shared" si="11"/>
        <v>0</v>
      </c>
      <c r="D62" s="77">
        <f t="shared" si="11"/>
        <v>0</v>
      </c>
      <c r="E62" s="77">
        <f t="shared" si="11"/>
        <v>0</v>
      </c>
      <c r="F62" s="77">
        <f t="shared" si="11"/>
        <v>0</v>
      </c>
      <c r="G62" s="77">
        <f t="shared" si="11"/>
        <v>0</v>
      </c>
      <c r="H62" s="77">
        <f t="shared" si="11"/>
        <v>0</v>
      </c>
      <c r="I62" s="77">
        <f t="shared" si="11"/>
        <v>0</v>
      </c>
      <c r="J62" s="77">
        <f t="shared" si="11"/>
        <v>0</v>
      </c>
      <c r="K62" s="77">
        <f t="shared" si="11"/>
        <v>0</v>
      </c>
      <c r="L62" s="77">
        <f t="shared" si="11"/>
        <v>0</v>
      </c>
      <c r="M62" s="77">
        <f t="shared" si="11"/>
        <v>0</v>
      </c>
      <c r="N62" s="77">
        <f t="shared" si="11"/>
        <v>0</v>
      </c>
      <c r="O62" s="77">
        <f t="shared" si="11"/>
        <v>0</v>
      </c>
      <c r="Q62" s="110"/>
    </row>
    <row r="63" spans="1:18" x14ac:dyDescent="0.2">
      <c r="B63" s="258"/>
      <c r="C63" s="258"/>
      <c r="D63" s="258"/>
      <c r="E63" s="258"/>
      <c r="F63" s="258"/>
      <c r="G63" s="258"/>
      <c r="I63" s="111"/>
      <c r="Q63" s="110"/>
    </row>
    <row r="64" spans="1:18" ht="11.4" x14ac:dyDescent="0.2">
      <c r="A64" s="545" t="s">
        <v>480</v>
      </c>
      <c r="F64" s="111"/>
      <c r="G64" s="111"/>
      <c r="I64" s="111"/>
      <c r="Q64" s="110"/>
    </row>
    <row r="65" spans="1:17" x14ac:dyDescent="0.2">
      <c r="D65" s="87"/>
      <c r="E65" s="87"/>
      <c r="F65" s="111"/>
      <c r="G65" s="111"/>
      <c r="I65" s="113"/>
      <c r="J65" s="87"/>
      <c r="Q65" s="110"/>
    </row>
    <row r="66" spans="1:17" ht="12" thickBot="1" x14ac:dyDescent="0.25">
      <c r="A66" s="52" t="s">
        <v>142</v>
      </c>
      <c r="D66" s="87"/>
      <c r="E66" s="87"/>
      <c r="F66" s="111"/>
      <c r="G66" s="111"/>
      <c r="I66" s="113"/>
      <c r="J66" s="87"/>
      <c r="Q66" s="110"/>
    </row>
    <row r="67" spans="1:17" ht="12" thickBot="1" x14ac:dyDescent="0.25">
      <c r="A67" s="54">
        <f>FEO!$G$5</f>
        <v>2028</v>
      </c>
      <c r="B67" s="55">
        <f>IF(YEAR(B$30)=$A67,B$29,0)-B39</f>
        <v>99623.545516769329</v>
      </c>
      <c r="C67" s="55">
        <f t="shared" ref="C67:O67" si="12">IF(YEAR(C$30)=$A67,C$29,0)-C39</f>
        <v>0</v>
      </c>
      <c r="D67" s="55">
        <f t="shared" si="12"/>
        <v>0</v>
      </c>
      <c r="E67" s="55">
        <f t="shared" si="12"/>
        <v>0</v>
      </c>
      <c r="F67" s="55">
        <f t="shared" si="12"/>
        <v>0</v>
      </c>
      <c r="G67" s="55">
        <f t="shared" si="12"/>
        <v>0</v>
      </c>
      <c r="H67" s="55">
        <f t="shared" si="12"/>
        <v>0</v>
      </c>
      <c r="I67" s="55">
        <f t="shared" si="12"/>
        <v>0</v>
      </c>
      <c r="J67" s="55">
        <f t="shared" si="12"/>
        <v>0</v>
      </c>
      <c r="K67" s="55">
        <f t="shared" si="12"/>
        <v>0</v>
      </c>
      <c r="L67" s="55">
        <f t="shared" si="12"/>
        <v>0</v>
      </c>
      <c r="M67" s="55">
        <f t="shared" si="12"/>
        <v>0</v>
      </c>
      <c r="N67" s="55">
        <f t="shared" si="12"/>
        <v>0</v>
      </c>
      <c r="O67" s="55">
        <f t="shared" si="12"/>
        <v>0</v>
      </c>
      <c r="Q67" s="110"/>
    </row>
    <row r="68" spans="1:17" ht="12" thickBot="1" x14ac:dyDescent="0.25">
      <c r="A68" s="54">
        <f>FEO!$H$5</f>
        <v>2029</v>
      </c>
      <c r="B68" s="55">
        <f>IF(YEAR(B$30)=$A68,B$29,0)+B67-B40</f>
        <v>93377.82340862423</v>
      </c>
      <c r="C68" s="55">
        <f t="shared" ref="C68:O82" si="13">IF(YEAR(C$30)=$A68,C$29,0)+C67-C40</f>
        <v>0</v>
      </c>
      <c r="D68" s="55">
        <f t="shared" si="13"/>
        <v>0</v>
      </c>
      <c r="E68" s="55">
        <f t="shared" si="13"/>
        <v>0</v>
      </c>
      <c r="F68" s="55">
        <f t="shared" si="13"/>
        <v>0</v>
      </c>
      <c r="G68" s="55">
        <f t="shared" si="13"/>
        <v>0</v>
      </c>
      <c r="H68" s="55">
        <f t="shared" si="13"/>
        <v>0</v>
      </c>
      <c r="I68" s="55">
        <f t="shared" si="13"/>
        <v>0</v>
      </c>
      <c r="J68" s="55">
        <f t="shared" si="13"/>
        <v>0</v>
      </c>
      <c r="K68" s="55">
        <f t="shared" si="13"/>
        <v>0</v>
      </c>
      <c r="L68" s="55">
        <f t="shared" si="13"/>
        <v>0</v>
      </c>
      <c r="M68" s="55">
        <f t="shared" si="13"/>
        <v>0</v>
      </c>
      <c r="N68" s="55">
        <f t="shared" si="13"/>
        <v>0</v>
      </c>
      <c r="O68" s="55">
        <f t="shared" si="13"/>
        <v>0</v>
      </c>
      <c r="Q68" s="110"/>
    </row>
    <row r="69" spans="1:17" ht="12" thickBot="1" x14ac:dyDescent="0.25">
      <c r="A69" s="54">
        <f>FEO!$I$5</f>
        <v>2030</v>
      </c>
      <c r="B69" s="55">
        <f t="shared" ref="B69:B82" si="14">IF(YEAR(B$30)=$A69,B$29,0)+B68-B41</f>
        <v>87132.101300479131</v>
      </c>
      <c r="C69" s="55">
        <f t="shared" si="13"/>
        <v>0</v>
      </c>
      <c r="D69" s="55">
        <f t="shared" si="13"/>
        <v>0</v>
      </c>
      <c r="E69" s="55">
        <f t="shared" si="13"/>
        <v>0</v>
      </c>
      <c r="F69" s="55">
        <f t="shared" si="13"/>
        <v>0</v>
      </c>
      <c r="G69" s="55">
        <f t="shared" si="13"/>
        <v>0</v>
      </c>
      <c r="H69" s="55">
        <f t="shared" si="13"/>
        <v>0</v>
      </c>
      <c r="I69" s="55">
        <f t="shared" si="13"/>
        <v>0</v>
      </c>
      <c r="J69" s="55">
        <f t="shared" si="13"/>
        <v>0</v>
      </c>
      <c r="K69" s="55">
        <f t="shared" si="13"/>
        <v>0</v>
      </c>
      <c r="L69" s="55">
        <f t="shared" si="13"/>
        <v>0</v>
      </c>
      <c r="M69" s="55">
        <f t="shared" si="13"/>
        <v>0</v>
      </c>
      <c r="N69" s="55">
        <f t="shared" si="13"/>
        <v>0</v>
      </c>
      <c r="O69" s="55">
        <f t="shared" si="13"/>
        <v>0</v>
      </c>
      <c r="Q69" s="110"/>
    </row>
    <row r="70" spans="1:17" ht="12" thickBot="1" x14ac:dyDescent="0.25">
      <c r="A70" s="54">
        <f>FEO!$J$5</f>
        <v>2031</v>
      </c>
      <c r="B70" s="55">
        <f t="shared" si="14"/>
        <v>80886.379192334032</v>
      </c>
      <c r="C70" s="55">
        <f t="shared" si="13"/>
        <v>0</v>
      </c>
      <c r="D70" s="55">
        <f t="shared" si="13"/>
        <v>0</v>
      </c>
      <c r="E70" s="55">
        <f t="shared" si="13"/>
        <v>0</v>
      </c>
      <c r="F70" s="55">
        <f t="shared" si="13"/>
        <v>0</v>
      </c>
      <c r="G70" s="55">
        <f t="shared" si="13"/>
        <v>0</v>
      </c>
      <c r="H70" s="55">
        <f t="shared" si="13"/>
        <v>0</v>
      </c>
      <c r="I70" s="55">
        <f t="shared" si="13"/>
        <v>0</v>
      </c>
      <c r="J70" s="55">
        <f t="shared" si="13"/>
        <v>0</v>
      </c>
      <c r="K70" s="55">
        <f t="shared" si="13"/>
        <v>0</v>
      </c>
      <c r="L70" s="55">
        <f t="shared" si="13"/>
        <v>0</v>
      </c>
      <c r="M70" s="55">
        <f t="shared" si="13"/>
        <v>0</v>
      </c>
      <c r="N70" s="55">
        <f t="shared" si="13"/>
        <v>0</v>
      </c>
      <c r="O70" s="55">
        <f t="shared" si="13"/>
        <v>0</v>
      </c>
      <c r="Q70" s="110"/>
    </row>
    <row r="71" spans="1:17" ht="12" thickBot="1" x14ac:dyDescent="0.25">
      <c r="A71" s="54">
        <f>FEO!$K$5</f>
        <v>2032</v>
      </c>
      <c r="B71" s="55">
        <f t="shared" si="14"/>
        <v>74623.545516769344</v>
      </c>
      <c r="C71" s="55">
        <f t="shared" si="13"/>
        <v>0</v>
      </c>
      <c r="D71" s="55">
        <f t="shared" si="13"/>
        <v>0</v>
      </c>
      <c r="E71" s="55">
        <f t="shared" si="13"/>
        <v>0</v>
      </c>
      <c r="F71" s="55">
        <f t="shared" si="13"/>
        <v>0</v>
      </c>
      <c r="G71" s="55">
        <f t="shared" si="13"/>
        <v>0</v>
      </c>
      <c r="H71" s="55">
        <f t="shared" si="13"/>
        <v>0</v>
      </c>
      <c r="I71" s="55">
        <f t="shared" si="13"/>
        <v>0</v>
      </c>
      <c r="J71" s="55">
        <f t="shared" si="13"/>
        <v>0</v>
      </c>
      <c r="K71" s="55">
        <f t="shared" si="13"/>
        <v>0</v>
      </c>
      <c r="L71" s="55">
        <f t="shared" si="13"/>
        <v>0</v>
      </c>
      <c r="M71" s="55">
        <f t="shared" si="13"/>
        <v>0</v>
      </c>
      <c r="N71" s="55">
        <f t="shared" si="13"/>
        <v>0</v>
      </c>
      <c r="O71" s="55">
        <f t="shared" si="13"/>
        <v>0</v>
      </c>
      <c r="Q71" s="110"/>
    </row>
    <row r="72" spans="1:17" ht="12" thickBot="1" x14ac:dyDescent="0.25">
      <c r="A72" s="54">
        <f>FEO!$L$5</f>
        <v>2033</v>
      </c>
      <c r="B72" s="55">
        <f t="shared" si="14"/>
        <v>68377.823408624245</v>
      </c>
      <c r="C72" s="55">
        <f t="shared" si="13"/>
        <v>0</v>
      </c>
      <c r="D72" s="55">
        <f t="shared" si="13"/>
        <v>0</v>
      </c>
      <c r="E72" s="55">
        <f t="shared" si="13"/>
        <v>0</v>
      </c>
      <c r="F72" s="55">
        <f t="shared" si="13"/>
        <v>0</v>
      </c>
      <c r="G72" s="55">
        <f t="shared" si="13"/>
        <v>0</v>
      </c>
      <c r="H72" s="55">
        <f t="shared" si="13"/>
        <v>0</v>
      </c>
      <c r="I72" s="55">
        <f t="shared" si="13"/>
        <v>0</v>
      </c>
      <c r="J72" s="55">
        <f t="shared" si="13"/>
        <v>0</v>
      </c>
      <c r="K72" s="55">
        <f t="shared" si="13"/>
        <v>0</v>
      </c>
      <c r="L72" s="55">
        <f t="shared" si="13"/>
        <v>0</v>
      </c>
      <c r="M72" s="55">
        <f t="shared" si="13"/>
        <v>0</v>
      </c>
      <c r="N72" s="55">
        <f t="shared" si="13"/>
        <v>0</v>
      </c>
      <c r="O72" s="55">
        <f t="shared" si="13"/>
        <v>0</v>
      </c>
      <c r="Q72" s="110"/>
    </row>
    <row r="73" spans="1:17" ht="12" thickBot="1" x14ac:dyDescent="0.25">
      <c r="A73" s="54">
        <f>FEO!$M$5</f>
        <v>2034</v>
      </c>
      <c r="B73" s="55">
        <f t="shared" si="14"/>
        <v>62132.101300479138</v>
      </c>
      <c r="C73" s="55">
        <f t="shared" si="13"/>
        <v>0</v>
      </c>
      <c r="D73" s="55">
        <f t="shared" si="13"/>
        <v>0</v>
      </c>
      <c r="E73" s="55">
        <f t="shared" si="13"/>
        <v>0</v>
      </c>
      <c r="F73" s="55">
        <f t="shared" si="13"/>
        <v>0</v>
      </c>
      <c r="G73" s="55">
        <f t="shared" si="13"/>
        <v>0</v>
      </c>
      <c r="H73" s="55">
        <f t="shared" si="13"/>
        <v>0</v>
      </c>
      <c r="I73" s="55">
        <f t="shared" si="13"/>
        <v>0</v>
      </c>
      <c r="J73" s="55">
        <f t="shared" si="13"/>
        <v>0</v>
      </c>
      <c r="K73" s="55">
        <f t="shared" si="13"/>
        <v>0</v>
      </c>
      <c r="L73" s="55">
        <f t="shared" si="13"/>
        <v>0</v>
      </c>
      <c r="M73" s="55">
        <f t="shared" si="13"/>
        <v>0</v>
      </c>
      <c r="N73" s="55">
        <f t="shared" si="13"/>
        <v>0</v>
      </c>
      <c r="O73" s="55">
        <f t="shared" si="13"/>
        <v>0</v>
      </c>
      <c r="Q73" s="110"/>
    </row>
    <row r="74" spans="1:17" ht="12" thickBot="1" x14ac:dyDescent="0.25">
      <c r="A74" s="54">
        <f>FEO!$N$5</f>
        <v>2035</v>
      </c>
      <c r="B74" s="55">
        <f t="shared" si="14"/>
        <v>55886.379192334032</v>
      </c>
      <c r="C74" s="55">
        <f t="shared" si="13"/>
        <v>0</v>
      </c>
      <c r="D74" s="55">
        <f t="shared" si="13"/>
        <v>0</v>
      </c>
      <c r="E74" s="55">
        <f t="shared" si="13"/>
        <v>0</v>
      </c>
      <c r="F74" s="55">
        <f t="shared" si="13"/>
        <v>0</v>
      </c>
      <c r="G74" s="55">
        <f t="shared" si="13"/>
        <v>0</v>
      </c>
      <c r="H74" s="55">
        <f t="shared" si="13"/>
        <v>0</v>
      </c>
      <c r="I74" s="55">
        <f t="shared" si="13"/>
        <v>0</v>
      </c>
      <c r="J74" s="55">
        <f t="shared" si="13"/>
        <v>0</v>
      </c>
      <c r="K74" s="55">
        <f t="shared" si="13"/>
        <v>0</v>
      </c>
      <c r="L74" s="55">
        <f t="shared" si="13"/>
        <v>0</v>
      </c>
      <c r="M74" s="55">
        <f t="shared" si="13"/>
        <v>0</v>
      </c>
      <c r="N74" s="55">
        <f t="shared" si="13"/>
        <v>0</v>
      </c>
      <c r="O74" s="55">
        <f t="shared" si="13"/>
        <v>0</v>
      </c>
      <c r="Q74" s="110"/>
    </row>
    <row r="75" spans="1:17" ht="12" thickBot="1" x14ac:dyDescent="0.25">
      <c r="A75" s="54">
        <f>FEO!$O$5</f>
        <v>2036</v>
      </c>
      <c r="B75" s="55">
        <f t="shared" si="14"/>
        <v>49623.545516769351</v>
      </c>
      <c r="C75" s="55">
        <f t="shared" si="13"/>
        <v>0</v>
      </c>
      <c r="D75" s="55">
        <f t="shared" si="13"/>
        <v>0</v>
      </c>
      <c r="E75" s="55">
        <f t="shared" si="13"/>
        <v>0</v>
      </c>
      <c r="F75" s="55">
        <f t="shared" si="13"/>
        <v>0</v>
      </c>
      <c r="G75" s="55">
        <f t="shared" si="13"/>
        <v>0</v>
      </c>
      <c r="H75" s="55">
        <f t="shared" si="13"/>
        <v>0</v>
      </c>
      <c r="I75" s="55">
        <f t="shared" si="13"/>
        <v>0</v>
      </c>
      <c r="J75" s="55">
        <f t="shared" si="13"/>
        <v>0</v>
      </c>
      <c r="K75" s="55">
        <f t="shared" si="13"/>
        <v>0</v>
      </c>
      <c r="L75" s="55">
        <f t="shared" si="13"/>
        <v>0</v>
      </c>
      <c r="M75" s="55">
        <f t="shared" si="13"/>
        <v>0</v>
      </c>
      <c r="N75" s="55">
        <f t="shared" si="13"/>
        <v>0</v>
      </c>
      <c r="O75" s="55">
        <f t="shared" si="13"/>
        <v>0</v>
      </c>
      <c r="Q75" s="110"/>
    </row>
    <row r="76" spans="1:17" ht="12" thickBot="1" x14ac:dyDescent="0.25">
      <c r="A76" s="54">
        <f>FEO!$P$5</f>
        <v>2037</v>
      </c>
      <c r="B76" s="55">
        <f t="shared" si="14"/>
        <v>43377.823408624245</v>
      </c>
      <c r="C76" s="55">
        <f t="shared" si="13"/>
        <v>0</v>
      </c>
      <c r="D76" s="55">
        <f t="shared" si="13"/>
        <v>0</v>
      </c>
      <c r="E76" s="55">
        <f t="shared" si="13"/>
        <v>0</v>
      </c>
      <c r="F76" s="55">
        <f t="shared" si="13"/>
        <v>0</v>
      </c>
      <c r="G76" s="55">
        <f t="shared" si="13"/>
        <v>0</v>
      </c>
      <c r="H76" s="55">
        <f t="shared" si="13"/>
        <v>0</v>
      </c>
      <c r="I76" s="55">
        <f t="shared" si="13"/>
        <v>0</v>
      </c>
      <c r="J76" s="55">
        <f t="shared" si="13"/>
        <v>0</v>
      </c>
      <c r="K76" s="55">
        <f t="shared" si="13"/>
        <v>0</v>
      </c>
      <c r="L76" s="55">
        <f t="shared" si="13"/>
        <v>0</v>
      </c>
      <c r="M76" s="55">
        <f t="shared" si="13"/>
        <v>0</v>
      </c>
      <c r="N76" s="55">
        <f t="shared" si="13"/>
        <v>0</v>
      </c>
      <c r="O76" s="55">
        <f t="shared" si="13"/>
        <v>0</v>
      </c>
      <c r="Q76" s="110"/>
    </row>
    <row r="77" spans="1:17" ht="12" thickBot="1" x14ac:dyDescent="0.25">
      <c r="A77" s="54">
        <f>FEO!$Q$5</f>
        <v>2038</v>
      </c>
      <c r="B77" s="55">
        <f t="shared" si="14"/>
        <v>37132.101300479138</v>
      </c>
      <c r="C77" s="55">
        <f t="shared" si="13"/>
        <v>0</v>
      </c>
      <c r="D77" s="55">
        <f t="shared" si="13"/>
        <v>0</v>
      </c>
      <c r="E77" s="55">
        <f t="shared" si="13"/>
        <v>0</v>
      </c>
      <c r="F77" s="55">
        <f t="shared" si="13"/>
        <v>0</v>
      </c>
      <c r="G77" s="55">
        <f t="shared" si="13"/>
        <v>0</v>
      </c>
      <c r="H77" s="55">
        <f t="shared" si="13"/>
        <v>0</v>
      </c>
      <c r="I77" s="55">
        <f t="shared" si="13"/>
        <v>0</v>
      </c>
      <c r="J77" s="55">
        <f t="shared" si="13"/>
        <v>0</v>
      </c>
      <c r="K77" s="55">
        <f t="shared" si="13"/>
        <v>0</v>
      </c>
      <c r="L77" s="55">
        <f t="shared" si="13"/>
        <v>0</v>
      </c>
      <c r="M77" s="55">
        <f t="shared" si="13"/>
        <v>0</v>
      </c>
      <c r="N77" s="55">
        <f t="shared" si="13"/>
        <v>0</v>
      </c>
      <c r="O77" s="55">
        <f t="shared" si="13"/>
        <v>0</v>
      </c>
      <c r="Q77" s="110"/>
    </row>
    <row r="78" spans="1:17" ht="12" thickBot="1" x14ac:dyDescent="0.25">
      <c r="A78" s="54">
        <f>FEO!$R$5</f>
        <v>2039</v>
      </c>
      <c r="B78" s="55">
        <f t="shared" si="14"/>
        <v>30886.379192334032</v>
      </c>
      <c r="C78" s="55">
        <f t="shared" si="13"/>
        <v>0</v>
      </c>
      <c r="D78" s="55">
        <f t="shared" si="13"/>
        <v>0</v>
      </c>
      <c r="E78" s="55">
        <f t="shared" si="13"/>
        <v>0</v>
      </c>
      <c r="F78" s="55">
        <f t="shared" si="13"/>
        <v>0</v>
      </c>
      <c r="G78" s="55">
        <f t="shared" si="13"/>
        <v>0</v>
      </c>
      <c r="H78" s="55">
        <f t="shared" si="13"/>
        <v>0</v>
      </c>
      <c r="I78" s="55">
        <f t="shared" si="13"/>
        <v>0</v>
      </c>
      <c r="J78" s="55">
        <f t="shared" si="13"/>
        <v>0</v>
      </c>
      <c r="K78" s="55">
        <f t="shared" si="13"/>
        <v>0</v>
      </c>
      <c r="L78" s="55">
        <f t="shared" si="13"/>
        <v>0</v>
      </c>
      <c r="M78" s="55">
        <f t="shared" si="13"/>
        <v>0</v>
      </c>
      <c r="N78" s="55">
        <f t="shared" si="13"/>
        <v>0</v>
      </c>
      <c r="O78" s="55">
        <f t="shared" si="13"/>
        <v>0</v>
      </c>
      <c r="Q78" s="110"/>
    </row>
    <row r="79" spans="1:17" ht="12" thickBot="1" x14ac:dyDescent="0.25">
      <c r="A79" s="54">
        <f>FEO!$S$5</f>
        <v>2040</v>
      </c>
      <c r="B79" s="55">
        <f t="shared" si="14"/>
        <v>24623.545516769351</v>
      </c>
      <c r="C79" s="55">
        <f t="shared" si="13"/>
        <v>0</v>
      </c>
      <c r="D79" s="55">
        <f t="shared" si="13"/>
        <v>0</v>
      </c>
      <c r="E79" s="55">
        <f t="shared" si="13"/>
        <v>0</v>
      </c>
      <c r="F79" s="55">
        <f t="shared" si="13"/>
        <v>0</v>
      </c>
      <c r="G79" s="55">
        <f t="shared" si="13"/>
        <v>0</v>
      </c>
      <c r="H79" s="55">
        <f t="shared" si="13"/>
        <v>0</v>
      </c>
      <c r="I79" s="55">
        <f t="shared" si="13"/>
        <v>0</v>
      </c>
      <c r="J79" s="55">
        <f t="shared" si="13"/>
        <v>0</v>
      </c>
      <c r="K79" s="55">
        <f t="shared" si="13"/>
        <v>0</v>
      </c>
      <c r="L79" s="55">
        <f t="shared" si="13"/>
        <v>0</v>
      </c>
      <c r="M79" s="55">
        <f t="shared" si="13"/>
        <v>0</v>
      </c>
      <c r="N79" s="55">
        <f t="shared" si="13"/>
        <v>0</v>
      </c>
      <c r="O79" s="55">
        <f t="shared" si="13"/>
        <v>0</v>
      </c>
      <c r="Q79" s="110"/>
    </row>
    <row r="80" spans="1:17" ht="12" thickBot="1" x14ac:dyDescent="0.25">
      <c r="A80" s="54">
        <f>FEO!$T$5</f>
        <v>2041</v>
      </c>
      <c r="B80" s="55">
        <f t="shared" si="14"/>
        <v>18377.823408624245</v>
      </c>
      <c r="C80" s="55">
        <f t="shared" si="13"/>
        <v>0</v>
      </c>
      <c r="D80" s="55">
        <f t="shared" si="13"/>
        <v>0</v>
      </c>
      <c r="E80" s="55">
        <f t="shared" si="13"/>
        <v>0</v>
      </c>
      <c r="F80" s="55">
        <f t="shared" si="13"/>
        <v>0</v>
      </c>
      <c r="G80" s="55">
        <f t="shared" si="13"/>
        <v>0</v>
      </c>
      <c r="H80" s="55">
        <f t="shared" si="13"/>
        <v>0</v>
      </c>
      <c r="I80" s="55">
        <f t="shared" si="13"/>
        <v>0</v>
      </c>
      <c r="J80" s="55">
        <f t="shared" si="13"/>
        <v>0</v>
      </c>
      <c r="K80" s="55">
        <f t="shared" si="13"/>
        <v>0</v>
      </c>
      <c r="L80" s="55">
        <f t="shared" si="13"/>
        <v>0</v>
      </c>
      <c r="M80" s="55">
        <f t="shared" si="13"/>
        <v>0</v>
      </c>
      <c r="N80" s="55">
        <f t="shared" si="13"/>
        <v>0</v>
      </c>
      <c r="O80" s="55">
        <f t="shared" si="13"/>
        <v>0</v>
      </c>
      <c r="Q80" s="110"/>
    </row>
    <row r="81" spans="1:17" ht="12" thickBot="1" x14ac:dyDescent="0.25">
      <c r="A81" s="54">
        <f>FEO!$U$5</f>
        <v>2042</v>
      </c>
      <c r="B81" s="55">
        <f t="shared" si="14"/>
        <v>12132.101300479138</v>
      </c>
      <c r="C81" s="55">
        <f t="shared" si="13"/>
        <v>0</v>
      </c>
      <c r="D81" s="55">
        <f t="shared" si="13"/>
        <v>0</v>
      </c>
      <c r="E81" s="55">
        <f t="shared" si="13"/>
        <v>0</v>
      </c>
      <c r="F81" s="55">
        <f t="shared" si="13"/>
        <v>0</v>
      </c>
      <c r="G81" s="55">
        <f t="shared" si="13"/>
        <v>0</v>
      </c>
      <c r="H81" s="55">
        <f t="shared" si="13"/>
        <v>0</v>
      </c>
      <c r="I81" s="55">
        <f t="shared" si="13"/>
        <v>0</v>
      </c>
      <c r="J81" s="55">
        <f t="shared" si="13"/>
        <v>0</v>
      </c>
      <c r="K81" s="55">
        <f t="shared" si="13"/>
        <v>0</v>
      </c>
      <c r="L81" s="55">
        <f t="shared" si="13"/>
        <v>0</v>
      </c>
      <c r="M81" s="55">
        <f t="shared" si="13"/>
        <v>0</v>
      </c>
      <c r="N81" s="55">
        <f t="shared" si="13"/>
        <v>0</v>
      </c>
      <c r="O81" s="55">
        <f t="shared" si="13"/>
        <v>0</v>
      </c>
      <c r="Q81" s="110"/>
    </row>
    <row r="82" spans="1:17" ht="12" thickBot="1" x14ac:dyDescent="0.25">
      <c r="A82" s="54">
        <f>FEO!$V$5</f>
        <v>2043</v>
      </c>
      <c r="B82" s="55">
        <f t="shared" si="14"/>
        <v>6211.4989733059701</v>
      </c>
      <c r="C82" s="55">
        <f t="shared" si="13"/>
        <v>0</v>
      </c>
      <c r="D82" s="55">
        <f t="shared" si="13"/>
        <v>0</v>
      </c>
      <c r="E82" s="55">
        <f t="shared" si="13"/>
        <v>0</v>
      </c>
      <c r="F82" s="55">
        <f t="shared" si="13"/>
        <v>0</v>
      </c>
      <c r="G82" s="55">
        <f t="shared" si="13"/>
        <v>0</v>
      </c>
      <c r="H82" s="55">
        <f t="shared" si="13"/>
        <v>0</v>
      </c>
      <c r="I82" s="55">
        <f t="shared" si="13"/>
        <v>0</v>
      </c>
      <c r="J82" s="55">
        <f t="shared" si="13"/>
        <v>0</v>
      </c>
      <c r="K82" s="55">
        <f t="shared" si="13"/>
        <v>0</v>
      </c>
      <c r="L82" s="55">
        <f t="shared" si="13"/>
        <v>0</v>
      </c>
      <c r="M82" s="55">
        <f t="shared" si="13"/>
        <v>0</v>
      </c>
      <c r="N82" s="55">
        <f t="shared" si="13"/>
        <v>0</v>
      </c>
      <c r="O82" s="55">
        <f t="shared" si="13"/>
        <v>0</v>
      </c>
      <c r="Q82" s="110"/>
    </row>
    <row r="83" spans="1:17" x14ac:dyDescent="0.2">
      <c r="Q83" s="110"/>
    </row>
    <row r="84" spans="1:17" x14ac:dyDescent="0.2">
      <c r="Q84" s="110"/>
    </row>
    <row r="85" spans="1:17" x14ac:dyDescent="0.2">
      <c r="Q85" s="110"/>
    </row>
    <row r="86" spans="1:17" x14ac:dyDescent="0.2">
      <c r="Q86" s="110"/>
    </row>
    <row r="87" spans="1:17" x14ac:dyDescent="0.2">
      <c r="Q87" s="110"/>
    </row>
    <row r="88" spans="1:17" x14ac:dyDescent="0.2">
      <c r="Q88" s="110"/>
    </row>
    <row r="89" spans="1:17" x14ac:dyDescent="0.2">
      <c r="Q89" s="110"/>
    </row>
    <row r="90" spans="1:17" x14ac:dyDescent="0.2">
      <c r="Q90" s="110"/>
    </row>
    <row r="91" spans="1:17" x14ac:dyDescent="0.2">
      <c r="Q91" s="110"/>
    </row>
    <row r="92" spans="1:17" x14ac:dyDescent="0.2">
      <c r="Q92" s="110"/>
    </row>
    <row r="93" spans="1:17" x14ac:dyDescent="0.2">
      <c r="Q93" s="110"/>
    </row>
    <row r="94" spans="1:17" x14ac:dyDescent="0.2">
      <c r="Q94" s="110"/>
    </row>
    <row r="95" spans="1:17" x14ac:dyDescent="0.2">
      <c r="Q95" s="110"/>
    </row>
    <row r="96" spans="1:17" x14ac:dyDescent="0.2">
      <c r="Q96" s="110"/>
    </row>
    <row r="97" spans="17:17" x14ac:dyDescent="0.2">
      <c r="Q97" s="110"/>
    </row>
    <row r="98" spans="17:17" x14ac:dyDescent="0.2">
      <c r="Q98" s="110"/>
    </row>
    <row r="99" spans="17:17" x14ac:dyDescent="0.2">
      <c r="Q99" s="110"/>
    </row>
    <row r="100" spans="17:17" x14ac:dyDescent="0.2">
      <c r="Q100" s="110"/>
    </row>
    <row r="101" spans="17:17" x14ac:dyDescent="0.2">
      <c r="Q101" s="110"/>
    </row>
    <row r="102" spans="17:17" x14ac:dyDescent="0.2">
      <c r="Q102" s="110"/>
    </row>
    <row r="103" spans="17:17" x14ac:dyDescent="0.2">
      <c r="Q103" s="110"/>
    </row>
    <row r="104" spans="17:17" x14ac:dyDescent="0.2">
      <c r="Q104" s="110"/>
    </row>
    <row r="105" spans="17:17" x14ac:dyDescent="0.2">
      <c r="Q105" s="110"/>
    </row>
    <row r="106" spans="17:17" x14ac:dyDescent="0.2">
      <c r="Q106" s="110"/>
    </row>
    <row r="107" spans="17:17" x14ac:dyDescent="0.2">
      <c r="Q107" s="110"/>
    </row>
    <row r="108" spans="17:17" x14ac:dyDescent="0.2">
      <c r="Q108" s="110"/>
    </row>
    <row r="109" spans="17:17" x14ac:dyDescent="0.2">
      <c r="Q109" s="110"/>
    </row>
    <row r="110" spans="17:17" x14ac:dyDescent="0.2">
      <c r="Q110" s="110"/>
    </row>
    <row r="111" spans="17:17" x14ac:dyDescent="0.2">
      <c r="Q111" s="110"/>
    </row>
    <row r="112" spans="17:17" x14ac:dyDescent="0.2">
      <c r="Q112" s="110"/>
    </row>
    <row r="113" spans="17:17" x14ac:dyDescent="0.2">
      <c r="Q113" s="110"/>
    </row>
    <row r="114" spans="17:17" x14ac:dyDescent="0.2">
      <c r="Q114" s="110"/>
    </row>
    <row r="115" spans="17:17" x14ac:dyDescent="0.2">
      <c r="Q115" s="110"/>
    </row>
    <row r="116" spans="17:17" x14ac:dyDescent="0.2">
      <c r="Q116" s="110"/>
    </row>
    <row r="117" spans="17:17" x14ac:dyDescent="0.2">
      <c r="Q117" s="110"/>
    </row>
    <row r="118" spans="17:17" x14ac:dyDescent="0.2">
      <c r="Q118" s="110"/>
    </row>
    <row r="119" spans="17:17" x14ac:dyDescent="0.2">
      <c r="Q119" s="110"/>
    </row>
    <row r="120" spans="17:17" x14ac:dyDescent="0.2">
      <c r="Q120" s="110"/>
    </row>
    <row r="121" spans="17:17" x14ac:dyDescent="0.2">
      <c r="Q121" s="110"/>
    </row>
    <row r="122" spans="17:17" x14ac:dyDescent="0.2">
      <c r="Q122" s="110"/>
    </row>
    <row r="123" spans="17:17" x14ac:dyDescent="0.2">
      <c r="Q123" s="110"/>
    </row>
    <row r="124" spans="17:17" x14ac:dyDescent="0.2">
      <c r="Q124" s="110"/>
    </row>
    <row r="125" spans="17:17" x14ac:dyDescent="0.2">
      <c r="Q125" s="110"/>
    </row>
    <row r="126" spans="17:17" x14ac:dyDescent="0.2">
      <c r="Q126" s="110"/>
    </row>
    <row r="127" spans="17:17" x14ac:dyDescent="0.2">
      <c r="Q127" s="110"/>
    </row>
    <row r="128" spans="17:17" x14ac:dyDescent="0.2">
      <c r="Q128" s="110"/>
    </row>
    <row r="129" spans="17:17" x14ac:dyDescent="0.2">
      <c r="Q129" s="110"/>
    </row>
    <row r="130" spans="17:17" x14ac:dyDescent="0.2">
      <c r="Q130" s="110"/>
    </row>
    <row r="131" spans="17:17" x14ac:dyDescent="0.2">
      <c r="Q131" s="110"/>
    </row>
    <row r="132" spans="17:17" x14ac:dyDescent="0.2">
      <c r="Q132" s="110"/>
    </row>
    <row r="133" spans="17:17" x14ac:dyDescent="0.2">
      <c r="Q133" s="110"/>
    </row>
    <row r="134" spans="17:17" x14ac:dyDescent="0.2">
      <c r="Q134" s="110"/>
    </row>
    <row r="135" spans="17:17" x14ac:dyDescent="0.2">
      <c r="Q135" s="110"/>
    </row>
    <row r="136" spans="17:17" x14ac:dyDescent="0.2">
      <c r="Q136" s="110"/>
    </row>
    <row r="137" spans="17:17" x14ac:dyDescent="0.2">
      <c r="Q137" s="110"/>
    </row>
    <row r="138" spans="17:17" x14ac:dyDescent="0.2">
      <c r="Q138" s="110"/>
    </row>
    <row r="139" spans="17:17" x14ac:dyDescent="0.2">
      <c r="Q139" s="110"/>
    </row>
    <row r="140" spans="17:17" x14ac:dyDescent="0.2">
      <c r="Q140" s="110"/>
    </row>
    <row r="141" spans="17:17" x14ac:dyDescent="0.2">
      <c r="Q141" s="110"/>
    </row>
    <row r="142" spans="17:17" x14ac:dyDescent="0.2">
      <c r="Q142" s="110"/>
    </row>
    <row r="143" spans="17:17" x14ac:dyDescent="0.2">
      <c r="Q143" s="110"/>
    </row>
    <row r="144" spans="17:17" x14ac:dyDescent="0.2">
      <c r="Q144" s="110"/>
    </row>
    <row r="145" spans="17:17" x14ac:dyDescent="0.2">
      <c r="Q145" s="110"/>
    </row>
    <row r="146" spans="17:17" x14ac:dyDescent="0.2">
      <c r="Q146" s="110"/>
    </row>
    <row r="147" spans="17:17" x14ac:dyDescent="0.2">
      <c r="Q147" s="110"/>
    </row>
    <row r="148" spans="17:17" x14ac:dyDescent="0.2">
      <c r="Q148" s="110"/>
    </row>
    <row r="149" spans="17:17" x14ac:dyDescent="0.2">
      <c r="Q149" s="110"/>
    </row>
    <row r="150" spans="17:17" x14ac:dyDescent="0.2">
      <c r="Q150" s="110"/>
    </row>
    <row r="151" spans="17:17" x14ac:dyDescent="0.2">
      <c r="Q151" s="110"/>
    </row>
    <row r="152" spans="17:17" x14ac:dyDescent="0.2">
      <c r="Q152" s="110"/>
    </row>
    <row r="153" spans="17:17" x14ac:dyDescent="0.2">
      <c r="Q153" s="110"/>
    </row>
    <row r="154" spans="17:17" x14ac:dyDescent="0.2">
      <c r="Q154" s="110"/>
    </row>
    <row r="155" spans="17:17" x14ac:dyDescent="0.2">
      <c r="Q155" s="110"/>
    </row>
    <row r="156" spans="17:17" x14ac:dyDescent="0.2">
      <c r="Q156" s="110"/>
    </row>
    <row r="157" spans="17:17" x14ac:dyDescent="0.2">
      <c r="Q157" s="110"/>
    </row>
    <row r="158" spans="17:17" x14ac:dyDescent="0.2">
      <c r="Q158" s="110"/>
    </row>
    <row r="159" spans="17:17" x14ac:dyDescent="0.2">
      <c r="Q159" s="110"/>
    </row>
    <row r="160" spans="17:17" x14ac:dyDescent="0.2">
      <c r="Q160" s="110"/>
    </row>
    <row r="161" spans="17:17" x14ac:dyDescent="0.2">
      <c r="Q161" s="110"/>
    </row>
    <row r="162" spans="17:17" x14ac:dyDescent="0.2">
      <c r="Q162" s="110"/>
    </row>
    <row r="163" spans="17:17" x14ac:dyDescent="0.2">
      <c r="Q163" s="110"/>
    </row>
    <row r="164" spans="17:17" x14ac:dyDescent="0.2">
      <c r="Q164" s="110"/>
    </row>
    <row r="165" spans="17:17" x14ac:dyDescent="0.2">
      <c r="Q165" s="110"/>
    </row>
    <row r="166" spans="17:17" x14ac:dyDescent="0.2">
      <c r="Q166" s="110"/>
    </row>
    <row r="167" spans="17:17" x14ac:dyDescent="0.2">
      <c r="Q167" s="110"/>
    </row>
    <row r="168" spans="17:17" x14ac:dyDescent="0.2">
      <c r="Q168" s="110"/>
    </row>
    <row r="169" spans="17:17" x14ac:dyDescent="0.2">
      <c r="Q169" s="110"/>
    </row>
    <row r="170" spans="17:17" x14ac:dyDescent="0.2">
      <c r="Q170" s="110"/>
    </row>
    <row r="171" spans="17:17" x14ac:dyDescent="0.2">
      <c r="Q171" s="110"/>
    </row>
    <row r="172" spans="17:17" x14ac:dyDescent="0.2">
      <c r="Q172" s="110"/>
    </row>
    <row r="173" spans="17:17" x14ac:dyDescent="0.2">
      <c r="Q173" s="110"/>
    </row>
    <row r="174" spans="17:17" x14ac:dyDescent="0.2">
      <c r="Q174" s="110"/>
    </row>
    <row r="175" spans="17:17" x14ac:dyDescent="0.2">
      <c r="Q175" s="110"/>
    </row>
    <row r="176" spans="17:17" x14ac:dyDescent="0.2">
      <c r="Q176" s="110"/>
    </row>
    <row r="177" spans="17:17" x14ac:dyDescent="0.2">
      <c r="Q177" s="110"/>
    </row>
    <row r="178" spans="17:17" x14ac:dyDescent="0.2">
      <c r="Q178" s="110"/>
    </row>
    <row r="179" spans="17:17" x14ac:dyDescent="0.2">
      <c r="Q179" s="110"/>
    </row>
    <row r="180" spans="17:17" x14ac:dyDescent="0.2">
      <c r="Q180" s="110"/>
    </row>
    <row r="181" spans="17:17" x14ac:dyDescent="0.2">
      <c r="Q181" s="110"/>
    </row>
    <row r="182" spans="17:17" x14ac:dyDescent="0.2">
      <c r="Q182" s="110"/>
    </row>
    <row r="183" spans="17:17" x14ac:dyDescent="0.2">
      <c r="Q183" s="110"/>
    </row>
    <row r="184" spans="17:17" x14ac:dyDescent="0.2">
      <c r="Q184" s="110"/>
    </row>
    <row r="185" spans="17:17" x14ac:dyDescent="0.2">
      <c r="Q185" s="110"/>
    </row>
    <row r="186" spans="17:17" x14ac:dyDescent="0.2">
      <c r="Q186" s="110"/>
    </row>
    <row r="187" spans="17:17" x14ac:dyDescent="0.2">
      <c r="Q187" s="110"/>
    </row>
    <row r="188" spans="17:17" x14ac:dyDescent="0.2">
      <c r="Q188" s="110"/>
    </row>
    <row r="189" spans="17:17" x14ac:dyDescent="0.2">
      <c r="Q189" s="110"/>
    </row>
    <row r="190" spans="17:17" x14ac:dyDescent="0.2">
      <c r="Q190" s="110"/>
    </row>
    <row r="191" spans="17:17" x14ac:dyDescent="0.2">
      <c r="Q191" s="110"/>
    </row>
    <row r="192" spans="17:17" x14ac:dyDescent="0.2">
      <c r="Q192" s="110"/>
    </row>
    <row r="193" spans="17:17" x14ac:dyDescent="0.2">
      <c r="Q193" s="110"/>
    </row>
    <row r="194" spans="17:17" x14ac:dyDescent="0.2">
      <c r="Q194" s="110"/>
    </row>
    <row r="195" spans="17:17" x14ac:dyDescent="0.2">
      <c r="Q195" s="110"/>
    </row>
    <row r="196" spans="17:17" x14ac:dyDescent="0.2">
      <c r="Q196" s="110"/>
    </row>
    <row r="197" spans="17:17" x14ac:dyDescent="0.2">
      <c r="Q197" s="110"/>
    </row>
    <row r="198" spans="17:17" x14ac:dyDescent="0.2">
      <c r="Q198" s="110"/>
    </row>
    <row r="199" spans="17:17" x14ac:dyDescent="0.2">
      <c r="Q199" s="110"/>
    </row>
    <row r="200" spans="17:17" x14ac:dyDescent="0.2">
      <c r="Q200" s="110"/>
    </row>
    <row r="201" spans="17:17" x14ac:dyDescent="0.2">
      <c r="Q201" s="110"/>
    </row>
    <row r="202" spans="17:17" x14ac:dyDescent="0.2">
      <c r="Q202" s="110"/>
    </row>
    <row r="203" spans="17:17" x14ac:dyDescent="0.2">
      <c r="Q203" s="110"/>
    </row>
    <row r="204" spans="17:17" x14ac:dyDescent="0.2">
      <c r="Q204" s="110"/>
    </row>
    <row r="205" spans="17:17" x14ac:dyDescent="0.2">
      <c r="Q205" s="110"/>
    </row>
    <row r="206" spans="17:17" x14ac:dyDescent="0.2">
      <c r="Q206" s="110"/>
    </row>
    <row r="207" spans="17:17" x14ac:dyDescent="0.2">
      <c r="Q207" s="110"/>
    </row>
    <row r="208" spans="17:17" x14ac:dyDescent="0.2">
      <c r="Q208" s="110"/>
    </row>
    <row r="209" spans="17:17" x14ac:dyDescent="0.2">
      <c r="Q209" s="110"/>
    </row>
    <row r="210" spans="17:17" x14ac:dyDescent="0.2">
      <c r="Q210" s="110"/>
    </row>
    <row r="211" spans="17:17" x14ac:dyDescent="0.2">
      <c r="Q211" s="110"/>
    </row>
    <row r="212" spans="17:17" x14ac:dyDescent="0.2">
      <c r="Q212" s="110"/>
    </row>
    <row r="213" spans="17:17" x14ac:dyDescent="0.2">
      <c r="Q213" s="110"/>
    </row>
    <row r="214" spans="17:17" x14ac:dyDescent="0.2">
      <c r="Q214" s="110"/>
    </row>
    <row r="215" spans="17:17" x14ac:dyDescent="0.2">
      <c r="Q215" s="110"/>
    </row>
    <row r="216" spans="17:17" x14ac:dyDescent="0.2">
      <c r="Q216" s="110"/>
    </row>
    <row r="217" spans="17:17" x14ac:dyDescent="0.2">
      <c r="Q217" s="110"/>
    </row>
    <row r="218" spans="17:17" x14ac:dyDescent="0.2">
      <c r="Q218" s="110"/>
    </row>
    <row r="219" spans="17:17" x14ac:dyDescent="0.2">
      <c r="Q219" s="110"/>
    </row>
    <row r="220" spans="17:17" x14ac:dyDescent="0.2">
      <c r="Q220" s="110"/>
    </row>
    <row r="221" spans="17:17" x14ac:dyDescent="0.2">
      <c r="Q221" s="110"/>
    </row>
    <row r="222" spans="17:17" x14ac:dyDescent="0.2">
      <c r="Q222" s="110"/>
    </row>
    <row r="223" spans="17:17" x14ac:dyDescent="0.2">
      <c r="Q223" s="110"/>
    </row>
    <row r="224" spans="17:17" x14ac:dyDescent="0.2">
      <c r="Q224" s="110"/>
    </row>
    <row r="225" spans="17:17" x14ac:dyDescent="0.2">
      <c r="Q225" s="110"/>
    </row>
    <row r="226" spans="17:17" x14ac:dyDescent="0.2">
      <c r="Q226" s="110"/>
    </row>
    <row r="227" spans="17:17" x14ac:dyDescent="0.2">
      <c r="Q227" s="110"/>
    </row>
    <row r="228" spans="17:17" x14ac:dyDescent="0.2">
      <c r="Q228" s="110"/>
    </row>
    <row r="229" spans="17:17" x14ac:dyDescent="0.2">
      <c r="Q229" s="110"/>
    </row>
    <row r="230" spans="17:17" x14ac:dyDescent="0.2">
      <c r="Q230" s="110"/>
    </row>
    <row r="231" spans="17:17" x14ac:dyDescent="0.2">
      <c r="Q231" s="110"/>
    </row>
    <row r="232" spans="17:17" x14ac:dyDescent="0.2">
      <c r="Q232" s="110"/>
    </row>
    <row r="233" spans="17:17" x14ac:dyDescent="0.2">
      <c r="Q233" s="110"/>
    </row>
    <row r="234" spans="17:17" x14ac:dyDescent="0.2">
      <c r="Q234" s="110"/>
    </row>
    <row r="235" spans="17:17" x14ac:dyDescent="0.2">
      <c r="Q235" s="110"/>
    </row>
    <row r="236" spans="17:17" x14ac:dyDescent="0.2">
      <c r="Q236" s="110"/>
    </row>
    <row r="237" spans="17:17" x14ac:dyDescent="0.2">
      <c r="Q237" s="110"/>
    </row>
    <row r="238" spans="17:17" x14ac:dyDescent="0.2">
      <c r="Q238" s="110"/>
    </row>
    <row r="239" spans="17:17" x14ac:dyDescent="0.2">
      <c r="Q239" s="110"/>
    </row>
    <row r="240" spans="17:17" x14ac:dyDescent="0.2">
      <c r="Q240" s="110"/>
    </row>
    <row r="241" spans="17:17" x14ac:dyDescent="0.2">
      <c r="Q241" s="110"/>
    </row>
    <row r="242" spans="17:17" x14ac:dyDescent="0.2">
      <c r="Q242" s="110"/>
    </row>
    <row r="243" spans="17:17" x14ac:dyDescent="0.2">
      <c r="Q243" s="110"/>
    </row>
    <row r="244" spans="17:17" x14ac:dyDescent="0.2">
      <c r="Q244" s="110"/>
    </row>
    <row r="245" spans="17:17" x14ac:dyDescent="0.2">
      <c r="Q245" s="110"/>
    </row>
    <row r="246" spans="17:17" x14ac:dyDescent="0.2">
      <c r="Q246" s="110"/>
    </row>
    <row r="247" spans="17:17" x14ac:dyDescent="0.2">
      <c r="Q247" s="110"/>
    </row>
    <row r="248" spans="17:17" x14ac:dyDescent="0.2">
      <c r="Q248" s="110"/>
    </row>
    <row r="249" spans="17:17" x14ac:dyDescent="0.2">
      <c r="Q249" s="110"/>
    </row>
    <row r="250" spans="17:17" x14ac:dyDescent="0.2">
      <c r="Q250" s="110"/>
    </row>
    <row r="251" spans="17:17" x14ac:dyDescent="0.2">
      <c r="Q251" s="110"/>
    </row>
    <row r="252" spans="17:17" x14ac:dyDescent="0.2">
      <c r="Q252" s="110"/>
    </row>
    <row r="253" spans="17:17" x14ac:dyDescent="0.2">
      <c r="Q253" s="110"/>
    </row>
    <row r="254" spans="17:17" x14ac:dyDescent="0.2">
      <c r="Q254" s="110"/>
    </row>
    <row r="255" spans="17:17" x14ac:dyDescent="0.2">
      <c r="Q255" s="110"/>
    </row>
    <row r="256" spans="17:17" x14ac:dyDescent="0.2">
      <c r="Q256" s="110"/>
    </row>
    <row r="257" spans="17:17" x14ac:dyDescent="0.2">
      <c r="Q257" s="110"/>
    </row>
    <row r="258" spans="17:17" x14ac:dyDescent="0.2">
      <c r="Q258" s="110"/>
    </row>
    <row r="259" spans="17:17" x14ac:dyDescent="0.2">
      <c r="Q259" s="110"/>
    </row>
    <row r="260" spans="17:17" x14ac:dyDescent="0.2">
      <c r="Q260" s="110"/>
    </row>
    <row r="261" spans="17:17" x14ac:dyDescent="0.2">
      <c r="Q261" s="110"/>
    </row>
    <row r="262" spans="17:17" x14ac:dyDescent="0.2">
      <c r="Q262" s="110"/>
    </row>
    <row r="263" spans="17:17" x14ac:dyDescent="0.2">
      <c r="Q263" s="110"/>
    </row>
    <row r="264" spans="17:17" x14ac:dyDescent="0.2">
      <c r="Q264" s="110"/>
    </row>
    <row r="265" spans="17:17" x14ac:dyDescent="0.2">
      <c r="Q265" s="110"/>
    </row>
    <row r="266" spans="17:17" x14ac:dyDescent="0.2">
      <c r="Q266" s="110"/>
    </row>
    <row r="267" spans="17:17" x14ac:dyDescent="0.2">
      <c r="Q267" s="110"/>
    </row>
    <row r="268" spans="17:17" x14ac:dyDescent="0.2">
      <c r="Q268" s="110"/>
    </row>
    <row r="269" spans="17:17" x14ac:dyDescent="0.2">
      <c r="Q269" s="110"/>
    </row>
    <row r="270" spans="17:17" x14ac:dyDescent="0.2">
      <c r="Q270" s="110"/>
    </row>
    <row r="271" spans="17:17" x14ac:dyDescent="0.2">
      <c r="Q271" s="110"/>
    </row>
    <row r="272" spans="17:17" x14ac:dyDescent="0.2">
      <c r="Q272" s="110"/>
    </row>
    <row r="273" spans="17:17" x14ac:dyDescent="0.2">
      <c r="Q273" s="110"/>
    </row>
    <row r="274" spans="17:17" x14ac:dyDescent="0.2">
      <c r="Q274" s="110"/>
    </row>
    <row r="275" spans="17:17" x14ac:dyDescent="0.2">
      <c r="Q275" s="110"/>
    </row>
    <row r="276" spans="17:17" x14ac:dyDescent="0.2">
      <c r="Q276" s="110"/>
    </row>
    <row r="277" spans="17:17" x14ac:dyDescent="0.2">
      <c r="Q277" s="110"/>
    </row>
    <row r="278" spans="17:17" x14ac:dyDescent="0.2">
      <c r="Q278" s="110"/>
    </row>
    <row r="279" spans="17:17" x14ac:dyDescent="0.2">
      <c r="Q279" s="110"/>
    </row>
    <row r="280" spans="17:17" x14ac:dyDescent="0.2">
      <c r="Q280" s="110"/>
    </row>
    <row r="281" spans="17:17" x14ac:dyDescent="0.2">
      <c r="Q281" s="110"/>
    </row>
    <row r="282" spans="17:17" x14ac:dyDescent="0.2">
      <c r="Q282" s="110"/>
    </row>
    <row r="283" spans="17:17" x14ac:dyDescent="0.2">
      <c r="Q283" s="110"/>
    </row>
    <row r="284" spans="17:17" x14ac:dyDescent="0.2">
      <c r="Q284" s="110"/>
    </row>
    <row r="285" spans="17:17" x14ac:dyDescent="0.2">
      <c r="Q285" s="110"/>
    </row>
    <row r="286" spans="17:17" x14ac:dyDescent="0.2">
      <c r="Q286" s="110"/>
    </row>
    <row r="287" spans="17:17" x14ac:dyDescent="0.2">
      <c r="Q287" s="110"/>
    </row>
    <row r="288" spans="17:17" x14ac:dyDescent="0.2">
      <c r="Q288" s="110"/>
    </row>
    <row r="289" spans="17:17" x14ac:dyDescent="0.2">
      <c r="Q289" s="110"/>
    </row>
    <row r="290" spans="17:17" x14ac:dyDescent="0.2">
      <c r="Q290" s="110"/>
    </row>
    <row r="291" spans="17:17" x14ac:dyDescent="0.2">
      <c r="Q291" s="110"/>
    </row>
    <row r="292" spans="17:17" x14ac:dyDescent="0.2">
      <c r="Q292" s="110"/>
    </row>
    <row r="293" spans="17:17" x14ac:dyDescent="0.2">
      <c r="Q293" s="110"/>
    </row>
    <row r="294" spans="17:17" x14ac:dyDescent="0.2">
      <c r="Q294" s="110"/>
    </row>
    <row r="295" spans="17:17" x14ac:dyDescent="0.2">
      <c r="Q295" s="110"/>
    </row>
    <row r="296" spans="17:17" x14ac:dyDescent="0.2">
      <c r="Q296" s="110"/>
    </row>
    <row r="297" spans="17:17" x14ac:dyDescent="0.2">
      <c r="Q297" s="110"/>
    </row>
    <row r="298" spans="17:17" x14ac:dyDescent="0.2">
      <c r="Q298" s="110"/>
    </row>
    <row r="299" spans="17:17" x14ac:dyDescent="0.2">
      <c r="Q299" s="110"/>
    </row>
    <row r="300" spans="17:17" x14ac:dyDescent="0.2">
      <c r="Q300" s="110"/>
    </row>
    <row r="301" spans="17:17" x14ac:dyDescent="0.2">
      <c r="Q301" s="110"/>
    </row>
    <row r="302" spans="17:17" x14ac:dyDescent="0.2">
      <c r="Q302" s="110"/>
    </row>
    <row r="303" spans="17:17" x14ac:dyDescent="0.2">
      <c r="Q303" s="110"/>
    </row>
    <row r="304" spans="17:17" x14ac:dyDescent="0.2">
      <c r="Q304" s="110"/>
    </row>
    <row r="305" spans="17:17" x14ac:dyDescent="0.2">
      <c r="Q305" s="110"/>
    </row>
    <row r="306" spans="17:17" x14ac:dyDescent="0.2">
      <c r="Q306" s="110"/>
    </row>
    <row r="307" spans="17:17" x14ac:dyDescent="0.2">
      <c r="Q307" s="110"/>
    </row>
    <row r="308" spans="17:17" x14ac:dyDescent="0.2">
      <c r="Q308" s="110"/>
    </row>
    <row r="309" spans="17:17" x14ac:dyDescent="0.2">
      <c r="Q309" s="110"/>
    </row>
    <row r="310" spans="17:17" x14ac:dyDescent="0.2">
      <c r="Q310" s="110"/>
    </row>
    <row r="311" spans="17:17" x14ac:dyDescent="0.2">
      <c r="Q311" s="110"/>
    </row>
    <row r="312" spans="17:17" x14ac:dyDescent="0.2">
      <c r="Q312" s="110"/>
    </row>
    <row r="313" spans="17:17" x14ac:dyDescent="0.2">
      <c r="Q313" s="110"/>
    </row>
    <row r="314" spans="17:17" x14ac:dyDescent="0.2">
      <c r="Q314" s="110"/>
    </row>
    <row r="315" spans="17:17" x14ac:dyDescent="0.2">
      <c r="Q315" s="110"/>
    </row>
    <row r="316" spans="17:17" x14ac:dyDescent="0.2">
      <c r="Q316" s="110"/>
    </row>
    <row r="317" spans="17:17" x14ac:dyDescent="0.2">
      <c r="Q317" s="110"/>
    </row>
    <row r="318" spans="17:17" x14ac:dyDescent="0.2">
      <c r="Q318" s="110"/>
    </row>
    <row r="319" spans="17:17" x14ac:dyDescent="0.2">
      <c r="Q319" s="110"/>
    </row>
    <row r="320" spans="17:17" x14ac:dyDescent="0.2">
      <c r="Q320" s="110"/>
    </row>
    <row r="321" spans="17:17" x14ac:dyDescent="0.2">
      <c r="Q321" s="110"/>
    </row>
    <row r="322" spans="17:17" x14ac:dyDescent="0.2">
      <c r="Q322" s="110"/>
    </row>
    <row r="323" spans="17:17" x14ac:dyDescent="0.2">
      <c r="Q323" s="110"/>
    </row>
    <row r="324" spans="17:17" x14ac:dyDescent="0.2">
      <c r="Q324" s="110"/>
    </row>
    <row r="325" spans="17:17" x14ac:dyDescent="0.2">
      <c r="Q325" s="110"/>
    </row>
    <row r="326" spans="17:17" x14ac:dyDescent="0.2">
      <c r="Q326" s="110"/>
    </row>
    <row r="327" spans="17:17" x14ac:dyDescent="0.2">
      <c r="Q327" s="110"/>
    </row>
    <row r="328" spans="17:17" x14ac:dyDescent="0.2">
      <c r="Q328" s="110"/>
    </row>
    <row r="329" spans="17:17" x14ac:dyDescent="0.2">
      <c r="Q329" s="110"/>
    </row>
    <row r="330" spans="17:17" x14ac:dyDescent="0.2">
      <c r="Q330" s="110"/>
    </row>
    <row r="331" spans="17:17" x14ac:dyDescent="0.2">
      <c r="Q331" s="110"/>
    </row>
    <row r="332" spans="17:17" x14ac:dyDescent="0.2">
      <c r="Q332" s="110"/>
    </row>
    <row r="333" spans="17:17" x14ac:dyDescent="0.2">
      <c r="Q333" s="110"/>
    </row>
    <row r="334" spans="17:17" x14ac:dyDescent="0.2">
      <c r="Q334" s="110"/>
    </row>
    <row r="335" spans="17:17" x14ac:dyDescent="0.2">
      <c r="Q335" s="110"/>
    </row>
    <row r="336" spans="17:17" x14ac:dyDescent="0.2">
      <c r="Q336" s="110"/>
    </row>
    <row r="337" spans="17:17" x14ac:dyDescent="0.2">
      <c r="Q337" s="110"/>
    </row>
    <row r="338" spans="17:17" x14ac:dyDescent="0.2">
      <c r="Q338" s="110"/>
    </row>
    <row r="339" spans="17:17" x14ac:dyDescent="0.2">
      <c r="Q339" s="110"/>
    </row>
    <row r="340" spans="17:17" x14ac:dyDescent="0.2">
      <c r="Q340" s="110"/>
    </row>
    <row r="341" spans="17:17" x14ac:dyDescent="0.2">
      <c r="Q341" s="110"/>
    </row>
    <row r="342" spans="17:17" x14ac:dyDescent="0.2">
      <c r="Q342" s="110"/>
    </row>
    <row r="343" spans="17:17" x14ac:dyDescent="0.2">
      <c r="Q343" s="110"/>
    </row>
    <row r="344" spans="17:17" x14ac:dyDescent="0.2">
      <c r="Q344" s="110"/>
    </row>
    <row r="345" spans="17:17" x14ac:dyDescent="0.2">
      <c r="Q345" s="110"/>
    </row>
    <row r="346" spans="17:17" x14ac:dyDescent="0.2">
      <c r="Q346" s="110"/>
    </row>
    <row r="347" spans="17:17" x14ac:dyDescent="0.2">
      <c r="Q347" s="110"/>
    </row>
    <row r="348" spans="17:17" x14ac:dyDescent="0.2">
      <c r="Q348" s="110"/>
    </row>
    <row r="349" spans="17:17" x14ac:dyDescent="0.2">
      <c r="Q349" s="110"/>
    </row>
    <row r="350" spans="17:17" x14ac:dyDescent="0.2">
      <c r="Q350" s="110"/>
    </row>
    <row r="351" spans="17:17" x14ac:dyDescent="0.2">
      <c r="Q351" s="110"/>
    </row>
    <row r="352" spans="17:17" x14ac:dyDescent="0.2">
      <c r="Q352" s="110"/>
    </row>
    <row r="353" spans="17:17" x14ac:dyDescent="0.2">
      <c r="Q353" s="110"/>
    </row>
    <row r="354" spans="17:17" x14ac:dyDescent="0.2">
      <c r="Q354" s="110"/>
    </row>
    <row r="355" spans="17:17" x14ac:dyDescent="0.2">
      <c r="Q355" s="110"/>
    </row>
    <row r="356" spans="17:17" x14ac:dyDescent="0.2">
      <c r="Q356" s="110"/>
    </row>
    <row r="357" spans="17:17" x14ac:dyDescent="0.2">
      <c r="Q357" s="110"/>
    </row>
    <row r="358" spans="17:17" x14ac:dyDescent="0.2">
      <c r="Q358" s="110"/>
    </row>
    <row r="359" spans="17:17" x14ac:dyDescent="0.2">
      <c r="Q359" s="110"/>
    </row>
    <row r="360" spans="17:17" x14ac:dyDescent="0.2">
      <c r="Q360" s="110"/>
    </row>
    <row r="361" spans="17:17" x14ac:dyDescent="0.2">
      <c r="Q361" s="110"/>
    </row>
    <row r="362" spans="17:17" x14ac:dyDescent="0.2">
      <c r="Q362" s="110"/>
    </row>
    <row r="363" spans="17:17" x14ac:dyDescent="0.2">
      <c r="Q363" s="110"/>
    </row>
    <row r="364" spans="17:17" x14ac:dyDescent="0.2">
      <c r="Q364" s="110"/>
    </row>
    <row r="365" spans="17:17" x14ac:dyDescent="0.2">
      <c r="Q365" s="110"/>
    </row>
    <row r="366" spans="17:17" x14ac:dyDescent="0.2">
      <c r="Q366" s="110"/>
    </row>
    <row r="367" spans="17:17" x14ac:dyDescent="0.2">
      <c r="Q367" s="110"/>
    </row>
    <row r="368" spans="17:17" x14ac:dyDescent="0.2">
      <c r="Q368" s="110"/>
    </row>
    <row r="369" spans="17:17" x14ac:dyDescent="0.2">
      <c r="Q369" s="110"/>
    </row>
    <row r="370" spans="17:17" x14ac:dyDescent="0.2">
      <c r="Q370" s="110"/>
    </row>
    <row r="371" spans="17:17" x14ac:dyDescent="0.2">
      <c r="Q371" s="110"/>
    </row>
    <row r="372" spans="17:17" x14ac:dyDescent="0.2">
      <c r="Q372" s="110"/>
    </row>
    <row r="373" spans="17:17" x14ac:dyDescent="0.2">
      <c r="Q373" s="110"/>
    </row>
    <row r="374" spans="17:17" x14ac:dyDescent="0.2">
      <c r="Q374" s="110"/>
    </row>
    <row r="375" spans="17:17" x14ac:dyDescent="0.2">
      <c r="Q375" s="110"/>
    </row>
    <row r="376" spans="17:17" x14ac:dyDescent="0.2">
      <c r="Q376" s="110"/>
    </row>
    <row r="377" spans="17:17" x14ac:dyDescent="0.2">
      <c r="Q377" s="110"/>
    </row>
    <row r="378" spans="17:17" x14ac:dyDescent="0.2">
      <c r="Q378" s="110"/>
    </row>
    <row r="379" spans="17:17" x14ac:dyDescent="0.2">
      <c r="Q379" s="110"/>
    </row>
    <row r="380" spans="17:17" x14ac:dyDescent="0.2">
      <c r="Q380" s="110"/>
    </row>
    <row r="381" spans="17:17" x14ac:dyDescent="0.2">
      <c r="Q381" s="110"/>
    </row>
    <row r="382" spans="17:17" x14ac:dyDescent="0.2">
      <c r="Q382" s="110"/>
    </row>
    <row r="383" spans="17:17" x14ac:dyDescent="0.2">
      <c r="Q383" s="110"/>
    </row>
    <row r="384" spans="17:17" x14ac:dyDescent="0.2">
      <c r="Q384" s="110"/>
    </row>
    <row r="385" spans="17:17" x14ac:dyDescent="0.2">
      <c r="Q385" s="110"/>
    </row>
    <row r="386" spans="17:17" x14ac:dyDescent="0.2">
      <c r="Q386" s="110"/>
    </row>
    <row r="387" spans="17:17" x14ac:dyDescent="0.2">
      <c r="Q387" s="110"/>
    </row>
    <row r="388" spans="17:17" x14ac:dyDescent="0.2">
      <c r="Q388" s="110"/>
    </row>
    <row r="389" spans="17:17" x14ac:dyDescent="0.2">
      <c r="Q389" s="110"/>
    </row>
    <row r="390" spans="17:17" x14ac:dyDescent="0.2">
      <c r="Q390" s="110"/>
    </row>
    <row r="391" spans="17:17" x14ac:dyDescent="0.2">
      <c r="Q391" s="110"/>
    </row>
    <row r="392" spans="17:17" x14ac:dyDescent="0.2">
      <c r="Q392" s="110"/>
    </row>
    <row r="393" spans="17:17" x14ac:dyDescent="0.2">
      <c r="Q393" s="110"/>
    </row>
    <row r="394" spans="17:17" x14ac:dyDescent="0.2">
      <c r="Q394" s="110"/>
    </row>
    <row r="395" spans="17:17" x14ac:dyDescent="0.2">
      <c r="Q395" s="110"/>
    </row>
    <row r="396" spans="17:17" x14ac:dyDescent="0.2">
      <c r="Q396" s="110"/>
    </row>
    <row r="397" spans="17:17" x14ac:dyDescent="0.2">
      <c r="Q397" s="110"/>
    </row>
    <row r="398" spans="17:17" x14ac:dyDescent="0.2">
      <c r="Q398" s="110"/>
    </row>
    <row r="399" spans="17:17" x14ac:dyDescent="0.2">
      <c r="Q399" s="110"/>
    </row>
    <row r="400" spans="17:17" x14ac:dyDescent="0.2">
      <c r="Q400" s="110"/>
    </row>
    <row r="401" spans="17:17" x14ac:dyDescent="0.2">
      <c r="Q401" s="110"/>
    </row>
    <row r="402" spans="17:17" x14ac:dyDescent="0.2">
      <c r="Q402" s="110"/>
    </row>
    <row r="403" spans="17:17" x14ac:dyDescent="0.2">
      <c r="Q403" s="110"/>
    </row>
    <row r="404" spans="17:17" x14ac:dyDescent="0.2">
      <c r="Q404" s="110"/>
    </row>
    <row r="405" spans="17:17" x14ac:dyDescent="0.2">
      <c r="Q405" s="110"/>
    </row>
    <row r="406" spans="17:17" x14ac:dyDescent="0.2">
      <c r="Q406" s="110"/>
    </row>
    <row r="407" spans="17:17" x14ac:dyDescent="0.2">
      <c r="Q407" s="110"/>
    </row>
    <row r="408" spans="17:17" x14ac:dyDescent="0.2">
      <c r="Q408" s="110"/>
    </row>
    <row r="409" spans="17:17" x14ac:dyDescent="0.2">
      <c r="Q409" s="110"/>
    </row>
    <row r="410" spans="17:17" x14ac:dyDescent="0.2">
      <c r="Q410" s="110"/>
    </row>
    <row r="411" spans="17:17" x14ac:dyDescent="0.2">
      <c r="Q411" s="110"/>
    </row>
    <row r="412" spans="17:17" x14ac:dyDescent="0.2">
      <c r="Q412" s="110"/>
    </row>
    <row r="413" spans="17:17" x14ac:dyDescent="0.2">
      <c r="Q413" s="110"/>
    </row>
  </sheetData>
  <mergeCells count="1">
    <mergeCell ref="M1:O1"/>
  </mergeCells>
  <hyperlinks>
    <hyperlink ref="A2" location="FEO!A1" display="terug" xr:uid="{3FD4FEDF-88E0-4C80-8C0E-E9C51429372B}"/>
  </hyperlink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20D1F-73B9-4353-BA8E-B782DAD90086}">
  <sheetPr>
    <tabColor rgb="FFFFC000"/>
  </sheetPr>
  <dimension ref="A1:R413"/>
  <sheetViews>
    <sheetView workbookViewId="0"/>
  </sheetViews>
  <sheetFormatPr defaultRowHeight="10.199999999999999" x14ac:dyDescent="0.2"/>
  <cols>
    <col min="1" max="1" width="27.25" customWidth="1"/>
    <col min="2" max="15" width="17.125" customWidth="1"/>
    <col min="17" max="17" width="14.625" bestFit="1" customWidth="1"/>
  </cols>
  <sheetData>
    <row r="1" spans="1:15" ht="16.2" x14ac:dyDescent="0.3">
      <c r="A1" s="51" t="s">
        <v>331</v>
      </c>
      <c r="L1" s="156" t="s">
        <v>83</v>
      </c>
      <c r="M1" s="647" t="s">
        <v>84</v>
      </c>
      <c r="N1" s="647"/>
      <c r="O1" s="647"/>
    </row>
    <row r="2" spans="1:15" x14ac:dyDescent="0.2">
      <c r="A2" s="56" t="s">
        <v>131</v>
      </c>
      <c r="N2" s="266" t="str">
        <f>FEO!AA1</f>
        <v>Versie</v>
      </c>
      <c r="O2" s="274" t="str">
        <f>FEO!AA2</f>
        <v>NVI 5b</v>
      </c>
    </row>
    <row r="3" spans="1:15" ht="10.8" thickBot="1" x14ac:dyDescent="0.25">
      <c r="A3" s="56"/>
    </row>
    <row r="4" spans="1:15" ht="12" thickBot="1" x14ac:dyDescent="0.25">
      <c r="A4" s="47" t="s">
        <v>151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12" thickBot="1" x14ac:dyDescent="0.25">
      <c r="A5" s="49" t="s">
        <v>210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5" ht="12" thickBot="1" x14ac:dyDescent="0.25">
      <c r="A6" s="49" t="s">
        <v>145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23.4" thickBot="1" x14ac:dyDescent="0.25">
      <c r="A7" s="375" t="s">
        <v>309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9" spans="1:15" ht="23.4" thickBot="1" x14ac:dyDescent="0.25">
      <c r="A9" s="76" t="s">
        <v>321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</row>
    <row r="10" spans="1:15" ht="12" thickBot="1" x14ac:dyDescent="0.25">
      <c r="A10" s="248" t="s">
        <v>146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</row>
    <row r="11" spans="1:15" ht="12" thickBot="1" x14ac:dyDescent="0.25">
      <c r="A11" s="248" t="s">
        <v>146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</row>
    <row r="12" spans="1:15" ht="12" thickBot="1" x14ac:dyDescent="0.25">
      <c r="A12" s="248" t="s">
        <v>146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</row>
    <row r="13" spans="1:15" ht="12" thickBot="1" x14ac:dyDescent="0.25">
      <c r="A13" s="248" t="s">
        <v>146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</row>
    <row r="14" spans="1:15" ht="12" thickBot="1" x14ac:dyDescent="0.25">
      <c r="A14" s="248" t="s">
        <v>146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</row>
    <row r="15" spans="1:15" ht="12" thickBot="1" x14ac:dyDescent="0.25">
      <c r="A15" s="248" t="s">
        <v>146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</row>
    <row r="16" spans="1:15" ht="12" thickBot="1" x14ac:dyDescent="0.25">
      <c r="A16" s="248" t="s">
        <v>146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</row>
    <row r="17" spans="1:17" ht="12" thickBot="1" x14ac:dyDescent="0.25">
      <c r="A17" s="248" t="s">
        <v>146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17" ht="12" thickBot="1" x14ac:dyDescent="0.25">
      <c r="A18" s="248" t="s">
        <v>146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</row>
    <row r="19" spans="1:17" ht="12" thickBot="1" x14ac:dyDescent="0.25">
      <c r="A19" s="248" t="s">
        <v>146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</row>
    <row r="20" spans="1:17" ht="12" thickBot="1" x14ac:dyDescent="0.25">
      <c r="A20" s="248" t="s">
        <v>146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</row>
    <row r="21" spans="1:17" ht="12" thickBot="1" x14ac:dyDescent="0.25">
      <c r="A21" s="248" t="s">
        <v>146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</row>
    <row r="22" spans="1:17" ht="12" thickBot="1" x14ac:dyDescent="0.25">
      <c r="A22" s="248" t="s">
        <v>146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</row>
    <row r="23" spans="1:17" ht="12" thickBot="1" x14ac:dyDescent="0.25">
      <c r="A23" s="248" t="s">
        <v>146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</row>
    <row r="24" spans="1:17" ht="12" thickBot="1" x14ac:dyDescent="0.25">
      <c r="A24" s="76" t="s">
        <v>314</v>
      </c>
      <c r="B24" s="245">
        <f>SUM(B10:B23)</f>
        <v>0</v>
      </c>
      <c r="C24" s="245">
        <f t="shared" ref="C24:O24" si="0">SUM(C10:C23)</f>
        <v>0</v>
      </c>
      <c r="D24" s="245">
        <f t="shared" si="0"/>
        <v>0</v>
      </c>
      <c r="E24" s="245">
        <f t="shared" si="0"/>
        <v>0</v>
      </c>
      <c r="F24" s="245">
        <f t="shared" si="0"/>
        <v>0</v>
      </c>
      <c r="G24" s="245">
        <f t="shared" si="0"/>
        <v>0</v>
      </c>
      <c r="H24" s="245">
        <f t="shared" si="0"/>
        <v>0</v>
      </c>
      <c r="I24" s="245">
        <f t="shared" si="0"/>
        <v>0</v>
      </c>
      <c r="J24" s="245">
        <f t="shared" si="0"/>
        <v>0</v>
      </c>
      <c r="K24" s="245">
        <f t="shared" si="0"/>
        <v>0</v>
      </c>
      <c r="L24" s="245">
        <f t="shared" si="0"/>
        <v>0</v>
      </c>
      <c r="M24" s="245">
        <f t="shared" si="0"/>
        <v>0</v>
      </c>
      <c r="N24" s="245">
        <f t="shared" si="0"/>
        <v>0</v>
      </c>
      <c r="O24" s="245">
        <f t="shared" si="0"/>
        <v>0</v>
      </c>
    </row>
    <row r="25" spans="1:17" ht="12" thickBot="1" x14ac:dyDescent="0.25">
      <c r="A25" s="49" t="s">
        <v>305</v>
      </c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</row>
    <row r="26" spans="1:17" ht="12" thickBot="1" x14ac:dyDescent="0.25">
      <c r="A26" s="49" t="s">
        <v>307</v>
      </c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</row>
    <row r="27" spans="1:17" ht="12" thickBot="1" x14ac:dyDescent="0.25">
      <c r="A27" s="49" t="s">
        <v>239</v>
      </c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</row>
    <row r="28" spans="1:17" ht="12" thickBot="1" x14ac:dyDescent="0.25">
      <c r="A28" s="76" t="s">
        <v>308</v>
      </c>
      <c r="B28" s="245">
        <f>SUM(B25:B27)</f>
        <v>0</v>
      </c>
      <c r="C28" s="245">
        <f t="shared" ref="C28:O28" si="1">SUM(C25:C27)</f>
        <v>0</v>
      </c>
      <c r="D28" s="245">
        <f t="shared" si="1"/>
        <v>0</v>
      </c>
      <c r="E28" s="245">
        <f t="shared" si="1"/>
        <v>0</v>
      </c>
      <c r="F28" s="245">
        <f t="shared" si="1"/>
        <v>0</v>
      </c>
      <c r="G28" s="245">
        <f t="shared" si="1"/>
        <v>0</v>
      </c>
      <c r="H28" s="245">
        <f t="shared" si="1"/>
        <v>0</v>
      </c>
      <c r="I28" s="245">
        <f t="shared" si="1"/>
        <v>0</v>
      </c>
      <c r="J28" s="245">
        <f t="shared" si="1"/>
        <v>0</v>
      </c>
      <c r="K28" s="245">
        <f t="shared" si="1"/>
        <v>0</v>
      </c>
      <c r="L28" s="245">
        <f t="shared" si="1"/>
        <v>0</v>
      </c>
      <c r="M28" s="245">
        <f t="shared" si="1"/>
        <v>0</v>
      </c>
      <c r="N28" s="245">
        <f t="shared" si="1"/>
        <v>0</v>
      </c>
      <c r="O28" s="245">
        <f t="shared" si="1"/>
        <v>0</v>
      </c>
    </row>
    <row r="29" spans="1:17" ht="12" thickBot="1" x14ac:dyDescent="0.25">
      <c r="A29" s="76" t="s">
        <v>312</v>
      </c>
      <c r="B29" s="380">
        <f>B28+B24</f>
        <v>0</v>
      </c>
      <c r="C29" s="380">
        <f t="shared" ref="C29:O29" si="2">C28+C24</f>
        <v>0</v>
      </c>
      <c r="D29" s="380">
        <f t="shared" si="2"/>
        <v>0</v>
      </c>
      <c r="E29" s="380">
        <f t="shared" si="2"/>
        <v>0</v>
      </c>
      <c r="F29" s="380">
        <f t="shared" si="2"/>
        <v>0</v>
      </c>
      <c r="G29" s="380">
        <f t="shared" si="2"/>
        <v>0</v>
      </c>
      <c r="H29" s="380">
        <f t="shared" si="2"/>
        <v>0</v>
      </c>
      <c r="I29" s="380">
        <f t="shared" si="2"/>
        <v>0</v>
      </c>
      <c r="J29" s="380">
        <f t="shared" si="2"/>
        <v>0</v>
      </c>
      <c r="K29" s="380">
        <f t="shared" si="2"/>
        <v>0</v>
      </c>
      <c r="L29" s="380">
        <f t="shared" si="2"/>
        <v>0</v>
      </c>
      <c r="M29" s="380">
        <f t="shared" si="2"/>
        <v>0</v>
      </c>
      <c r="N29" s="380">
        <f t="shared" si="2"/>
        <v>0</v>
      </c>
      <c r="O29" s="380">
        <f t="shared" si="2"/>
        <v>0</v>
      </c>
    </row>
    <row r="30" spans="1:17" ht="12" thickBot="1" x14ac:dyDescent="0.25">
      <c r="A30" s="49" t="s">
        <v>154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</row>
    <row r="31" spans="1:17" ht="12" thickBot="1" x14ac:dyDescent="0.25">
      <c r="A31" s="49" t="s">
        <v>155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Q31" s="87"/>
    </row>
    <row r="32" spans="1:17" ht="23.4" thickBot="1" x14ac:dyDescent="0.25">
      <c r="A32" s="49" t="s">
        <v>310</v>
      </c>
      <c r="B32" s="78">
        <f>365.25*B7</f>
        <v>0</v>
      </c>
      <c r="C32" s="78">
        <f t="shared" ref="C32:O32" si="3">365.25*C7</f>
        <v>0</v>
      </c>
      <c r="D32" s="78">
        <f t="shared" si="3"/>
        <v>0</v>
      </c>
      <c r="E32" s="78">
        <f t="shared" si="3"/>
        <v>0</v>
      </c>
      <c r="F32" s="78">
        <f t="shared" si="3"/>
        <v>0</v>
      </c>
      <c r="G32" s="78">
        <f t="shared" si="3"/>
        <v>0</v>
      </c>
      <c r="H32" s="78">
        <f t="shared" si="3"/>
        <v>0</v>
      </c>
      <c r="I32" s="78">
        <f t="shared" si="3"/>
        <v>0</v>
      </c>
      <c r="J32" s="78">
        <f t="shared" si="3"/>
        <v>0</v>
      </c>
      <c r="K32" s="78">
        <f t="shared" si="3"/>
        <v>0</v>
      </c>
      <c r="L32" s="78">
        <f t="shared" si="3"/>
        <v>0</v>
      </c>
      <c r="M32" s="78">
        <f t="shared" si="3"/>
        <v>0</v>
      </c>
      <c r="N32" s="78">
        <f t="shared" si="3"/>
        <v>0</v>
      </c>
      <c r="O32" s="78">
        <f t="shared" si="3"/>
        <v>0</v>
      </c>
      <c r="Q32" s="87"/>
    </row>
    <row r="33" spans="1:18" ht="23.4" thickBot="1" x14ac:dyDescent="0.25">
      <c r="A33" s="49" t="s">
        <v>206</v>
      </c>
      <c r="B33" s="78">
        <f>IF(B30=0,0,B31-B30+1)</f>
        <v>0</v>
      </c>
      <c r="C33" s="78">
        <f t="shared" ref="C33:O33" si="4">IF(C30=0,0,C31-C30+1)</f>
        <v>0</v>
      </c>
      <c r="D33" s="78">
        <f t="shared" si="4"/>
        <v>0</v>
      </c>
      <c r="E33" s="78">
        <f t="shared" si="4"/>
        <v>0</v>
      </c>
      <c r="F33" s="78">
        <f t="shared" si="4"/>
        <v>0</v>
      </c>
      <c r="G33" s="78">
        <f t="shared" si="4"/>
        <v>0</v>
      </c>
      <c r="H33" s="78">
        <f t="shared" si="4"/>
        <v>0</v>
      </c>
      <c r="I33" s="78">
        <f t="shared" si="4"/>
        <v>0</v>
      </c>
      <c r="J33" s="78">
        <f t="shared" si="4"/>
        <v>0</v>
      </c>
      <c r="K33" s="78">
        <f t="shared" si="4"/>
        <v>0</v>
      </c>
      <c r="L33" s="78">
        <f t="shared" si="4"/>
        <v>0</v>
      </c>
      <c r="M33" s="78">
        <f t="shared" si="4"/>
        <v>0</v>
      </c>
      <c r="N33" s="78">
        <f t="shared" si="4"/>
        <v>0</v>
      </c>
      <c r="O33" s="78">
        <f t="shared" si="4"/>
        <v>0</v>
      </c>
      <c r="Q33" s="259"/>
      <c r="R33" s="259"/>
    </row>
    <row r="34" spans="1:18" ht="12" thickBot="1" x14ac:dyDescent="0.25">
      <c r="A34" s="49" t="s">
        <v>141</v>
      </c>
      <c r="B34" s="50">
        <f>IFERROR((B29)/B32,0)</f>
        <v>0</v>
      </c>
      <c r="C34" s="50">
        <f t="shared" ref="C34:O34" si="5">IFERROR((C29)/C32,0)</f>
        <v>0</v>
      </c>
      <c r="D34" s="50">
        <f t="shared" si="5"/>
        <v>0</v>
      </c>
      <c r="E34" s="50">
        <f t="shared" si="5"/>
        <v>0</v>
      </c>
      <c r="F34" s="50">
        <f t="shared" si="5"/>
        <v>0</v>
      </c>
      <c r="G34" s="50">
        <f t="shared" si="5"/>
        <v>0</v>
      </c>
      <c r="H34" s="50">
        <f t="shared" si="5"/>
        <v>0</v>
      </c>
      <c r="I34" s="50">
        <f t="shared" si="5"/>
        <v>0</v>
      </c>
      <c r="J34" s="50">
        <f t="shared" si="5"/>
        <v>0</v>
      </c>
      <c r="K34" s="50">
        <f t="shared" si="5"/>
        <v>0</v>
      </c>
      <c r="L34" s="50">
        <f t="shared" si="5"/>
        <v>0</v>
      </c>
      <c r="M34" s="50">
        <f t="shared" si="5"/>
        <v>0</v>
      </c>
      <c r="N34" s="50">
        <f t="shared" si="5"/>
        <v>0</v>
      </c>
      <c r="O34" s="50">
        <f t="shared" si="5"/>
        <v>0</v>
      </c>
    </row>
    <row r="35" spans="1:18" x14ac:dyDescent="0.2">
      <c r="H35" s="258"/>
      <c r="I35" s="258"/>
    </row>
    <row r="36" spans="1:18" ht="11.4" x14ac:dyDescent="0.2">
      <c r="A36" s="545" t="s">
        <v>479</v>
      </c>
      <c r="H36" s="258"/>
      <c r="I36" s="258"/>
    </row>
    <row r="37" spans="1:18" x14ac:dyDescent="0.2">
      <c r="H37" s="258"/>
      <c r="I37" s="258"/>
    </row>
    <row r="38" spans="1:18" ht="12" thickBot="1" x14ac:dyDescent="0.25">
      <c r="A38" s="52" t="s">
        <v>142</v>
      </c>
      <c r="B38" s="87"/>
    </row>
    <row r="39" spans="1:18" ht="12" thickBot="1" x14ac:dyDescent="0.25">
      <c r="A39" s="54">
        <f>FEO!$G$5</f>
        <v>2028</v>
      </c>
      <c r="B39" s="55">
        <f>IF(AND($A39&gt;YEAR(B$30),$A39&lt;YEAR(B$31)),(DATE($A39,12,31)-DATE($A39,1,0))*B$34,IF(AND($A39=YEAR(B$30),$A39=YEAR(B$31)),(B$31-B$30+1)*B$34,IF($A39=YEAR(B$30),(DATE(YEAR(B$30),12,31)-B$30+1)*B$34,IF($A39=YEAR(B$31),(B$31-DATE(YEAR(B$31),1,1)+1)*B$34,0))))</f>
        <v>0</v>
      </c>
      <c r="C39" s="55">
        <f t="shared" ref="C39:O40" si="6">IF(AND($A39&gt;YEAR(C$30),$A39&lt;YEAR(C$31)),(DATE($A39,12,31)-DATE($A39,1,0))*C$34,IF(AND($A39=YEAR(C$30),$A39=YEAR(C$31)),(C$31-C$30+1)*C$34,IF($A39=YEAR(C$30),(DATE(YEAR(C$30),12,31)-C$30+1)*C$34,IF($A39=YEAR(C$31),(C$31-DATE(YEAR(C$31),1,1)+1)*C$34,0))))</f>
        <v>0</v>
      </c>
      <c r="D39" s="55">
        <f t="shared" si="6"/>
        <v>0</v>
      </c>
      <c r="E39" s="55">
        <f t="shared" si="6"/>
        <v>0</v>
      </c>
      <c r="F39" s="55">
        <f t="shared" si="6"/>
        <v>0</v>
      </c>
      <c r="G39" s="55">
        <f t="shared" si="6"/>
        <v>0</v>
      </c>
      <c r="H39" s="55">
        <f t="shared" si="6"/>
        <v>0</v>
      </c>
      <c r="I39" s="55">
        <f t="shared" si="6"/>
        <v>0</v>
      </c>
      <c r="J39" s="55">
        <f t="shared" si="6"/>
        <v>0</v>
      </c>
      <c r="K39" s="55">
        <f t="shared" si="6"/>
        <v>0</v>
      </c>
      <c r="L39" s="55">
        <f t="shared" si="6"/>
        <v>0</v>
      </c>
      <c r="M39" s="55">
        <f t="shared" si="6"/>
        <v>0</v>
      </c>
      <c r="N39" s="55">
        <f t="shared" si="6"/>
        <v>0</v>
      </c>
      <c r="O39" s="55">
        <f t="shared" si="6"/>
        <v>0</v>
      </c>
      <c r="P39" s="87"/>
      <c r="Q39" s="616"/>
      <c r="R39" s="87"/>
    </row>
    <row r="40" spans="1:18" ht="12" thickBot="1" x14ac:dyDescent="0.25">
      <c r="A40" s="54">
        <f>FEO!$H$5</f>
        <v>2029</v>
      </c>
      <c r="B40" s="55">
        <f>IF(AND($A40&gt;YEAR(B$30),$A40&lt;YEAR(B$31)),(DATE($A40,12,31)-DATE($A40,1,0))*B$34,IF(AND($A40=YEAR(B$30),$A40=YEAR(B$31)),(B$31-B$30+1)*B$34,IF($A40=YEAR(B$30),(DATE(YEAR(B$30),12,31)-B$30+1)*B$34,IF($A40=YEAR(B$31),(B$31-DATE(YEAR(B$31),1,1)+1)*B$34,0))))</f>
        <v>0</v>
      </c>
      <c r="C40" s="55">
        <f t="shared" si="6"/>
        <v>0</v>
      </c>
      <c r="D40" s="55">
        <f t="shared" si="6"/>
        <v>0</v>
      </c>
      <c r="E40" s="55">
        <f t="shared" si="6"/>
        <v>0</v>
      </c>
      <c r="F40" s="55">
        <f t="shared" si="6"/>
        <v>0</v>
      </c>
      <c r="G40" s="55">
        <f t="shared" si="6"/>
        <v>0</v>
      </c>
      <c r="H40" s="55">
        <f t="shared" si="6"/>
        <v>0</v>
      </c>
      <c r="I40" s="55">
        <f t="shared" si="6"/>
        <v>0</v>
      </c>
      <c r="J40" s="55">
        <f t="shared" si="6"/>
        <v>0</v>
      </c>
      <c r="K40" s="55">
        <f t="shared" si="6"/>
        <v>0</v>
      </c>
      <c r="L40" s="55">
        <f t="shared" si="6"/>
        <v>0</v>
      </c>
      <c r="M40" s="55">
        <f t="shared" si="6"/>
        <v>0</v>
      </c>
      <c r="N40" s="55">
        <f t="shared" si="6"/>
        <v>0</v>
      </c>
      <c r="O40" s="55">
        <f t="shared" si="6"/>
        <v>0</v>
      </c>
      <c r="P40" s="87"/>
      <c r="Q40" s="616"/>
      <c r="R40" s="87"/>
    </row>
    <row r="41" spans="1:18" ht="12" thickBot="1" x14ac:dyDescent="0.25">
      <c r="A41" s="54">
        <f>FEO!$I$5</f>
        <v>2030</v>
      </c>
      <c r="B41" s="55">
        <f t="shared" ref="B41:O54" si="7">IF(AND($A41&gt;YEAR(B$30),$A41&lt;YEAR(B$31)),(DATE($A41,12,31)-DATE($A41,1,0))*B$34,IF(AND($A41=YEAR(B$30),$A41=YEAR(B$31)),(B$31-B$30+1)*B$34,IF($A41=YEAR(B$30),(DATE(YEAR(B$30),12,31)-B$30+1)*B$34,IF($A41=YEAR(B$31),(B$31-DATE(YEAR(B$31),1,1)+1)*B$34,0))))</f>
        <v>0</v>
      </c>
      <c r="C41" s="55">
        <f t="shared" si="7"/>
        <v>0</v>
      </c>
      <c r="D41" s="55">
        <f t="shared" si="7"/>
        <v>0</v>
      </c>
      <c r="E41" s="55">
        <f t="shared" si="7"/>
        <v>0</v>
      </c>
      <c r="F41" s="55">
        <f t="shared" si="7"/>
        <v>0</v>
      </c>
      <c r="G41" s="55">
        <f t="shared" si="7"/>
        <v>0</v>
      </c>
      <c r="H41" s="55">
        <f t="shared" si="7"/>
        <v>0</v>
      </c>
      <c r="I41" s="55">
        <f t="shared" si="7"/>
        <v>0</v>
      </c>
      <c r="J41" s="55">
        <f t="shared" si="7"/>
        <v>0</v>
      </c>
      <c r="K41" s="55">
        <f t="shared" si="7"/>
        <v>0</v>
      </c>
      <c r="L41" s="55">
        <f t="shared" si="7"/>
        <v>0</v>
      </c>
      <c r="M41" s="55">
        <f t="shared" si="7"/>
        <v>0</v>
      </c>
      <c r="N41" s="55">
        <f t="shared" si="7"/>
        <v>0</v>
      </c>
      <c r="O41" s="55">
        <f t="shared" si="7"/>
        <v>0</v>
      </c>
      <c r="P41" s="87"/>
      <c r="Q41" s="616"/>
      <c r="R41" s="87"/>
    </row>
    <row r="42" spans="1:18" ht="12" thickBot="1" x14ac:dyDescent="0.25">
      <c r="A42" s="54">
        <f>FEO!$J$5</f>
        <v>2031</v>
      </c>
      <c r="B42" s="55">
        <f t="shared" si="7"/>
        <v>0</v>
      </c>
      <c r="C42" s="55">
        <f t="shared" si="7"/>
        <v>0</v>
      </c>
      <c r="D42" s="55">
        <f t="shared" si="7"/>
        <v>0</v>
      </c>
      <c r="E42" s="55">
        <f t="shared" si="7"/>
        <v>0</v>
      </c>
      <c r="F42" s="55">
        <f t="shared" si="7"/>
        <v>0</v>
      </c>
      <c r="G42" s="55">
        <f t="shared" si="7"/>
        <v>0</v>
      </c>
      <c r="H42" s="55">
        <f t="shared" si="7"/>
        <v>0</v>
      </c>
      <c r="I42" s="55">
        <f t="shared" si="7"/>
        <v>0</v>
      </c>
      <c r="J42" s="55">
        <f t="shared" si="7"/>
        <v>0</v>
      </c>
      <c r="K42" s="55">
        <f t="shared" si="7"/>
        <v>0</v>
      </c>
      <c r="L42" s="55">
        <f t="shared" si="7"/>
        <v>0</v>
      </c>
      <c r="M42" s="55">
        <f t="shared" si="7"/>
        <v>0</v>
      </c>
      <c r="N42" s="55">
        <f t="shared" si="7"/>
        <v>0</v>
      </c>
      <c r="O42" s="55">
        <f t="shared" si="7"/>
        <v>0</v>
      </c>
      <c r="P42" s="87"/>
      <c r="Q42" s="616"/>
      <c r="R42" s="87"/>
    </row>
    <row r="43" spans="1:18" ht="12" thickBot="1" x14ac:dyDescent="0.25">
      <c r="A43" s="54">
        <f>FEO!$K$5</f>
        <v>2032</v>
      </c>
      <c r="B43" s="55">
        <f t="shared" si="7"/>
        <v>0</v>
      </c>
      <c r="C43" s="55">
        <f t="shared" si="7"/>
        <v>0</v>
      </c>
      <c r="D43" s="55">
        <f t="shared" si="7"/>
        <v>0</v>
      </c>
      <c r="E43" s="55">
        <f t="shared" si="7"/>
        <v>0</v>
      </c>
      <c r="F43" s="55">
        <f t="shared" si="7"/>
        <v>0</v>
      </c>
      <c r="G43" s="55">
        <f t="shared" si="7"/>
        <v>0</v>
      </c>
      <c r="H43" s="55">
        <f t="shared" si="7"/>
        <v>0</v>
      </c>
      <c r="I43" s="55">
        <f t="shared" si="7"/>
        <v>0</v>
      </c>
      <c r="J43" s="55">
        <f t="shared" si="7"/>
        <v>0</v>
      </c>
      <c r="K43" s="55">
        <f t="shared" si="7"/>
        <v>0</v>
      </c>
      <c r="L43" s="55">
        <f t="shared" si="7"/>
        <v>0</v>
      </c>
      <c r="M43" s="55">
        <f t="shared" si="7"/>
        <v>0</v>
      </c>
      <c r="N43" s="55">
        <f t="shared" si="7"/>
        <v>0</v>
      </c>
      <c r="O43" s="55">
        <f t="shared" si="7"/>
        <v>0</v>
      </c>
      <c r="P43" s="87"/>
      <c r="Q43" s="616"/>
      <c r="R43" s="87"/>
    </row>
    <row r="44" spans="1:18" ht="12" thickBot="1" x14ac:dyDescent="0.25">
      <c r="A44" s="54">
        <f>FEO!$L$5</f>
        <v>2033</v>
      </c>
      <c r="B44" s="55">
        <f t="shared" si="7"/>
        <v>0</v>
      </c>
      <c r="C44" s="55">
        <f t="shared" si="7"/>
        <v>0</v>
      </c>
      <c r="D44" s="55">
        <f t="shared" si="7"/>
        <v>0</v>
      </c>
      <c r="E44" s="55">
        <f t="shared" si="7"/>
        <v>0</v>
      </c>
      <c r="F44" s="55">
        <f t="shared" si="7"/>
        <v>0</v>
      </c>
      <c r="G44" s="55">
        <f t="shared" si="7"/>
        <v>0</v>
      </c>
      <c r="H44" s="55">
        <f t="shared" si="7"/>
        <v>0</v>
      </c>
      <c r="I44" s="55">
        <f t="shared" si="7"/>
        <v>0</v>
      </c>
      <c r="J44" s="55">
        <f t="shared" si="7"/>
        <v>0</v>
      </c>
      <c r="K44" s="55">
        <f t="shared" si="7"/>
        <v>0</v>
      </c>
      <c r="L44" s="55">
        <f t="shared" si="7"/>
        <v>0</v>
      </c>
      <c r="M44" s="55">
        <f t="shared" si="7"/>
        <v>0</v>
      </c>
      <c r="N44" s="55">
        <f t="shared" si="7"/>
        <v>0</v>
      </c>
      <c r="O44" s="55">
        <f t="shared" si="7"/>
        <v>0</v>
      </c>
      <c r="P44" s="87"/>
      <c r="Q44" s="616"/>
      <c r="R44" s="87"/>
    </row>
    <row r="45" spans="1:18" ht="12" thickBot="1" x14ac:dyDescent="0.25">
      <c r="A45" s="54">
        <f>FEO!$M$5</f>
        <v>2034</v>
      </c>
      <c r="B45" s="55">
        <f t="shared" si="7"/>
        <v>0</v>
      </c>
      <c r="C45" s="55">
        <f t="shared" si="7"/>
        <v>0</v>
      </c>
      <c r="D45" s="55">
        <f t="shared" si="7"/>
        <v>0</v>
      </c>
      <c r="E45" s="55">
        <f t="shared" si="7"/>
        <v>0</v>
      </c>
      <c r="F45" s="55">
        <f t="shared" si="7"/>
        <v>0</v>
      </c>
      <c r="G45" s="55">
        <f t="shared" si="7"/>
        <v>0</v>
      </c>
      <c r="H45" s="55">
        <f t="shared" si="7"/>
        <v>0</v>
      </c>
      <c r="I45" s="55">
        <f t="shared" si="7"/>
        <v>0</v>
      </c>
      <c r="J45" s="55">
        <f t="shared" si="7"/>
        <v>0</v>
      </c>
      <c r="K45" s="55">
        <f t="shared" si="7"/>
        <v>0</v>
      </c>
      <c r="L45" s="55">
        <f t="shared" si="7"/>
        <v>0</v>
      </c>
      <c r="M45" s="55">
        <f t="shared" si="7"/>
        <v>0</v>
      </c>
      <c r="N45" s="55">
        <f t="shared" si="7"/>
        <v>0</v>
      </c>
      <c r="O45" s="55">
        <f t="shared" si="7"/>
        <v>0</v>
      </c>
      <c r="P45" s="87"/>
      <c r="Q45" s="616"/>
      <c r="R45" s="87"/>
    </row>
    <row r="46" spans="1:18" ht="12" thickBot="1" x14ac:dyDescent="0.25">
      <c r="A46" s="54">
        <f>FEO!$N$5</f>
        <v>2035</v>
      </c>
      <c r="B46" s="55">
        <f t="shared" si="7"/>
        <v>0</v>
      </c>
      <c r="C46" s="55">
        <f t="shared" si="7"/>
        <v>0</v>
      </c>
      <c r="D46" s="55">
        <f t="shared" si="7"/>
        <v>0</v>
      </c>
      <c r="E46" s="55">
        <f t="shared" si="7"/>
        <v>0</v>
      </c>
      <c r="F46" s="55">
        <f t="shared" si="7"/>
        <v>0</v>
      </c>
      <c r="G46" s="55">
        <f t="shared" si="7"/>
        <v>0</v>
      </c>
      <c r="H46" s="55">
        <f t="shared" si="7"/>
        <v>0</v>
      </c>
      <c r="I46" s="55">
        <f t="shared" si="7"/>
        <v>0</v>
      </c>
      <c r="J46" s="55">
        <f t="shared" si="7"/>
        <v>0</v>
      </c>
      <c r="K46" s="55">
        <f t="shared" si="7"/>
        <v>0</v>
      </c>
      <c r="L46" s="55">
        <f t="shared" si="7"/>
        <v>0</v>
      </c>
      <c r="M46" s="55">
        <f t="shared" si="7"/>
        <v>0</v>
      </c>
      <c r="N46" s="55">
        <f t="shared" si="7"/>
        <v>0</v>
      </c>
      <c r="O46" s="55">
        <f t="shared" si="7"/>
        <v>0</v>
      </c>
      <c r="P46" s="87"/>
      <c r="Q46" s="616"/>
      <c r="R46" s="87"/>
    </row>
    <row r="47" spans="1:18" ht="12" thickBot="1" x14ac:dyDescent="0.25">
      <c r="A47" s="54">
        <f>FEO!$O$5</f>
        <v>2036</v>
      </c>
      <c r="B47" s="55">
        <f t="shared" si="7"/>
        <v>0</v>
      </c>
      <c r="C47" s="55">
        <f t="shared" si="7"/>
        <v>0</v>
      </c>
      <c r="D47" s="55">
        <f t="shared" si="7"/>
        <v>0</v>
      </c>
      <c r="E47" s="55">
        <f t="shared" si="7"/>
        <v>0</v>
      </c>
      <c r="F47" s="55">
        <f t="shared" si="7"/>
        <v>0</v>
      </c>
      <c r="G47" s="55">
        <f t="shared" si="7"/>
        <v>0</v>
      </c>
      <c r="H47" s="55">
        <f t="shared" si="7"/>
        <v>0</v>
      </c>
      <c r="I47" s="55">
        <f t="shared" si="7"/>
        <v>0</v>
      </c>
      <c r="J47" s="55">
        <f t="shared" si="7"/>
        <v>0</v>
      </c>
      <c r="K47" s="55">
        <f t="shared" si="7"/>
        <v>0</v>
      </c>
      <c r="L47" s="55">
        <f t="shared" si="7"/>
        <v>0</v>
      </c>
      <c r="M47" s="55">
        <f t="shared" si="7"/>
        <v>0</v>
      </c>
      <c r="N47" s="55">
        <f t="shared" si="7"/>
        <v>0</v>
      </c>
      <c r="O47" s="55">
        <f t="shared" si="7"/>
        <v>0</v>
      </c>
      <c r="P47" s="87"/>
      <c r="Q47" s="616"/>
      <c r="R47" s="87"/>
    </row>
    <row r="48" spans="1:18" ht="12" thickBot="1" x14ac:dyDescent="0.25">
      <c r="A48" s="54">
        <f>FEO!$P$5</f>
        <v>2037</v>
      </c>
      <c r="B48" s="55">
        <f t="shared" si="7"/>
        <v>0</v>
      </c>
      <c r="C48" s="55">
        <f t="shared" si="7"/>
        <v>0</v>
      </c>
      <c r="D48" s="55">
        <f t="shared" si="7"/>
        <v>0</v>
      </c>
      <c r="E48" s="55">
        <f t="shared" si="7"/>
        <v>0</v>
      </c>
      <c r="F48" s="55">
        <f t="shared" si="7"/>
        <v>0</v>
      </c>
      <c r="G48" s="55">
        <f t="shared" si="7"/>
        <v>0</v>
      </c>
      <c r="H48" s="55">
        <f t="shared" si="7"/>
        <v>0</v>
      </c>
      <c r="I48" s="55">
        <f t="shared" si="7"/>
        <v>0</v>
      </c>
      <c r="J48" s="55">
        <f t="shared" si="7"/>
        <v>0</v>
      </c>
      <c r="K48" s="55">
        <f t="shared" si="7"/>
        <v>0</v>
      </c>
      <c r="L48" s="55">
        <f t="shared" si="7"/>
        <v>0</v>
      </c>
      <c r="M48" s="55">
        <f t="shared" si="7"/>
        <v>0</v>
      </c>
      <c r="N48" s="55">
        <f t="shared" si="7"/>
        <v>0</v>
      </c>
      <c r="O48" s="55">
        <f t="shared" si="7"/>
        <v>0</v>
      </c>
      <c r="P48" s="87"/>
      <c r="Q48" s="616"/>
      <c r="R48" s="87"/>
    </row>
    <row r="49" spans="1:18" ht="12" thickBot="1" x14ac:dyDescent="0.25">
      <c r="A49" s="54">
        <f>FEO!$Q$5</f>
        <v>2038</v>
      </c>
      <c r="B49" s="55">
        <f t="shared" si="7"/>
        <v>0</v>
      </c>
      <c r="C49" s="55">
        <f t="shared" si="7"/>
        <v>0</v>
      </c>
      <c r="D49" s="55">
        <f t="shared" si="7"/>
        <v>0</v>
      </c>
      <c r="E49" s="55">
        <f t="shared" si="7"/>
        <v>0</v>
      </c>
      <c r="F49" s="55">
        <f t="shared" si="7"/>
        <v>0</v>
      </c>
      <c r="G49" s="55">
        <f t="shared" si="7"/>
        <v>0</v>
      </c>
      <c r="H49" s="55">
        <f t="shared" si="7"/>
        <v>0</v>
      </c>
      <c r="I49" s="55">
        <f t="shared" si="7"/>
        <v>0</v>
      </c>
      <c r="J49" s="55">
        <f t="shared" si="7"/>
        <v>0</v>
      </c>
      <c r="K49" s="55">
        <f t="shared" si="7"/>
        <v>0</v>
      </c>
      <c r="L49" s="55">
        <f t="shared" si="7"/>
        <v>0</v>
      </c>
      <c r="M49" s="55">
        <f t="shared" si="7"/>
        <v>0</v>
      </c>
      <c r="N49" s="55">
        <f t="shared" si="7"/>
        <v>0</v>
      </c>
      <c r="O49" s="55">
        <f t="shared" si="7"/>
        <v>0</v>
      </c>
      <c r="P49" s="87"/>
      <c r="Q49" s="616"/>
      <c r="R49" s="87"/>
    </row>
    <row r="50" spans="1:18" ht="12" thickBot="1" x14ac:dyDescent="0.25">
      <c r="A50" s="54">
        <f>FEO!$R$5</f>
        <v>2039</v>
      </c>
      <c r="B50" s="55">
        <f t="shared" si="7"/>
        <v>0</v>
      </c>
      <c r="C50" s="55">
        <f t="shared" si="7"/>
        <v>0</v>
      </c>
      <c r="D50" s="55">
        <f t="shared" si="7"/>
        <v>0</v>
      </c>
      <c r="E50" s="55">
        <f t="shared" si="7"/>
        <v>0</v>
      </c>
      <c r="F50" s="55">
        <f t="shared" si="7"/>
        <v>0</v>
      </c>
      <c r="G50" s="55">
        <f t="shared" si="7"/>
        <v>0</v>
      </c>
      <c r="H50" s="55">
        <f t="shared" si="7"/>
        <v>0</v>
      </c>
      <c r="I50" s="55">
        <f t="shared" si="7"/>
        <v>0</v>
      </c>
      <c r="J50" s="55">
        <f t="shared" si="7"/>
        <v>0</v>
      </c>
      <c r="K50" s="55">
        <f t="shared" si="7"/>
        <v>0</v>
      </c>
      <c r="L50" s="55">
        <f t="shared" si="7"/>
        <v>0</v>
      </c>
      <c r="M50" s="55">
        <f t="shared" si="7"/>
        <v>0</v>
      </c>
      <c r="N50" s="55">
        <f t="shared" si="7"/>
        <v>0</v>
      </c>
      <c r="O50" s="55">
        <f t="shared" si="7"/>
        <v>0</v>
      </c>
      <c r="P50" s="87"/>
      <c r="Q50" s="616"/>
      <c r="R50" s="87"/>
    </row>
    <row r="51" spans="1:18" ht="12" thickBot="1" x14ac:dyDescent="0.25">
      <c r="A51" s="54">
        <f>FEO!$S$5</f>
        <v>2040</v>
      </c>
      <c r="B51" s="55">
        <f t="shared" si="7"/>
        <v>0</v>
      </c>
      <c r="C51" s="55">
        <f t="shared" si="7"/>
        <v>0</v>
      </c>
      <c r="D51" s="55">
        <f t="shared" si="7"/>
        <v>0</v>
      </c>
      <c r="E51" s="55">
        <f t="shared" si="7"/>
        <v>0</v>
      </c>
      <c r="F51" s="55">
        <f t="shared" si="7"/>
        <v>0</v>
      </c>
      <c r="G51" s="55">
        <f t="shared" si="7"/>
        <v>0</v>
      </c>
      <c r="H51" s="55">
        <f t="shared" si="7"/>
        <v>0</v>
      </c>
      <c r="I51" s="55">
        <f t="shared" si="7"/>
        <v>0</v>
      </c>
      <c r="J51" s="55">
        <f t="shared" si="7"/>
        <v>0</v>
      </c>
      <c r="K51" s="55">
        <f t="shared" si="7"/>
        <v>0</v>
      </c>
      <c r="L51" s="55">
        <f t="shared" si="7"/>
        <v>0</v>
      </c>
      <c r="M51" s="55">
        <f t="shared" si="7"/>
        <v>0</v>
      </c>
      <c r="N51" s="55">
        <f t="shared" si="7"/>
        <v>0</v>
      </c>
      <c r="O51" s="55">
        <f t="shared" si="7"/>
        <v>0</v>
      </c>
      <c r="P51" s="87"/>
      <c r="Q51" s="616"/>
      <c r="R51" s="87"/>
    </row>
    <row r="52" spans="1:18" ht="12" thickBot="1" x14ac:dyDescent="0.25">
      <c r="A52" s="54">
        <f>FEO!$T$5</f>
        <v>2041</v>
      </c>
      <c r="B52" s="55">
        <f t="shared" si="7"/>
        <v>0</v>
      </c>
      <c r="C52" s="55">
        <f t="shared" si="7"/>
        <v>0</v>
      </c>
      <c r="D52" s="55">
        <f t="shared" si="7"/>
        <v>0</v>
      </c>
      <c r="E52" s="55">
        <f t="shared" si="7"/>
        <v>0</v>
      </c>
      <c r="F52" s="55">
        <f t="shared" si="7"/>
        <v>0</v>
      </c>
      <c r="G52" s="55">
        <f t="shared" si="7"/>
        <v>0</v>
      </c>
      <c r="H52" s="55">
        <f t="shared" si="7"/>
        <v>0</v>
      </c>
      <c r="I52" s="55">
        <f t="shared" si="7"/>
        <v>0</v>
      </c>
      <c r="J52" s="55">
        <f t="shared" si="7"/>
        <v>0</v>
      </c>
      <c r="K52" s="55">
        <f t="shared" si="7"/>
        <v>0</v>
      </c>
      <c r="L52" s="55">
        <f t="shared" si="7"/>
        <v>0</v>
      </c>
      <c r="M52" s="55">
        <f t="shared" si="7"/>
        <v>0</v>
      </c>
      <c r="N52" s="55">
        <f t="shared" si="7"/>
        <v>0</v>
      </c>
      <c r="O52" s="55">
        <f t="shared" si="7"/>
        <v>0</v>
      </c>
      <c r="P52" s="87"/>
      <c r="Q52" s="616"/>
      <c r="R52" s="87"/>
    </row>
    <row r="53" spans="1:18" ht="12" thickBot="1" x14ac:dyDescent="0.25">
      <c r="A53" s="54">
        <f>FEO!$U$5</f>
        <v>2042</v>
      </c>
      <c r="B53" s="55">
        <f t="shared" si="7"/>
        <v>0</v>
      </c>
      <c r="C53" s="55">
        <f t="shared" si="7"/>
        <v>0</v>
      </c>
      <c r="D53" s="55">
        <f t="shared" si="7"/>
        <v>0</v>
      </c>
      <c r="E53" s="55">
        <f t="shared" si="7"/>
        <v>0</v>
      </c>
      <c r="F53" s="55">
        <f t="shared" si="7"/>
        <v>0</v>
      </c>
      <c r="G53" s="55">
        <f t="shared" si="7"/>
        <v>0</v>
      </c>
      <c r="H53" s="55">
        <f t="shared" si="7"/>
        <v>0</v>
      </c>
      <c r="I53" s="55">
        <f t="shared" si="7"/>
        <v>0</v>
      </c>
      <c r="J53" s="55">
        <f t="shared" si="7"/>
        <v>0</v>
      </c>
      <c r="K53" s="55">
        <f t="shared" si="7"/>
        <v>0</v>
      </c>
      <c r="L53" s="55">
        <f t="shared" si="7"/>
        <v>0</v>
      </c>
      <c r="M53" s="55">
        <f t="shared" si="7"/>
        <v>0</v>
      </c>
      <c r="N53" s="55">
        <f t="shared" si="7"/>
        <v>0</v>
      </c>
      <c r="O53" s="55">
        <f t="shared" si="7"/>
        <v>0</v>
      </c>
      <c r="P53" s="87"/>
      <c r="Q53" s="616"/>
      <c r="R53" s="87"/>
    </row>
    <row r="54" spans="1:18" ht="12" thickBot="1" x14ac:dyDescent="0.25">
      <c r="A54" s="54">
        <f>FEO!$V$5</f>
        <v>2043</v>
      </c>
      <c r="B54" s="55">
        <f t="shared" si="7"/>
        <v>0</v>
      </c>
      <c r="C54" s="55">
        <f t="shared" si="7"/>
        <v>0</v>
      </c>
      <c r="D54" s="55">
        <f t="shared" si="7"/>
        <v>0</v>
      </c>
      <c r="E54" s="55">
        <f t="shared" si="7"/>
        <v>0</v>
      </c>
      <c r="F54" s="55">
        <f t="shared" si="7"/>
        <v>0</v>
      </c>
      <c r="G54" s="55">
        <f t="shared" si="7"/>
        <v>0</v>
      </c>
      <c r="H54" s="55">
        <f t="shared" si="7"/>
        <v>0</v>
      </c>
      <c r="I54" s="55">
        <f t="shared" si="7"/>
        <v>0</v>
      </c>
      <c r="J54" s="55">
        <f t="shared" si="7"/>
        <v>0</v>
      </c>
      <c r="K54" s="55">
        <f t="shared" si="7"/>
        <v>0</v>
      </c>
      <c r="L54" s="55">
        <f t="shared" si="7"/>
        <v>0</v>
      </c>
      <c r="M54" s="55">
        <f t="shared" si="7"/>
        <v>0</v>
      </c>
      <c r="N54" s="55">
        <f t="shared" si="7"/>
        <v>0</v>
      </c>
      <c r="O54" s="55">
        <f t="shared" si="7"/>
        <v>0</v>
      </c>
      <c r="P54" s="87"/>
      <c r="Q54" s="616"/>
      <c r="R54" s="87"/>
    </row>
    <row r="55" spans="1:18" ht="10.8" thickBot="1" x14ac:dyDescent="0.25"/>
    <row r="56" spans="1:18" ht="12" thickBot="1" x14ac:dyDescent="0.25">
      <c r="A56" s="116" t="s">
        <v>143</v>
      </c>
      <c r="B56" s="77">
        <f t="shared" ref="B56:O56" si="8">SUM(B39:B54)</f>
        <v>0</v>
      </c>
      <c r="C56" s="77">
        <f t="shared" si="8"/>
        <v>0</v>
      </c>
      <c r="D56" s="77">
        <f t="shared" si="8"/>
        <v>0</v>
      </c>
      <c r="E56" s="77">
        <f t="shared" si="8"/>
        <v>0</v>
      </c>
      <c r="F56" s="77">
        <f t="shared" si="8"/>
        <v>0</v>
      </c>
      <c r="G56" s="77">
        <f t="shared" si="8"/>
        <v>0</v>
      </c>
      <c r="H56" s="77">
        <f t="shared" si="8"/>
        <v>0</v>
      </c>
      <c r="I56" s="77">
        <f t="shared" si="8"/>
        <v>0</v>
      </c>
      <c r="J56" s="77">
        <f t="shared" si="8"/>
        <v>0</v>
      </c>
      <c r="K56" s="77">
        <f t="shared" si="8"/>
        <v>0</v>
      </c>
      <c r="L56" s="77">
        <f t="shared" si="8"/>
        <v>0</v>
      </c>
      <c r="M56" s="77">
        <f t="shared" si="8"/>
        <v>0</v>
      </c>
      <c r="N56" s="77">
        <f t="shared" si="8"/>
        <v>0</v>
      </c>
      <c r="O56" s="77">
        <f t="shared" si="8"/>
        <v>0</v>
      </c>
    </row>
    <row r="57" spans="1:18" ht="10.8" thickBot="1" x14ac:dyDescent="0.25"/>
    <row r="58" spans="1:18" ht="12" thickBot="1" x14ac:dyDescent="0.25">
      <c r="A58" s="116" t="s">
        <v>311</v>
      </c>
      <c r="B58" s="77">
        <f t="shared" ref="B58:O58" si="9">B29-B56</f>
        <v>0</v>
      </c>
      <c r="C58" s="77">
        <f t="shared" si="9"/>
        <v>0</v>
      </c>
      <c r="D58" s="77">
        <f t="shared" si="9"/>
        <v>0</v>
      </c>
      <c r="E58" s="77">
        <f t="shared" si="9"/>
        <v>0</v>
      </c>
      <c r="F58" s="77">
        <f t="shared" si="9"/>
        <v>0</v>
      </c>
      <c r="G58" s="77">
        <f t="shared" si="9"/>
        <v>0</v>
      </c>
      <c r="H58" s="77">
        <f t="shared" si="9"/>
        <v>0</v>
      </c>
      <c r="I58" s="77">
        <f t="shared" si="9"/>
        <v>0</v>
      </c>
      <c r="J58" s="77">
        <f t="shared" si="9"/>
        <v>0</v>
      </c>
      <c r="K58" s="77">
        <f t="shared" si="9"/>
        <v>0</v>
      </c>
      <c r="L58" s="77">
        <f t="shared" si="9"/>
        <v>0</v>
      </c>
      <c r="M58" s="77">
        <f t="shared" si="9"/>
        <v>0</v>
      </c>
      <c r="N58" s="77">
        <f t="shared" si="9"/>
        <v>0</v>
      </c>
      <c r="O58" s="77">
        <f t="shared" si="9"/>
        <v>0</v>
      </c>
    </row>
    <row r="59" spans="1:18" x14ac:dyDescent="0.2">
      <c r="A59" t="s">
        <v>205</v>
      </c>
      <c r="B59" s="237">
        <f t="shared" ref="B59:O59" si="10">(B32-B33)*B34-B58</f>
        <v>0</v>
      </c>
      <c r="C59" s="237">
        <f t="shared" si="10"/>
        <v>0</v>
      </c>
      <c r="D59" s="237">
        <f t="shared" si="10"/>
        <v>0</v>
      </c>
      <c r="E59" s="237">
        <f t="shared" si="10"/>
        <v>0</v>
      </c>
      <c r="F59" s="237">
        <f t="shared" si="10"/>
        <v>0</v>
      </c>
      <c r="G59" s="237">
        <f t="shared" si="10"/>
        <v>0</v>
      </c>
      <c r="H59" s="237">
        <f t="shared" si="10"/>
        <v>0</v>
      </c>
      <c r="I59" s="237">
        <f t="shared" si="10"/>
        <v>0</v>
      </c>
      <c r="J59" s="237">
        <f t="shared" si="10"/>
        <v>0</v>
      </c>
      <c r="K59" s="237">
        <f t="shared" si="10"/>
        <v>0</v>
      </c>
      <c r="L59" s="237">
        <f t="shared" si="10"/>
        <v>0</v>
      </c>
      <c r="M59" s="237">
        <f t="shared" si="10"/>
        <v>0</v>
      </c>
      <c r="N59" s="237">
        <f t="shared" si="10"/>
        <v>0</v>
      </c>
      <c r="O59" s="237">
        <f t="shared" si="10"/>
        <v>0</v>
      </c>
    </row>
    <row r="60" spans="1:18" ht="10.8" thickBot="1" x14ac:dyDescent="0.25">
      <c r="F60" s="115"/>
      <c r="Q60" s="110"/>
    </row>
    <row r="61" spans="1:18" ht="12" thickBot="1" x14ac:dyDescent="0.25">
      <c r="A61" s="116" t="s">
        <v>156</v>
      </c>
      <c r="B61" s="77">
        <f t="shared" ref="B61:O62" si="11">IF(B$8=$A61,SUM(B$39:B$54),0)</f>
        <v>0</v>
      </c>
      <c r="C61" s="77">
        <f t="shared" si="11"/>
        <v>0</v>
      </c>
      <c r="D61" s="77">
        <f t="shared" si="11"/>
        <v>0</v>
      </c>
      <c r="E61" s="77">
        <f t="shared" si="11"/>
        <v>0</v>
      </c>
      <c r="F61" s="77">
        <f t="shared" si="11"/>
        <v>0</v>
      </c>
      <c r="G61" s="77">
        <f t="shared" si="11"/>
        <v>0</v>
      </c>
      <c r="H61" s="77">
        <f t="shared" si="11"/>
        <v>0</v>
      </c>
      <c r="I61" s="77">
        <f t="shared" si="11"/>
        <v>0</v>
      </c>
      <c r="J61" s="77">
        <f t="shared" si="11"/>
        <v>0</v>
      </c>
      <c r="K61" s="77">
        <f t="shared" si="11"/>
        <v>0</v>
      </c>
      <c r="L61" s="77">
        <f t="shared" si="11"/>
        <v>0</v>
      </c>
      <c r="M61" s="77">
        <f t="shared" si="11"/>
        <v>0</v>
      </c>
      <c r="N61" s="77">
        <f t="shared" si="11"/>
        <v>0</v>
      </c>
      <c r="O61" s="77">
        <f t="shared" si="11"/>
        <v>0</v>
      </c>
      <c r="Q61" s="110"/>
    </row>
    <row r="62" spans="1:18" ht="12" thickBot="1" x14ac:dyDescent="0.25">
      <c r="A62" s="116" t="s">
        <v>219</v>
      </c>
      <c r="B62" s="77">
        <f t="shared" si="11"/>
        <v>0</v>
      </c>
      <c r="C62" s="77">
        <f t="shared" si="11"/>
        <v>0</v>
      </c>
      <c r="D62" s="77">
        <f t="shared" si="11"/>
        <v>0</v>
      </c>
      <c r="E62" s="77">
        <f t="shared" si="11"/>
        <v>0</v>
      </c>
      <c r="F62" s="77">
        <f t="shared" si="11"/>
        <v>0</v>
      </c>
      <c r="G62" s="77">
        <f t="shared" si="11"/>
        <v>0</v>
      </c>
      <c r="H62" s="77">
        <f t="shared" si="11"/>
        <v>0</v>
      </c>
      <c r="I62" s="77">
        <f t="shared" si="11"/>
        <v>0</v>
      </c>
      <c r="J62" s="77">
        <f t="shared" si="11"/>
        <v>0</v>
      </c>
      <c r="K62" s="77">
        <f t="shared" si="11"/>
        <v>0</v>
      </c>
      <c r="L62" s="77">
        <f t="shared" si="11"/>
        <v>0</v>
      </c>
      <c r="M62" s="77">
        <f t="shared" si="11"/>
        <v>0</v>
      </c>
      <c r="N62" s="77">
        <f t="shared" si="11"/>
        <v>0</v>
      </c>
      <c r="O62" s="77">
        <f t="shared" si="11"/>
        <v>0</v>
      </c>
      <c r="Q62" s="110"/>
    </row>
    <row r="63" spans="1:18" x14ac:dyDescent="0.2">
      <c r="B63" s="258"/>
      <c r="C63" s="258"/>
      <c r="D63" s="258"/>
      <c r="E63" s="258"/>
      <c r="F63" s="258"/>
      <c r="G63" s="258"/>
      <c r="I63" s="111"/>
      <c r="Q63" s="110"/>
    </row>
    <row r="64" spans="1:18" ht="11.4" x14ac:dyDescent="0.2">
      <c r="A64" s="298" t="s">
        <v>480</v>
      </c>
      <c r="F64" s="111"/>
      <c r="G64" s="111"/>
      <c r="I64" s="111"/>
      <c r="Q64" s="110"/>
    </row>
    <row r="65" spans="1:17" x14ac:dyDescent="0.2">
      <c r="D65" s="87"/>
      <c r="E65" s="87"/>
      <c r="F65" s="111"/>
      <c r="G65" s="111"/>
      <c r="I65" s="113"/>
      <c r="J65" s="87"/>
      <c r="Q65" s="110"/>
    </row>
    <row r="66" spans="1:17" ht="12" thickBot="1" x14ac:dyDescent="0.25">
      <c r="A66" s="52" t="s">
        <v>142</v>
      </c>
      <c r="D66" s="87"/>
      <c r="E66" s="87"/>
      <c r="F66" s="111"/>
      <c r="G66" s="111"/>
      <c r="I66" s="113"/>
      <c r="J66" s="87"/>
      <c r="Q66" s="110"/>
    </row>
    <row r="67" spans="1:17" ht="12" thickBot="1" x14ac:dyDescent="0.25">
      <c r="A67" s="54">
        <f>FEO!$G$5</f>
        <v>2028</v>
      </c>
      <c r="B67" s="55">
        <f>IF(YEAR(B$30)=$A67,B$29,0)-B39</f>
        <v>0</v>
      </c>
      <c r="C67" s="55">
        <f t="shared" ref="C67:O67" si="12">IF(YEAR(C$30)=$A67,C$29,0)-C39</f>
        <v>0</v>
      </c>
      <c r="D67" s="55">
        <f t="shared" si="12"/>
        <v>0</v>
      </c>
      <c r="E67" s="55">
        <f t="shared" si="12"/>
        <v>0</v>
      </c>
      <c r="F67" s="55">
        <f t="shared" si="12"/>
        <v>0</v>
      </c>
      <c r="G67" s="55">
        <f t="shared" si="12"/>
        <v>0</v>
      </c>
      <c r="H67" s="55">
        <f t="shared" si="12"/>
        <v>0</v>
      </c>
      <c r="I67" s="55">
        <f t="shared" si="12"/>
        <v>0</v>
      </c>
      <c r="J67" s="55">
        <f t="shared" si="12"/>
        <v>0</v>
      </c>
      <c r="K67" s="55">
        <f t="shared" si="12"/>
        <v>0</v>
      </c>
      <c r="L67" s="55">
        <f t="shared" si="12"/>
        <v>0</v>
      </c>
      <c r="M67" s="55">
        <f t="shared" si="12"/>
        <v>0</v>
      </c>
      <c r="N67" s="55">
        <f t="shared" si="12"/>
        <v>0</v>
      </c>
      <c r="O67" s="55">
        <f t="shared" si="12"/>
        <v>0</v>
      </c>
      <c r="Q67" s="110"/>
    </row>
    <row r="68" spans="1:17" ht="12" thickBot="1" x14ac:dyDescent="0.25">
      <c r="A68" s="54">
        <f>FEO!$H$5</f>
        <v>2029</v>
      </c>
      <c r="B68" s="55">
        <f>IF(YEAR(B$30)=$A68,B$29,0)+B67-B40</f>
        <v>0</v>
      </c>
      <c r="C68" s="55">
        <f t="shared" ref="C68:O82" si="13">IF(YEAR(C$30)=$A68,C$29,0)+C67-C40</f>
        <v>0</v>
      </c>
      <c r="D68" s="55">
        <f t="shared" si="13"/>
        <v>0</v>
      </c>
      <c r="E68" s="55">
        <f t="shared" si="13"/>
        <v>0</v>
      </c>
      <c r="F68" s="55">
        <f t="shared" si="13"/>
        <v>0</v>
      </c>
      <c r="G68" s="55">
        <f t="shared" si="13"/>
        <v>0</v>
      </c>
      <c r="H68" s="55">
        <f t="shared" si="13"/>
        <v>0</v>
      </c>
      <c r="I68" s="55">
        <f t="shared" si="13"/>
        <v>0</v>
      </c>
      <c r="J68" s="55">
        <f t="shared" si="13"/>
        <v>0</v>
      </c>
      <c r="K68" s="55">
        <f t="shared" si="13"/>
        <v>0</v>
      </c>
      <c r="L68" s="55">
        <f t="shared" si="13"/>
        <v>0</v>
      </c>
      <c r="M68" s="55">
        <f t="shared" si="13"/>
        <v>0</v>
      </c>
      <c r="N68" s="55">
        <f t="shared" si="13"/>
        <v>0</v>
      </c>
      <c r="O68" s="55">
        <f t="shared" si="13"/>
        <v>0</v>
      </c>
      <c r="Q68" s="110"/>
    </row>
    <row r="69" spans="1:17" ht="12" thickBot="1" x14ac:dyDescent="0.25">
      <c r="A69" s="54">
        <f>FEO!$I$5</f>
        <v>2030</v>
      </c>
      <c r="B69" s="55">
        <f t="shared" ref="B69:B82" si="14">IF(YEAR(B$30)=$A69,B$29,0)+B68-B41</f>
        <v>0</v>
      </c>
      <c r="C69" s="55">
        <f t="shared" si="13"/>
        <v>0</v>
      </c>
      <c r="D69" s="55">
        <f t="shared" si="13"/>
        <v>0</v>
      </c>
      <c r="E69" s="55">
        <f t="shared" si="13"/>
        <v>0</v>
      </c>
      <c r="F69" s="55">
        <f t="shared" si="13"/>
        <v>0</v>
      </c>
      <c r="G69" s="55">
        <f t="shared" si="13"/>
        <v>0</v>
      </c>
      <c r="H69" s="55">
        <f t="shared" si="13"/>
        <v>0</v>
      </c>
      <c r="I69" s="55">
        <f t="shared" si="13"/>
        <v>0</v>
      </c>
      <c r="J69" s="55">
        <f t="shared" si="13"/>
        <v>0</v>
      </c>
      <c r="K69" s="55">
        <f t="shared" si="13"/>
        <v>0</v>
      </c>
      <c r="L69" s="55">
        <f t="shared" si="13"/>
        <v>0</v>
      </c>
      <c r="M69" s="55">
        <f t="shared" si="13"/>
        <v>0</v>
      </c>
      <c r="N69" s="55">
        <f t="shared" si="13"/>
        <v>0</v>
      </c>
      <c r="O69" s="55">
        <f t="shared" si="13"/>
        <v>0</v>
      </c>
      <c r="Q69" s="110"/>
    </row>
    <row r="70" spans="1:17" ht="12" thickBot="1" x14ac:dyDescent="0.25">
      <c r="A70" s="54">
        <f>FEO!$J$5</f>
        <v>2031</v>
      </c>
      <c r="B70" s="55">
        <f t="shared" si="14"/>
        <v>0</v>
      </c>
      <c r="C70" s="55">
        <f t="shared" si="13"/>
        <v>0</v>
      </c>
      <c r="D70" s="55">
        <f t="shared" si="13"/>
        <v>0</v>
      </c>
      <c r="E70" s="55">
        <f t="shared" si="13"/>
        <v>0</v>
      </c>
      <c r="F70" s="55">
        <f t="shared" si="13"/>
        <v>0</v>
      </c>
      <c r="G70" s="55">
        <f t="shared" si="13"/>
        <v>0</v>
      </c>
      <c r="H70" s="55">
        <f t="shared" si="13"/>
        <v>0</v>
      </c>
      <c r="I70" s="55">
        <f t="shared" si="13"/>
        <v>0</v>
      </c>
      <c r="J70" s="55">
        <f t="shared" si="13"/>
        <v>0</v>
      </c>
      <c r="K70" s="55">
        <f t="shared" si="13"/>
        <v>0</v>
      </c>
      <c r="L70" s="55">
        <f t="shared" si="13"/>
        <v>0</v>
      </c>
      <c r="M70" s="55">
        <f t="shared" si="13"/>
        <v>0</v>
      </c>
      <c r="N70" s="55">
        <f t="shared" si="13"/>
        <v>0</v>
      </c>
      <c r="O70" s="55">
        <f t="shared" si="13"/>
        <v>0</v>
      </c>
      <c r="Q70" s="110"/>
    </row>
    <row r="71" spans="1:17" ht="12" thickBot="1" x14ac:dyDescent="0.25">
      <c r="A71" s="54">
        <f>FEO!$K$5</f>
        <v>2032</v>
      </c>
      <c r="B71" s="55">
        <f t="shared" si="14"/>
        <v>0</v>
      </c>
      <c r="C71" s="55">
        <f t="shared" si="13"/>
        <v>0</v>
      </c>
      <c r="D71" s="55">
        <f t="shared" si="13"/>
        <v>0</v>
      </c>
      <c r="E71" s="55">
        <f t="shared" si="13"/>
        <v>0</v>
      </c>
      <c r="F71" s="55">
        <f t="shared" si="13"/>
        <v>0</v>
      </c>
      <c r="G71" s="55">
        <f t="shared" si="13"/>
        <v>0</v>
      </c>
      <c r="H71" s="55">
        <f t="shared" si="13"/>
        <v>0</v>
      </c>
      <c r="I71" s="55">
        <f t="shared" si="13"/>
        <v>0</v>
      </c>
      <c r="J71" s="55">
        <f t="shared" si="13"/>
        <v>0</v>
      </c>
      <c r="K71" s="55">
        <f t="shared" si="13"/>
        <v>0</v>
      </c>
      <c r="L71" s="55">
        <f t="shared" si="13"/>
        <v>0</v>
      </c>
      <c r="M71" s="55">
        <f t="shared" si="13"/>
        <v>0</v>
      </c>
      <c r="N71" s="55">
        <f t="shared" si="13"/>
        <v>0</v>
      </c>
      <c r="O71" s="55">
        <f t="shared" si="13"/>
        <v>0</v>
      </c>
      <c r="Q71" s="110"/>
    </row>
    <row r="72" spans="1:17" ht="12" thickBot="1" x14ac:dyDescent="0.25">
      <c r="A72" s="54">
        <f>FEO!$L$5</f>
        <v>2033</v>
      </c>
      <c r="B72" s="55">
        <f t="shared" si="14"/>
        <v>0</v>
      </c>
      <c r="C72" s="55">
        <f t="shared" si="13"/>
        <v>0</v>
      </c>
      <c r="D72" s="55">
        <f t="shared" si="13"/>
        <v>0</v>
      </c>
      <c r="E72" s="55">
        <f t="shared" si="13"/>
        <v>0</v>
      </c>
      <c r="F72" s="55">
        <f t="shared" si="13"/>
        <v>0</v>
      </c>
      <c r="G72" s="55">
        <f t="shared" si="13"/>
        <v>0</v>
      </c>
      <c r="H72" s="55">
        <f t="shared" si="13"/>
        <v>0</v>
      </c>
      <c r="I72" s="55">
        <f t="shared" si="13"/>
        <v>0</v>
      </c>
      <c r="J72" s="55">
        <f t="shared" si="13"/>
        <v>0</v>
      </c>
      <c r="K72" s="55">
        <f t="shared" si="13"/>
        <v>0</v>
      </c>
      <c r="L72" s="55">
        <f t="shared" si="13"/>
        <v>0</v>
      </c>
      <c r="M72" s="55">
        <f t="shared" si="13"/>
        <v>0</v>
      </c>
      <c r="N72" s="55">
        <f t="shared" si="13"/>
        <v>0</v>
      </c>
      <c r="O72" s="55">
        <f t="shared" si="13"/>
        <v>0</v>
      </c>
      <c r="Q72" s="110"/>
    </row>
    <row r="73" spans="1:17" ht="12" thickBot="1" x14ac:dyDescent="0.25">
      <c r="A73" s="54">
        <f>FEO!$M$5</f>
        <v>2034</v>
      </c>
      <c r="B73" s="55">
        <f t="shared" si="14"/>
        <v>0</v>
      </c>
      <c r="C73" s="55">
        <f t="shared" si="13"/>
        <v>0</v>
      </c>
      <c r="D73" s="55">
        <f t="shared" si="13"/>
        <v>0</v>
      </c>
      <c r="E73" s="55">
        <f t="shared" si="13"/>
        <v>0</v>
      </c>
      <c r="F73" s="55">
        <f t="shared" si="13"/>
        <v>0</v>
      </c>
      <c r="G73" s="55">
        <f t="shared" si="13"/>
        <v>0</v>
      </c>
      <c r="H73" s="55">
        <f t="shared" si="13"/>
        <v>0</v>
      </c>
      <c r="I73" s="55">
        <f t="shared" si="13"/>
        <v>0</v>
      </c>
      <c r="J73" s="55">
        <f t="shared" si="13"/>
        <v>0</v>
      </c>
      <c r="K73" s="55">
        <f t="shared" si="13"/>
        <v>0</v>
      </c>
      <c r="L73" s="55">
        <f t="shared" si="13"/>
        <v>0</v>
      </c>
      <c r="M73" s="55">
        <f t="shared" si="13"/>
        <v>0</v>
      </c>
      <c r="N73" s="55">
        <f t="shared" si="13"/>
        <v>0</v>
      </c>
      <c r="O73" s="55">
        <f t="shared" si="13"/>
        <v>0</v>
      </c>
      <c r="Q73" s="110"/>
    </row>
    <row r="74" spans="1:17" ht="12" thickBot="1" x14ac:dyDescent="0.25">
      <c r="A74" s="54">
        <f>FEO!$N$5</f>
        <v>2035</v>
      </c>
      <c r="B74" s="55">
        <f t="shared" si="14"/>
        <v>0</v>
      </c>
      <c r="C74" s="55">
        <f t="shared" si="13"/>
        <v>0</v>
      </c>
      <c r="D74" s="55">
        <f t="shared" si="13"/>
        <v>0</v>
      </c>
      <c r="E74" s="55">
        <f t="shared" si="13"/>
        <v>0</v>
      </c>
      <c r="F74" s="55">
        <f t="shared" si="13"/>
        <v>0</v>
      </c>
      <c r="G74" s="55">
        <f t="shared" si="13"/>
        <v>0</v>
      </c>
      <c r="H74" s="55">
        <f t="shared" si="13"/>
        <v>0</v>
      </c>
      <c r="I74" s="55">
        <f t="shared" si="13"/>
        <v>0</v>
      </c>
      <c r="J74" s="55">
        <f t="shared" si="13"/>
        <v>0</v>
      </c>
      <c r="K74" s="55">
        <f t="shared" si="13"/>
        <v>0</v>
      </c>
      <c r="L74" s="55">
        <f t="shared" si="13"/>
        <v>0</v>
      </c>
      <c r="M74" s="55">
        <f t="shared" si="13"/>
        <v>0</v>
      </c>
      <c r="N74" s="55">
        <f t="shared" si="13"/>
        <v>0</v>
      </c>
      <c r="O74" s="55">
        <f t="shared" si="13"/>
        <v>0</v>
      </c>
      <c r="Q74" s="110"/>
    </row>
    <row r="75" spans="1:17" ht="12" thickBot="1" x14ac:dyDescent="0.25">
      <c r="A75" s="54">
        <f>FEO!$O$5</f>
        <v>2036</v>
      </c>
      <c r="B75" s="55">
        <f t="shared" si="14"/>
        <v>0</v>
      </c>
      <c r="C75" s="55">
        <f t="shared" si="13"/>
        <v>0</v>
      </c>
      <c r="D75" s="55">
        <f t="shared" si="13"/>
        <v>0</v>
      </c>
      <c r="E75" s="55">
        <f t="shared" si="13"/>
        <v>0</v>
      </c>
      <c r="F75" s="55">
        <f t="shared" si="13"/>
        <v>0</v>
      </c>
      <c r="G75" s="55">
        <f t="shared" si="13"/>
        <v>0</v>
      </c>
      <c r="H75" s="55">
        <f t="shared" si="13"/>
        <v>0</v>
      </c>
      <c r="I75" s="55">
        <f t="shared" si="13"/>
        <v>0</v>
      </c>
      <c r="J75" s="55">
        <f t="shared" si="13"/>
        <v>0</v>
      </c>
      <c r="K75" s="55">
        <f t="shared" si="13"/>
        <v>0</v>
      </c>
      <c r="L75" s="55">
        <f t="shared" si="13"/>
        <v>0</v>
      </c>
      <c r="M75" s="55">
        <f t="shared" si="13"/>
        <v>0</v>
      </c>
      <c r="N75" s="55">
        <f t="shared" si="13"/>
        <v>0</v>
      </c>
      <c r="O75" s="55">
        <f t="shared" si="13"/>
        <v>0</v>
      </c>
      <c r="Q75" s="110"/>
    </row>
    <row r="76" spans="1:17" ht="12" thickBot="1" x14ac:dyDescent="0.25">
      <c r="A76" s="54">
        <f>FEO!$P$5</f>
        <v>2037</v>
      </c>
      <c r="B76" s="55">
        <f t="shared" si="14"/>
        <v>0</v>
      </c>
      <c r="C76" s="55">
        <f t="shared" si="13"/>
        <v>0</v>
      </c>
      <c r="D76" s="55">
        <f t="shared" si="13"/>
        <v>0</v>
      </c>
      <c r="E76" s="55">
        <f t="shared" si="13"/>
        <v>0</v>
      </c>
      <c r="F76" s="55">
        <f t="shared" si="13"/>
        <v>0</v>
      </c>
      <c r="G76" s="55">
        <f t="shared" si="13"/>
        <v>0</v>
      </c>
      <c r="H76" s="55">
        <f t="shared" si="13"/>
        <v>0</v>
      </c>
      <c r="I76" s="55">
        <f t="shared" si="13"/>
        <v>0</v>
      </c>
      <c r="J76" s="55">
        <f t="shared" si="13"/>
        <v>0</v>
      </c>
      <c r="K76" s="55">
        <f t="shared" si="13"/>
        <v>0</v>
      </c>
      <c r="L76" s="55">
        <f t="shared" si="13"/>
        <v>0</v>
      </c>
      <c r="M76" s="55">
        <f t="shared" si="13"/>
        <v>0</v>
      </c>
      <c r="N76" s="55">
        <f t="shared" si="13"/>
        <v>0</v>
      </c>
      <c r="O76" s="55">
        <f t="shared" si="13"/>
        <v>0</v>
      </c>
      <c r="Q76" s="110"/>
    </row>
    <row r="77" spans="1:17" ht="12" thickBot="1" x14ac:dyDescent="0.25">
      <c r="A77" s="54">
        <f>FEO!$Q$5</f>
        <v>2038</v>
      </c>
      <c r="B77" s="55">
        <f t="shared" si="14"/>
        <v>0</v>
      </c>
      <c r="C77" s="55">
        <f t="shared" si="13"/>
        <v>0</v>
      </c>
      <c r="D77" s="55">
        <f t="shared" si="13"/>
        <v>0</v>
      </c>
      <c r="E77" s="55">
        <f t="shared" si="13"/>
        <v>0</v>
      </c>
      <c r="F77" s="55">
        <f t="shared" si="13"/>
        <v>0</v>
      </c>
      <c r="G77" s="55">
        <f t="shared" si="13"/>
        <v>0</v>
      </c>
      <c r="H77" s="55">
        <f t="shared" si="13"/>
        <v>0</v>
      </c>
      <c r="I77" s="55">
        <f t="shared" si="13"/>
        <v>0</v>
      </c>
      <c r="J77" s="55">
        <f t="shared" si="13"/>
        <v>0</v>
      </c>
      <c r="K77" s="55">
        <f t="shared" si="13"/>
        <v>0</v>
      </c>
      <c r="L77" s="55">
        <f t="shared" si="13"/>
        <v>0</v>
      </c>
      <c r="M77" s="55">
        <f t="shared" si="13"/>
        <v>0</v>
      </c>
      <c r="N77" s="55">
        <f t="shared" si="13"/>
        <v>0</v>
      </c>
      <c r="O77" s="55">
        <f t="shared" si="13"/>
        <v>0</v>
      </c>
      <c r="Q77" s="110"/>
    </row>
    <row r="78" spans="1:17" ht="12" thickBot="1" x14ac:dyDescent="0.25">
      <c r="A78" s="54">
        <f>FEO!$R$5</f>
        <v>2039</v>
      </c>
      <c r="B78" s="55">
        <f t="shared" si="14"/>
        <v>0</v>
      </c>
      <c r="C78" s="55">
        <f t="shared" si="13"/>
        <v>0</v>
      </c>
      <c r="D78" s="55">
        <f t="shared" si="13"/>
        <v>0</v>
      </c>
      <c r="E78" s="55">
        <f t="shared" si="13"/>
        <v>0</v>
      </c>
      <c r="F78" s="55">
        <f t="shared" si="13"/>
        <v>0</v>
      </c>
      <c r="G78" s="55">
        <f t="shared" si="13"/>
        <v>0</v>
      </c>
      <c r="H78" s="55">
        <f t="shared" si="13"/>
        <v>0</v>
      </c>
      <c r="I78" s="55">
        <f t="shared" si="13"/>
        <v>0</v>
      </c>
      <c r="J78" s="55">
        <f t="shared" si="13"/>
        <v>0</v>
      </c>
      <c r="K78" s="55">
        <f t="shared" si="13"/>
        <v>0</v>
      </c>
      <c r="L78" s="55">
        <f t="shared" si="13"/>
        <v>0</v>
      </c>
      <c r="M78" s="55">
        <f t="shared" si="13"/>
        <v>0</v>
      </c>
      <c r="N78" s="55">
        <f t="shared" si="13"/>
        <v>0</v>
      </c>
      <c r="O78" s="55">
        <f t="shared" si="13"/>
        <v>0</v>
      </c>
      <c r="Q78" s="110"/>
    </row>
    <row r="79" spans="1:17" ht="12" thickBot="1" x14ac:dyDescent="0.25">
      <c r="A79" s="54">
        <f>FEO!$S$5</f>
        <v>2040</v>
      </c>
      <c r="B79" s="55">
        <f t="shared" si="14"/>
        <v>0</v>
      </c>
      <c r="C79" s="55">
        <f t="shared" si="13"/>
        <v>0</v>
      </c>
      <c r="D79" s="55">
        <f t="shared" si="13"/>
        <v>0</v>
      </c>
      <c r="E79" s="55">
        <f t="shared" si="13"/>
        <v>0</v>
      </c>
      <c r="F79" s="55">
        <f t="shared" si="13"/>
        <v>0</v>
      </c>
      <c r="G79" s="55">
        <f t="shared" si="13"/>
        <v>0</v>
      </c>
      <c r="H79" s="55">
        <f t="shared" si="13"/>
        <v>0</v>
      </c>
      <c r="I79" s="55">
        <f t="shared" si="13"/>
        <v>0</v>
      </c>
      <c r="J79" s="55">
        <f t="shared" si="13"/>
        <v>0</v>
      </c>
      <c r="K79" s="55">
        <f t="shared" si="13"/>
        <v>0</v>
      </c>
      <c r="L79" s="55">
        <f t="shared" si="13"/>
        <v>0</v>
      </c>
      <c r="M79" s="55">
        <f t="shared" si="13"/>
        <v>0</v>
      </c>
      <c r="N79" s="55">
        <f t="shared" si="13"/>
        <v>0</v>
      </c>
      <c r="O79" s="55">
        <f t="shared" si="13"/>
        <v>0</v>
      </c>
      <c r="Q79" s="110"/>
    </row>
    <row r="80" spans="1:17" ht="12" thickBot="1" x14ac:dyDescent="0.25">
      <c r="A80" s="54">
        <f>FEO!$T$5</f>
        <v>2041</v>
      </c>
      <c r="B80" s="55">
        <f t="shared" si="14"/>
        <v>0</v>
      </c>
      <c r="C80" s="55">
        <f t="shared" si="13"/>
        <v>0</v>
      </c>
      <c r="D80" s="55">
        <f t="shared" si="13"/>
        <v>0</v>
      </c>
      <c r="E80" s="55">
        <f t="shared" si="13"/>
        <v>0</v>
      </c>
      <c r="F80" s="55">
        <f t="shared" si="13"/>
        <v>0</v>
      </c>
      <c r="G80" s="55">
        <f t="shared" si="13"/>
        <v>0</v>
      </c>
      <c r="H80" s="55">
        <f t="shared" si="13"/>
        <v>0</v>
      </c>
      <c r="I80" s="55">
        <f t="shared" si="13"/>
        <v>0</v>
      </c>
      <c r="J80" s="55">
        <f t="shared" si="13"/>
        <v>0</v>
      </c>
      <c r="K80" s="55">
        <f t="shared" si="13"/>
        <v>0</v>
      </c>
      <c r="L80" s="55">
        <f t="shared" si="13"/>
        <v>0</v>
      </c>
      <c r="M80" s="55">
        <f t="shared" si="13"/>
        <v>0</v>
      </c>
      <c r="N80" s="55">
        <f t="shared" si="13"/>
        <v>0</v>
      </c>
      <c r="O80" s="55">
        <f t="shared" si="13"/>
        <v>0</v>
      </c>
      <c r="Q80" s="110"/>
    </row>
    <row r="81" spans="1:17" ht="12" thickBot="1" x14ac:dyDescent="0.25">
      <c r="A81" s="54">
        <f>FEO!$U$5</f>
        <v>2042</v>
      </c>
      <c r="B81" s="55">
        <f t="shared" si="14"/>
        <v>0</v>
      </c>
      <c r="C81" s="55">
        <f t="shared" si="13"/>
        <v>0</v>
      </c>
      <c r="D81" s="55">
        <f t="shared" si="13"/>
        <v>0</v>
      </c>
      <c r="E81" s="55">
        <f t="shared" si="13"/>
        <v>0</v>
      </c>
      <c r="F81" s="55">
        <f t="shared" si="13"/>
        <v>0</v>
      </c>
      <c r="G81" s="55">
        <f t="shared" si="13"/>
        <v>0</v>
      </c>
      <c r="H81" s="55">
        <f t="shared" si="13"/>
        <v>0</v>
      </c>
      <c r="I81" s="55">
        <f t="shared" si="13"/>
        <v>0</v>
      </c>
      <c r="J81" s="55">
        <f t="shared" si="13"/>
        <v>0</v>
      </c>
      <c r="K81" s="55">
        <f t="shared" si="13"/>
        <v>0</v>
      </c>
      <c r="L81" s="55">
        <f t="shared" si="13"/>
        <v>0</v>
      </c>
      <c r="M81" s="55">
        <f t="shared" si="13"/>
        <v>0</v>
      </c>
      <c r="N81" s="55">
        <f t="shared" si="13"/>
        <v>0</v>
      </c>
      <c r="O81" s="55">
        <f t="shared" si="13"/>
        <v>0</v>
      </c>
      <c r="Q81" s="110"/>
    </row>
    <row r="82" spans="1:17" ht="12" thickBot="1" x14ac:dyDescent="0.25">
      <c r="A82" s="54">
        <f>FEO!$V$5</f>
        <v>2043</v>
      </c>
      <c r="B82" s="55">
        <f t="shared" si="14"/>
        <v>0</v>
      </c>
      <c r="C82" s="55">
        <f t="shared" si="13"/>
        <v>0</v>
      </c>
      <c r="D82" s="55">
        <f t="shared" si="13"/>
        <v>0</v>
      </c>
      <c r="E82" s="55">
        <f t="shared" si="13"/>
        <v>0</v>
      </c>
      <c r="F82" s="55">
        <f t="shared" si="13"/>
        <v>0</v>
      </c>
      <c r="G82" s="55">
        <f t="shared" si="13"/>
        <v>0</v>
      </c>
      <c r="H82" s="55">
        <f t="shared" si="13"/>
        <v>0</v>
      </c>
      <c r="I82" s="55">
        <f t="shared" si="13"/>
        <v>0</v>
      </c>
      <c r="J82" s="55">
        <f t="shared" si="13"/>
        <v>0</v>
      </c>
      <c r="K82" s="55">
        <f t="shared" si="13"/>
        <v>0</v>
      </c>
      <c r="L82" s="55">
        <f t="shared" si="13"/>
        <v>0</v>
      </c>
      <c r="M82" s="55">
        <f t="shared" si="13"/>
        <v>0</v>
      </c>
      <c r="N82" s="55">
        <f t="shared" si="13"/>
        <v>0</v>
      </c>
      <c r="O82" s="55">
        <f t="shared" si="13"/>
        <v>0</v>
      </c>
      <c r="Q82" s="110"/>
    </row>
    <row r="83" spans="1:17" x14ac:dyDescent="0.2">
      <c r="Q83" s="110"/>
    </row>
    <row r="84" spans="1:17" x14ac:dyDescent="0.2">
      <c r="Q84" s="110"/>
    </row>
    <row r="85" spans="1:17" x14ac:dyDescent="0.2">
      <c r="Q85" s="110"/>
    </row>
    <row r="86" spans="1:17" x14ac:dyDescent="0.2">
      <c r="Q86" s="110"/>
    </row>
    <row r="87" spans="1:17" x14ac:dyDescent="0.2">
      <c r="Q87" s="110"/>
    </row>
    <row r="88" spans="1:17" x14ac:dyDescent="0.2">
      <c r="Q88" s="110"/>
    </row>
    <row r="89" spans="1:17" x14ac:dyDescent="0.2">
      <c r="Q89" s="110"/>
    </row>
    <row r="90" spans="1:17" x14ac:dyDescent="0.2">
      <c r="Q90" s="110"/>
    </row>
    <row r="91" spans="1:17" x14ac:dyDescent="0.2">
      <c r="Q91" s="110"/>
    </row>
    <row r="92" spans="1:17" x14ac:dyDescent="0.2">
      <c r="Q92" s="110"/>
    </row>
    <row r="93" spans="1:17" x14ac:dyDescent="0.2">
      <c r="Q93" s="110"/>
    </row>
    <row r="94" spans="1:17" x14ac:dyDescent="0.2">
      <c r="Q94" s="110"/>
    </row>
    <row r="95" spans="1:17" x14ac:dyDescent="0.2">
      <c r="Q95" s="110"/>
    </row>
    <row r="96" spans="1:17" x14ac:dyDescent="0.2">
      <c r="Q96" s="110"/>
    </row>
    <row r="97" spans="17:17" x14ac:dyDescent="0.2">
      <c r="Q97" s="110"/>
    </row>
    <row r="98" spans="17:17" x14ac:dyDescent="0.2">
      <c r="Q98" s="110"/>
    </row>
    <row r="99" spans="17:17" x14ac:dyDescent="0.2">
      <c r="Q99" s="110"/>
    </row>
    <row r="100" spans="17:17" x14ac:dyDescent="0.2">
      <c r="Q100" s="110"/>
    </row>
    <row r="101" spans="17:17" x14ac:dyDescent="0.2">
      <c r="Q101" s="110"/>
    </row>
    <row r="102" spans="17:17" x14ac:dyDescent="0.2">
      <c r="Q102" s="110"/>
    </row>
    <row r="103" spans="17:17" x14ac:dyDescent="0.2">
      <c r="Q103" s="110"/>
    </row>
    <row r="104" spans="17:17" x14ac:dyDescent="0.2">
      <c r="Q104" s="110"/>
    </row>
    <row r="105" spans="17:17" x14ac:dyDescent="0.2">
      <c r="Q105" s="110"/>
    </row>
    <row r="106" spans="17:17" x14ac:dyDescent="0.2">
      <c r="Q106" s="110"/>
    </row>
    <row r="107" spans="17:17" x14ac:dyDescent="0.2">
      <c r="Q107" s="110"/>
    </row>
    <row r="108" spans="17:17" x14ac:dyDescent="0.2">
      <c r="Q108" s="110"/>
    </row>
    <row r="109" spans="17:17" x14ac:dyDescent="0.2">
      <c r="Q109" s="110"/>
    </row>
    <row r="110" spans="17:17" x14ac:dyDescent="0.2">
      <c r="Q110" s="110"/>
    </row>
    <row r="111" spans="17:17" x14ac:dyDescent="0.2">
      <c r="Q111" s="110"/>
    </row>
    <row r="112" spans="17:17" x14ac:dyDescent="0.2">
      <c r="Q112" s="110"/>
    </row>
    <row r="113" spans="17:17" x14ac:dyDescent="0.2">
      <c r="Q113" s="110"/>
    </row>
    <row r="114" spans="17:17" x14ac:dyDescent="0.2">
      <c r="Q114" s="110"/>
    </row>
    <row r="115" spans="17:17" x14ac:dyDescent="0.2">
      <c r="Q115" s="110"/>
    </row>
    <row r="116" spans="17:17" x14ac:dyDescent="0.2">
      <c r="Q116" s="110"/>
    </row>
    <row r="117" spans="17:17" x14ac:dyDescent="0.2">
      <c r="Q117" s="110"/>
    </row>
    <row r="118" spans="17:17" x14ac:dyDescent="0.2">
      <c r="Q118" s="110"/>
    </row>
    <row r="119" spans="17:17" x14ac:dyDescent="0.2">
      <c r="Q119" s="110"/>
    </row>
    <row r="120" spans="17:17" x14ac:dyDescent="0.2">
      <c r="Q120" s="110"/>
    </row>
    <row r="121" spans="17:17" x14ac:dyDescent="0.2">
      <c r="Q121" s="110"/>
    </row>
    <row r="122" spans="17:17" x14ac:dyDescent="0.2">
      <c r="Q122" s="110"/>
    </row>
    <row r="123" spans="17:17" x14ac:dyDescent="0.2">
      <c r="Q123" s="110"/>
    </row>
    <row r="124" spans="17:17" x14ac:dyDescent="0.2">
      <c r="Q124" s="110"/>
    </row>
    <row r="125" spans="17:17" x14ac:dyDescent="0.2">
      <c r="Q125" s="110"/>
    </row>
    <row r="126" spans="17:17" x14ac:dyDescent="0.2">
      <c r="Q126" s="110"/>
    </row>
    <row r="127" spans="17:17" x14ac:dyDescent="0.2">
      <c r="Q127" s="110"/>
    </row>
    <row r="128" spans="17:17" x14ac:dyDescent="0.2">
      <c r="Q128" s="110"/>
    </row>
    <row r="129" spans="17:17" x14ac:dyDescent="0.2">
      <c r="Q129" s="110"/>
    </row>
    <row r="130" spans="17:17" x14ac:dyDescent="0.2">
      <c r="Q130" s="110"/>
    </row>
    <row r="131" spans="17:17" x14ac:dyDescent="0.2">
      <c r="Q131" s="110"/>
    </row>
    <row r="132" spans="17:17" x14ac:dyDescent="0.2">
      <c r="Q132" s="110"/>
    </row>
    <row r="133" spans="17:17" x14ac:dyDescent="0.2">
      <c r="Q133" s="110"/>
    </row>
    <row r="134" spans="17:17" x14ac:dyDescent="0.2">
      <c r="Q134" s="110"/>
    </row>
    <row r="135" spans="17:17" x14ac:dyDescent="0.2">
      <c r="Q135" s="110"/>
    </row>
    <row r="136" spans="17:17" x14ac:dyDescent="0.2">
      <c r="Q136" s="110"/>
    </row>
    <row r="137" spans="17:17" x14ac:dyDescent="0.2">
      <c r="Q137" s="110"/>
    </row>
    <row r="138" spans="17:17" x14ac:dyDescent="0.2">
      <c r="Q138" s="110"/>
    </row>
    <row r="139" spans="17:17" x14ac:dyDescent="0.2">
      <c r="Q139" s="110"/>
    </row>
    <row r="140" spans="17:17" x14ac:dyDescent="0.2">
      <c r="Q140" s="110"/>
    </row>
    <row r="141" spans="17:17" x14ac:dyDescent="0.2">
      <c r="Q141" s="110"/>
    </row>
    <row r="142" spans="17:17" x14ac:dyDescent="0.2">
      <c r="Q142" s="110"/>
    </row>
    <row r="143" spans="17:17" x14ac:dyDescent="0.2">
      <c r="Q143" s="110"/>
    </row>
    <row r="144" spans="17:17" x14ac:dyDescent="0.2">
      <c r="Q144" s="110"/>
    </row>
    <row r="145" spans="17:17" x14ac:dyDescent="0.2">
      <c r="Q145" s="110"/>
    </row>
    <row r="146" spans="17:17" x14ac:dyDescent="0.2">
      <c r="Q146" s="110"/>
    </row>
    <row r="147" spans="17:17" x14ac:dyDescent="0.2">
      <c r="Q147" s="110"/>
    </row>
    <row r="148" spans="17:17" x14ac:dyDescent="0.2">
      <c r="Q148" s="110"/>
    </row>
    <row r="149" spans="17:17" x14ac:dyDescent="0.2">
      <c r="Q149" s="110"/>
    </row>
    <row r="150" spans="17:17" x14ac:dyDescent="0.2">
      <c r="Q150" s="110"/>
    </row>
    <row r="151" spans="17:17" x14ac:dyDescent="0.2">
      <c r="Q151" s="110"/>
    </row>
    <row r="152" spans="17:17" x14ac:dyDescent="0.2">
      <c r="Q152" s="110"/>
    </row>
    <row r="153" spans="17:17" x14ac:dyDescent="0.2">
      <c r="Q153" s="110"/>
    </row>
    <row r="154" spans="17:17" x14ac:dyDescent="0.2">
      <c r="Q154" s="110"/>
    </row>
    <row r="155" spans="17:17" x14ac:dyDescent="0.2">
      <c r="Q155" s="110"/>
    </row>
    <row r="156" spans="17:17" x14ac:dyDescent="0.2">
      <c r="Q156" s="110"/>
    </row>
    <row r="157" spans="17:17" x14ac:dyDescent="0.2">
      <c r="Q157" s="110"/>
    </row>
    <row r="158" spans="17:17" x14ac:dyDescent="0.2">
      <c r="Q158" s="110"/>
    </row>
    <row r="159" spans="17:17" x14ac:dyDescent="0.2">
      <c r="Q159" s="110"/>
    </row>
    <row r="160" spans="17:17" x14ac:dyDescent="0.2">
      <c r="Q160" s="110"/>
    </row>
    <row r="161" spans="17:17" x14ac:dyDescent="0.2">
      <c r="Q161" s="110"/>
    </row>
    <row r="162" spans="17:17" x14ac:dyDescent="0.2">
      <c r="Q162" s="110"/>
    </row>
    <row r="163" spans="17:17" x14ac:dyDescent="0.2">
      <c r="Q163" s="110"/>
    </row>
    <row r="164" spans="17:17" x14ac:dyDescent="0.2">
      <c r="Q164" s="110"/>
    </row>
    <row r="165" spans="17:17" x14ac:dyDescent="0.2">
      <c r="Q165" s="110"/>
    </row>
    <row r="166" spans="17:17" x14ac:dyDescent="0.2">
      <c r="Q166" s="110"/>
    </row>
    <row r="167" spans="17:17" x14ac:dyDescent="0.2">
      <c r="Q167" s="110"/>
    </row>
    <row r="168" spans="17:17" x14ac:dyDescent="0.2">
      <c r="Q168" s="110"/>
    </row>
    <row r="169" spans="17:17" x14ac:dyDescent="0.2">
      <c r="Q169" s="110"/>
    </row>
    <row r="170" spans="17:17" x14ac:dyDescent="0.2">
      <c r="Q170" s="110"/>
    </row>
    <row r="171" spans="17:17" x14ac:dyDescent="0.2">
      <c r="Q171" s="110"/>
    </row>
    <row r="172" spans="17:17" x14ac:dyDescent="0.2">
      <c r="Q172" s="110"/>
    </row>
    <row r="173" spans="17:17" x14ac:dyDescent="0.2">
      <c r="Q173" s="110"/>
    </row>
    <row r="174" spans="17:17" x14ac:dyDescent="0.2">
      <c r="Q174" s="110"/>
    </row>
    <row r="175" spans="17:17" x14ac:dyDescent="0.2">
      <c r="Q175" s="110"/>
    </row>
    <row r="176" spans="17:17" x14ac:dyDescent="0.2">
      <c r="Q176" s="110"/>
    </row>
    <row r="177" spans="17:17" x14ac:dyDescent="0.2">
      <c r="Q177" s="110"/>
    </row>
    <row r="178" spans="17:17" x14ac:dyDescent="0.2">
      <c r="Q178" s="110"/>
    </row>
    <row r="179" spans="17:17" x14ac:dyDescent="0.2">
      <c r="Q179" s="110"/>
    </row>
    <row r="180" spans="17:17" x14ac:dyDescent="0.2">
      <c r="Q180" s="110"/>
    </row>
    <row r="181" spans="17:17" x14ac:dyDescent="0.2">
      <c r="Q181" s="110"/>
    </row>
    <row r="182" spans="17:17" x14ac:dyDescent="0.2">
      <c r="Q182" s="110"/>
    </row>
    <row r="183" spans="17:17" x14ac:dyDescent="0.2">
      <c r="Q183" s="110"/>
    </row>
    <row r="184" spans="17:17" x14ac:dyDescent="0.2">
      <c r="Q184" s="110"/>
    </row>
    <row r="185" spans="17:17" x14ac:dyDescent="0.2">
      <c r="Q185" s="110"/>
    </row>
    <row r="186" spans="17:17" x14ac:dyDescent="0.2">
      <c r="Q186" s="110"/>
    </row>
    <row r="187" spans="17:17" x14ac:dyDescent="0.2">
      <c r="Q187" s="110"/>
    </row>
    <row r="188" spans="17:17" x14ac:dyDescent="0.2">
      <c r="Q188" s="110"/>
    </row>
    <row r="189" spans="17:17" x14ac:dyDescent="0.2">
      <c r="Q189" s="110"/>
    </row>
    <row r="190" spans="17:17" x14ac:dyDescent="0.2">
      <c r="Q190" s="110"/>
    </row>
    <row r="191" spans="17:17" x14ac:dyDescent="0.2">
      <c r="Q191" s="110"/>
    </row>
    <row r="192" spans="17:17" x14ac:dyDescent="0.2">
      <c r="Q192" s="110"/>
    </row>
    <row r="193" spans="17:17" x14ac:dyDescent="0.2">
      <c r="Q193" s="110"/>
    </row>
    <row r="194" spans="17:17" x14ac:dyDescent="0.2">
      <c r="Q194" s="110"/>
    </row>
    <row r="195" spans="17:17" x14ac:dyDescent="0.2">
      <c r="Q195" s="110"/>
    </row>
    <row r="196" spans="17:17" x14ac:dyDescent="0.2">
      <c r="Q196" s="110"/>
    </row>
    <row r="197" spans="17:17" x14ac:dyDescent="0.2">
      <c r="Q197" s="110"/>
    </row>
    <row r="198" spans="17:17" x14ac:dyDescent="0.2">
      <c r="Q198" s="110"/>
    </row>
    <row r="199" spans="17:17" x14ac:dyDescent="0.2">
      <c r="Q199" s="110"/>
    </row>
    <row r="200" spans="17:17" x14ac:dyDescent="0.2">
      <c r="Q200" s="110"/>
    </row>
    <row r="201" spans="17:17" x14ac:dyDescent="0.2">
      <c r="Q201" s="110"/>
    </row>
    <row r="202" spans="17:17" x14ac:dyDescent="0.2">
      <c r="Q202" s="110"/>
    </row>
    <row r="203" spans="17:17" x14ac:dyDescent="0.2">
      <c r="Q203" s="110"/>
    </row>
    <row r="204" spans="17:17" x14ac:dyDescent="0.2">
      <c r="Q204" s="110"/>
    </row>
    <row r="205" spans="17:17" x14ac:dyDescent="0.2">
      <c r="Q205" s="110"/>
    </row>
    <row r="206" spans="17:17" x14ac:dyDescent="0.2">
      <c r="Q206" s="110"/>
    </row>
    <row r="207" spans="17:17" x14ac:dyDescent="0.2">
      <c r="Q207" s="110"/>
    </row>
    <row r="208" spans="17:17" x14ac:dyDescent="0.2">
      <c r="Q208" s="110"/>
    </row>
    <row r="209" spans="17:17" x14ac:dyDescent="0.2">
      <c r="Q209" s="110"/>
    </row>
    <row r="210" spans="17:17" x14ac:dyDescent="0.2">
      <c r="Q210" s="110"/>
    </row>
    <row r="211" spans="17:17" x14ac:dyDescent="0.2">
      <c r="Q211" s="110"/>
    </row>
    <row r="212" spans="17:17" x14ac:dyDescent="0.2">
      <c r="Q212" s="110"/>
    </row>
    <row r="213" spans="17:17" x14ac:dyDescent="0.2">
      <c r="Q213" s="110"/>
    </row>
    <row r="214" spans="17:17" x14ac:dyDescent="0.2">
      <c r="Q214" s="110"/>
    </row>
    <row r="215" spans="17:17" x14ac:dyDescent="0.2">
      <c r="Q215" s="110"/>
    </row>
    <row r="216" spans="17:17" x14ac:dyDescent="0.2">
      <c r="Q216" s="110"/>
    </row>
    <row r="217" spans="17:17" x14ac:dyDescent="0.2">
      <c r="Q217" s="110"/>
    </row>
    <row r="218" spans="17:17" x14ac:dyDescent="0.2">
      <c r="Q218" s="110"/>
    </row>
    <row r="219" spans="17:17" x14ac:dyDescent="0.2">
      <c r="Q219" s="110"/>
    </row>
    <row r="220" spans="17:17" x14ac:dyDescent="0.2">
      <c r="Q220" s="110"/>
    </row>
    <row r="221" spans="17:17" x14ac:dyDescent="0.2">
      <c r="Q221" s="110"/>
    </row>
    <row r="222" spans="17:17" x14ac:dyDescent="0.2">
      <c r="Q222" s="110"/>
    </row>
    <row r="223" spans="17:17" x14ac:dyDescent="0.2">
      <c r="Q223" s="110"/>
    </row>
    <row r="224" spans="17:17" x14ac:dyDescent="0.2">
      <c r="Q224" s="110"/>
    </row>
    <row r="225" spans="17:17" x14ac:dyDescent="0.2">
      <c r="Q225" s="110"/>
    </row>
    <row r="226" spans="17:17" x14ac:dyDescent="0.2">
      <c r="Q226" s="110"/>
    </row>
    <row r="227" spans="17:17" x14ac:dyDescent="0.2">
      <c r="Q227" s="110"/>
    </row>
    <row r="228" spans="17:17" x14ac:dyDescent="0.2">
      <c r="Q228" s="110"/>
    </row>
    <row r="229" spans="17:17" x14ac:dyDescent="0.2">
      <c r="Q229" s="110"/>
    </row>
    <row r="230" spans="17:17" x14ac:dyDescent="0.2">
      <c r="Q230" s="110"/>
    </row>
    <row r="231" spans="17:17" x14ac:dyDescent="0.2">
      <c r="Q231" s="110"/>
    </row>
    <row r="232" spans="17:17" x14ac:dyDescent="0.2">
      <c r="Q232" s="110"/>
    </row>
    <row r="233" spans="17:17" x14ac:dyDescent="0.2">
      <c r="Q233" s="110"/>
    </row>
    <row r="234" spans="17:17" x14ac:dyDescent="0.2">
      <c r="Q234" s="110"/>
    </row>
    <row r="235" spans="17:17" x14ac:dyDescent="0.2">
      <c r="Q235" s="110"/>
    </row>
    <row r="236" spans="17:17" x14ac:dyDescent="0.2">
      <c r="Q236" s="110"/>
    </row>
    <row r="237" spans="17:17" x14ac:dyDescent="0.2">
      <c r="Q237" s="110"/>
    </row>
    <row r="238" spans="17:17" x14ac:dyDescent="0.2">
      <c r="Q238" s="110"/>
    </row>
    <row r="239" spans="17:17" x14ac:dyDescent="0.2">
      <c r="Q239" s="110"/>
    </row>
    <row r="240" spans="17:17" x14ac:dyDescent="0.2">
      <c r="Q240" s="110"/>
    </row>
    <row r="241" spans="17:17" x14ac:dyDescent="0.2">
      <c r="Q241" s="110"/>
    </row>
    <row r="242" spans="17:17" x14ac:dyDescent="0.2">
      <c r="Q242" s="110"/>
    </row>
    <row r="243" spans="17:17" x14ac:dyDescent="0.2">
      <c r="Q243" s="110"/>
    </row>
    <row r="244" spans="17:17" x14ac:dyDescent="0.2">
      <c r="Q244" s="110"/>
    </row>
    <row r="245" spans="17:17" x14ac:dyDescent="0.2">
      <c r="Q245" s="110"/>
    </row>
    <row r="246" spans="17:17" x14ac:dyDescent="0.2">
      <c r="Q246" s="110"/>
    </row>
    <row r="247" spans="17:17" x14ac:dyDescent="0.2">
      <c r="Q247" s="110"/>
    </row>
    <row r="248" spans="17:17" x14ac:dyDescent="0.2">
      <c r="Q248" s="110"/>
    </row>
    <row r="249" spans="17:17" x14ac:dyDescent="0.2">
      <c r="Q249" s="110"/>
    </row>
    <row r="250" spans="17:17" x14ac:dyDescent="0.2">
      <c r="Q250" s="110"/>
    </row>
    <row r="251" spans="17:17" x14ac:dyDescent="0.2">
      <c r="Q251" s="110"/>
    </row>
    <row r="252" spans="17:17" x14ac:dyDescent="0.2">
      <c r="Q252" s="110"/>
    </row>
    <row r="253" spans="17:17" x14ac:dyDescent="0.2">
      <c r="Q253" s="110"/>
    </row>
    <row r="254" spans="17:17" x14ac:dyDescent="0.2">
      <c r="Q254" s="110"/>
    </row>
    <row r="255" spans="17:17" x14ac:dyDescent="0.2">
      <c r="Q255" s="110"/>
    </row>
    <row r="256" spans="17:17" x14ac:dyDescent="0.2">
      <c r="Q256" s="110"/>
    </row>
    <row r="257" spans="17:17" x14ac:dyDescent="0.2">
      <c r="Q257" s="110"/>
    </row>
    <row r="258" spans="17:17" x14ac:dyDescent="0.2">
      <c r="Q258" s="110"/>
    </row>
    <row r="259" spans="17:17" x14ac:dyDescent="0.2">
      <c r="Q259" s="110"/>
    </row>
    <row r="260" spans="17:17" x14ac:dyDescent="0.2">
      <c r="Q260" s="110"/>
    </row>
    <row r="261" spans="17:17" x14ac:dyDescent="0.2">
      <c r="Q261" s="110"/>
    </row>
    <row r="262" spans="17:17" x14ac:dyDescent="0.2">
      <c r="Q262" s="110"/>
    </row>
    <row r="263" spans="17:17" x14ac:dyDescent="0.2">
      <c r="Q263" s="110"/>
    </row>
    <row r="264" spans="17:17" x14ac:dyDescent="0.2">
      <c r="Q264" s="110"/>
    </row>
    <row r="265" spans="17:17" x14ac:dyDescent="0.2">
      <c r="Q265" s="110"/>
    </row>
    <row r="266" spans="17:17" x14ac:dyDescent="0.2">
      <c r="Q266" s="110"/>
    </row>
    <row r="267" spans="17:17" x14ac:dyDescent="0.2">
      <c r="Q267" s="110"/>
    </row>
    <row r="268" spans="17:17" x14ac:dyDescent="0.2">
      <c r="Q268" s="110"/>
    </row>
    <row r="269" spans="17:17" x14ac:dyDescent="0.2">
      <c r="Q269" s="110"/>
    </row>
    <row r="270" spans="17:17" x14ac:dyDescent="0.2">
      <c r="Q270" s="110"/>
    </row>
    <row r="271" spans="17:17" x14ac:dyDescent="0.2">
      <c r="Q271" s="110"/>
    </row>
    <row r="272" spans="17:17" x14ac:dyDescent="0.2">
      <c r="Q272" s="110"/>
    </row>
    <row r="273" spans="17:17" x14ac:dyDescent="0.2">
      <c r="Q273" s="110"/>
    </row>
    <row r="274" spans="17:17" x14ac:dyDescent="0.2">
      <c r="Q274" s="110"/>
    </row>
    <row r="275" spans="17:17" x14ac:dyDescent="0.2">
      <c r="Q275" s="110"/>
    </row>
    <row r="276" spans="17:17" x14ac:dyDescent="0.2">
      <c r="Q276" s="110"/>
    </row>
    <row r="277" spans="17:17" x14ac:dyDescent="0.2">
      <c r="Q277" s="110"/>
    </row>
    <row r="278" spans="17:17" x14ac:dyDescent="0.2">
      <c r="Q278" s="110"/>
    </row>
    <row r="279" spans="17:17" x14ac:dyDescent="0.2">
      <c r="Q279" s="110"/>
    </row>
    <row r="280" spans="17:17" x14ac:dyDescent="0.2">
      <c r="Q280" s="110"/>
    </row>
    <row r="281" spans="17:17" x14ac:dyDescent="0.2">
      <c r="Q281" s="110"/>
    </row>
    <row r="282" spans="17:17" x14ac:dyDescent="0.2">
      <c r="Q282" s="110"/>
    </row>
    <row r="283" spans="17:17" x14ac:dyDescent="0.2">
      <c r="Q283" s="110"/>
    </row>
    <row r="284" spans="17:17" x14ac:dyDescent="0.2">
      <c r="Q284" s="110"/>
    </row>
    <row r="285" spans="17:17" x14ac:dyDescent="0.2">
      <c r="Q285" s="110"/>
    </row>
    <row r="286" spans="17:17" x14ac:dyDescent="0.2">
      <c r="Q286" s="110"/>
    </row>
    <row r="287" spans="17:17" x14ac:dyDescent="0.2">
      <c r="Q287" s="110"/>
    </row>
    <row r="288" spans="17:17" x14ac:dyDescent="0.2">
      <c r="Q288" s="110"/>
    </row>
    <row r="289" spans="17:17" x14ac:dyDescent="0.2">
      <c r="Q289" s="110"/>
    </row>
    <row r="290" spans="17:17" x14ac:dyDescent="0.2">
      <c r="Q290" s="110"/>
    </row>
    <row r="291" spans="17:17" x14ac:dyDescent="0.2">
      <c r="Q291" s="110"/>
    </row>
    <row r="292" spans="17:17" x14ac:dyDescent="0.2">
      <c r="Q292" s="110"/>
    </row>
    <row r="293" spans="17:17" x14ac:dyDescent="0.2">
      <c r="Q293" s="110"/>
    </row>
    <row r="294" spans="17:17" x14ac:dyDescent="0.2">
      <c r="Q294" s="110"/>
    </row>
    <row r="295" spans="17:17" x14ac:dyDescent="0.2">
      <c r="Q295" s="110"/>
    </row>
    <row r="296" spans="17:17" x14ac:dyDescent="0.2">
      <c r="Q296" s="110"/>
    </row>
    <row r="297" spans="17:17" x14ac:dyDescent="0.2">
      <c r="Q297" s="110"/>
    </row>
    <row r="298" spans="17:17" x14ac:dyDescent="0.2">
      <c r="Q298" s="110"/>
    </row>
    <row r="299" spans="17:17" x14ac:dyDescent="0.2">
      <c r="Q299" s="110"/>
    </row>
    <row r="300" spans="17:17" x14ac:dyDescent="0.2">
      <c r="Q300" s="110"/>
    </row>
    <row r="301" spans="17:17" x14ac:dyDescent="0.2">
      <c r="Q301" s="110"/>
    </row>
    <row r="302" spans="17:17" x14ac:dyDescent="0.2">
      <c r="Q302" s="110"/>
    </row>
    <row r="303" spans="17:17" x14ac:dyDescent="0.2">
      <c r="Q303" s="110"/>
    </row>
    <row r="304" spans="17:17" x14ac:dyDescent="0.2">
      <c r="Q304" s="110"/>
    </row>
    <row r="305" spans="17:17" x14ac:dyDescent="0.2">
      <c r="Q305" s="110"/>
    </row>
    <row r="306" spans="17:17" x14ac:dyDescent="0.2">
      <c r="Q306" s="110"/>
    </row>
    <row r="307" spans="17:17" x14ac:dyDescent="0.2">
      <c r="Q307" s="110"/>
    </row>
    <row r="308" spans="17:17" x14ac:dyDescent="0.2">
      <c r="Q308" s="110"/>
    </row>
    <row r="309" spans="17:17" x14ac:dyDescent="0.2">
      <c r="Q309" s="110"/>
    </row>
    <row r="310" spans="17:17" x14ac:dyDescent="0.2">
      <c r="Q310" s="110"/>
    </row>
    <row r="311" spans="17:17" x14ac:dyDescent="0.2">
      <c r="Q311" s="110"/>
    </row>
    <row r="312" spans="17:17" x14ac:dyDescent="0.2">
      <c r="Q312" s="110"/>
    </row>
    <row r="313" spans="17:17" x14ac:dyDescent="0.2">
      <c r="Q313" s="110"/>
    </row>
    <row r="314" spans="17:17" x14ac:dyDescent="0.2">
      <c r="Q314" s="110"/>
    </row>
    <row r="315" spans="17:17" x14ac:dyDescent="0.2">
      <c r="Q315" s="110"/>
    </row>
    <row r="316" spans="17:17" x14ac:dyDescent="0.2">
      <c r="Q316" s="110"/>
    </row>
    <row r="317" spans="17:17" x14ac:dyDescent="0.2">
      <c r="Q317" s="110"/>
    </row>
    <row r="318" spans="17:17" x14ac:dyDescent="0.2">
      <c r="Q318" s="110"/>
    </row>
    <row r="319" spans="17:17" x14ac:dyDescent="0.2">
      <c r="Q319" s="110"/>
    </row>
    <row r="320" spans="17:17" x14ac:dyDescent="0.2">
      <c r="Q320" s="110"/>
    </row>
    <row r="321" spans="17:17" x14ac:dyDescent="0.2">
      <c r="Q321" s="110"/>
    </row>
    <row r="322" spans="17:17" x14ac:dyDescent="0.2">
      <c r="Q322" s="110"/>
    </row>
    <row r="323" spans="17:17" x14ac:dyDescent="0.2">
      <c r="Q323" s="110"/>
    </row>
    <row r="324" spans="17:17" x14ac:dyDescent="0.2">
      <c r="Q324" s="110"/>
    </row>
    <row r="325" spans="17:17" x14ac:dyDescent="0.2">
      <c r="Q325" s="110"/>
    </row>
    <row r="326" spans="17:17" x14ac:dyDescent="0.2">
      <c r="Q326" s="110"/>
    </row>
    <row r="327" spans="17:17" x14ac:dyDescent="0.2">
      <c r="Q327" s="110"/>
    </row>
    <row r="328" spans="17:17" x14ac:dyDescent="0.2">
      <c r="Q328" s="110"/>
    </row>
    <row r="329" spans="17:17" x14ac:dyDescent="0.2">
      <c r="Q329" s="110"/>
    </row>
    <row r="330" spans="17:17" x14ac:dyDescent="0.2">
      <c r="Q330" s="110"/>
    </row>
    <row r="331" spans="17:17" x14ac:dyDescent="0.2">
      <c r="Q331" s="110"/>
    </row>
    <row r="332" spans="17:17" x14ac:dyDescent="0.2">
      <c r="Q332" s="110"/>
    </row>
    <row r="333" spans="17:17" x14ac:dyDescent="0.2">
      <c r="Q333" s="110"/>
    </row>
    <row r="334" spans="17:17" x14ac:dyDescent="0.2">
      <c r="Q334" s="110"/>
    </row>
    <row r="335" spans="17:17" x14ac:dyDescent="0.2">
      <c r="Q335" s="110"/>
    </row>
    <row r="336" spans="17:17" x14ac:dyDescent="0.2">
      <c r="Q336" s="110"/>
    </row>
    <row r="337" spans="17:17" x14ac:dyDescent="0.2">
      <c r="Q337" s="110"/>
    </row>
    <row r="338" spans="17:17" x14ac:dyDescent="0.2">
      <c r="Q338" s="110"/>
    </row>
    <row r="339" spans="17:17" x14ac:dyDescent="0.2">
      <c r="Q339" s="110"/>
    </row>
    <row r="340" spans="17:17" x14ac:dyDescent="0.2">
      <c r="Q340" s="110"/>
    </row>
    <row r="341" spans="17:17" x14ac:dyDescent="0.2">
      <c r="Q341" s="110"/>
    </row>
    <row r="342" spans="17:17" x14ac:dyDescent="0.2">
      <c r="Q342" s="110"/>
    </row>
    <row r="343" spans="17:17" x14ac:dyDescent="0.2">
      <c r="Q343" s="110"/>
    </row>
    <row r="344" spans="17:17" x14ac:dyDescent="0.2">
      <c r="Q344" s="110"/>
    </row>
    <row r="345" spans="17:17" x14ac:dyDescent="0.2">
      <c r="Q345" s="110"/>
    </row>
    <row r="346" spans="17:17" x14ac:dyDescent="0.2">
      <c r="Q346" s="110"/>
    </row>
    <row r="347" spans="17:17" x14ac:dyDescent="0.2">
      <c r="Q347" s="110"/>
    </row>
    <row r="348" spans="17:17" x14ac:dyDescent="0.2">
      <c r="Q348" s="110"/>
    </row>
    <row r="349" spans="17:17" x14ac:dyDescent="0.2">
      <c r="Q349" s="110"/>
    </row>
    <row r="350" spans="17:17" x14ac:dyDescent="0.2">
      <c r="Q350" s="110"/>
    </row>
    <row r="351" spans="17:17" x14ac:dyDescent="0.2">
      <c r="Q351" s="110"/>
    </row>
    <row r="352" spans="17:17" x14ac:dyDescent="0.2">
      <c r="Q352" s="110"/>
    </row>
    <row r="353" spans="17:17" x14ac:dyDescent="0.2">
      <c r="Q353" s="110"/>
    </row>
    <row r="354" spans="17:17" x14ac:dyDescent="0.2">
      <c r="Q354" s="110"/>
    </row>
    <row r="355" spans="17:17" x14ac:dyDescent="0.2">
      <c r="Q355" s="110"/>
    </row>
    <row r="356" spans="17:17" x14ac:dyDescent="0.2">
      <c r="Q356" s="110"/>
    </row>
    <row r="357" spans="17:17" x14ac:dyDescent="0.2">
      <c r="Q357" s="110"/>
    </row>
    <row r="358" spans="17:17" x14ac:dyDescent="0.2">
      <c r="Q358" s="110"/>
    </row>
    <row r="359" spans="17:17" x14ac:dyDescent="0.2">
      <c r="Q359" s="110"/>
    </row>
    <row r="360" spans="17:17" x14ac:dyDescent="0.2">
      <c r="Q360" s="110"/>
    </row>
    <row r="361" spans="17:17" x14ac:dyDescent="0.2">
      <c r="Q361" s="110"/>
    </row>
    <row r="362" spans="17:17" x14ac:dyDescent="0.2">
      <c r="Q362" s="110"/>
    </row>
    <row r="363" spans="17:17" x14ac:dyDescent="0.2">
      <c r="Q363" s="110"/>
    </row>
    <row r="364" spans="17:17" x14ac:dyDescent="0.2">
      <c r="Q364" s="110"/>
    </row>
    <row r="365" spans="17:17" x14ac:dyDescent="0.2">
      <c r="Q365" s="110"/>
    </row>
    <row r="366" spans="17:17" x14ac:dyDescent="0.2">
      <c r="Q366" s="110"/>
    </row>
    <row r="367" spans="17:17" x14ac:dyDescent="0.2">
      <c r="Q367" s="110"/>
    </row>
    <row r="368" spans="17:17" x14ac:dyDescent="0.2">
      <c r="Q368" s="110"/>
    </row>
    <row r="369" spans="17:17" x14ac:dyDescent="0.2">
      <c r="Q369" s="110"/>
    </row>
    <row r="370" spans="17:17" x14ac:dyDescent="0.2">
      <c r="Q370" s="110"/>
    </row>
    <row r="371" spans="17:17" x14ac:dyDescent="0.2">
      <c r="Q371" s="110"/>
    </row>
    <row r="372" spans="17:17" x14ac:dyDescent="0.2">
      <c r="Q372" s="110"/>
    </row>
    <row r="373" spans="17:17" x14ac:dyDescent="0.2">
      <c r="Q373" s="110"/>
    </row>
    <row r="374" spans="17:17" x14ac:dyDescent="0.2">
      <c r="Q374" s="110"/>
    </row>
    <row r="375" spans="17:17" x14ac:dyDescent="0.2">
      <c r="Q375" s="110"/>
    </row>
    <row r="376" spans="17:17" x14ac:dyDescent="0.2">
      <c r="Q376" s="110"/>
    </row>
    <row r="377" spans="17:17" x14ac:dyDescent="0.2">
      <c r="Q377" s="110"/>
    </row>
    <row r="378" spans="17:17" x14ac:dyDescent="0.2">
      <c r="Q378" s="110"/>
    </row>
    <row r="379" spans="17:17" x14ac:dyDescent="0.2">
      <c r="Q379" s="110"/>
    </row>
    <row r="380" spans="17:17" x14ac:dyDescent="0.2">
      <c r="Q380" s="110"/>
    </row>
    <row r="381" spans="17:17" x14ac:dyDescent="0.2">
      <c r="Q381" s="110"/>
    </row>
    <row r="382" spans="17:17" x14ac:dyDescent="0.2">
      <c r="Q382" s="110"/>
    </row>
    <row r="383" spans="17:17" x14ac:dyDescent="0.2">
      <c r="Q383" s="110"/>
    </row>
    <row r="384" spans="17:17" x14ac:dyDescent="0.2">
      <c r="Q384" s="110"/>
    </row>
    <row r="385" spans="17:17" x14ac:dyDescent="0.2">
      <c r="Q385" s="110"/>
    </row>
    <row r="386" spans="17:17" x14ac:dyDescent="0.2">
      <c r="Q386" s="110"/>
    </row>
    <row r="387" spans="17:17" x14ac:dyDescent="0.2">
      <c r="Q387" s="110"/>
    </row>
    <row r="388" spans="17:17" x14ac:dyDescent="0.2">
      <c r="Q388" s="110"/>
    </row>
    <row r="389" spans="17:17" x14ac:dyDescent="0.2">
      <c r="Q389" s="110"/>
    </row>
    <row r="390" spans="17:17" x14ac:dyDescent="0.2">
      <c r="Q390" s="110"/>
    </row>
    <row r="391" spans="17:17" x14ac:dyDescent="0.2">
      <c r="Q391" s="110"/>
    </row>
    <row r="392" spans="17:17" x14ac:dyDescent="0.2">
      <c r="Q392" s="110"/>
    </row>
    <row r="393" spans="17:17" x14ac:dyDescent="0.2">
      <c r="Q393" s="110"/>
    </row>
    <row r="394" spans="17:17" x14ac:dyDescent="0.2">
      <c r="Q394" s="110"/>
    </row>
    <row r="395" spans="17:17" x14ac:dyDescent="0.2">
      <c r="Q395" s="110"/>
    </row>
    <row r="396" spans="17:17" x14ac:dyDescent="0.2">
      <c r="Q396" s="110"/>
    </row>
    <row r="397" spans="17:17" x14ac:dyDescent="0.2">
      <c r="Q397" s="110"/>
    </row>
    <row r="398" spans="17:17" x14ac:dyDescent="0.2">
      <c r="Q398" s="110"/>
    </row>
    <row r="399" spans="17:17" x14ac:dyDescent="0.2">
      <c r="Q399" s="110"/>
    </row>
    <row r="400" spans="17:17" x14ac:dyDescent="0.2">
      <c r="Q400" s="110"/>
    </row>
    <row r="401" spans="17:17" x14ac:dyDescent="0.2">
      <c r="Q401" s="110"/>
    </row>
    <row r="402" spans="17:17" x14ac:dyDescent="0.2">
      <c r="Q402" s="110"/>
    </row>
    <row r="403" spans="17:17" x14ac:dyDescent="0.2">
      <c r="Q403" s="110"/>
    </row>
    <row r="404" spans="17:17" x14ac:dyDescent="0.2">
      <c r="Q404" s="110"/>
    </row>
    <row r="405" spans="17:17" x14ac:dyDescent="0.2">
      <c r="Q405" s="110"/>
    </row>
    <row r="406" spans="17:17" x14ac:dyDescent="0.2">
      <c r="Q406" s="110"/>
    </row>
    <row r="407" spans="17:17" x14ac:dyDescent="0.2">
      <c r="Q407" s="110"/>
    </row>
    <row r="408" spans="17:17" x14ac:dyDescent="0.2">
      <c r="Q408" s="110"/>
    </row>
    <row r="409" spans="17:17" x14ac:dyDescent="0.2">
      <c r="Q409" s="110"/>
    </row>
    <row r="410" spans="17:17" x14ac:dyDescent="0.2">
      <c r="Q410" s="110"/>
    </row>
    <row r="411" spans="17:17" x14ac:dyDescent="0.2">
      <c r="Q411" s="110"/>
    </row>
    <row r="412" spans="17:17" x14ac:dyDescent="0.2">
      <c r="Q412" s="110"/>
    </row>
    <row r="413" spans="17:17" x14ac:dyDescent="0.2">
      <c r="Q413" s="110"/>
    </row>
  </sheetData>
  <mergeCells count="1">
    <mergeCell ref="M1:O1"/>
  </mergeCells>
  <hyperlinks>
    <hyperlink ref="A2" location="FEO!A1" display="terug" xr:uid="{B417516B-A65B-4ADE-B71D-D66E607FC94D}"/>
  </hyperlink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2556-476E-4E36-B8C5-3671636DD7DB}">
  <sheetPr>
    <tabColor rgb="FFFFC000"/>
  </sheetPr>
  <dimension ref="A1:Q422"/>
  <sheetViews>
    <sheetView workbookViewId="0"/>
  </sheetViews>
  <sheetFormatPr defaultRowHeight="10.199999999999999" x14ac:dyDescent="0.2"/>
  <cols>
    <col min="1" max="1" width="27.25" customWidth="1"/>
    <col min="2" max="15" width="17.125" customWidth="1"/>
    <col min="17" max="17" width="14.625" bestFit="1" customWidth="1"/>
  </cols>
  <sheetData>
    <row r="1" spans="1:15" ht="16.2" x14ac:dyDescent="0.3">
      <c r="A1" s="51" t="s">
        <v>540</v>
      </c>
      <c r="L1" s="156" t="s">
        <v>83</v>
      </c>
      <c r="M1" s="647" t="s">
        <v>84</v>
      </c>
      <c r="N1" s="647"/>
      <c r="O1" s="647"/>
    </row>
    <row r="2" spans="1:15" x14ac:dyDescent="0.2">
      <c r="A2" s="56" t="s">
        <v>131</v>
      </c>
      <c r="N2" s="266" t="str">
        <f>FEO!AA1</f>
        <v>Versie</v>
      </c>
      <c r="O2" s="274" t="str">
        <f>FEO!AA2</f>
        <v>NVI 5b</v>
      </c>
    </row>
    <row r="3" spans="1:15" ht="10.8" thickBot="1" x14ac:dyDescent="0.25">
      <c r="A3" s="56"/>
    </row>
    <row r="4" spans="1:15" ht="12" thickBot="1" x14ac:dyDescent="0.25">
      <c r="A4" s="168" t="s">
        <v>157</v>
      </c>
      <c r="B4" s="169"/>
      <c r="C4" s="169"/>
      <c r="D4" s="58"/>
      <c r="E4" s="169"/>
      <c r="F4" s="58" t="s">
        <v>146</v>
      </c>
      <c r="G4" s="58"/>
      <c r="H4" s="58"/>
      <c r="I4" s="58"/>
      <c r="J4" s="58"/>
      <c r="K4" s="58"/>
      <c r="L4" s="58"/>
      <c r="M4" s="58"/>
      <c r="N4" s="58"/>
      <c r="O4" s="58"/>
    </row>
    <row r="5" spans="1:15" ht="12" thickBot="1" x14ac:dyDescent="0.25">
      <c r="A5" s="49" t="s">
        <v>198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</row>
    <row r="6" spans="1:15" ht="12" thickBot="1" x14ac:dyDescent="0.25">
      <c r="A6" s="248" t="s">
        <v>150</v>
      </c>
      <c r="B6" s="170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12" thickBot="1" x14ac:dyDescent="0.25">
      <c r="A7" s="248" t="s">
        <v>146</v>
      </c>
      <c r="B7" s="59"/>
      <c r="C7" s="59"/>
      <c r="D7" s="59"/>
      <c r="E7" s="59"/>
      <c r="F7" s="59"/>
      <c r="G7" s="59"/>
      <c r="H7" s="59"/>
      <c r="I7" s="60"/>
      <c r="J7" s="60"/>
      <c r="K7" s="60"/>
      <c r="L7" s="60"/>
      <c r="M7" s="60"/>
      <c r="N7" s="60"/>
      <c r="O7" s="60"/>
    </row>
    <row r="8" spans="1:15" ht="12" thickBot="1" x14ac:dyDescent="0.25">
      <c r="A8" s="248" t="s">
        <v>146</v>
      </c>
      <c r="B8" s="59"/>
      <c r="C8" s="59"/>
      <c r="D8" s="59"/>
      <c r="E8" s="59"/>
      <c r="F8" s="59"/>
      <c r="G8" s="59"/>
      <c r="H8" s="59"/>
      <c r="I8" s="60"/>
      <c r="J8" s="60"/>
      <c r="K8" s="60"/>
      <c r="L8" s="60"/>
      <c r="M8" s="60"/>
      <c r="N8" s="60"/>
      <c r="O8" s="60"/>
    </row>
    <row r="9" spans="1:15" ht="12" thickBot="1" x14ac:dyDescent="0.25">
      <c r="A9" s="248" t="s">
        <v>146</v>
      </c>
      <c r="B9" s="59"/>
      <c r="C9" s="59"/>
      <c r="D9" s="59"/>
      <c r="E9" s="59"/>
      <c r="F9" s="59"/>
      <c r="G9" s="59"/>
      <c r="H9" s="59"/>
      <c r="I9" s="60"/>
      <c r="J9" s="60"/>
      <c r="K9" s="60"/>
      <c r="L9" s="60"/>
      <c r="M9" s="60"/>
      <c r="N9" s="60"/>
      <c r="O9" s="60"/>
    </row>
    <row r="10" spans="1:15" ht="12" thickBot="1" x14ac:dyDescent="0.25">
      <c r="A10" s="248" t="s">
        <v>146</v>
      </c>
      <c r="B10" s="59"/>
      <c r="C10" s="59"/>
      <c r="D10" s="59"/>
      <c r="E10" s="59"/>
      <c r="F10" s="59"/>
      <c r="G10" s="59"/>
      <c r="H10" s="59"/>
      <c r="I10" s="60"/>
      <c r="J10" s="60"/>
      <c r="K10" s="60"/>
      <c r="L10" s="60"/>
      <c r="M10" s="60"/>
      <c r="N10" s="60"/>
      <c r="O10" s="60"/>
    </row>
    <row r="11" spans="1:15" ht="12" thickBot="1" x14ac:dyDescent="0.25">
      <c r="A11" s="248" t="s">
        <v>146</v>
      </c>
      <c r="B11" s="59"/>
      <c r="C11" s="59"/>
      <c r="D11" s="59"/>
      <c r="E11" s="59"/>
      <c r="F11" s="59"/>
      <c r="G11" s="59"/>
      <c r="H11" s="59"/>
      <c r="I11" s="60"/>
      <c r="J11" s="60"/>
      <c r="K11" s="60"/>
      <c r="L11" s="60"/>
      <c r="M11" s="60"/>
      <c r="N11" s="60"/>
      <c r="O11" s="60"/>
    </row>
    <row r="12" spans="1:15" ht="12" thickBot="1" x14ac:dyDescent="0.25">
      <c r="A12" s="248" t="s">
        <v>146</v>
      </c>
      <c r="B12" s="59"/>
      <c r="C12" s="59"/>
      <c r="D12" s="59"/>
      <c r="E12" s="59"/>
      <c r="F12" s="59"/>
      <c r="G12" s="59"/>
      <c r="H12" s="59"/>
      <c r="I12" s="60"/>
      <c r="J12" s="60"/>
      <c r="K12" s="60"/>
      <c r="L12" s="61"/>
      <c r="M12" s="61"/>
      <c r="N12" s="61"/>
      <c r="O12" s="61"/>
    </row>
    <row r="13" spans="1:15" ht="12" thickBot="1" x14ac:dyDescent="0.25">
      <c r="A13" s="248" t="s">
        <v>146</v>
      </c>
      <c r="B13" s="59"/>
      <c r="C13" s="59"/>
      <c r="D13" s="59"/>
      <c r="E13" s="59"/>
      <c r="F13" s="59"/>
      <c r="G13" s="59"/>
      <c r="H13" s="59"/>
      <c r="I13" s="60"/>
      <c r="J13" s="60"/>
      <c r="K13" s="60"/>
      <c r="L13" s="61"/>
      <c r="M13" s="61"/>
      <c r="N13" s="61"/>
      <c r="O13" s="61"/>
    </row>
    <row r="14" spans="1:15" ht="12" thickBot="1" x14ac:dyDescent="0.25">
      <c r="A14" s="248" t="s">
        <v>146</v>
      </c>
      <c r="B14" s="59"/>
      <c r="C14" s="59"/>
      <c r="D14" s="59"/>
      <c r="E14" s="59"/>
      <c r="F14" s="59"/>
      <c r="G14" s="59"/>
      <c r="H14" s="59"/>
      <c r="I14" s="60"/>
      <c r="J14" s="60"/>
      <c r="K14" s="60"/>
      <c r="L14" s="61"/>
      <c r="M14" s="61"/>
      <c r="N14" s="61"/>
      <c r="O14" s="61"/>
    </row>
    <row r="15" spans="1:15" ht="12" thickBot="1" x14ac:dyDescent="0.25">
      <c r="A15" s="248"/>
      <c r="B15" s="59"/>
      <c r="C15" s="59"/>
      <c r="D15" s="59"/>
      <c r="E15" s="59"/>
      <c r="F15" s="59"/>
      <c r="G15" s="59"/>
      <c r="H15" s="59"/>
      <c r="I15" s="60"/>
      <c r="J15" s="60"/>
      <c r="K15" s="60"/>
      <c r="L15" s="61"/>
      <c r="M15" s="61"/>
      <c r="N15" s="61"/>
      <c r="O15" s="61"/>
    </row>
    <row r="16" spans="1:15" ht="12" thickBot="1" x14ac:dyDescent="0.25">
      <c r="A16" s="248"/>
      <c r="B16" s="59"/>
      <c r="C16" s="59"/>
      <c r="D16" s="59"/>
      <c r="E16" s="59"/>
      <c r="F16" s="59"/>
      <c r="G16" s="59"/>
      <c r="H16" s="59"/>
      <c r="I16" s="60"/>
      <c r="J16" s="60"/>
      <c r="K16" s="60"/>
      <c r="L16" s="61"/>
      <c r="M16" s="61"/>
      <c r="N16" s="61"/>
      <c r="O16" s="61"/>
    </row>
    <row r="17" spans="1:15" ht="12" thickBot="1" x14ac:dyDescent="0.25">
      <c r="A17" s="248"/>
      <c r="B17" s="59"/>
      <c r="C17" s="59"/>
      <c r="D17" s="59"/>
      <c r="E17" s="59"/>
      <c r="F17" s="59"/>
      <c r="G17" s="59"/>
      <c r="H17" s="59"/>
      <c r="I17" s="60"/>
      <c r="J17" s="60"/>
      <c r="K17" s="60"/>
      <c r="L17" s="61"/>
      <c r="M17" s="61"/>
      <c r="N17" s="61"/>
      <c r="O17" s="61"/>
    </row>
    <row r="18" spans="1:15" ht="12" thickBot="1" x14ac:dyDescent="0.25">
      <c r="A18" s="248"/>
      <c r="B18" s="59"/>
      <c r="C18" s="59"/>
      <c r="D18" s="59"/>
      <c r="E18" s="59"/>
      <c r="F18" s="59"/>
      <c r="G18" s="59"/>
      <c r="H18" s="59"/>
      <c r="I18" s="60"/>
      <c r="J18" s="60"/>
      <c r="K18" s="60"/>
      <c r="L18" s="61"/>
      <c r="M18" s="61"/>
      <c r="N18" s="61"/>
      <c r="O18" s="61"/>
    </row>
    <row r="19" spans="1:15" ht="12" thickBot="1" x14ac:dyDescent="0.25">
      <c r="A19" s="248"/>
      <c r="B19" s="59"/>
      <c r="C19" s="59"/>
      <c r="D19" s="59"/>
      <c r="E19" s="59"/>
      <c r="F19" s="59"/>
      <c r="G19" s="59"/>
      <c r="H19" s="59"/>
      <c r="I19" s="60"/>
      <c r="J19" s="60"/>
      <c r="K19" s="60"/>
      <c r="L19" s="61"/>
      <c r="M19" s="61"/>
      <c r="N19" s="61"/>
      <c r="O19" s="61"/>
    </row>
    <row r="20" spans="1:15" ht="12" thickBot="1" x14ac:dyDescent="0.25">
      <c r="A20" s="248"/>
      <c r="B20" s="59"/>
      <c r="C20" s="59"/>
      <c r="D20" s="59"/>
      <c r="E20" s="59"/>
      <c r="F20" s="59"/>
      <c r="G20" s="59"/>
      <c r="H20" s="59"/>
      <c r="I20" s="60"/>
      <c r="J20" s="60"/>
      <c r="K20" s="60"/>
      <c r="L20" s="61"/>
      <c r="M20" s="61"/>
      <c r="N20" s="61"/>
      <c r="O20" s="61"/>
    </row>
    <row r="21" spans="1:15" ht="12" thickBot="1" x14ac:dyDescent="0.25">
      <c r="A21" s="248"/>
      <c r="B21" s="59"/>
      <c r="C21" s="59"/>
      <c r="D21" s="59"/>
      <c r="E21" s="59"/>
      <c r="F21" s="59"/>
      <c r="G21" s="59"/>
      <c r="H21" s="59"/>
      <c r="I21" s="60"/>
      <c r="J21" s="60"/>
      <c r="K21" s="60"/>
      <c r="L21" s="61"/>
      <c r="M21" s="61"/>
      <c r="N21" s="61"/>
      <c r="O21" s="61"/>
    </row>
    <row r="22" spans="1:15" ht="12" thickBot="1" x14ac:dyDescent="0.25">
      <c r="A22" s="248"/>
      <c r="B22" s="59"/>
      <c r="C22" s="59"/>
      <c r="D22" s="59"/>
      <c r="E22" s="59"/>
      <c r="F22" s="59"/>
      <c r="G22" s="59"/>
      <c r="H22" s="59"/>
      <c r="I22" s="60"/>
      <c r="J22" s="60"/>
      <c r="K22" s="60"/>
      <c r="L22" s="61"/>
      <c r="M22" s="61"/>
      <c r="N22" s="61"/>
      <c r="O22" s="61"/>
    </row>
    <row r="23" spans="1:15" ht="12" thickBot="1" x14ac:dyDescent="0.25">
      <c r="A23" s="248"/>
      <c r="B23" s="59"/>
      <c r="C23" s="59"/>
      <c r="D23" s="59"/>
      <c r="E23" s="59"/>
      <c r="F23" s="59"/>
      <c r="G23" s="59"/>
      <c r="H23" s="59"/>
      <c r="I23" s="60"/>
      <c r="J23" s="60"/>
      <c r="K23" s="60"/>
      <c r="L23" s="61"/>
      <c r="M23" s="61"/>
      <c r="N23" s="61"/>
      <c r="O23" s="61"/>
    </row>
    <row r="24" spans="1:15" ht="12" thickBot="1" x14ac:dyDescent="0.25">
      <c r="A24" s="248"/>
      <c r="B24" s="59"/>
      <c r="C24" s="59"/>
      <c r="D24" s="59"/>
      <c r="E24" s="59"/>
      <c r="F24" s="59"/>
      <c r="G24" s="59"/>
      <c r="H24" s="59"/>
      <c r="I24" s="60"/>
      <c r="J24" s="60"/>
      <c r="K24" s="60"/>
      <c r="L24" s="61"/>
      <c r="M24" s="61"/>
      <c r="N24" s="61"/>
      <c r="O24" s="61"/>
    </row>
    <row r="25" spans="1:15" ht="12" thickBot="1" x14ac:dyDescent="0.25">
      <c r="A25" s="248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1"/>
      <c r="M25" s="61"/>
      <c r="N25" s="61"/>
      <c r="O25" s="61"/>
    </row>
    <row r="26" spans="1:15" ht="12" thickBot="1" x14ac:dyDescent="0.25">
      <c r="A26" s="248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1"/>
      <c r="M26" s="61"/>
      <c r="N26" s="61"/>
      <c r="O26" s="61"/>
    </row>
    <row r="27" spans="1:15" ht="12" thickBot="1" x14ac:dyDescent="0.25">
      <c r="A27" s="248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1"/>
      <c r="M27" s="61"/>
      <c r="N27" s="61"/>
      <c r="O27" s="61"/>
    </row>
    <row r="28" spans="1:15" ht="12" thickBot="1" x14ac:dyDescent="0.25">
      <c r="A28" s="49" t="s">
        <v>137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1"/>
      <c r="M28" s="61"/>
      <c r="N28" s="61"/>
      <c r="O28" s="61"/>
    </row>
    <row r="29" spans="1:15" ht="12" thickBot="1" x14ac:dyDescent="0.25">
      <c r="A29" s="76" t="s">
        <v>152</v>
      </c>
      <c r="B29" s="245">
        <f t="shared" ref="B29:O29" si="0">(SUM(B6:B27)-B28)</f>
        <v>0</v>
      </c>
      <c r="C29" s="245">
        <f t="shared" si="0"/>
        <v>0</v>
      </c>
      <c r="D29" s="245">
        <f t="shared" si="0"/>
        <v>0</v>
      </c>
      <c r="E29" s="245">
        <f t="shared" si="0"/>
        <v>0</v>
      </c>
      <c r="F29" s="245">
        <f t="shared" si="0"/>
        <v>0</v>
      </c>
      <c r="G29" s="245">
        <f t="shared" si="0"/>
        <v>0</v>
      </c>
      <c r="H29" s="245">
        <f t="shared" si="0"/>
        <v>0</v>
      </c>
      <c r="I29" s="245">
        <f t="shared" si="0"/>
        <v>0</v>
      </c>
      <c r="J29" s="245">
        <f t="shared" si="0"/>
        <v>0</v>
      </c>
      <c r="K29" s="245">
        <f t="shared" si="0"/>
        <v>0</v>
      </c>
      <c r="L29" s="245">
        <f t="shared" si="0"/>
        <v>0</v>
      </c>
      <c r="M29" s="245">
        <f t="shared" si="0"/>
        <v>0</v>
      </c>
      <c r="N29" s="245">
        <f t="shared" si="0"/>
        <v>0</v>
      </c>
      <c r="O29" s="245">
        <f t="shared" si="0"/>
        <v>0</v>
      </c>
    </row>
    <row r="30" spans="1:15" ht="12" thickBot="1" x14ac:dyDescent="0.25">
      <c r="A30" s="49" t="s">
        <v>153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</row>
    <row r="31" spans="1:15" ht="23.4" thickBot="1" x14ac:dyDescent="0.25">
      <c r="A31" s="49" t="s">
        <v>199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</row>
    <row r="32" spans="1:15" ht="34.799999999999997" thickBot="1" x14ac:dyDescent="0.25">
      <c r="A32" s="49" t="s">
        <v>140</v>
      </c>
      <c r="B32" s="78">
        <f>IF(B30=0,0,B31-B30+1)</f>
        <v>0</v>
      </c>
      <c r="C32" s="78">
        <f t="shared" ref="C32:O32" si="1">IF(C30=0,0,C31-C30+1)</f>
        <v>0</v>
      </c>
      <c r="D32" s="78">
        <f t="shared" si="1"/>
        <v>0</v>
      </c>
      <c r="E32" s="78">
        <f t="shared" si="1"/>
        <v>0</v>
      </c>
      <c r="F32" s="78">
        <f t="shared" si="1"/>
        <v>0</v>
      </c>
      <c r="G32" s="78">
        <f t="shared" si="1"/>
        <v>0</v>
      </c>
      <c r="H32" s="78">
        <f t="shared" si="1"/>
        <v>0</v>
      </c>
      <c r="I32" s="78">
        <f t="shared" si="1"/>
        <v>0</v>
      </c>
      <c r="J32" s="78">
        <f t="shared" si="1"/>
        <v>0</v>
      </c>
      <c r="K32" s="78">
        <f t="shared" si="1"/>
        <v>0</v>
      </c>
      <c r="L32" s="78">
        <f t="shared" si="1"/>
        <v>0</v>
      </c>
      <c r="M32" s="78">
        <f t="shared" si="1"/>
        <v>0</v>
      </c>
      <c r="N32" s="78">
        <f t="shared" si="1"/>
        <v>0</v>
      </c>
      <c r="O32" s="78">
        <f t="shared" si="1"/>
        <v>0</v>
      </c>
    </row>
    <row r="33" spans="1:17" ht="12" thickBot="1" x14ac:dyDescent="0.25">
      <c r="A33" s="49" t="s">
        <v>141</v>
      </c>
      <c r="B33" s="50">
        <f>IFERROR(B29/B32,0)</f>
        <v>0</v>
      </c>
      <c r="C33" s="50">
        <f>IFERROR(C29/C32,0)</f>
        <v>0</v>
      </c>
      <c r="D33" s="50">
        <f>IFERROR(D29/D32,0)</f>
        <v>0</v>
      </c>
      <c r="E33" s="50">
        <f>IFERROR(E29/E32,0)</f>
        <v>0</v>
      </c>
      <c r="F33" s="50">
        <f>IFERROR(F29/F32,0)</f>
        <v>0</v>
      </c>
      <c r="G33" s="50">
        <f t="shared" ref="G33:O33" si="2">IFERROR(G29/G32,0)</f>
        <v>0</v>
      </c>
      <c r="H33" s="50">
        <f t="shared" si="2"/>
        <v>0</v>
      </c>
      <c r="I33" s="50">
        <f t="shared" si="2"/>
        <v>0</v>
      </c>
      <c r="J33" s="50">
        <f t="shared" si="2"/>
        <v>0</v>
      </c>
      <c r="K33" s="50">
        <f t="shared" si="2"/>
        <v>0</v>
      </c>
      <c r="L33" s="50">
        <f t="shared" si="2"/>
        <v>0</v>
      </c>
      <c r="M33" s="50">
        <f t="shared" si="2"/>
        <v>0</v>
      </c>
      <c r="N33" s="50">
        <f t="shared" si="2"/>
        <v>0</v>
      </c>
      <c r="O33" s="50">
        <f t="shared" si="2"/>
        <v>0</v>
      </c>
    </row>
    <row r="34" spans="1:17" ht="11.4" x14ac:dyDescent="0.2">
      <c r="A34" s="52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</row>
    <row r="35" spans="1:17" ht="11.4" x14ac:dyDescent="0.2">
      <c r="A35" s="545" t="s">
        <v>479</v>
      </c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</row>
    <row r="37" spans="1:17" ht="12" thickBot="1" x14ac:dyDescent="0.25">
      <c r="A37" s="52" t="s">
        <v>142</v>
      </c>
      <c r="E37" s="110"/>
    </row>
    <row r="38" spans="1:17" ht="12" thickBot="1" x14ac:dyDescent="0.25">
      <c r="A38" s="54">
        <f>FEO!$G$5</f>
        <v>2028</v>
      </c>
      <c r="B38" s="55">
        <f>IF(AND($A38&gt;YEAR(B$30),$A38&lt;YEAR(B$31)),(DATE($A38,12,31)-DATE($A38,1,0))*B$33,IF(AND($A38=YEAR(B$30),$A38=YEAR(B$31)),(B$31-B$30+1)*B$33,IF($A38=YEAR(B$30),(DATE(YEAR(B$30),12,31)-B$30)*B$33,IF($A38=YEAR(B$31),(B$31-DATE(YEAR(B$31),1,0)+1)*B$33,0))))</f>
        <v>0</v>
      </c>
      <c r="C38" s="55">
        <f t="shared" ref="C38:O39" si="3">IF(AND($A38&gt;YEAR(C$30),$A38&lt;YEAR(C$31)),(DATE($A38,12,31)-DATE($A38,1,0))*C$33,IF(AND($A38=YEAR(C$30),$A38=YEAR(C$31)),(C$31-C$30+1)*C$33,IF($A38=YEAR(C$30),(DATE(YEAR(C$30),12,31)-C$30)*C$33,IF($A38=YEAR(C$31),(C$31-DATE(YEAR(C$31),1,0)+1)*C$33,0))))</f>
        <v>0</v>
      </c>
      <c r="D38" s="55">
        <f t="shared" si="3"/>
        <v>0</v>
      </c>
      <c r="E38" s="55">
        <f t="shared" si="3"/>
        <v>0</v>
      </c>
      <c r="F38" s="55">
        <f t="shared" si="3"/>
        <v>0</v>
      </c>
      <c r="G38" s="55">
        <f t="shared" si="3"/>
        <v>0</v>
      </c>
      <c r="H38" s="55">
        <f t="shared" si="3"/>
        <v>0</v>
      </c>
      <c r="I38" s="55">
        <f t="shared" si="3"/>
        <v>0</v>
      </c>
      <c r="J38" s="55">
        <f t="shared" si="3"/>
        <v>0</v>
      </c>
      <c r="K38" s="55">
        <f t="shared" si="3"/>
        <v>0</v>
      </c>
      <c r="L38" s="55">
        <f t="shared" si="3"/>
        <v>0</v>
      </c>
      <c r="M38" s="55">
        <f t="shared" si="3"/>
        <v>0</v>
      </c>
      <c r="N38" s="55">
        <f t="shared" si="3"/>
        <v>0</v>
      </c>
      <c r="O38" s="55">
        <f t="shared" si="3"/>
        <v>0</v>
      </c>
      <c r="Q38" s="166"/>
    </row>
    <row r="39" spans="1:17" ht="12" thickBot="1" x14ac:dyDescent="0.25">
      <c r="A39" s="54">
        <f>FEO!$H$5</f>
        <v>2029</v>
      </c>
      <c r="B39" s="55">
        <f>IF(AND($A39&gt;YEAR(B$30),$A39&lt;YEAR(B$31)),(DATE($A39,12,31)-DATE($A39,1,0))*B$33,IF(AND($A39=YEAR(B$30),$A39=YEAR(B$31)),(B$31-B$30+1)*B$33,IF($A39=YEAR(B$30),(DATE(YEAR(B$30),12,31)-B$30)*B$33,IF($A39=YEAR(B$31),(B$31-DATE(YEAR(B$31),1,0)+1)*B$33,0))))</f>
        <v>0</v>
      </c>
      <c r="C39" s="55">
        <f t="shared" si="3"/>
        <v>0</v>
      </c>
      <c r="D39" s="55">
        <f t="shared" si="3"/>
        <v>0</v>
      </c>
      <c r="E39" s="55">
        <f t="shared" si="3"/>
        <v>0</v>
      </c>
      <c r="F39" s="55">
        <f t="shared" si="3"/>
        <v>0</v>
      </c>
      <c r="G39" s="55">
        <f t="shared" si="3"/>
        <v>0</v>
      </c>
      <c r="H39" s="55">
        <f t="shared" si="3"/>
        <v>0</v>
      </c>
      <c r="I39" s="55">
        <f t="shared" si="3"/>
        <v>0</v>
      </c>
      <c r="J39" s="55">
        <f t="shared" si="3"/>
        <v>0</v>
      </c>
      <c r="K39" s="55">
        <f t="shared" si="3"/>
        <v>0</v>
      </c>
      <c r="L39" s="55">
        <f t="shared" si="3"/>
        <v>0</v>
      </c>
      <c r="M39" s="55">
        <f t="shared" si="3"/>
        <v>0</v>
      </c>
      <c r="N39" s="55">
        <f t="shared" si="3"/>
        <v>0</v>
      </c>
      <c r="O39" s="55">
        <f t="shared" si="3"/>
        <v>0</v>
      </c>
      <c r="Q39" s="166"/>
    </row>
    <row r="40" spans="1:17" ht="12" thickBot="1" x14ac:dyDescent="0.25">
      <c r="A40" s="54">
        <f>FEO!$I$5</f>
        <v>2030</v>
      </c>
      <c r="B40" s="55">
        <f t="shared" ref="B40:O53" si="4">IF(AND($A40&gt;YEAR(B$30),$A40&lt;YEAR(B$31)),(DATE($A40,12,31)-DATE($A40,1,0))*B$33,IF(AND($A40=YEAR(B$30),$A40=YEAR(B$31)),(B$31-B$30+1)*B$33,IF($A40=YEAR(B$30),(DATE(YEAR(B$30),12,31)-B$30)*B$33,IF($A40=YEAR(B$31),(B$31-DATE(YEAR(B$31),1,0)+1)*B$33,0))))</f>
        <v>0</v>
      </c>
      <c r="C40" s="55">
        <f t="shared" si="4"/>
        <v>0</v>
      </c>
      <c r="D40" s="55">
        <f t="shared" si="4"/>
        <v>0</v>
      </c>
      <c r="E40" s="55">
        <f t="shared" si="4"/>
        <v>0</v>
      </c>
      <c r="F40" s="55">
        <f t="shared" si="4"/>
        <v>0</v>
      </c>
      <c r="G40" s="55">
        <f t="shared" si="4"/>
        <v>0</v>
      </c>
      <c r="H40" s="55">
        <f t="shared" si="4"/>
        <v>0</v>
      </c>
      <c r="I40" s="55">
        <f t="shared" si="4"/>
        <v>0</v>
      </c>
      <c r="J40" s="55">
        <f t="shared" si="4"/>
        <v>0</v>
      </c>
      <c r="K40" s="55">
        <f t="shared" si="4"/>
        <v>0</v>
      </c>
      <c r="L40" s="55">
        <f t="shared" si="4"/>
        <v>0</v>
      </c>
      <c r="M40" s="55">
        <f t="shared" si="4"/>
        <v>0</v>
      </c>
      <c r="N40" s="55">
        <f t="shared" si="4"/>
        <v>0</v>
      </c>
      <c r="O40" s="55">
        <f t="shared" si="4"/>
        <v>0</v>
      </c>
      <c r="Q40" s="166"/>
    </row>
    <row r="41" spans="1:17" ht="12" thickBot="1" x14ac:dyDescent="0.25">
      <c r="A41" s="54">
        <f>FEO!$J$5</f>
        <v>2031</v>
      </c>
      <c r="B41" s="55">
        <f t="shared" si="4"/>
        <v>0</v>
      </c>
      <c r="C41" s="55">
        <f t="shared" si="4"/>
        <v>0</v>
      </c>
      <c r="D41" s="55">
        <f t="shared" si="4"/>
        <v>0</v>
      </c>
      <c r="E41" s="55">
        <f t="shared" si="4"/>
        <v>0</v>
      </c>
      <c r="F41" s="55">
        <f t="shared" si="4"/>
        <v>0</v>
      </c>
      <c r="G41" s="55">
        <f t="shared" si="4"/>
        <v>0</v>
      </c>
      <c r="H41" s="55">
        <f t="shared" si="4"/>
        <v>0</v>
      </c>
      <c r="I41" s="55">
        <f t="shared" si="4"/>
        <v>0</v>
      </c>
      <c r="J41" s="55">
        <f t="shared" si="4"/>
        <v>0</v>
      </c>
      <c r="K41" s="55">
        <f t="shared" si="4"/>
        <v>0</v>
      </c>
      <c r="L41" s="55">
        <f t="shared" si="4"/>
        <v>0</v>
      </c>
      <c r="M41" s="55">
        <f t="shared" si="4"/>
        <v>0</v>
      </c>
      <c r="N41" s="55">
        <f t="shared" si="4"/>
        <v>0</v>
      </c>
      <c r="O41" s="55">
        <f t="shared" si="4"/>
        <v>0</v>
      </c>
      <c r="Q41" s="166"/>
    </row>
    <row r="42" spans="1:17" ht="12" thickBot="1" x14ac:dyDescent="0.25">
      <c r="A42" s="54">
        <f>FEO!$K$5</f>
        <v>2032</v>
      </c>
      <c r="B42" s="55">
        <f t="shared" si="4"/>
        <v>0</v>
      </c>
      <c r="C42" s="55">
        <f t="shared" si="4"/>
        <v>0</v>
      </c>
      <c r="D42" s="55">
        <f t="shared" si="4"/>
        <v>0</v>
      </c>
      <c r="E42" s="55">
        <f t="shared" si="4"/>
        <v>0</v>
      </c>
      <c r="F42" s="55">
        <f t="shared" si="4"/>
        <v>0</v>
      </c>
      <c r="G42" s="55">
        <f t="shared" si="4"/>
        <v>0</v>
      </c>
      <c r="H42" s="55">
        <f t="shared" si="4"/>
        <v>0</v>
      </c>
      <c r="I42" s="55">
        <f t="shared" si="4"/>
        <v>0</v>
      </c>
      <c r="J42" s="55">
        <f t="shared" si="4"/>
        <v>0</v>
      </c>
      <c r="K42" s="55">
        <f t="shared" si="4"/>
        <v>0</v>
      </c>
      <c r="L42" s="55">
        <f t="shared" si="4"/>
        <v>0</v>
      </c>
      <c r="M42" s="55">
        <f t="shared" si="4"/>
        <v>0</v>
      </c>
      <c r="N42" s="55">
        <f t="shared" si="4"/>
        <v>0</v>
      </c>
      <c r="O42" s="55">
        <f t="shared" si="4"/>
        <v>0</v>
      </c>
      <c r="Q42" s="166"/>
    </row>
    <row r="43" spans="1:17" ht="12" thickBot="1" x14ac:dyDescent="0.25">
      <c r="A43" s="54">
        <f>FEO!$L$5</f>
        <v>2033</v>
      </c>
      <c r="B43" s="55">
        <f t="shared" si="4"/>
        <v>0</v>
      </c>
      <c r="C43" s="55">
        <f t="shared" si="4"/>
        <v>0</v>
      </c>
      <c r="D43" s="55">
        <f t="shared" si="4"/>
        <v>0</v>
      </c>
      <c r="E43" s="55">
        <f t="shared" si="4"/>
        <v>0</v>
      </c>
      <c r="F43" s="55">
        <f t="shared" si="4"/>
        <v>0</v>
      </c>
      <c r="G43" s="55">
        <f t="shared" si="4"/>
        <v>0</v>
      </c>
      <c r="H43" s="55">
        <f t="shared" si="4"/>
        <v>0</v>
      </c>
      <c r="I43" s="55">
        <f t="shared" si="4"/>
        <v>0</v>
      </c>
      <c r="J43" s="55">
        <f t="shared" si="4"/>
        <v>0</v>
      </c>
      <c r="K43" s="55">
        <f t="shared" si="4"/>
        <v>0</v>
      </c>
      <c r="L43" s="55">
        <f t="shared" si="4"/>
        <v>0</v>
      </c>
      <c r="M43" s="55">
        <f t="shared" si="4"/>
        <v>0</v>
      </c>
      <c r="N43" s="55">
        <f t="shared" si="4"/>
        <v>0</v>
      </c>
      <c r="O43" s="55">
        <f t="shared" si="4"/>
        <v>0</v>
      </c>
      <c r="Q43" s="166"/>
    </row>
    <row r="44" spans="1:17" ht="12" thickBot="1" x14ac:dyDescent="0.25">
      <c r="A44" s="54">
        <f>FEO!$M$5</f>
        <v>2034</v>
      </c>
      <c r="B44" s="55">
        <f t="shared" si="4"/>
        <v>0</v>
      </c>
      <c r="C44" s="55">
        <f t="shared" si="4"/>
        <v>0</v>
      </c>
      <c r="D44" s="55">
        <f t="shared" si="4"/>
        <v>0</v>
      </c>
      <c r="E44" s="55">
        <f t="shared" si="4"/>
        <v>0</v>
      </c>
      <c r="F44" s="55">
        <f t="shared" si="4"/>
        <v>0</v>
      </c>
      <c r="G44" s="55">
        <f t="shared" si="4"/>
        <v>0</v>
      </c>
      <c r="H44" s="55">
        <f t="shared" si="4"/>
        <v>0</v>
      </c>
      <c r="I44" s="55">
        <f t="shared" si="4"/>
        <v>0</v>
      </c>
      <c r="J44" s="55">
        <f t="shared" si="4"/>
        <v>0</v>
      </c>
      <c r="K44" s="55">
        <f t="shared" si="4"/>
        <v>0</v>
      </c>
      <c r="L44" s="55">
        <f t="shared" si="4"/>
        <v>0</v>
      </c>
      <c r="M44" s="55">
        <f t="shared" si="4"/>
        <v>0</v>
      </c>
      <c r="N44" s="55">
        <f t="shared" si="4"/>
        <v>0</v>
      </c>
      <c r="O44" s="55">
        <f t="shared" si="4"/>
        <v>0</v>
      </c>
      <c r="Q44" s="166"/>
    </row>
    <row r="45" spans="1:17" ht="12" thickBot="1" x14ac:dyDescent="0.25">
      <c r="A45" s="54">
        <f>FEO!$N$5</f>
        <v>2035</v>
      </c>
      <c r="B45" s="55">
        <f t="shared" si="4"/>
        <v>0</v>
      </c>
      <c r="C45" s="55">
        <f t="shared" si="4"/>
        <v>0</v>
      </c>
      <c r="D45" s="55">
        <f t="shared" si="4"/>
        <v>0</v>
      </c>
      <c r="E45" s="55">
        <f t="shared" si="4"/>
        <v>0</v>
      </c>
      <c r="F45" s="55">
        <f t="shared" si="4"/>
        <v>0</v>
      </c>
      <c r="G45" s="55">
        <f t="shared" si="4"/>
        <v>0</v>
      </c>
      <c r="H45" s="55">
        <f t="shared" si="4"/>
        <v>0</v>
      </c>
      <c r="I45" s="55">
        <f t="shared" si="4"/>
        <v>0</v>
      </c>
      <c r="J45" s="55">
        <f t="shared" si="4"/>
        <v>0</v>
      </c>
      <c r="K45" s="55">
        <f t="shared" si="4"/>
        <v>0</v>
      </c>
      <c r="L45" s="55">
        <f t="shared" si="4"/>
        <v>0</v>
      </c>
      <c r="M45" s="55">
        <f t="shared" si="4"/>
        <v>0</v>
      </c>
      <c r="N45" s="55">
        <f t="shared" si="4"/>
        <v>0</v>
      </c>
      <c r="O45" s="55">
        <f t="shared" si="4"/>
        <v>0</v>
      </c>
      <c r="Q45" s="166"/>
    </row>
    <row r="46" spans="1:17" ht="12" thickBot="1" x14ac:dyDescent="0.25">
      <c r="A46" s="54">
        <f>FEO!$O$5</f>
        <v>2036</v>
      </c>
      <c r="B46" s="55">
        <f t="shared" si="4"/>
        <v>0</v>
      </c>
      <c r="C46" s="55">
        <f t="shared" si="4"/>
        <v>0</v>
      </c>
      <c r="D46" s="55">
        <f t="shared" si="4"/>
        <v>0</v>
      </c>
      <c r="E46" s="55">
        <f t="shared" si="4"/>
        <v>0</v>
      </c>
      <c r="F46" s="55">
        <f t="shared" si="4"/>
        <v>0</v>
      </c>
      <c r="G46" s="55">
        <f t="shared" si="4"/>
        <v>0</v>
      </c>
      <c r="H46" s="55">
        <f t="shared" si="4"/>
        <v>0</v>
      </c>
      <c r="I46" s="55">
        <f t="shared" si="4"/>
        <v>0</v>
      </c>
      <c r="J46" s="55">
        <f t="shared" si="4"/>
        <v>0</v>
      </c>
      <c r="K46" s="55">
        <f t="shared" si="4"/>
        <v>0</v>
      </c>
      <c r="L46" s="55">
        <f t="shared" si="4"/>
        <v>0</v>
      </c>
      <c r="M46" s="55">
        <f t="shared" si="4"/>
        <v>0</v>
      </c>
      <c r="N46" s="55">
        <f t="shared" si="4"/>
        <v>0</v>
      </c>
      <c r="O46" s="55">
        <f t="shared" si="4"/>
        <v>0</v>
      </c>
      <c r="Q46" s="166"/>
    </row>
    <row r="47" spans="1:17" ht="12" thickBot="1" x14ac:dyDescent="0.25">
      <c r="A47" s="54">
        <f>FEO!$P$5</f>
        <v>2037</v>
      </c>
      <c r="B47" s="55">
        <f t="shared" si="4"/>
        <v>0</v>
      </c>
      <c r="C47" s="55">
        <f t="shared" si="4"/>
        <v>0</v>
      </c>
      <c r="D47" s="55">
        <f t="shared" si="4"/>
        <v>0</v>
      </c>
      <c r="E47" s="55">
        <f t="shared" si="4"/>
        <v>0</v>
      </c>
      <c r="F47" s="55">
        <f t="shared" si="4"/>
        <v>0</v>
      </c>
      <c r="G47" s="55">
        <f t="shared" si="4"/>
        <v>0</v>
      </c>
      <c r="H47" s="55">
        <f t="shared" si="4"/>
        <v>0</v>
      </c>
      <c r="I47" s="55">
        <f t="shared" si="4"/>
        <v>0</v>
      </c>
      <c r="J47" s="55">
        <f t="shared" si="4"/>
        <v>0</v>
      </c>
      <c r="K47" s="55">
        <f t="shared" si="4"/>
        <v>0</v>
      </c>
      <c r="L47" s="55">
        <f t="shared" si="4"/>
        <v>0</v>
      </c>
      <c r="M47" s="55">
        <f t="shared" si="4"/>
        <v>0</v>
      </c>
      <c r="N47" s="55">
        <f t="shared" si="4"/>
        <v>0</v>
      </c>
      <c r="O47" s="55">
        <f t="shared" si="4"/>
        <v>0</v>
      </c>
      <c r="Q47" s="166"/>
    </row>
    <row r="48" spans="1:17" ht="12" thickBot="1" x14ac:dyDescent="0.25">
      <c r="A48" s="54">
        <f>FEO!$Q$5</f>
        <v>2038</v>
      </c>
      <c r="B48" s="55">
        <f t="shared" si="4"/>
        <v>0</v>
      </c>
      <c r="C48" s="55">
        <f t="shared" si="4"/>
        <v>0</v>
      </c>
      <c r="D48" s="55">
        <f t="shared" si="4"/>
        <v>0</v>
      </c>
      <c r="E48" s="55">
        <f t="shared" si="4"/>
        <v>0</v>
      </c>
      <c r="F48" s="55">
        <f t="shared" si="4"/>
        <v>0</v>
      </c>
      <c r="G48" s="55">
        <f t="shared" si="4"/>
        <v>0</v>
      </c>
      <c r="H48" s="55">
        <f t="shared" si="4"/>
        <v>0</v>
      </c>
      <c r="I48" s="55">
        <f t="shared" si="4"/>
        <v>0</v>
      </c>
      <c r="J48" s="55">
        <f t="shared" si="4"/>
        <v>0</v>
      </c>
      <c r="K48" s="55">
        <f t="shared" si="4"/>
        <v>0</v>
      </c>
      <c r="L48" s="55">
        <f t="shared" si="4"/>
        <v>0</v>
      </c>
      <c r="M48" s="55">
        <f t="shared" si="4"/>
        <v>0</v>
      </c>
      <c r="N48" s="55">
        <f t="shared" si="4"/>
        <v>0</v>
      </c>
      <c r="O48" s="55">
        <f t="shared" si="4"/>
        <v>0</v>
      </c>
      <c r="Q48" s="166"/>
    </row>
    <row r="49" spans="1:17" ht="12" thickBot="1" x14ac:dyDescent="0.25">
      <c r="A49" s="54">
        <f>FEO!$R$5</f>
        <v>2039</v>
      </c>
      <c r="B49" s="55">
        <f t="shared" si="4"/>
        <v>0</v>
      </c>
      <c r="C49" s="55">
        <f t="shared" si="4"/>
        <v>0</v>
      </c>
      <c r="D49" s="55">
        <f t="shared" si="4"/>
        <v>0</v>
      </c>
      <c r="E49" s="55">
        <f t="shared" si="4"/>
        <v>0</v>
      </c>
      <c r="F49" s="55">
        <f t="shared" si="4"/>
        <v>0</v>
      </c>
      <c r="G49" s="55">
        <f t="shared" si="4"/>
        <v>0</v>
      </c>
      <c r="H49" s="55">
        <f t="shared" si="4"/>
        <v>0</v>
      </c>
      <c r="I49" s="55">
        <f t="shared" si="4"/>
        <v>0</v>
      </c>
      <c r="J49" s="55">
        <f t="shared" si="4"/>
        <v>0</v>
      </c>
      <c r="K49" s="55">
        <f t="shared" si="4"/>
        <v>0</v>
      </c>
      <c r="L49" s="55">
        <f t="shared" si="4"/>
        <v>0</v>
      </c>
      <c r="M49" s="55">
        <f t="shared" si="4"/>
        <v>0</v>
      </c>
      <c r="N49" s="55">
        <f t="shared" si="4"/>
        <v>0</v>
      </c>
      <c r="O49" s="55">
        <f t="shared" si="4"/>
        <v>0</v>
      </c>
      <c r="Q49" s="166"/>
    </row>
    <row r="50" spans="1:17" ht="12" thickBot="1" x14ac:dyDescent="0.25">
      <c r="A50" s="54">
        <f>FEO!$S$5</f>
        <v>2040</v>
      </c>
      <c r="B50" s="55">
        <f t="shared" si="4"/>
        <v>0</v>
      </c>
      <c r="C50" s="55">
        <f t="shared" si="4"/>
        <v>0</v>
      </c>
      <c r="D50" s="55">
        <f t="shared" si="4"/>
        <v>0</v>
      </c>
      <c r="E50" s="55">
        <f t="shared" si="4"/>
        <v>0</v>
      </c>
      <c r="F50" s="55">
        <f t="shared" si="4"/>
        <v>0</v>
      </c>
      <c r="G50" s="55">
        <f t="shared" si="4"/>
        <v>0</v>
      </c>
      <c r="H50" s="55">
        <f t="shared" si="4"/>
        <v>0</v>
      </c>
      <c r="I50" s="55">
        <f t="shared" si="4"/>
        <v>0</v>
      </c>
      <c r="J50" s="55">
        <f t="shared" si="4"/>
        <v>0</v>
      </c>
      <c r="K50" s="55">
        <f t="shared" si="4"/>
        <v>0</v>
      </c>
      <c r="L50" s="55">
        <f t="shared" si="4"/>
        <v>0</v>
      </c>
      <c r="M50" s="55">
        <f t="shared" si="4"/>
        <v>0</v>
      </c>
      <c r="N50" s="55">
        <f t="shared" si="4"/>
        <v>0</v>
      </c>
      <c r="O50" s="55">
        <f t="shared" si="4"/>
        <v>0</v>
      </c>
      <c r="Q50" s="166"/>
    </row>
    <row r="51" spans="1:17" ht="12" thickBot="1" x14ac:dyDescent="0.25">
      <c r="A51" s="54">
        <f>FEO!$T$5</f>
        <v>2041</v>
      </c>
      <c r="B51" s="55">
        <f t="shared" si="4"/>
        <v>0</v>
      </c>
      <c r="C51" s="55">
        <f t="shared" si="4"/>
        <v>0</v>
      </c>
      <c r="D51" s="55">
        <f t="shared" si="4"/>
        <v>0</v>
      </c>
      <c r="E51" s="55">
        <f t="shared" si="4"/>
        <v>0</v>
      </c>
      <c r="F51" s="55">
        <f t="shared" si="4"/>
        <v>0</v>
      </c>
      <c r="G51" s="55">
        <f t="shared" si="4"/>
        <v>0</v>
      </c>
      <c r="H51" s="55">
        <f t="shared" si="4"/>
        <v>0</v>
      </c>
      <c r="I51" s="55">
        <f t="shared" si="4"/>
        <v>0</v>
      </c>
      <c r="J51" s="55">
        <f t="shared" si="4"/>
        <v>0</v>
      </c>
      <c r="K51" s="55">
        <f t="shared" si="4"/>
        <v>0</v>
      </c>
      <c r="L51" s="55">
        <f t="shared" si="4"/>
        <v>0</v>
      </c>
      <c r="M51" s="55">
        <f t="shared" si="4"/>
        <v>0</v>
      </c>
      <c r="N51" s="55">
        <f t="shared" si="4"/>
        <v>0</v>
      </c>
      <c r="O51" s="55">
        <f t="shared" si="4"/>
        <v>0</v>
      </c>
      <c r="Q51" s="166"/>
    </row>
    <row r="52" spans="1:17" ht="12" thickBot="1" x14ac:dyDescent="0.25">
      <c r="A52" s="54">
        <f>FEO!$U$5</f>
        <v>2042</v>
      </c>
      <c r="B52" s="55">
        <f t="shared" si="4"/>
        <v>0</v>
      </c>
      <c r="C52" s="55">
        <f t="shared" si="4"/>
        <v>0</v>
      </c>
      <c r="D52" s="55">
        <f t="shared" si="4"/>
        <v>0</v>
      </c>
      <c r="E52" s="55">
        <f t="shared" si="4"/>
        <v>0</v>
      </c>
      <c r="F52" s="55">
        <f t="shared" si="4"/>
        <v>0</v>
      </c>
      <c r="G52" s="55">
        <f t="shared" si="4"/>
        <v>0</v>
      </c>
      <c r="H52" s="55">
        <f t="shared" si="4"/>
        <v>0</v>
      </c>
      <c r="I52" s="55">
        <f t="shared" si="4"/>
        <v>0</v>
      </c>
      <c r="J52" s="55">
        <f t="shared" si="4"/>
        <v>0</v>
      </c>
      <c r="K52" s="55">
        <f t="shared" si="4"/>
        <v>0</v>
      </c>
      <c r="L52" s="55">
        <f t="shared" si="4"/>
        <v>0</v>
      </c>
      <c r="M52" s="55">
        <f t="shared" si="4"/>
        <v>0</v>
      </c>
      <c r="N52" s="55">
        <f t="shared" si="4"/>
        <v>0</v>
      </c>
      <c r="O52" s="55">
        <f t="shared" si="4"/>
        <v>0</v>
      </c>
      <c r="Q52" s="166"/>
    </row>
    <row r="53" spans="1:17" ht="12" thickBot="1" x14ac:dyDescent="0.25">
      <c r="A53" s="54">
        <f>FEO!$V$5</f>
        <v>2043</v>
      </c>
      <c r="B53" s="55">
        <f t="shared" si="4"/>
        <v>0</v>
      </c>
      <c r="C53" s="55">
        <f t="shared" si="4"/>
        <v>0</v>
      </c>
      <c r="D53" s="55">
        <f t="shared" si="4"/>
        <v>0</v>
      </c>
      <c r="E53" s="55">
        <f t="shared" si="4"/>
        <v>0</v>
      </c>
      <c r="F53" s="55">
        <f t="shared" si="4"/>
        <v>0</v>
      </c>
      <c r="G53" s="55">
        <f t="shared" si="4"/>
        <v>0</v>
      </c>
      <c r="H53" s="55">
        <f t="shared" si="4"/>
        <v>0</v>
      </c>
      <c r="I53" s="55">
        <f t="shared" si="4"/>
        <v>0</v>
      </c>
      <c r="J53" s="55">
        <f t="shared" si="4"/>
        <v>0</v>
      </c>
      <c r="K53" s="55">
        <f t="shared" si="4"/>
        <v>0</v>
      </c>
      <c r="L53" s="55">
        <f t="shared" si="4"/>
        <v>0</v>
      </c>
      <c r="M53" s="55">
        <f t="shared" si="4"/>
        <v>0</v>
      </c>
      <c r="N53" s="55">
        <f t="shared" si="4"/>
        <v>0</v>
      </c>
      <c r="O53" s="55">
        <f t="shared" si="4"/>
        <v>0</v>
      </c>
      <c r="Q53" s="166"/>
    </row>
    <row r="54" spans="1:17" ht="10.8" thickBot="1" x14ac:dyDescent="0.25"/>
    <row r="55" spans="1:17" ht="12" thickBot="1" x14ac:dyDescent="0.25">
      <c r="A55" s="116" t="s">
        <v>143</v>
      </c>
      <c r="B55" s="77">
        <f t="shared" ref="B55:O55" si="5">SUM(B38:B53)</f>
        <v>0</v>
      </c>
      <c r="C55" s="77">
        <f t="shared" si="5"/>
        <v>0</v>
      </c>
      <c r="D55" s="77">
        <f t="shared" si="5"/>
        <v>0</v>
      </c>
      <c r="E55" s="77">
        <f t="shared" si="5"/>
        <v>0</v>
      </c>
      <c r="F55" s="77">
        <f t="shared" si="5"/>
        <v>0</v>
      </c>
      <c r="G55" s="77">
        <f t="shared" si="5"/>
        <v>0</v>
      </c>
      <c r="H55" s="77">
        <f t="shared" si="5"/>
        <v>0</v>
      </c>
      <c r="I55" s="77">
        <f t="shared" si="5"/>
        <v>0</v>
      </c>
      <c r="J55" s="77">
        <f t="shared" si="5"/>
        <v>0</v>
      </c>
      <c r="K55" s="77">
        <f t="shared" si="5"/>
        <v>0</v>
      </c>
      <c r="L55" s="77">
        <f t="shared" si="5"/>
        <v>0</v>
      </c>
      <c r="M55" s="77">
        <f t="shared" si="5"/>
        <v>0</v>
      </c>
      <c r="N55" s="77">
        <f t="shared" si="5"/>
        <v>0</v>
      </c>
      <c r="O55" s="77">
        <f t="shared" si="5"/>
        <v>0</v>
      </c>
    </row>
    <row r="57" spans="1:17" ht="11.4" x14ac:dyDescent="0.2">
      <c r="A57" s="298" t="s">
        <v>480</v>
      </c>
    </row>
    <row r="58" spans="1:17" x14ac:dyDescent="0.2">
      <c r="F58" s="115"/>
    </row>
    <row r="59" spans="1:17" ht="12" thickBot="1" x14ac:dyDescent="0.25">
      <c r="A59" s="52" t="s">
        <v>142</v>
      </c>
      <c r="K59" s="87"/>
    </row>
    <row r="60" spans="1:17" ht="12" thickBot="1" x14ac:dyDescent="0.25">
      <c r="A60" s="54">
        <f>FEO!$G$5</f>
        <v>2028</v>
      </c>
      <c r="B60" s="55">
        <f>IF(YEAR(B$30)=$A60,B$29,0)-B38</f>
        <v>0</v>
      </c>
      <c r="C60" s="55">
        <f t="shared" ref="C60:O60" si="6">IF(YEAR(C$30)=$A60,C$29,0)-C38</f>
        <v>0</v>
      </c>
      <c r="D60" s="55">
        <f t="shared" si="6"/>
        <v>0</v>
      </c>
      <c r="E60" s="55">
        <f t="shared" si="6"/>
        <v>0</v>
      </c>
      <c r="F60" s="55">
        <f t="shared" si="6"/>
        <v>0</v>
      </c>
      <c r="G60" s="55">
        <f t="shared" si="6"/>
        <v>0</v>
      </c>
      <c r="H60" s="55">
        <f t="shared" si="6"/>
        <v>0</v>
      </c>
      <c r="I60" s="55">
        <f t="shared" si="6"/>
        <v>0</v>
      </c>
      <c r="J60" s="55">
        <f t="shared" si="6"/>
        <v>0</v>
      </c>
      <c r="K60" s="55">
        <f t="shared" si="6"/>
        <v>0</v>
      </c>
      <c r="L60" s="55">
        <f t="shared" si="6"/>
        <v>0</v>
      </c>
      <c r="M60" s="55">
        <f t="shared" si="6"/>
        <v>0</v>
      </c>
      <c r="N60" s="55">
        <f t="shared" si="6"/>
        <v>0</v>
      </c>
      <c r="O60" s="55">
        <f t="shared" si="6"/>
        <v>0</v>
      </c>
    </row>
    <row r="61" spans="1:17" ht="12" thickBot="1" x14ac:dyDescent="0.25">
      <c r="A61" s="54">
        <f>FEO!$H$5</f>
        <v>2029</v>
      </c>
      <c r="B61" s="55">
        <f>IF(YEAR(B$30)=$A61,B$29,0)+B60-B39</f>
        <v>0</v>
      </c>
      <c r="C61" s="55">
        <f t="shared" ref="C61:O75" si="7">IF(YEAR(C$30)=$A61,C$29,0)+C60-C39</f>
        <v>0</v>
      </c>
      <c r="D61" s="55">
        <f t="shared" si="7"/>
        <v>0</v>
      </c>
      <c r="E61" s="55">
        <f t="shared" si="7"/>
        <v>0</v>
      </c>
      <c r="F61" s="55">
        <f t="shared" si="7"/>
        <v>0</v>
      </c>
      <c r="G61" s="55">
        <f t="shared" si="7"/>
        <v>0</v>
      </c>
      <c r="H61" s="55">
        <f t="shared" si="7"/>
        <v>0</v>
      </c>
      <c r="I61" s="55">
        <f t="shared" si="7"/>
        <v>0</v>
      </c>
      <c r="J61" s="55">
        <f t="shared" si="7"/>
        <v>0</v>
      </c>
      <c r="K61" s="55">
        <f t="shared" si="7"/>
        <v>0</v>
      </c>
      <c r="L61" s="55">
        <f t="shared" si="7"/>
        <v>0</v>
      </c>
      <c r="M61" s="55">
        <f t="shared" si="7"/>
        <v>0</v>
      </c>
      <c r="N61" s="55">
        <f t="shared" si="7"/>
        <v>0</v>
      </c>
      <c r="O61" s="55">
        <f t="shared" si="7"/>
        <v>0</v>
      </c>
    </row>
    <row r="62" spans="1:17" ht="12" thickBot="1" x14ac:dyDescent="0.25">
      <c r="A62" s="54">
        <f>FEO!$I$5</f>
        <v>2030</v>
      </c>
      <c r="B62" s="55">
        <f t="shared" ref="B62:B75" si="8">IF(YEAR(B$30)=$A62,B$29,0)+B61-B40</f>
        <v>0</v>
      </c>
      <c r="C62" s="55">
        <f t="shared" si="7"/>
        <v>0</v>
      </c>
      <c r="D62" s="55">
        <f t="shared" si="7"/>
        <v>0</v>
      </c>
      <c r="E62" s="55">
        <f t="shared" si="7"/>
        <v>0</v>
      </c>
      <c r="F62" s="55">
        <f t="shared" si="7"/>
        <v>0</v>
      </c>
      <c r="G62" s="55">
        <f t="shared" si="7"/>
        <v>0</v>
      </c>
      <c r="H62" s="55">
        <f t="shared" si="7"/>
        <v>0</v>
      </c>
      <c r="I62" s="55">
        <f t="shared" si="7"/>
        <v>0</v>
      </c>
      <c r="J62" s="55">
        <f t="shared" si="7"/>
        <v>0</v>
      </c>
      <c r="K62" s="55">
        <f t="shared" si="7"/>
        <v>0</v>
      </c>
      <c r="L62" s="55">
        <f t="shared" si="7"/>
        <v>0</v>
      </c>
      <c r="M62" s="55">
        <f t="shared" si="7"/>
        <v>0</v>
      </c>
      <c r="N62" s="55">
        <f t="shared" si="7"/>
        <v>0</v>
      </c>
      <c r="O62" s="55">
        <f t="shared" si="7"/>
        <v>0</v>
      </c>
    </row>
    <row r="63" spans="1:17" ht="12" thickBot="1" x14ac:dyDescent="0.25">
      <c r="A63" s="54">
        <f>FEO!$J$5</f>
        <v>2031</v>
      </c>
      <c r="B63" s="55">
        <f t="shared" si="8"/>
        <v>0</v>
      </c>
      <c r="C63" s="55">
        <f t="shared" si="7"/>
        <v>0</v>
      </c>
      <c r="D63" s="55">
        <f t="shared" si="7"/>
        <v>0</v>
      </c>
      <c r="E63" s="55">
        <f t="shared" si="7"/>
        <v>0</v>
      </c>
      <c r="F63" s="55">
        <f t="shared" si="7"/>
        <v>0</v>
      </c>
      <c r="G63" s="55">
        <f t="shared" si="7"/>
        <v>0</v>
      </c>
      <c r="H63" s="55">
        <f t="shared" si="7"/>
        <v>0</v>
      </c>
      <c r="I63" s="55">
        <f t="shared" si="7"/>
        <v>0</v>
      </c>
      <c r="J63" s="55">
        <f t="shared" si="7"/>
        <v>0</v>
      </c>
      <c r="K63" s="55">
        <f t="shared" si="7"/>
        <v>0</v>
      </c>
      <c r="L63" s="55">
        <f t="shared" si="7"/>
        <v>0</v>
      </c>
      <c r="M63" s="55">
        <f t="shared" si="7"/>
        <v>0</v>
      </c>
      <c r="N63" s="55">
        <f t="shared" si="7"/>
        <v>0</v>
      </c>
      <c r="O63" s="55">
        <f t="shared" si="7"/>
        <v>0</v>
      </c>
    </row>
    <row r="64" spans="1:17" ht="12" thickBot="1" x14ac:dyDescent="0.25">
      <c r="A64" s="54">
        <f>FEO!$K$5</f>
        <v>2032</v>
      </c>
      <c r="B64" s="55">
        <f t="shared" si="8"/>
        <v>0</v>
      </c>
      <c r="C64" s="55">
        <f t="shared" si="7"/>
        <v>0</v>
      </c>
      <c r="D64" s="55">
        <f t="shared" si="7"/>
        <v>0</v>
      </c>
      <c r="E64" s="55">
        <f t="shared" si="7"/>
        <v>0</v>
      </c>
      <c r="F64" s="55">
        <f t="shared" si="7"/>
        <v>0</v>
      </c>
      <c r="G64" s="55">
        <f t="shared" si="7"/>
        <v>0</v>
      </c>
      <c r="H64" s="55">
        <f t="shared" si="7"/>
        <v>0</v>
      </c>
      <c r="I64" s="55">
        <f t="shared" si="7"/>
        <v>0</v>
      </c>
      <c r="J64" s="55">
        <f t="shared" si="7"/>
        <v>0</v>
      </c>
      <c r="K64" s="55">
        <f t="shared" si="7"/>
        <v>0</v>
      </c>
      <c r="L64" s="55">
        <f t="shared" si="7"/>
        <v>0</v>
      </c>
      <c r="M64" s="55">
        <f t="shared" si="7"/>
        <v>0</v>
      </c>
      <c r="N64" s="55">
        <f t="shared" si="7"/>
        <v>0</v>
      </c>
      <c r="O64" s="55">
        <f t="shared" si="7"/>
        <v>0</v>
      </c>
    </row>
    <row r="65" spans="1:15" ht="12" thickBot="1" x14ac:dyDescent="0.25">
      <c r="A65" s="54">
        <f>FEO!$L$5</f>
        <v>2033</v>
      </c>
      <c r="B65" s="55">
        <f t="shared" si="8"/>
        <v>0</v>
      </c>
      <c r="C65" s="55">
        <f t="shared" si="7"/>
        <v>0</v>
      </c>
      <c r="D65" s="55">
        <f t="shared" si="7"/>
        <v>0</v>
      </c>
      <c r="E65" s="55">
        <f t="shared" si="7"/>
        <v>0</v>
      </c>
      <c r="F65" s="55">
        <f t="shared" si="7"/>
        <v>0</v>
      </c>
      <c r="G65" s="55">
        <f t="shared" si="7"/>
        <v>0</v>
      </c>
      <c r="H65" s="55">
        <f t="shared" si="7"/>
        <v>0</v>
      </c>
      <c r="I65" s="55">
        <f t="shared" si="7"/>
        <v>0</v>
      </c>
      <c r="J65" s="55">
        <f t="shared" si="7"/>
        <v>0</v>
      </c>
      <c r="K65" s="55">
        <f t="shared" si="7"/>
        <v>0</v>
      </c>
      <c r="L65" s="55">
        <f t="shared" si="7"/>
        <v>0</v>
      </c>
      <c r="M65" s="55">
        <f t="shared" si="7"/>
        <v>0</v>
      </c>
      <c r="N65" s="55">
        <f t="shared" si="7"/>
        <v>0</v>
      </c>
      <c r="O65" s="55">
        <f t="shared" si="7"/>
        <v>0</v>
      </c>
    </row>
    <row r="66" spans="1:15" ht="12" thickBot="1" x14ac:dyDescent="0.25">
      <c r="A66" s="54">
        <f>FEO!$M$5</f>
        <v>2034</v>
      </c>
      <c r="B66" s="55">
        <f t="shared" si="8"/>
        <v>0</v>
      </c>
      <c r="C66" s="55">
        <f t="shared" si="7"/>
        <v>0</v>
      </c>
      <c r="D66" s="55">
        <f t="shared" si="7"/>
        <v>0</v>
      </c>
      <c r="E66" s="55">
        <f t="shared" si="7"/>
        <v>0</v>
      </c>
      <c r="F66" s="55">
        <f t="shared" si="7"/>
        <v>0</v>
      </c>
      <c r="G66" s="55">
        <f t="shared" si="7"/>
        <v>0</v>
      </c>
      <c r="H66" s="55">
        <f t="shared" si="7"/>
        <v>0</v>
      </c>
      <c r="I66" s="55">
        <f t="shared" si="7"/>
        <v>0</v>
      </c>
      <c r="J66" s="55">
        <f t="shared" si="7"/>
        <v>0</v>
      </c>
      <c r="K66" s="55">
        <f t="shared" si="7"/>
        <v>0</v>
      </c>
      <c r="L66" s="55">
        <f t="shared" si="7"/>
        <v>0</v>
      </c>
      <c r="M66" s="55">
        <f t="shared" si="7"/>
        <v>0</v>
      </c>
      <c r="N66" s="55">
        <f t="shared" si="7"/>
        <v>0</v>
      </c>
      <c r="O66" s="55">
        <f t="shared" si="7"/>
        <v>0</v>
      </c>
    </row>
    <row r="67" spans="1:15" ht="12" thickBot="1" x14ac:dyDescent="0.25">
      <c r="A67" s="54">
        <f>FEO!$N$5</f>
        <v>2035</v>
      </c>
      <c r="B67" s="55">
        <f t="shared" si="8"/>
        <v>0</v>
      </c>
      <c r="C67" s="55">
        <f t="shared" si="7"/>
        <v>0</v>
      </c>
      <c r="D67" s="55">
        <f t="shared" si="7"/>
        <v>0</v>
      </c>
      <c r="E67" s="55">
        <f t="shared" si="7"/>
        <v>0</v>
      </c>
      <c r="F67" s="55">
        <f t="shared" si="7"/>
        <v>0</v>
      </c>
      <c r="G67" s="55">
        <f t="shared" si="7"/>
        <v>0</v>
      </c>
      <c r="H67" s="55">
        <f t="shared" si="7"/>
        <v>0</v>
      </c>
      <c r="I67" s="55">
        <f t="shared" si="7"/>
        <v>0</v>
      </c>
      <c r="J67" s="55">
        <f t="shared" si="7"/>
        <v>0</v>
      </c>
      <c r="K67" s="55">
        <f t="shared" si="7"/>
        <v>0</v>
      </c>
      <c r="L67" s="55">
        <f t="shared" si="7"/>
        <v>0</v>
      </c>
      <c r="M67" s="55">
        <f t="shared" si="7"/>
        <v>0</v>
      </c>
      <c r="N67" s="55">
        <f t="shared" si="7"/>
        <v>0</v>
      </c>
      <c r="O67" s="55">
        <f t="shared" si="7"/>
        <v>0</v>
      </c>
    </row>
    <row r="68" spans="1:15" ht="12" thickBot="1" x14ac:dyDescent="0.25">
      <c r="A68" s="54">
        <f>FEO!$O$5</f>
        <v>2036</v>
      </c>
      <c r="B68" s="55">
        <f t="shared" si="8"/>
        <v>0</v>
      </c>
      <c r="C68" s="55">
        <f t="shared" si="7"/>
        <v>0</v>
      </c>
      <c r="D68" s="55">
        <f t="shared" si="7"/>
        <v>0</v>
      </c>
      <c r="E68" s="55">
        <f t="shared" si="7"/>
        <v>0</v>
      </c>
      <c r="F68" s="55">
        <f t="shared" si="7"/>
        <v>0</v>
      </c>
      <c r="G68" s="55">
        <f t="shared" si="7"/>
        <v>0</v>
      </c>
      <c r="H68" s="55">
        <f t="shared" si="7"/>
        <v>0</v>
      </c>
      <c r="I68" s="55">
        <f t="shared" si="7"/>
        <v>0</v>
      </c>
      <c r="J68" s="55">
        <f t="shared" si="7"/>
        <v>0</v>
      </c>
      <c r="K68" s="55">
        <f t="shared" si="7"/>
        <v>0</v>
      </c>
      <c r="L68" s="55">
        <f t="shared" si="7"/>
        <v>0</v>
      </c>
      <c r="M68" s="55">
        <f t="shared" si="7"/>
        <v>0</v>
      </c>
      <c r="N68" s="55">
        <f t="shared" si="7"/>
        <v>0</v>
      </c>
      <c r="O68" s="55">
        <f t="shared" si="7"/>
        <v>0</v>
      </c>
    </row>
    <row r="69" spans="1:15" ht="12" thickBot="1" x14ac:dyDescent="0.25">
      <c r="A69" s="54">
        <f>FEO!$P$5</f>
        <v>2037</v>
      </c>
      <c r="B69" s="55">
        <f t="shared" si="8"/>
        <v>0</v>
      </c>
      <c r="C69" s="55">
        <f t="shared" si="7"/>
        <v>0</v>
      </c>
      <c r="D69" s="55">
        <f t="shared" si="7"/>
        <v>0</v>
      </c>
      <c r="E69" s="55">
        <f t="shared" si="7"/>
        <v>0</v>
      </c>
      <c r="F69" s="55">
        <f t="shared" si="7"/>
        <v>0</v>
      </c>
      <c r="G69" s="55">
        <f t="shared" si="7"/>
        <v>0</v>
      </c>
      <c r="H69" s="55">
        <f t="shared" si="7"/>
        <v>0</v>
      </c>
      <c r="I69" s="55">
        <f t="shared" si="7"/>
        <v>0</v>
      </c>
      <c r="J69" s="55">
        <f t="shared" si="7"/>
        <v>0</v>
      </c>
      <c r="K69" s="55">
        <f t="shared" si="7"/>
        <v>0</v>
      </c>
      <c r="L69" s="55">
        <f t="shared" si="7"/>
        <v>0</v>
      </c>
      <c r="M69" s="55">
        <f t="shared" si="7"/>
        <v>0</v>
      </c>
      <c r="N69" s="55">
        <f t="shared" si="7"/>
        <v>0</v>
      </c>
      <c r="O69" s="55">
        <f t="shared" si="7"/>
        <v>0</v>
      </c>
    </row>
    <row r="70" spans="1:15" ht="12" thickBot="1" x14ac:dyDescent="0.25">
      <c r="A70" s="54">
        <f>FEO!$Q$5</f>
        <v>2038</v>
      </c>
      <c r="B70" s="55">
        <f t="shared" si="8"/>
        <v>0</v>
      </c>
      <c r="C70" s="55">
        <f t="shared" si="7"/>
        <v>0</v>
      </c>
      <c r="D70" s="55">
        <f t="shared" si="7"/>
        <v>0</v>
      </c>
      <c r="E70" s="55">
        <f t="shared" si="7"/>
        <v>0</v>
      </c>
      <c r="F70" s="55">
        <f t="shared" si="7"/>
        <v>0</v>
      </c>
      <c r="G70" s="55">
        <f t="shared" si="7"/>
        <v>0</v>
      </c>
      <c r="H70" s="55">
        <f t="shared" si="7"/>
        <v>0</v>
      </c>
      <c r="I70" s="55">
        <f t="shared" si="7"/>
        <v>0</v>
      </c>
      <c r="J70" s="55">
        <f t="shared" si="7"/>
        <v>0</v>
      </c>
      <c r="K70" s="55">
        <f t="shared" si="7"/>
        <v>0</v>
      </c>
      <c r="L70" s="55">
        <f t="shared" si="7"/>
        <v>0</v>
      </c>
      <c r="M70" s="55">
        <f t="shared" si="7"/>
        <v>0</v>
      </c>
      <c r="N70" s="55">
        <f t="shared" si="7"/>
        <v>0</v>
      </c>
      <c r="O70" s="55">
        <f t="shared" si="7"/>
        <v>0</v>
      </c>
    </row>
    <row r="71" spans="1:15" ht="12" thickBot="1" x14ac:dyDescent="0.25">
      <c r="A71" s="54">
        <f>FEO!$R$5</f>
        <v>2039</v>
      </c>
      <c r="B71" s="55">
        <f t="shared" si="8"/>
        <v>0</v>
      </c>
      <c r="C71" s="55">
        <f t="shared" si="7"/>
        <v>0</v>
      </c>
      <c r="D71" s="55">
        <f t="shared" si="7"/>
        <v>0</v>
      </c>
      <c r="E71" s="55">
        <f t="shared" si="7"/>
        <v>0</v>
      </c>
      <c r="F71" s="55">
        <f t="shared" si="7"/>
        <v>0</v>
      </c>
      <c r="G71" s="55">
        <f t="shared" si="7"/>
        <v>0</v>
      </c>
      <c r="H71" s="55">
        <f t="shared" si="7"/>
        <v>0</v>
      </c>
      <c r="I71" s="55">
        <f t="shared" si="7"/>
        <v>0</v>
      </c>
      <c r="J71" s="55">
        <f t="shared" si="7"/>
        <v>0</v>
      </c>
      <c r="K71" s="55">
        <f t="shared" si="7"/>
        <v>0</v>
      </c>
      <c r="L71" s="55">
        <f t="shared" si="7"/>
        <v>0</v>
      </c>
      <c r="M71" s="55">
        <f t="shared" si="7"/>
        <v>0</v>
      </c>
      <c r="N71" s="55">
        <f t="shared" si="7"/>
        <v>0</v>
      </c>
      <c r="O71" s="55">
        <f t="shared" si="7"/>
        <v>0</v>
      </c>
    </row>
    <row r="72" spans="1:15" ht="12" thickBot="1" x14ac:dyDescent="0.25">
      <c r="A72" s="54">
        <f>FEO!$S$5</f>
        <v>2040</v>
      </c>
      <c r="B72" s="55">
        <f t="shared" si="8"/>
        <v>0</v>
      </c>
      <c r="C72" s="55">
        <f t="shared" si="7"/>
        <v>0</v>
      </c>
      <c r="D72" s="55">
        <f t="shared" si="7"/>
        <v>0</v>
      </c>
      <c r="E72" s="55">
        <f t="shared" si="7"/>
        <v>0</v>
      </c>
      <c r="F72" s="55">
        <f t="shared" si="7"/>
        <v>0</v>
      </c>
      <c r="G72" s="55">
        <f t="shared" si="7"/>
        <v>0</v>
      </c>
      <c r="H72" s="55">
        <f t="shared" si="7"/>
        <v>0</v>
      </c>
      <c r="I72" s="55">
        <f t="shared" si="7"/>
        <v>0</v>
      </c>
      <c r="J72" s="55">
        <f t="shared" si="7"/>
        <v>0</v>
      </c>
      <c r="K72" s="55">
        <f t="shared" si="7"/>
        <v>0</v>
      </c>
      <c r="L72" s="55">
        <f t="shared" si="7"/>
        <v>0</v>
      </c>
      <c r="M72" s="55">
        <f t="shared" si="7"/>
        <v>0</v>
      </c>
      <c r="N72" s="55">
        <f t="shared" si="7"/>
        <v>0</v>
      </c>
      <c r="O72" s="55">
        <f t="shared" si="7"/>
        <v>0</v>
      </c>
    </row>
    <row r="73" spans="1:15" ht="12" thickBot="1" x14ac:dyDescent="0.25">
      <c r="A73" s="54">
        <f>FEO!$T$5</f>
        <v>2041</v>
      </c>
      <c r="B73" s="55">
        <f t="shared" si="8"/>
        <v>0</v>
      </c>
      <c r="C73" s="55">
        <f t="shared" si="7"/>
        <v>0</v>
      </c>
      <c r="D73" s="55">
        <f t="shared" si="7"/>
        <v>0</v>
      </c>
      <c r="E73" s="55">
        <f t="shared" si="7"/>
        <v>0</v>
      </c>
      <c r="F73" s="55">
        <f t="shared" si="7"/>
        <v>0</v>
      </c>
      <c r="G73" s="55">
        <f t="shared" si="7"/>
        <v>0</v>
      </c>
      <c r="H73" s="55">
        <f t="shared" si="7"/>
        <v>0</v>
      </c>
      <c r="I73" s="55">
        <f t="shared" si="7"/>
        <v>0</v>
      </c>
      <c r="J73" s="55">
        <f t="shared" si="7"/>
        <v>0</v>
      </c>
      <c r="K73" s="55">
        <f t="shared" si="7"/>
        <v>0</v>
      </c>
      <c r="L73" s="55">
        <f t="shared" si="7"/>
        <v>0</v>
      </c>
      <c r="M73" s="55">
        <f t="shared" si="7"/>
        <v>0</v>
      </c>
      <c r="N73" s="55">
        <f t="shared" si="7"/>
        <v>0</v>
      </c>
      <c r="O73" s="55">
        <f t="shared" si="7"/>
        <v>0</v>
      </c>
    </row>
    <row r="74" spans="1:15" ht="12" thickBot="1" x14ac:dyDescent="0.25">
      <c r="A74" s="54">
        <f>FEO!$U$5</f>
        <v>2042</v>
      </c>
      <c r="B74" s="55">
        <f t="shared" si="8"/>
        <v>0</v>
      </c>
      <c r="C74" s="55">
        <f t="shared" si="7"/>
        <v>0</v>
      </c>
      <c r="D74" s="55">
        <f t="shared" si="7"/>
        <v>0</v>
      </c>
      <c r="E74" s="55">
        <f t="shared" si="7"/>
        <v>0</v>
      </c>
      <c r="F74" s="55">
        <f t="shared" si="7"/>
        <v>0</v>
      </c>
      <c r="G74" s="55">
        <f t="shared" si="7"/>
        <v>0</v>
      </c>
      <c r="H74" s="55">
        <f t="shared" si="7"/>
        <v>0</v>
      </c>
      <c r="I74" s="55">
        <f t="shared" si="7"/>
        <v>0</v>
      </c>
      <c r="J74" s="55">
        <f t="shared" si="7"/>
        <v>0</v>
      </c>
      <c r="K74" s="55">
        <f t="shared" si="7"/>
        <v>0</v>
      </c>
      <c r="L74" s="55">
        <f t="shared" si="7"/>
        <v>0</v>
      </c>
      <c r="M74" s="55">
        <f t="shared" si="7"/>
        <v>0</v>
      </c>
      <c r="N74" s="55">
        <f t="shared" si="7"/>
        <v>0</v>
      </c>
      <c r="O74" s="55">
        <f t="shared" si="7"/>
        <v>0</v>
      </c>
    </row>
    <row r="75" spans="1:15" ht="12" thickBot="1" x14ac:dyDescent="0.25">
      <c r="A75" s="54">
        <f>FEO!$V$5</f>
        <v>2043</v>
      </c>
      <c r="B75" s="55">
        <f t="shared" si="8"/>
        <v>0</v>
      </c>
      <c r="C75" s="55">
        <f t="shared" si="7"/>
        <v>0</v>
      </c>
      <c r="D75" s="55">
        <f t="shared" si="7"/>
        <v>0</v>
      </c>
      <c r="E75" s="55">
        <f t="shared" si="7"/>
        <v>0</v>
      </c>
      <c r="F75" s="55">
        <f t="shared" si="7"/>
        <v>0</v>
      </c>
      <c r="G75" s="55">
        <f t="shared" si="7"/>
        <v>0</v>
      </c>
      <c r="H75" s="55">
        <f t="shared" si="7"/>
        <v>0</v>
      </c>
      <c r="I75" s="55">
        <f t="shared" si="7"/>
        <v>0</v>
      </c>
      <c r="J75" s="55">
        <f t="shared" si="7"/>
        <v>0</v>
      </c>
      <c r="K75" s="55">
        <f t="shared" si="7"/>
        <v>0</v>
      </c>
      <c r="L75" s="55">
        <f t="shared" si="7"/>
        <v>0</v>
      </c>
      <c r="M75" s="55">
        <f t="shared" si="7"/>
        <v>0</v>
      </c>
      <c r="N75" s="55">
        <f t="shared" si="7"/>
        <v>0</v>
      </c>
      <c r="O75" s="55">
        <f t="shared" si="7"/>
        <v>0</v>
      </c>
    </row>
    <row r="76" spans="1:15" ht="11.4" x14ac:dyDescent="0.2">
      <c r="F76" s="114"/>
      <c r="G76" s="111"/>
      <c r="H76" s="111"/>
      <c r="I76" s="111"/>
    </row>
    <row r="77" spans="1:15" ht="11.4" x14ac:dyDescent="0.2">
      <c r="F77" s="114"/>
      <c r="G77" s="111"/>
      <c r="H77" s="111"/>
      <c r="I77" s="111"/>
    </row>
    <row r="78" spans="1:15" ht="11.4" x14ac:dyDescent="0.2">
      <c r="F78" s="114"/>
      <c r="G78" s="111"/>
      <c r="H78" s="111"/>
      <c r="I78" s="111"/>
      <c r="K78" s="110"/>
    </row>
    <row r="79" spans="1:15" ht="11.4" x14ac:dyDescent="0.2">
      <c r="F79" s="114"/>
      <c r="G79" s="115"/>
      <c r="H79" s="111"/>
      <c r="I79" s="111"/>
      <c r="K79" s="110"/>
    </row>
    <row r="80" spans="1:15" x14ac:dyDescent="0.2">
      <c r="K80" s="110"/>
    </row>
    <row r="81" spans="11:11" x14ac:dyDescent="0.2">
      <c r="K81" s="110"/>
    </row>
    <row r="82" spans="11:11" x14ac:dyDescent="0.2">
      <c r="K82" s="110"/>
    </row>
    <row r="83" spans="11:11" x14ac:dyDescent="0.2">
      <c r="K83" s="110"/>
    </row>
    <row r="84" spans="11:11" x14ac:dyDescent="0.2">
      <c r="K84" s="110"/>
    </row>
    <row r="85" spans="11:11" x14ac:dyDescent="0.2">
      <c r="K85" s="110"/>
    </row>
    <row r="86" spans="11:11" x14ac:dyDescent="0.2">
      <c r="K86" s="110"/>
    </row>
    <row r="87" spans="11:11" x14ac:dyDescent="0.2">
      <c r="K87" s="110"/>
    </row>
    <row r="88" spans="11:11" x14ac:dyDescent="0.2">
      <c r="K88" s="110"/>
    </row>
    <row r="89" spans="11:11" x14ac:dyDescent="0.2">
      <c r="K89" s="110"/>
    </row>
    <row r="90" spans="11:11" x14ac:dyDescent="0.2">
      <c r="K90" s="110"/>
    </row>
    <row r="91" spans="11:11" x14ac:dyDescent="0.2">
      <c r="K91" s="110"/>
    </row>
    <row r="92" spans="11:11" x14ac:dyDescent="0.2">
      <c r="K92" s="110"/>
    </row>
    <row r="93" spans="11:11" x14ac:dyDescent="0.2">
      <c r="K93" s="110"/>
    </row>
    <row r="94" spans="11:11" x14ac:dyDescent="0.2">
      <c r="K94" s="110"/>
    </row>
    <row r="95" spans="11:11" x14ac:dyDescent="0.2">
      <c r="K95" s="110"/>
    </row>
    <row r="96" spans="11:11" x14ac:dyDescent="0.2">
      <c r="K96" s="110"/>
    </row>
    <row r="97" spans="11:11" x14ac:dyDescent="0.2">
      <c r="K97" s="110"/>
    </row>
    <row r="98" spans="11:11" x14ac:dyDescent="0.2">
      <c r="K98" s="110"/>
    </row>
    <row r="99" spans="11:11" x14ac:dyDescent="0.2">
      <c r="K99" s="110"/>
    </row>
    <row r="100" spans="11:11" x14ac:dyDescent="0.2">
      <c r="K100" s="110"/>
    </row>
    <row r="101" spans="11:11" x14ac:dyDescent="0.2">
      <c r="K101" s="110"/>
    </row>
    <row r="102" spans="11:11" x14ac:dyDescent="0.2">
      <c r="K102" s="110"/>
    </row>
    <row r="103" spans="11:11" x14ac:dyDescent="0.2">
      <c r="K103" s="110"/>
    </row>
    <row r="104" spans="11:11" x14ac:dyDescent="0.2">
      <c r="K104" s="110"/>
    </row>
    <row r="105" spans="11:11" x14ac:dyDescent="0.2">
      <c r="K105" s="110"/>
    </row>
    <row r="106" spans="11:11" x14ac:dyDescent="0.2">
      <c r="K106" s="110"/>
    </row>
    <row r="107" spans="11:11" x14ac:dyDescent="0.2">
      <c r="K107" s="110"/>
    </row>
    <row r="108" spans="11:11" x14ac:dyDescent="0.2">
      <c r="K108" s="110"/>
    </row>
    <row r="109" spans="11:11" x14ac:dyDescent="0.2">
      <c r="K109" s="110"/>
    </row>
    <row r="110" spans="11:11" x14ac:dyDescent="0.2">
      <c r="K110" s="110"/>
    </row>
    <row r="111" spans="11:11" x14ac:dyDescent="0.2">
      <c r="K111" s="110"/>
    </row>
    <row r="112" spans="11:11" x14ac:dyDescent="0.2">
      <c r="K112" s="110"/>
    </row>
    <row r="113" spans="11:11" x14ac:dyDescent="0.2">
      <c r="K113" s="110"/>
    </row>
    <row r="114" spans="11:11" x14ac:dyDescent="0.2">
      <c r="K114" s="110"/>
    </row>
    <row r="115" spans="11:11" x14ac:dyDescent="0.2">
      <c r="K115" s="110"/>
    </row>
    <row r="116" spans="11:11" x14ac:dyDescent="0.2">
      <c r="K116" s="110"/>
    </row>
    <row r="117" spans="11:11" x14ac:dyDescent="0.2">
      <c r="K117" s="110"/>
    </row>
    <row r="118" spans="11:11" x14ac:dyDescent="0.2">
      <c r="K118" s="110"/>
    </row>
    <row r="119" spans="11:11" x14ac:dyDescent="0.2">
      <c r="K119" s="110"/>
    </row>
    <row r="120" spans="11:11" x14ac:dyDescent="0.2">
      <c r="K120" s="110"/>
    </row>
    <row r="121" spans="11:11" x14ac:dyDescent="0.2">
      <c r="K121" s="110"/>
    </row>
    <row r="122" spans="11:11" x14ac:dyDescent="0.2">
      <c r="K122" s="110"/>
    </row>
    <row r="123" spans="11:11" x14ac:dyDescent="0.2">
      <c r="K123" s="110"/>
    </row>
    <row r="124" spans="11:11" x14ac:dyDescent="0.2">
      <c r="K124" s="110"/>
    </row>
    <row r="125" spans="11:11" x14ac:dyDescent="0.2">
      <c r="K125" s="110"/>
    </row>
    <row r="126" spans="11:11" x14ac:dyDescent="0.2">
      <c r="K126" s="110"/>
    </row>
    <row r="127" spans="11:11" x14ac:dyDescent="0.2">
      <c r="K127" s="110"/>
    </row>
    <row r="128" spans="11:11" x14ac:dyDescent="0.2">
      <c r="K128" s="110"/>
    </row>
    <row r="129" spans="11:11" x14ac:dyDescent="0.2">
      <c r="K129" s="110"/>
    </row>
    <row r="130" spans="11:11" x14ac:dyDescent="0.2">
      <c r="K130" s="110"/>
    </row>
    <row r="131" spans="11:11" x14ac:dyDescent="0.2">
      <c r="K131" s="110"/>
    </row>
    <row r="132" spans="11:11" x14ac:dyDescent="0.2">
      <c r="K132" s="110"/>
    </row>
    <row r="133" spans="11:11" x14ac:dyDescent="0.2">
      <c r="K133" s="110"/>
    </row>
    <row r="134" spans="11:11" x14ac:dyDescent="0.2">
      <c r="K134" s="110"/>
    </row>
    <row r="135" spans="11:11" x14ac:dyDescent="0.2">
      <c r="K135" s="110"/>
    </row>
    <row r="136" spans="11:11" x14ac:dyDescent="0.2">
      <c r="K136" s="110"/>
    </row>
    <row r="137" spans="11:11" x14ac:dyDescent="0.2">
      <c r="K137" s="110"/>
    </row>
    <row r="138" spans="11:11" x14ac:dyDescent="0.2">
      <c r="K138" s="110"/>
    </row>
    <row r="139" spans="11:11" x14ac:dyDescent="0.2">
      <c r="K139" s="110"/>
    </row>
    <row r="140" spans="11:11" x14ac:dyDescent="0.2">
      <c r="K140" s="110"/>
    </row>
    <row r="141" spans="11:11" x14ac:dyDescent="0.2">
      <c r="K141" s="110"/>
    </row>
    <row r="142" spans="11:11" x14ac:dyDescent="0.2">
      <c r="K142" s="110"/>
    </row>
    <row r="143" spans="11:11" x14ac:dyDescent="0.2">
      <c r="K143" s="110"/>
    </row>
    <row r="144" spans="11:11" x14ac:dyDescent="0.2">
      <c r="K144" s="110"/>
    </row>
    <row r="145" spans="11:11" x14ac:dyDescent="0.2">
      <c r="K145" s="110"/>
    </row>
    <row r="146" spans="11:11" x14ac:dyDescent="0.2">
      <c r="K146" s="110"/>
    </row>
    <row r="147" spans="11:11" x14ac:dyDescent="0.2">
      <c r="K147" s="110"/>
    </row>
    <row r="148" spans="11:11" x14ac:dyDescent="0.2">
      <c r="K148" s="110"/>
    </row>
    <row r="149" spans="11:11" x14ac:dyDescent="0.2">
      <c r="K149" s="110"/>
    </row>
    <row r="150" spans="11:11" x14ac:dyDescent="0.2">
      <c r="K150" s="110"/>
    </row>
    <row r="151" spans="11:11" x14ac:dyDescent="0.2">
      <c r="K151" s="110"/>
    </row>
    <row r="152" spans="11:11" x14ac:dyDescent="0.2">
      <c r="K152" s="110"/>
    </row>
    <row r="153" spans="11:11" x14ac:dyDescent="0.2">
      <c r="K153" s="110"/>
    </row>
    <row r="154" spans="11:11" x14ac:dyDescent="0.2">
      <c r="K154" s="110"/>
    </row>
    <row r="155" spans="11:11" x14ac:dyDescent="0.2">
      <c r="K155" s="110"/>
    </row>
    <row r="156" spans="11:11" x14ac:dyDescent="0.2">
      <c r="K156" s="110"/>
    </row>
    <row r="157" spans="11:11" x14ac:dyDescent="0.2">
      <c r="K157" s="110"/>
    </row>
    <row r="158" spans="11:11" x14ac:dyDescent="0.2">
      <c r="K158" s="110"/>
    </row>
    <row r="159" spans="11:11" x14ac:dyDescent="0.2">
      <c r="K159" s="110"/>
    </row>
    <row r="160" spans="11:11" x14ac:dyDescent="0.2">
      <c r="K160" s="110"/>
    </row>
    <row r="161" spans="11:11" x14ac:dyDescent="0.2">
      <c r="K161" s="110"/>
    </row>
    <row r="162" spans="11:11" x14ac:dyDescent="0.2">
      <c r="K162" s="110"/>
    </row>
    <row r="163" spans="11:11" x14ac:dyDescent="0.2">
      <c r="K163" s="110"/>
    </row>
    <row r="164" spans="11:11" x14ac:dyDescent="0.2">
      <c r="K164" s="110"/>
    </row>
    <row r="165" spans="11:11" x14ac:dyDescent="0.2">
      <c r="K165" s="110"/>
    </row>
    <row r="166" spans="11:11" x14ac:dyDescent="0.2">
      <c r="K166" s="110"/>
    </row>
    <row r="167" spans="11:11" x14ac:dyDescent="0.2">
      <c r="K167" s="110"/>
    </row>
    <row r="168" spans="11:11" x14ac:dyDescent="0.2">
      <c r="K168" s="110"/>
    </row>
    <row r="169" spans="11:11" x14ac:dyDescent="0.2">
      <c r="K169" s="110"/>
    </row>
    <row r="170" spans="11:11" x14ac:dyDescent="0.2">
      <c r="K170" s="110"/>
    </row>
    <row r="171" spans="11:11" x14ac:dyDescent="0.2">
      <c r="K171" s="110"/>
    </row>
    <row r="172" spans="11:11" x14ac:dyDescent="0.2">
      <c r="K172" s="110"/>
    </row>
    <row r="173" spans="11:11" x14ac:dyDescent="0.2">
      <c r="K173" s="110"/>
    </row>
    <row r="174" spans="11:11" x14ac:dyDescent="0.2">
      <c r="K174" s="110"/>
    </row>
    <row r="175" spans="11:11" x14ac:dyDescent="0.2">
      <c r="K175" s="110"/>
    </row>
    <row r="176" spans="11:11" x14ac:dyDescent="0.2">
      <c r="K176" s="110"/>
    </row>
    <row r="177" spans="11:11" x14ac:dyDescent="0.2">
      <c r="K177" s="110"/>
    </row>
    <row r="178" spans="11:11" x14ac:dyDescent="0.2">
      <c r="K178" s="110"/>
    </row>
    <row r="179" spans="11:11" x14ac:dyDescent="0.2">
      <c r="K179" s="110"/>
    </row>
    <row r="180" spans="11:11" x14ac:dyDescent="0.2">
      <c r="K180" s="110"/>
    </row>
    <row r="181" spans="11:11" x14ac:dyDescent="0.2">
      <c r="K181" s="110"/>
    </row>
    <row r="182" spans="11:11" x14ac:dyDescent="0.2">
      <c r="K182" s="110"/>
    </row>
    <row r="183" spans="11:11" x14ac:dyDescent="0.2">
      <c r="K183" s="110"/>
    </row>
    <row r="184" spans="11:11" x14ac:dyDescent="0.2">
      <c r="K184" s="110"/>
    </row>
    <row r="185" spans="11:11" x14ac:dyDescent="0.2">
      <c r="K185" s="110"/>
    </row>
    <row r="186" spans="11:11" x14ac:dyDescent="0.2">
      <c r="K186" s="110"/>
    </row>
    <row r="187" spans="11:11" x14ac:dyDescent="0.2">
      <c r="K187" s="110"/>
    </row>
    <row r="188" spans="11:11" x14ac:dyDescent="0.2">
      <c r="K188" s="110"/>
    </row>
    <row r="189" spans="11:11" x14ac:dyDescent="0.2">
      <c r="K189" s="110"/>
    </row>
    <row r="190" spans="11:11" x14ac:dyDescent="0.2">
      <c r="K190" s="110"/>
    </row>
    <row r="191" spans="11:11" x14ac:dyDescent="0.2">
      <c r="K191" s="110"/>
    </row>
    <row r="192" spans="11:11" x14ac:dyDescent="0.2">
      <c r="K192" s="110"/>
    </row>
    <row r="193" spans="11:11" x14ac:dyDescent="0.2">
      <c r="K193" s="110"/>
    </row>
    <row r="194" spans="11:11" x14ac:dyDescent="0.2">
      <c r="K194" s="110"/>
    </row>
    <row r="195" spans="11:11" x14ac:dyDescent="0.2">
      <c r="K195" s="110"/>
    </row>
    <row r="196" spans="11:11" x14ac:dyDescent="0.2">
      <c r="K196" s="110"/>
    </row>
    <row r="197" spans="11:11" x14ac:dyDescent="0.2">
      <c r="K197" s="110"/>
    </row>
    <row r="198" spans="11:11" x14ac:dyDescent="0.2">
      <c r="K198" s="110"/>
    </row>
    <row r="199" spans="11:11" x14ac:dyDescent="0.2">
      <c r="K199" s="110"/>
    </row>
    <row r="200" spans="11:11" x14ac:dyDescent="0.2">
      <c r="K200" s="110"/>
    </row>
    <row r="201" spans="11:11" x14ac:dyDescent="0.2">
      <c r="K201" s="110"/>
    </row>
    <row r="202" spans="11:11" x14ac:dyDescent="0.2">
      <c r="K202" s="110"/>
    </row>
    <row r="203" spans="11:11" x14ac:dyDescent="0.2">
      <c r="K203" s="110"/>
    </row>
    <row r="204" spans="11:11" x14ac:dyDescent="0.2">
      <c r="K204" s="110"/>
    </row>
    <row r="205" spans="11:11" x14ac:dyDescent="0.2">
      <c r="K205" s="110"/>
    </row>
    <row r="206" spans="11:11" x14ac:dyDescent="0.2">
      <c r="K206" s="110"/>
    </row>
    <row r="207" spans="11:11" x14ac:dyDescent="0.2">
      <c r="K207" s="110"/>
    </row>
    <row r="208" spans="11:11" x14ac:dyDescent="0.2">
      <c r="K208" s="110"/>
    </row>
    <row r="209" spans="11:11" x14ac:dyDescent="0.2">
      <c r="K209" s="110"/>
    </row>
    <row r="210" spans="11:11" x14ac:dyDescent="0.2">
      <c r="K210" s="110"/>
    </row>
    <row r="211" spans="11:11" x14ac:dyDescent="0.2">
      <c r="K211" s="110"/>
    </row>
    <row r="212" spans="11:11" x14ac:dyDescent="0.2">
      <c r="K212" s="110"/>
    </row>
    <row r="213" spans="11:11" x14ac:dyDescent="0.2">
      <c r="K213" s="110"/>
    </row>
    <row r="214" spans="11:11" x14ac:dyDescent="0.2">
      <c r="K214" s="110"/>
    </row>
    <row r="215" spans="11:11" x14ac:dyDescent="0.2">
      <c r="K215" s="110"/>
    </row>
    <row r="216" spans="11:11" x14ac:dyDescent="0.2">
      <c r="K216" s="110"/>
    </row>
    <row r="217" spans="11:11" x14ac:dyDescent="0.2">
      <c r="K217" s="110"/>
    </row>
    <row r="218" spans="11:11" x14ac:dyDescent="0.2">
      <c r="K218" s="110"/>
    </row>
    <row r="219" spans="11:11" x14ac:dyDescent="0.2">
      <c r="K219" s="110"/>
    </row>
    <row r="220" spans="11:11" x14ac:dyDescent="0.2">
      <c r="K220" s="110"/>
    </row>
    <row r="221" spans="11:11" x14ac:dyDescent="0.2">
      <c r="K221" s="110"/>
    </row>
    <row r="222" spans="11:11" x14ac:dyDescent="0.2">
      <c r="K222" s="110"/>
    </row>
    <row r="223" spans="11:11" x14ac:dyDescent="0.2">
      <c r="K223" s="110"/>
    </row>
    <row r="224" spans="11:11" x14ac:dyDescent="0.2">
      <c r="K224" s="110"/>
    </row>
    <row r="225" spans="11:11" x14ac:dyDescent="0.2">
      <c r="K225" s="110"/>
    </row>
    <row r="226" spans="11:11" x14ac:dyDescent="0.2">
      <c r="K226" s="110"/>
    </row>
    <row r="227" spans="11:11" x14ac:dyDescent="0.2">
      <c r="K227" s="110"/>
    </row>
    <row r="228" spans="11:11" x14ac:dyDescent="0.2">
      <c r="K228" s="110"/>
    </row>
    <row r="229" spans="11:11" x14ac:dyDescent="0.2">
      <c r="K229" s="110"/>
    </row>
    <row r="230" spans="11:11" x14ac:dyDescent="0.2">
      <c r="K230" s="110"/>
    </row>
    <row r="231" spans="11:11" x14ac:dyDescent="0.2">
      <c r="K231" s="110"/>
    </row>
    <row r="232" spans="11:11" x14ac:dyDescent="0.2">
      <c r="K232" s="110"/>
    </row>
    <row r="233" spans="11:11" x14ac:dyDescent="0.2">
      <c r="K233" s="110"/>
    </row>
    <row r="234" spans="11:11" x14ac:dyDescent="0.2">
      <c r="K234" s="110"/>
    </row>
    <row r="235" spans="11:11" x14ac:dyDescent="0.2">
      <c r="K235" s="110"/>
    </row>
    <row r="236" spans="11:11" x14ac:dyDescent="0.2">
      <c r="K236" s="110"/>
    </row>
    <row r="237" spans="11:11" x14ac:dyDescent="0.2">
      <c r="K237" s="110"/>
    </row>
    <row r="238" spans="11:11" x14ac:dyDescent="0.2">
      <c r="K238" s="110"/>
    </row>
    <row r="239" spans="11:11" x14ac:dyDescent="0.2">
      <c r="K239" s="110"/>
    </row>
    <row r="240" spans="11:11" x14ac:dyDescent="0.2">
      <c r="K240" s="110"/>
    </row>
    <row r="241" spans="11:11" x14ac:dyDescent="0.2">
      <c r="K241" s="110"/>
    </row>
    <row r="242" spans="11:11" x14ac:dyDescent="0.2">
      <c r="K242" s="110"/>
    </row>
    <row r="243" spans="11:11" x14ac:dyDescent="0.2">
      <c r="K243" s="110"/>
    </row>
    <row r="244" spans="11:11" x14ac:dyDescent="0.2">
      <c r="K244" s="110"/>
    </row>
    <row r="245" spans="11:11" x14ac:dyDescent="0.2">
      <c r="K245" s="110"/>
    </row>
    <row r="246" spans="11:11" x14ac:dyDescent="0.2">
      <c r="K246" s="110"/>
    </row>
    <row r="247" spans="11:11" x14ac:dyDescent="0.2">
      <c r="K247" s="110"/>
    </row>
    <row r="248" spans="11:11" x14ac:dyDescent="0.2">
      <c r="K248" s="110"/>
    </row>
    <row r="249" spans="11:11" x14ac:dyDescent="0.2">
      <c r="K249" s="110"/>
    </row>
    <row r="250" spans="11:11" x14ac:dyDescent="0.2">
      <c r="K250" s="110"/>
    </row>
    <row r="251" spans="11:11" x14ac:dyDescent="0.2">
      <c r="K251" s="110"/>
    </row>
    <row r="252" spans="11:11" x14ac:dyDescent="0.2">
      <c r="K252" s="110"/>
    </row>
    <row r="253" spans="11:11" x14ac:dyDescent="0.2">
      <c r="K253" s="110"/>
    </row>
    <row r="254" spans="11:11" x14ac:dyDescent="0.2">
      <c r="K254" s="110"/>
    </row>
    <row r="255" spans="11:11" x14ac:dyDescent="0.2">
      <c r="K255" s="110"/>
    </row>
    <row r="256" spans="11:11" x14ac:dyDescent="0.2">
      <c r="K256" s="110"/>
    </row>
    <row r="257" spans="11:11" x14ac:dyDescent="0.2">
      <c r="K257" s="110"/>
    </row>
    <row r="258" spans="11:11" x14ac:dyDescent="0.2">
      <c r="K258" s="110"/>
    </row>
    <row r="259" spans="11:11" x14ac:dyDescent="0.2">
      <c r="K259" s="110"/>
    </row>
    <row r="260" spans="11:11" x14ac:dyDescent="0.2">
      <c r="K260" s="110"/>
    </row>
    <row r="261" spans="11:11" x14ac:dyDescent="0.2">
      <c r="K261" s="110"/>
    </row>
    <row r="262" spans="11:11" x14ac:dyDescent="0.2">
      <c r="K262" s="110"/>
    </row>
    <row r="263" spans="11:11" x14ac:dyDescent="0.2">
      <c r="K263" s="110"/>
    </row>
    <row r="264" spans="11:11" x14ac:dyDescent="0.2">
      <c r="K264" s="110"/>
    </row>
    <row r="265" spans="11:11" x14ac:dyDescent="0.2">
      <c r="K265" s="110"/>
    </row>
    <row r="266" spans="11:11" x14ac:dyDescent="0.2">
      <c r="K266" s="110"/>
    </row>
    <row r="267" spans="11:11" x14ac:dyDescent="0.2">
      <c r="K267" s="110"/>
    </row>
    <row r="268" spans="11:11" x14ac:dyDescent="0.2">
      <c r="K268" s="110"/>
    </row>
    <row r="269" spans="11:11" x14ac:dyDescent="0.2">
      <c r="K269" s="110"/>
    </row>
    <row r="270" spans="11:11" x14ac:dyDescent="0.2">
      <c r="K270" s="110"/>
    </row>
    <row r="271" spans="11:11" x14ac:dyDescent="0.2">
      <c r="K271" s="110"/>
    </row>
    <row r="272" spans="11:11" x14ac:dyDescent="0.2">
      <c r="K272" s="110"/>
    </row>
    <row r="273" spans="11:11" x14ac:dyDescent="0.2">
      <c r="K273" s="110"/>
    </row>
    <row r="274" spans="11:11" x14ac:dyDescent="0.2">
      <c r="K274" s="110"/>
    </row>
    <row r="275" spans="11:11" x14ac:dyDescent="0.2">
      <c r="K275" s="110"/>
    </row>
    <row r="276" spans="11:11" x14ac:dyDescent="0.2">
      <c r="K276" s="110"/>
    </row>
    <row r="277" spans="11:11" x14ac:dyDescent="0.2">
      <c r="K277" s="110"/>
    </row>
    <row r="278" spans="11:11" x14ac:dyDescent="0.2">
      <c r="K278" s="110"/>
    </row>
    <row r="279" spans="11:11" x14ac:dyDescent="0.2">
      <c r="K279" s="110"/>
    </row>
    <row r="280" spans="11:11" x14ac:dyDescent="0.2">
      <c r="K280" s="110"/>
    </row>
    <row r="281" spans="11:11" x14ac:dyDescent="0.2">
      <c r="K281" s="110"/>
    </row>
    <row r="282" spans="11:11" x14ac:dyDescent="0.2">
      <c r="K282" s="110"/>
    </row>
    <row r="283" spans="11:11" x14ac:dyDescent="0.2">
      <c r="K283" s="110"/>
    </row>
    <row r="284" spans="11:11" x14ac:dyDescent="0.2">
      <c r="K284" s="110"/>
    </row>
    <row r="285" spans="11:11" x14ac:dyDescent="0.2">
      <c r="K285" s="110"/>
    </row>
    <row r="286" spans="11:11" x14ac:dyDescent="0.2">
      <c r="K286" s="110"/>
    </row>
    <row r="287" spans="11:11" x14ac:dyDescent="0.2">
      <c r="K287" s="110"/>
    </row>
    <row r="288" spans="11:11" x14ac:dyDescent="0.2">
      <c r="K288" s="110"/>
    </row>
    <row r="289" spans="11:11" x14ac:dyDescent="0.2">
      <c r="K289" s="110"/>
    </row>
    <row r="290" spans="11:11" x14ac:dyDescent="0.2">
      <c r="K290" s="110"/>
    </row>
    <row r="291" spans="11:11" x14ac:dyDescent="0.2">
      <c r="K291" s="110"/>
    </row>
    <row r="292" spans="11:11" x14ac:dyDescent="0.2">
      <c r="K292" s="110"/>
    </row>
    <row r="293" spans="11:11" x14ac:dyDescent="0.2">
      <c r="K293" s="110"/>
    </row>
    <row r="294" spans="11:11" x14ac:dyDescent="0.2">
      <c r="K294" s="110"/>
    </row>
    <row r="295" spans="11:11" x14ac:dyDescent="0.2">
      <c r="K295" s="110"/>
    </row>
    <row r="296" spans="11:11" x14ac:dyDescent="0.2">
      <c r="K296" s="110"/>
    </row>
    <row r="297" spans="11:11" x14ac:dyDescent="0.2">
      <c r="K297" s="110"/>
    </row>
    <row r="298" spans="11:11" x14ac:dyDescent="0.2">
      <c r="K298" s="110"/>
    </row>
    <row r="299" spans="11:11" x14ac:dyDescent="0.2">
      <c r="K299" s="110"/>
    </row>
    <row r="300" spans="11:11" x14ac:dyDescent="0.2">
      <c r="K300" s="110"/>
    </row>
    <row r="301" spans="11:11" x14ac:dyDescent="0.2">
      <c r="K301" s="110"/>
    </row>
    <row r="302" spans="11:11" x14ac:dyDescent="0.2">
      <c r="K302" s="110"/>
    </row>
    <row r="303" spans="11:11" x14ac:dyDescent="0.2">
      <c r="K303" s="110"/>
    </row>
    <row r="304" spans="11:11" x14ac:dyDescent="0.2">
      <c r="K304" s="110"/>
    </row>
    <row r="305" spans="11:11" x14ac:dyDescent="0.2">
      <c r="K305" s="110"/>
    </row>
    <row r="306" spans="11:11" x14ac:dyDescent="0.2">
      <c r="K306" s="110"/>
    </row>
    <row r="307" spans="11:11" x14ac:dyDescent="0.2">
      <c r="K307" s="110"/>
    </row>
    <row r="308" spans="11:11" x14ac:dyDescent="0.2">
      <c r="K308" s="110"/>
    </row>
    <row r="309" spans="11:11" x14ac:dyDescent="0.2">
      <c r="K309" s="110"/>
    </row>
    <row r="310" spans="11:11" x14ac:dyDescent="0.2">
      <c r="K310" s="110"/>
    </row>
    <row r="311" spans="11:11" x14ac:dyDescent="0.2">
      <c r="K311" s="110"/>
    </row>
    <row r="312" spans="11:11" x14ac:dyDescent="0.2">
      <c r="K312" s="110"/>
    </row>
    <row r="313" spans="11:11" x14ac:dyDescent="0.2">
      <c r="K313" s="110"/>
    </row>
    <row r="314" spans="11:11" x14ac:dyDescent="0.2">
      <c r="K314" s="110"/>
    </row>
    <row r="315" spans="11:11" x14ac:dyDescent="0.2">
      <c r="K315" s="110"/>
    </row>
    <row r="316" spans="11:11" x14ac:dyDescent="0.2">
      <c r="K316" s="110"/>
    </row>
    <row r="317" spans="11:11" x14ac:dyDescent="0.2">
      <c r="K317" s="110"/>
    </row>
    <row r="318" spans="11:11" x14ac:dyDescent="0.2">
      <c r="K318" s="110"/>
    </row>
    <row r="319" spans="11:11" x14ac:dyDescent="0.2">
      <c r="K319" s="110"/>
    </row>
    <row r="320" spans="11:11" x14ac:dyDescent="0.2">
      <c r="K320" s="110"/>
    </row>
    <row r="321" spans="11:11" x14ac:dyDescent="0.2">
      <c r="K321" s="110"/>
    </row>
    <row r="322" spans="11:11" x14ac:dyDescent="0.2">
      <c r="K322" s="110"/>
    </row>
    <row r="323" spans="11:11" x14ac:dyDescent="0.2">
      <c r="K323" s="110"/>
    </row>
    <row r="324" spans="11:11" x14ac:dyDescent="0.2">
      <c r="K324" s="110"/>
    </row>
    <row r="325" spans="11:11" x14ac:dyDescent="0.2">
      <c r="K325" s="110"/>
    </row>
    <row r="326" spans="11:11" x14ac:dyDescent="0.2">
      <c r="K326" s="110"/>
    </row>
    <row r="327" spans="11:11" x14ac:dyDescent="0.2">
      <c r="K327" s="110"/>
    </row>
    <row r="328" spans="11:11" x14ac:dyDescent="0.2">
      <c r="K328" s="110"/>
    </row>
    <row r="329" spans="11:11" x14ac:dyDescent="0.2">
      <c r="K329" s="110"/>
    </row>
    <row r="330" spans="11:11" x14ac:dyDescent="0.2">
      <c r="K330" s="110"/>
    </row>
    <row r="331" spans="11:11" x14ac:dyDescent="0.2">
      <c r="K331" s="110"/>
    </row>
    <row r="332" spans="11:11" x14ac:dyDescent="0.2">
      <c r="K332" s="110"/>
    </row>
    <row r="333" spans="11:11" x14ac:dyDescent="0.2">
      <c r="K333" s="110"/>
    </row>
    <row r="334" spans="11:11" x14ac:dyDescent="0.2">
      <c r="K334" s="110"/>
    </row>
    <row r="335" spans="11:11" x14ac:dyDescent="0.2">
      <c r="K335" s="110"/>
    </row>
    <row r="336" spans="11:11" x14ac:dyDescent="0.2">
      <c r="K336" s="110"/>
    </row>
    <row r="337" spans="11:11" x14ac:dyDescent="0.2">
      <c r="K337" s="110"/>
    </row>
    <row r="338" spans="11:11" x14ac:dyDescent="0.2">
      <c r="K338" s="110"/>
    </row>
    <row r="339" spans="11:11" x14ac:dyDescent="0.2">
      <c r="K339" s="110"/>
    </row>
    <row r="340" spans="11:11" x14ac:dyDescent="0.2">
      <c r="K340" s="110"/>
    </row>
    <row r="341" spans="11:11" x14ac:dyDescent="0.2">
      <c r="K341" s="110"/>
    </row>
    <row r="342" spans="11:11" x14ac:dyDescent="0.2">
      <c r="K342" s="110"/>
    </row>
    <row r="343" spans="11:11" x14ac:dyDescent="0.2">
      <c r="K343" s="110"/>
    </row>
    <row r="344" spans="11:11" x14ac:dyDescent="0.2">
      <c r="K344" s="110"/>
    </row>
    <row r="345" spans="11:11" x14ac:dyDescent="0.2">
      <c r="K345" s="110"/>
    </row>
    <row r="346" spans="11:11" x14ac:dyDescent="0.2">
      <c r="K346" s="110"/>
    </row>
    <row r="347" spans="11:11" x14ac:dyDescent="0.2">
      <c r="K347" s="110"/>
    </row>
    <row r="348" spans="11:11" x14ac:dyDescent="0.2">
      <c r="K348" s="110"/>
    </row>
    <row r="349" spans="11:11" x14ac:dyDescent="0.2">
      <c r="K349" s="110"/>
    </row>
    <row r="350" spans="11:11" x14ac:dyDescent="0.2">
      <c r="K350" s="110"/>
    </row>
    <row r="351" spans="11:11" x14ac:dyDescent="0.2">
      <c r="K351" s="110"/>
    </row>
    <row r="352" spans="11:11" x14ac:dyDescent="0.2">
      <c r="K352" s="110"/>
    </row>
    <row r="353" spans="11:11" x14ac:dyDescent="0.2">
      <c r="K353" s="110"/>
    </row>
    <row r="354" spans="11:11" x14ac:dyDescent="0.2">
      <c r="K354" s="110"/>
    </row>
    <row r="355" spans="11:11" x14ac:dyDescent="0.2">
      <c r="K355" s="110"/>
    </row>
    <row r="356" spans="11:11" x14ac:dyDescent="0.2">
      <c r="K356" s="110"/>
    </row>
    <row r="357" spans="11:11" x14ac:dyDescent="0.2">
      <c r="K357" s="110"/>
    </row>
    <row r="358" spans="11:11" x14ac:dyDescent="0.2">
      <c r="K358" s="110"/>
    </row>
    <row r="359" spans="11:11" x14ac:dyDescent="0.2">
      <c r="K359" s="110"/>
    </row>
    <row r="360" spans="11:11" x14ac:dyDescent="0.2">
      <c r="K360" s="110"/>
    </row>
    <row r="361" spans="11:11" x14ac:dyDescent="0.2">
      <c r="K361" s="110"/>
    </row>
    <row r="362" spans="11:11" x14ac:dyDescent="0.2">
      <c r="K362" s="110"/>
    </row>
    <row r="363" spans="11:11" x14ac:dyDescent="0.2">
      <c r="K363" s="110"/>
    </row>
    <row r="364" spans="11:11" x14ac:dyDescent="0.2">
      <c r="K364" s="110"/>
    </row>
    <row r="365" spans="11:11" x14ac:dyDescent="0.2">
      <c r="K365" s="110"/>
    </row>
    <row r="366" spans="11:11" x14ac:dyDescent="0.2">
      <c r="K366" s="110"/>
    </row>
    <row r="367" spans="11:11" x14ac:dyDescent="0.2">
      <c r="K367" s="110"/>
    </row>
    <row r="368" spans="11:11" x14ac:dyDescent="0.2">
      <c r="K368" s="110"/>
    </row>
    <row r="369" spans="11:11" x14ac:dyDescent="0.2">
      <c r="K369" s="110"/>
    </row>
    <row r="370" spans="11:11" x14ac:dyDescent="0.2">
      <c r="K370" s="110"/>
    </row>
    <row r="371" spans="11:11" x14ac:dyDescent="0.2">
      <c r="K371" s="110"/>
    </row>
    <row r="372" spans="11:11" x14ac:dyDescent="0.2">
      <c r="K372" s="110"/>
    </row>
    <row r="373" spans="11:11" x14ac:dyDescent="0.2">
      <c r="K373" s="110"/>
    </row>
    <row r="374" spans="11:11" x14ac:dyDescent="0.2">
      <c r="K374" s="110"/>
    </row>
    <row r="375" spans="11:11" x14ac:dyDescent="0.2">
      <c r="K375" s="110"/>
    </row>
    <row r="376" spans="11:11" x14ac:dyDescent="0.2">
      <c r="K376" s="110"/>
    </row>
    <row r="377" spans="11:11" x14ac:dyDescent="0.2">
      <c r="K377" s="110"/>
    </row>
    <row r="378" spans="11:11" x14ac:dyDescent="0.2">
      <c r="K378" s="110"/>
    </row>
    <row r="379" spans="11:11" x14ac:dyDescent="0.2">
      <c r="K379" s="110"/>
    </row>
    <row r="380" spans="11:11" x14ac:dyDescent="0.2">
      <c r="K380" s="110"/>
    </row>
    <row r="381" spans="11:11" x14ac:dyDescent="0.2">
      <c r="K381" s="110"/>
    </row>
    <row r="382" spans="11:11" x14ac:dyDescent="0.2">
      <c r="K382" s="110"/>
    </row>
    <row r="383" spans="11:11" x14ac:dyDescent="0.2">
      <c r="K383" s="110"/>
    </row>
    <row r="384" spans="11:11" x14ac:dyDescent="0.2">
      <c r="K384" s="110"/>
    </row>
    <row r="385" spans="11:11" x14ac:dyDescent="0.2">
      <c r="K385" s="110"/>
    </row>
    <row r="386" spans="11:11" x14ac:dyDescent="0.2">
      <c r="K386" s="110"/>
    </row>
    <row r="387" spans="11:11" x14ac:dyDescent="0.2">
      <c r="K387" s="110"/>
    </row>
    <row r="388" spans="11:11" x14ac:dyDescent="0.2">
      <c r="K388" s="110"/>
    </row>
    <row r="389" spans="11:11" x14ac:dyDescent="0.2">
      <c r="K389" s="110"/>
    </row>
    <row r="390" spans="11:11" x14ac:dyDescent="0.2">
      <c r="K390" s="110"/>
    </row>
    <row r="391" spans="11:11" x14ac:dyDescent="0.2">
      <c r="K391" s="110"/>
    </row>
    <row r="392" spans="11:11" x14ac:dyDescent="0.2">
      <c r="K392" s="110"/>
    </row>
    <row r="393" spans="11:11" x14ac:dyDescent="0.2">
      <c r="K393" s="110"/>
    </row>
    <row r="394" spans="11:11" x14ac:dyDescent="0.2">
      <c r="K394" s="110"/>
    </row>
    <row r="395" spans="11:11" x14ac:dyDescent="0.2">
      <c r="K395" s="110"/>
    </row>
    <row r="396" spans="11:11" x14ac:dyDescent="0.2">
      <c r="K396" s="110"/>
    </row>
    <row r="397" spans="11:11" x14ac:dyDescent="0.2">
      <c r="K397" s="110"/>
    </row>
    <row r="398" spans="11:11" x14ac:dyDescent="0.2">
      <c r="K398" s="110"/>
    </row>
    <row r="399" spans="11:11" x14ac:dyDescent="0.2">
      <c r="K399" s="110"/>
    </row>
    <row r="400" spans="11:11" x14ac:dyDescent="0.2">
      <c r="K400" s="110"/>
    </row>
    <row r="401" spans="11:11" x14ac:dyDescent="0.2">
      <c r="K401" s="110"/>
    </row>
    <row r="402" spans="11:11" x14ac:dyDescent="0.2">
      <c r="K402" s="110"/>
    </row>
    <row r="403" spans="11:11" x14ac:dyDescent="0.2">
      <c r="K403" s="110"/>
    </row>
    <row r="404" spans="11:11" x14ac:dyDescent="0.2">
      <c r="K404" s="110"/>
    </row>
    <row r="405" spans="11:11" x14ac:dyDescent="0.2">
      <c r="K405" s="110"/>
    </row>
    <row r="406" spans="11:11" x14ac:dyDescent="0.2">
      <c r="K406" s="110"/>
    </row>
    <row r="407" spans="11:11" x14ac:dyDescent="0.2">
      <c r="K407" s="110"/>
    </row>
    <row r="408" spans="11:11" x14ac:dyDescent="0.2">
      <c r="K408" s="110"/>
    </row>
    <row r="409" spans="11:11" x14ac:dyDescent="0.2">
      <c r="K409" s="110"/>
    </row>
    <row r="410" spans="11:11" x14ac:dyDescent="0.2">
      <c r="K410" s="110"/>
    </row>
    <row r="411" spans="11:11" x14ac:dyDescent="0.2">
      <c r="K411" s="110"/>
    </row>
    <row r="412" spans="11:11" x14ac:dyDescent="0.2">
      <c r="K412" s="110"/>
    </row>
    <row r="413" spans="11:11" x14ac:dyDescent="0.2">
      <c r="K413" s="110"/>
    </row>
    <row r="414" spans="11:11" x14ac:dyDescent="0.2">
      <c r="K414" s="110"/>
    </row>
    <row r="415" spans="11:11" x14ac:dyDescent="0.2">
      <c r="K415" s="110"/>
    </row>
    <row r="416" spans="11:11" x14ac:dyDescent="0.2">
      <c r="K416" s="110"/>
    </row>
    <row r="417" spans="11:11" x14ac:dyDescent="0.2">
      <c r="K417" s="110"/>
    </row>
    <row r="418" spans="11:11" x14ac:dyDescent="0.2">
      <c r="K418" s="110"/>
    </row>
    <row r="419" spans="11:11" x14ac:dyDescent="0.2">
      <c r="K419" s="110"/>
    </row>
    <row r="420" spans="11:11" x14ac:dyDescent="0.2">
      <c r="K420" s="110"/>
    </row>
    <row r="421" spans="11:11" x14ac:dyDescent="0.2">
      <c r="K421" s="110"/>
    </row>
    <row r="422" spans="11:11" x14ac:dyDescent="0.2">
      <c r="K422" s="110"/>
    </row>
  </sheetData>
  <mergeCells count="1">
    <mergeCell ref="M1:O1"/>
  </mergeCells>
  <hyperlinks>
    <hyperlink ref="A2" location="FEO!A1" display="terug" xr:uid="{57BF198C-001F-441F-85C9-82AD08C4C609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D8752-D731-4CAB-BFD2-3A2F66D5DDEB}">
  <sheetPr>
    <tabColor rgb="FF00B0F0"/>
  </sheetPr>
  <dimension ref="A1:AD118"/>
  <sheetViews>
    <sheetView workbookViewId="0"/>
  </sheetViews>
  <sheetFormatPr defaultRowHeight="10.199999999999999" x14ac:dyDescent="0.2"/>
  <cols>
    <col min="1" max="1" width="22.875" customWidth="1"/>
    <col min="2" max="2" width="13.875" customWidth="1"/>
    <col min="3" max="3" width="7.875" bestFit="1" customWidth="1"/>
    <col min="4" max="25" width="13.875" customWidth="1"/>
    <col min="26" max="26" width="11.25" customWidth="1"/>
    <col min="27" max="27" width="16.375" customWidth="1"/>
    <col min="28" max="30" width="19.125" customWidth="1"/>
    <col min="31" max="32" width="13.875" customWidth="1"/>
  </cols>
  <sheetData>
    <row r="1" spans="1:27" ht="16.2" x14ac:dyDescent="0.3">
      <c r="A1" s="51" t="s">
        <v>390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T1" s="106" t="s">
        <v>83</v>
      </c>
      <c r="U1" s="653" t="s">
        <v>84</v>
      </c>
      <c r="V1" s="654"/>
      <c r="W1" s="655"/>
    </row>
    <row r="2" spans="1:27" ht="15.6" x14ac:dyDescent="0.3">
      <c r="A2" s="56" t="s">
        <v>131</v>
      </c>
      <c r="B2" s="65"/>
      <c r="C2" s="65"/>
      <c r="D2" s="65"/>
      <c r="E2" s="65"/>
      <c r="F2" s="65"/>
      <c r="G2" s="65"/>
      <c r="H2" s="65"/>
      <c r="I2" s="65"/>
      <c r="V2" s="266" t="str">
        <f>FEO!AA1</f>
        <v>Versie</v>
      </c>
      <c r="W2" s="274" t="str">
        <f>Legenda!D11</f>
        <v>NVI 5b</v>
      </c>
    </row>
    <row r="3" spans="1:27" ht="18" x14ac:dyDescent="0.35">
      <c r="A3" s="65"/>
      <c r="B3" s="65"/>
      <c r="C3" s="65"/>
      <c r="D3" s="65"/>
      <c r="E3" s="65"/>
      <c r="F3" s="65"/>
      <c r="G3" s="65"/>
      <c r="H3" s="65"/>
      <c r="I3" s="65"/>
      <c r="Y3" s="171"/>
    </row>
    <row r="4" spans="1:27" x14ac:dyDescent="0.2">
      <c r="A4" s="117" t="s">
        <v>227</v>
      </c>
      <c r="B4" s="327"/>
      <c r="C4" s="327"/>
      <c r="P4" s="2" t="s">
        <v>389</v>
      </c>
      <c r="Q4" s="368" t="s">
        <v>293</v>
      </c>
      <c r="R4" s="368"/>
      <c r="Y4" s="115"/>
    </row>
    <row r="5" spans="1:27" x14ac:dyDescent="0.2">
      <c r="A5" s="104" t="s">
        <v>383</v>
      </c>
      <c r="B5" s="327"/>
      <c r="C5" s="327"/>
      <c r="P5" t="s">
        <v>264</v>
      </c>
      <c r="Q5" s="324">
        <v>0</v>
      </c>
      <c r="R5" s="272"/>
      <c r="Y5" s="115"/>
    </row>
    <row r="6" spans="1:27" x14ac:dyDescent="0.2">
      <c r="A6" s="104" t="s">
        <v>388</v>
      </c>
      <c r="B6" s="327"/>
      <c r="C6" s="327"/>
      <c r="P6" t="s">
        <v>262</v>
      </c>
      <c r="Q6" s="325">
        <v>6.2</v>
      </c>
      <c r="R6" s="272"/>
      <c r="Y6" s="115"/>
    </row>
    <row r="7" spans="1:27" x14ac:dyDescent="0.2">
      <c r="A7" s="104" t="s">
        <v>387</v>
      </c>
      <c r="B7" s="327"/>
      <c r="C7" s="327"/>
      <c r="P7" t="s">
        <v>262</v>
      </c>
      <c r="Q7" s="325">
        <v>10.9</v>
      </c>
      <c r="R7" s="272"/>
      <c r="Y7" s="115"/>
    </row>
    <row r="8" spans="1:27" x14ac:dyDescent="0.2">
      <c r="A8" s="104" t="s">
        <v>386</v>
      </c>
      <c r="B8" s="327"/>
      <c r="C8" s="327"/>
      <c r="P8" t="s">
        <v>262</v>
      </c>
      <c r="Q8" s="325">
        <v>12.700000000000001</v>
      </c>
      <c r="R8" s="272"/>
      <c r="Y8" s="115"/>
    </row>
    <row r="9" spans="1:27" x14ac:dyDescent="0.2">
      <c r="A9" s="104" t="s">
        <v>391</v>
      </c>
      <c r="B9" s="327"/>
      <c r="C9" s="327"/>
      <c r="P9" t="s">
        <v>262</v>
      </c>
      <c r="Q9" s="325">
        <v>18.700000000000003</v>
      </c>
      <c r="R9" s="272"/>
      <c r="Y9" s="115"/>
    </row>
    <row r="10" spans="1:27" x14ac:dyDescent="0.2">
      <c r="A10" s="104" t="s">
        <v>384</v>
      </c>
      <c r="B10" s="327"/>
      <c r="C10" s="327"/>
      <c r="P10" t="s">
        <v>263</v>
      </c>
      <c r="Q10" s="326">
        <v>27.200000000000003</v>
      </c>
      <c r="R10" s="272"/>
      <c r="Y10" s="115"/>
    </row>
    <row r="11" spans="1:27" x14ac:dyDescent="0.2">
      <c r="Y11" s="115"/>
    </row>
    <row r="12" spans="1:27" ht="18" x14ac:dyDescent="0.35">
      <c r="A12" s="257" t="s">
        <v>395</v>
      </c>
      <c r="B12" s="65"/>
      <c r="C12" s="65"/>
      <c r="D12" s="65"/>
      <c r="E12" s="65"/>
      <c r="F12" s="65"/>
      <c r="G12" s="65"/>
      <c r="H12" s="65"/>
      <c r="I12" s="65"/>
      <c r="Y12" s="115"/>
    </row>
    <row r="13" spans="1:27" x14ac:dyDescent="0.2">
      <c r="A13" s="117"/>
      <c r="Y13" s="115"/>
    </row>
    <row r="14" spans="1:27" x14ac:dyDescent="0.2">
      <c r="A14" s="329" t="s">
        <v>304</v>
      </c>
      <c r="B14" s="330"/>
      <c r="C14" s="330"/>
      <c r="D14" s="330"/>
      <c r="E14" s="355" t="s">
        <v>219</v>
      </c>
      <c r="F14" s="358"/>
      <c r="G14" s="358"/>
      <c r="H14" s="358"/>
      <c r="I14" s="358"/>
      <c r="J14" s="358"/>
      <c r="K14" s="358"/>
      <c r="L14" s="358"/>
      <c r="M14" s="358"/>
      <c r="N14" s="358"/>
      <c r="O14" s="430"/>
      <c r="P14" s="332" t="s">
        <v>294</v>
      </c>
      <c r="Q14" s="332" t="s">
        <v>297</v>
      </c>
      <c r="R14" s="332" t="s">
        <v>299</v>
      </c>
      <c r="S14" s="332" t="s">
        <v>219</v>
      </c>
      <c r="T14" s="464" t="s">
        <v>429</v>
      </c>
      <c r="U14" s="465"/>
      <c r="V14" s="465"/>
      <c r="W14" s="465"/>
      <c r="X14" s="466"/>
      <c r="Y14" s="332" t="s">
        <v>294</v>
      </c>
      <c r="Z14" s="115"/>
      <c r="AA14" s="332" t="s">
        <v>294</v>
      </c>
    </row>
    <row r="15" spans="1:27" ht="10.199999999999999" customHeight="1" x14ac:dyDescent="0.2">
      <c r="A15" s="369" t="s">
        <v>232</v>
      </c>
      <c r="B15" s="333"/>
      <c r="C15" s="333"/>
      <c r="D15" s="333"/>
      <c r="E15" s="355" t="s">
        <v>245</v>
      </c>
      <c r="F15" s="358"/>
      <c r="G15" s="358"/>
      <c r="H15" s="358"/>
      <c r="I15" s="430"/>
      <c r="J15" s="428" t="s">
        <v>246</v>
      </c>
      <c r="K15" s="620"/>
      <c r="L15" s="429"/>
      <c r="M15" s="428" t="s">
        <v>247</v>
      </c>
      <c r="N15" s="620"/>
      <c r="O15" s="429"/>
      <c r="P15" s="332" t="s">
        <v>295</v>
      </c>
      <c r="Q15" s="332" t="s">
        <v>298</v>
      </c>
      <c r="R15" s="332" t="s">
        <v>300</v>
      </c>
      <c r="S15" s="332" t="s">
        <v>432</v>
      </c>
      <c r="T15" s="467"/>
      <c r="U15" s="468"/>
      <c r="V15" s="468"/>
      <c r="W15" s="468"/>
      <c r="X15" s="469"/>
      <c r="Y15" s="332" t="s">
        <v>303</v>
      </c>
      <c r="Z15" s="115"/>
      <c r="AA15" s="332" t="s">
        <v>443</v>
      </c>
    </row>
    <row r="16" spans="1:27" ht="10.8" thickBot="1" x14ac:dyDescent="0.25">
      <c r="A16" s="370" t="s">
        <v>89</v>
      </c>
      <c r="B16" s="333" t="s">
        <v>302</v>
      </c>
      <c r="C16" s="333" t="s">
        <v>440</v>
      </c>
      <c r="D16" s="333" t="s">
        <v>441</v>
      </c>
      <c r="E16" s="431" t="s">
        <v>248</v>
      </c>
      <c r="F16" s="621"/>
      <c r="G16" s="621"/>
      <c r="H16" s="621"/>
      <c r="I16" s="622"/>
      <c r="J16" s="334" t="s">
        <v>248</v>
      </c>
      <c r="K16" s="622"/>
      <c r="L16" s="622"/>
      <c r="M16" s="334" t="s">
        <v>248</v>
      </c>
      <c r="N16" s="622"/>
      <c r="O16" s="622"/>
      <c r="P16" s="335" t="s">
        <v>296</v>
      </c>
      <c r="Q16" s="335"/>
      <c r="R16" s="335" t="s">
        <v>301</v>
      </c>
      <c r="S16" s="335" t="s">
        <v>433</v>
      </c>
      <c r="T16" s="335" t="s">
        <v>262</v>
      </c>
      <c r="U16" s="335" t="s">
        <v>427</v>
      </c>
      <c r="V16" s="335" t="s">
        <v>428</v>
      </c>
      <c r="W16" s="335" t="s">
        <v>265</v>
      </c>
      <c r="X16" s="335" t="s">
        <v>266</v>
      </c>
      <c r="Y16" s="335" t="s">
        <v>237</v>
      </c>
      <c r="Z16" s="115"/>
      <c r="AA16" s="335" t="s">
        <v>237</v>
      </c>
    </row>
    <row r="17" spans="1:27" x14ac:dyDescent="0.2">
      <c r="A17" s="371" t="s">
        <v>383</v>
      </c>
      <c r="B17" s="365" t="s">
        <v>384</v>
      </c>
      <c r="C17" s="493">
        <v>2</v>
      </c>
      <c r="D17" s="598">
        <v>132</v>
      </c>
      <c r="E17" s="432">
        <v>1</v>
      </c>
      <c r="F17" s="432"/>
      <c r="G17" s="432"/>
      <c r="H17" s="432"/>
      <c r="I17" s="432"/>
      <c r="J17" s="432">
        <v>1</v>
      </c>
      <c r="K17" s="432"/>
      <c r="L17" s="432"/>
      <c r="M17" s="432">
        <v>1</v>
      </c>
      <c r="N17" s="432"/>
      <c r="O17" s="432"/>
      <c r="P17" s="336">
        <f t="shared" ref="P17:P27" si="0">E17*$E$52+F17*$F$52+G17*$G$52+H17*$H$52+I17*$I$52+J17*$J$52+K17*$K$52+L17*$L$52+M17*$M$52+N17*$N$52+O17*$O$52</f>
        <v>365</v>
      </c>
      <c r="Q17" s="374">
        <f t="array" ref="Q17">IF(SUMIF($A$5:$A$10,B17,$Q$5:$Q$10)&gt;SUMIF($A$5:$A$10,A17,$Q$5:$Q$10),SUMIF($A$5:$A$10,B17,$Q$5:$Q$10)-SUMIF($A$5:$A$10,A17,$Q$5:$Q$10),SUMIF($A$5:$A$10,A17,$Q$5:$Q$10)-SUMIF($A$5:$A$10,B17,$Q$5:$Q$10))</f>
        <v>27.200000000000003</v>
      </c>
      <c r="R17" s="473">
        <f>P17*Q17</f>
        <v>9928.0000000000018</v>
      </c>
      <c r="S17" s="479" t="s">
        <v>91</v>
      </c>
      <c r="T17" s="470">
        <v>4</v>
      </c>
      <c r="U17" s="470">
        <v>1</v>
      </c>
      <c r="V17" s="470"/>
      <c r="W17" s="470"/>
      <c r="X17" s="470"/>
      <c r="Y17" s="336">
        <f>P17*SUM(T17:X17)</f>
        <v>1825</v>
      </c>
      <c r="Z17" s="115"/>
      <c r="AA17" s="336">
        <f>R17*C17</f>
        <v>19856.000000000004</v>
      </c>
    </row>
    <row r="18" spans="1:27" x14ac:dyDescent="0.2">
      <c r="A18" s="372"/>
      <c r="B18" s="366"/>
      <c r="C18" s="494"/>
      <c r="D18" s="599"/>
      <c r="E18" s="433"/>
      <c r="F18" s="433"/>
      <c r="G18" s="433"/>
      <c r="H18" s="433"/>
      <c r="I18" s="433"/>
      <c r="J18" s="433"/>
      <c r="K18" s="433"/>
      <c r="L18" s="433"/>
      <c r="M18" s="433"/>
      <c r="N18" s="433"/>
      <c r="O18" s="433"/>
      <c r="P18" s="337">
        <f t="shared" si="0"/>
        <v>0</v>
      </c>
      <c r="Q18" s="374">
        <f t="array" ref="Q18">IF(SUMIF($A$5:$A$10,B18,$Q$5:$Q$10)&gt;SUMIF($A$5:$A$10,A18,$Q$5:$Q$10),SUMIF($A$5:$A$10,B18,$Q$5:$Q$10)-SUMIF($A$5:$A$10,A18,$Q$5:$Q$10),SUMIF($A$5:$A$10,A18,$Q$5:$Q$10)-SUMIF($A$5:$A$10,B18,$Q$5:$Q$10))</f>
        <v>0</v>
      </c>
      <c r="R18" s="474">
        <f>P18*Q18</f>
        <v>0</v>
      </c>
      <c r="S18" s="480"/>
      <c r="T18" s="471"/>
      <c r="U18" s="471"/>
      <c r="V18" s="471"/>
      <c r="W18" s="471"/>
      <c r="X18" s="471"/>
      <c r="Y18" s="337">
        <f>P18*SUM(T18:X18)</f>
        <v>0</v>
      </c>
      <c r="Z18" s="115"/>
      <c r="AA18" s="337">
        <f t="shared" ref="AA18:AA41" si="1">R18*C18</f>
        <v>0</v>
      </c>
    </row>
    <row r="19" spans="1:27" x14ac:dyDescent="0.2">
      <c r="A19" s="372"/>
      <c r="B19" s="366"/>
      <c r="C19" s="494"/>
      <c r="D19" s="599"/>
      <c r="E19" s="433"/>
      <c r="F19" s="433"/>
      <c r="G19" s="433"/>
      <c r="H19" s="433"/>
      <c r="I19" s="433"/>
      <c r="J19" s="433"/>
      <c r="K19" s="433"/>
      <c r="L19" s="433"/>
      <c r="M19" s="433"/>
      <c r="N19" s="433"/>
      <c r="O19" s="433"/>
      <c r="P19" s="337">
        <f t="shared" si="0"/>
        <v>0</v>
      </c>
      <c r="Q19" s="374">
        <f t="array" ref="Q19">IF(SUMIF($A$5:$A$10,B19,$Q$5:$Q$10)&gt;SUMIF($A$5:$A$10,A19,$Q$5:$Q$10),SUMIF($A$5:$A$10,B19,$Q$5:$Q$10)-SUMIF($A$5:$A$10,A19,$Q$5:$Q$10),SUMIF($A$5:$A$10,A19,$Q$5:$Q$10)-SUMIF($A$5:$A$10,B19,$Q$5:$Q$10))</f>
        <v>0</v>
      </c>
      <c r="R19" s="474">
        <f>P19*Q19</f>
        <v>0</v>
      </c>
      <c r="S19" s="480"/>
      <c r="T19" s="471"/>
      <c r="U19" s="471"/>
      <c r="V19" s="471"/>
      <c r="W19" s="471"/>
      <c r="X19" s="471"/>
      <c r="Y19" s="337">
        <f>P19*SUM(T19:X19)</f>
        <v>0</v>
      </c>
      <c r="Z19" s="115"/>
      <c r="AA19" s="337">
        <f t="shared" si="1"/>
        <v>0</v>
      </c>
    </row>
    <row r="20" spans="1:27" x14ac:dyDescent="0.2">
      <c r="A20" s="372"/>
      <c r="B20" s="366"/>
      <c r="C20" s="494"/>
      <c r="D20" s="599"/>
      <c r="E20" s="433"/>
      <c r="F20" s="433"/>
      <c r="G20" s="433"/>
      <c r="H20" s="433"/>
      <c r="I20" s="433"/>
      <c r="J20" s="433"/>
      <c r="K20" s="433"/>
      <c r="L20" s="433"/>
      <c r="M20" s="433"/>
      <c r="N20" s="433"/>
      <c r="O20" s="433"/>
      <c r="P20" s="337">
        <f t="shared" si="0"/>
        <v>0</v>
      </c>
      <c r="Q20" s="374">
        <f t="array" ref="Q20">IF(SUMIF($A$5:$A$10,B20,$Q$5:$Q$10)&gt;SUMIF($A$5:$A$10,A20,$Q$5:$Q$10),SUMIF($A$5:$A$10,B20,$Q$5:$Q$10)-SUMIF($A$5:$A$10,A20,$Q$5:$Q$10),SUMIF($A$5:$A$10,A20,$Q$5:$Q$10)-SUMIF($A$5:$A$10,B20,$Q$5:$Q$10))</f>
        <v>0</v>
      </c>
      <c r="R20" s="474">
        <f t="shared" ref="R20:R34" si="2">P20*Q20</f>
        <v>0</v>
      </c>
      <c r="S20" s="480"/>
      <c r="T20" s="471"/>
      <c r="U20" s="471"/>
      <c r="V20" s="471"/>
      <c r="W20" s="471"/>
      <c r="X20" s="471"/>
      <c r="Y20" s="337">
        <f t="shared" ref="Y20:Y34" si="3">P20*SUM(T20:X20)</f>
        <v>0</v>
      </c>
      <c r="Z20" s="115"/>
      <c r="AA20" s="337">
        <f t="shared" si="1"/>
        <v>0</v>
      </c>
    </row>
    <row r="21" spans="1:27" x14ac:dyDescent="0.2">
      <c r="A21" s="372"/>
      <c r="B21" s="366"/>
      <c r="C21" s="494"/>
      <c r="D21" s="599"/>
      <c r="E21" s="433"/>
      <c r="F21" s="433"/>
      <c r="G21" s="433"/>
      <c r="H21" s="433"/>
      <c r="I21" s="433"/>
      <c r="J21" s="433"/>
      <c r="K21" s="433"/>
      <c r="L21" s="433"/>
      <c r="M21" s="433"/>
      <c r="N21" s="433"/>
      <c r="O21" s="433"/>
      <c r="P21" s="337">
        <f t="shared" si="0"/>
        <v>0</v>
      </c>
      <c r="Q21" s="374">
        <f t="array" ref="Q21">IF(SUMIF($A$5:$A$10,B21,$Q$5:$Q$10)&gt;SUMIF($A$5:$A$10,A21,$Q$5:$Q$10),SUMIF($A$5:$A$10,B21,$Q$5:$Q$10)-SUMIF($A$5:$A$10,A21,$Q$5:$Q$10),SUMIF($A$5:$A$10,A21,$Q$5:$Q$10)-SUMIF($A$5:$A$10,B21,$Q$5:$Q$10))</f>
        <v>0</v>
      </c>
      <c r="R21" s="474">
        <f t="shared" si="2"/>
        <v>0</v>
      </c>
      <c r="S21" s="480"/>
      <c r="T21" s="471"/>
      <c r="U21" s="471"/>
      <c r="V21" s="471"/>
      <c r="W21" s="471"/>
      <c r="X21" s="471"/>
      <c r="Y21" s="337">
        <f t="shared" si="3"/>
        <v>0</v>
      </c>
      <c r="Z21" s="115"/>
      <c r="AA21" s="337">
        <f t="shared" si="1"/>
        <v>0</v>
      </c>
    </row>
    <row r="22" spans="1:27" x14ac:dyDescent="0.2">
      <c r="A22" s="372"/>
      <c r="B22" s="366"/>
      <c r="C22" s="494"/>
      <c r="D22" s="599"/>
      <c r="E22" s="433"/>
      <c r="F22" s="433"/>
      <c r="G22" s="433"/>
      <c r="H22" s="433"/>
      <c r="I22" s="433"/>
      <c r="J22" s="433"/>
      <c r="K22" s="433"/>
      <c r="L22" s="433"/>
      <c r="M22" s="433"/>
      <c r="N22" s="433"/>
      <c r="O22" s="433"/>
      <c r="P22" s="337">
        <f t="shared" si="0"/>
        <v>0</v>
      </c>
      <c r="Q22" s="374">
        <f t="array" ref="Q22">IF(SUMIF($A$5:$A$10,B22,$Q$5:$Q$10)&gt;SUMIF($A$5:$A$10,A22,$Q$5:$Q$10),SUMIF($A$5:$A$10,B22,$Q$5:$Q$10)-SUMIF($A$5:$A$10,A22,$Q$5:$Q$10),SUMIF($A$5:$A$10,A22,$Q$5:$Q$10)-SUMIF($A$5:$A$10,B22,$Q$5:$Q$10))</f>
        <v>0</v>
      </c>
      <c r="R22" s="474">
        <f t="shared" si="2"/>
        <v>0</v>
      </c>
      <c r="S22" s="480"/>
      <c r="T22" s="471"/>
      <c r="U22" s="471"/>
      <c r="V22" s="471"/>
      <c r="W22" s="471"/>
      <c r="X22" s="471"/>
      <c r="Y22" s="337">
        <f t="shared" si="3"/>
        <v>0</v>
      </c>
      <c r="Z22" s="115"/>
      <c r="AA22" s="337">
        <f t="shared" si="1"/>
        <v>0</v>
      </c>
    </row>
    <row r="23" spans="1:27" x14ac:dyDescent="0.2">
      <c r="A23" s="372"/>
      <c r="B23" s="366"/>
      <c r="C23" s="494"/>
      <c r="D23" s="599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433"/>
      <c r="P23" s="337">
        <f t="shared" si="0"/>
        <v>0</v>
      </c>
      <c r="Q23" s="374">
        <f t="array" ref="Q23">IF(SUMIF($A$5:$A$10,B23,$Q$5:$Q$10)&gt;SUMIF($A$5:$A$10,A23,$Q$5:$Q$10),SUMIF($A$5:$A$10,B23,$Q$5:$Q$10)-SUMIF($A$5:$A$10,A23,$Q$5:$Q$10),SUMIF($A$5:$A$10,A23,$Q$5:$Q$10)-SUMIF($A$5:$A$10,B23,$Q$5:$Q$10))</f>
        <v>0</v>
      </c>
      <c r="R23" s="474">
        <f t="shared" si="2"/>
        <v>0</v>
      </c>
      <c r="S23" s="480"/>
      <c r="T23" s="471"/>
      <c r="U23" s="471"/>
      <c r="V23" s="471"/>
      <c r="W23" s="471"/>
      <c r="X23" s="471"/>
      <c r="Y23" s="337">
        <f t="shared" si="3"/>
        <v>0</v>
      </c>
      <c r="Z23" s="115"/>
      <c r="AA23" s="337">
        <f t="shared" si="1"/>
        <v>0</v>
      </c>
    </row>
    <row r="24" spans="1:27" x14ac:dyDescent="0.2">
      <c r="A24" s="372"/>
      <c r="B24" s="366"/>
      <c r="C24" s="494"/>
      <c r="D24" s="599"/>
      <c r="E24" s="433"/>
      <c r="F24" s="433"/>
      <c r="G24" s="433"/>
      <c r="H24" s="433"/>
      <c r="I24" s="433"/>
      <c r="J24" s="433"/>
      <c r="K24" s="433"/>
      <c r="L24" s="433"/>
      <c r="M24" s="433"/>
      <c r="N24" s="433"/>
      <c r="O24" s="433"/>
      <c r="P24" s="337">
        <f t="shared" si="0"/>
        <v>0</v>
      </c>
      <c r="Q24" s="374">
        <f t="array" ref="Q24">IF(SUMIF($A$5:$A$10,B24,$Q$5:$Q$10)&gt;SUMIF($A$5:$A$10,A24,$Q$5:$Q$10),SUMIF($A$5:$A$10,B24,$Q$5:$Q$10)-SUMIF($A$5:$A$10,A24,$Q$5:$Q$10),SUMIF($A$5:$A$10,A24,$Q$5:$Q$10)-SUMIF($A$5:$A$10,B24,$Q$5:$Q$10))</f>
        <v>0</v>
      </c>
      <c r="R24" s="474">
        <f t="shared" si="2"/>
        <v>0</v>
      </c>
      <c r="S24" s="480"/>
      <c r="T24" s="471"/>
      <c r="U24" s="471"/>
      <c r="V24" s="471"/>
      <c r="W24" s="471"/>
      <c r="X24" s="471"/>
      <c r="Y24" s="337">
        <f t="shared" si="3"/>
        <v>0</v>
      </c>
      <c r="Z24" s="115"/>
      <c r="AA24" s="337">
        <f t="shared" si="1"/>
        <v>0</v>
      </c>
    </row>
    <row r="25" spans="1:27" x14ac:dyDescent="0.2">
      <c r="A25" s="372"/>
      <c r="B25" s="366"/>
      <c r="C25" s="494"/>
      <c r="D25" s="599"/>
      <c r="E25" s="433"/>
      <c r="F25" s="433"/>
      <c r="G25" s="433"/>
      <c r="H25" s="433"/>
      <c r="I25" s="433"/>
      <c r="J25" s="433"/>
      <c r="K25" s="433"/>
      <c r="L25" s="433"/>
      <c r="M25" s="433"/>
      <c r="N25" s="433"/>
      <c r="O25" s="433"/>
      <c r="P25" s="337">
        <f t="shared" si="0"/>
        <v>0</v>
      </c>
      <c r="Q25" s="374">
        <f t="array" ref="Q25">IF(SUMIF($A$5:$A$10,B25,$Q$5:$Q$10)&gt;SUMIF($A$5:$A$10,A25,$Q$5:$Q$10),SUMIF($A$5:$A$10,B25,$Q$5:$Q$10)-SUMIF($A$5:$A$10,A25,$Q$5:$Q$10),SUMIF($A$5:$A$10,A25,$Q$5:$Q$10)-SUMIF($A$5:$A$10,B25,$Q$5:$Q$10))</f>
        <v>0</v>
      </c>
      <c r="R25" s="474">
        <f t="shared" si="2"/>
        <v>0</v>
      </c>
      <c r="S25" s="480"/>
      <c r="T25" s="471"/>
      <c r="U25" s="471"/>
      <c r="V25" s="471"/>
      <c r="W25" s="471"/>
      <c r="X25" s="471"/>
      <c r="Y25" s="337">
        <f t="shared" si="3"/>
        <v>0</v>
      </c>
      <c r="Z25" s="115"/>
      <c r="AA25" s="337">
        <f t="shared" si="1"/>
        <v>0</v>
      </c>
    </row>
    <row r="26" spans="1:27" x14ac:dyDescent="0.2">
      <c r="A26" s="372"/>
      <c r="B26" s="366"/>
      <c r="C26" s="494"/>
      <c r="D26" s="599"/>
      <c r="E26" s="433"/>
      <c r="F26" s="433"/>
      <c r="G26" s="433"/>
      <c r="H26" s="433"/>
      <c r="I26" s="433"/>
      <c r="J26" s="433"/>
      <c r="K26" s="433"/>
      <c r="L26" s="433"/>
      <c r="M26" s="433"/>
      <c r="N26" s="433"/>
      <c r="O26" s="433"/>
      <c r="P26" s="337">
        <f t="shared" si="0"/>
        <v>0</v>
      </c>
      <c r="Q26" s="374">
        <f t="array" ref="Q26">IF(SUMIF($A$5:$A$10,B26,$Q$5:$Q$10)&gt;SUMIF($A$5:$A$10,A26,$Q$5:$Q$10),SUMIF($A$5:$A$10,B26,$Q$5:$Q$10)-SUMIF($A$5:$A$10,A26,$Q$5:$Q$10),SUMIF($A$5:$A$10,A26,$Q$5:$Q$10)-SUMIF($A$5:$A$10,B26,$Q$5:$Q$10))</f>
        <v>0</v>
      </c>
      <c r="R26" s="474">
        <f t="shared" si="2"/>
        <v>0</v>
      </c>
      <c r="S26" s="480"/>
      <c r="T26" s="471"/>
      <c r="U26" s="471"/>
      <c r="V26" s="471"/>
      <c r="W26" s="471"/>
      <c r="X26" s="471"/>
      <c r="Y26" s="337">
        <f t="shared" si="3"/>
        <v>0</v>
      </c>
      <c r="Z26" s="115"/>
      <c r="AA26" s="337">
        <f t="shared" si="1"/>
        <v>0</v>
      </c>
    </row>
    <row r="27" spans="1:27" x14ac:dyDescent="0.2">
      <c r="A27" s="372"/>
      <c r="B27" s="366"/>
      <c r="C27" s="494"/>
      <c r="D27" s="599"/>
      <c r="E27" s="433"/>
      <c r="F27" s="433"/>
      <c r="G27" s="433"/>
      <c r="H27" s="433"/>
      <c r="I27" s="433"/>
      <c r="J27" s="433"/>
      <c r="K27" s="433"/>
      <c r="L27" s="433"/>
      <c r="M27" s="433"/>
      <c r="N27" s="433"/>
      <c r="O27" s="433"/>
      <c r="P27" s="337">
        <f t="shared" si="0"/>
        <v>0</v>
      </c>
      <c r="Q27" s="374">
        <f t="array" ref="Q27">IF(SUMIF($A$5:$A$10,B27,$Q$5:$Q$10)&gt;SUMIF($A$5:$A$10,A27,$Q$5:$Q$10),SUMIF($A$5:$A$10,B27,$Q$5:$Q$10)-SUMIF($A$5:$A$10,A27,$Q$5:$Q$10),SUMIF($A$5:$A$10,A27,$Q$5:$Q$10)-SUMIF($A$5:$A$10,B27,$Q$5:$Q$10))</f>
        <v>0</v>
      </c>
      <c r="R27" s="474">
        <f t="shared" si="2"/>
        <v>0</v>
      </c>
      <c r="S27" s="480"/>
      <c r="T27" s="471"/>
      <c r="U27" s="471"/>
      <c r="V27" s="471"/>
      <c r="W27" s="471"/>
      <c r="X27" s="471"/>
      <c r="Y27" s="337">
        <f t="shared" si="3"/>
        <v>0</v>
      </c>
      <c r="Z27" s="115"/>
      <c r="AA27" s="337">
        <f t="shared" si="1"/>
        <v>0</v>
      </c>
    </row>
    <row r="28" spans="1:27" x14ac:dyDescent="0.2">
      <c r="A28" s="372"/>
      <c r="B28" s="366"/>
      <c r="C28" s="494"/>
      <c r="D28" s="599"/>
      <c r="E28" s="433"/>
      <c r="F28" s="433"/>
      <c r="G28" s="433"/>
      <c r="H28" s="433"/>
      <c r="I28" s="433"/>
      <c r="J28" s="433"/>
      <c r="K28" s="433"/>
      <c r="L28" s="433"/>
      <c r="M28" s="433"/>
      <c r="N28" s="433"/>
      <c r="O28" s="433"/>
      <c r="P28" s="337">
        <f t="shared" ref="P28:P31" si="4">E28*$E$52+F28*$F$52+G28*$G$52+H28*$H$52+I28*$I$52+J28*$J$52+K28*$K$52+L28*$L$52+M28*$M$52+N28*$N$52+O28*$O$52</f>
        <v>0</v>
      </c>
      <c r="Q28" s="374">
        <f t="array" ref="Q28">IF(SUMIF($A$5:$A$10,B28,$Q$5:$Q$10)&gt;SUMIF($A$5:$A$10,A28,$Q$5:$Q$10),SUMIF($A$5:$A$10,B28,$Q$5:$Q$10)-SUMIF($A$5:$A$10,A28,$Q$5:$Q$10),SUMIF($A$5:$A$10,A28,$Q$5:$Q$10)-SUMIF($A$5:$A$10,B28,$Q$5:$Q$10))</f>
        <v>0</v>
      </c>
      <c r="R28" s="474">
        <f t="shared" ref="R28:R31" si="5">P28*Q28</f>
        <v>0</v>
      </c>
      <c r="S28" s="480"/>
      <c r="T28" s="471"/>
      <c r="U28" s="471"/>
      <c r="V28" s="471"/>
      <c r="W28" s="471"/>
      <c r="X28" s="471"/>
      <c r="Y28" s="337">
        <f t="shared" si="3"/>
        <v>0</v>
      </c>
      <c r="Z28" s="115"/>
      <c r="AA28" s="337">
        <f t="shared" si="1"/>
        <v>0</v>
      </c>
    </row>
    <row r="29" spans="1:27" x14ac:dyDescent="0.2">
      <c r="A29" s="372"/>
      <c r="B29" s="366"/>
      <c r="C29" s="494"/>
      <c r="D29" s="599"/>
      <c r="E29" s="433"/>
      <c r="F29" s="433"/>
      <c r="G29" s="433"/>
      <c r="H29" s="433"/>
      <c r="I29" s="433"/>
      <c r="J29" s="433"/>
      <c r="K29" s="433"/>
      <c r="L29" s="433"/>
      <c r="M29" s="433"/>
      <c r="N29" s="433"/>
      <c r="O29" s="433"/>
      <c r="P29" s="337">
        <f t="shared" si="4"/>
        <v>0</v>
      </c>
      <c r="Q29" s="374">
        <f t="array" ref="Q29">IF(SUMIF($A$5:$A$10,B29,$Q$5:$Q$10)&gt;SUMIF($A$5:$A$10,A29,$Q$5:$Q$10),SUMIF($A$5:$A$10,B29,$Q$5:$Q$10)-SUMIF($A$5:$A$10,A29,$Q$5:$Q$10),SUMIF($A$5:$A$10,A29,$Q$5:$Q$10)-SUMIF($A$5:$A$10,B29,$Q$5:$Q$10))</f>
        <v>0</v>
      </c>
      <c r="R29" s="474">
        <f t="shared" si="5"/>
        <v>0</v>
      </c>
      <c r="S29" s="480"/>
      <c r="T29" s="471"/>
      <c r="U29" s="471"/>
      <c r="V29" s="471"/>
      <c r="W29" s="471"/>
      <c r="X29" s="471"/>
      <c r="Y29" s="337">
        <f t="shared" si="3"/>
        <v>0</v>
      </c>
      <c r="Z29" s="115"/>
      <c r="AA29" s="337">
        <f t="shared" si="1"/>
        <v>0</v>
      </c>
    </row>
    <row r="30" spans="1:27" x14ac:dyDescent="0.2">
      <c r="A30" s="372"/>
      <c r="B30" s="366"/>
      <c r="C30" s="494"/>
      <c r="D30" s="599"/>
      <c r="E30" s="433"/>
      <c r="F30" s="433"/>
      <c r="G30" s="433"/>
      <c r="H30" s="433"/>
      <c r="I30" s="433"/>
      <c r="J30" s="433"/>
      <c r="K30" s="433"/>
      <c r="L30" s="433"/>
      <c r="M30" s="433"/>
      <c r="N30" s="433"/>
      <c r="O30" s="433"/>
      <c r="P30" s="337">
        <f t="shared" si="4"/>
        <v>0</v>
      </c>
      <c r="Q30" s="374">
        <f t="array" ref="Q30">IF(SUMIF($A$5:$A$10,B30,$Q$5:$Q$10)&gt;SUMIF($A$5:$A$10,A30,$Q$5:$Q$10),SUMIF($A$5:$A$10,B30,$Q$5:$Q$10)-SUMIF($A$5:$A$10,A30,$Q$5:$Q$10),SUMIF($A$5:$A$10,A30,$Q$5:$Q$10)-SUMIF($A$5:$A$10,B30,$Q$5:$Q$10))</f>
        <v>0</v>
      </c>
      <c r="R30" s="474">
        <f t="shared" si="5"/>
        <v>0</v>
      </c>
      <c r="S30" s="480"/>
      <c r="T30" s="471"/>
      <c r="U30" s="471"/>
      <c r="V30" s="471"/>
      <c r="W30" s="471"/>
      <c r="X30" s="471"/>
      <c r="Y30" s="337">
        <f t="shared" si="3"/>
        <v>0</v>
      </c>
      <c r="Z30" s="115"/>
      <c r="AA30" s="337">
        <f t="shared" si="1"/>
        <v>0</v>
      </c>
    </row>
    <row r="31" spans="1:27" x14ac:dyDescent="0.2">
      <c r="A31" s="372"/>
      <c r="B31" s="366"/>
      <c r="C31" s="494"/>
      <c r="D31" s="599"/>
      <c r="E31" s="433"/>
      <c r="F31" s="433"/>
      <c r="G31" s="433"/>
      <c r="H31" s="433"/>
      <c r="I31" s="433"/>
      <c r="J31" s="433"/>
      <c r="K31" s="433"/>
      <c r="L31" s="433"/>
      <c r="M31" s="433"/>
      <c r="N31" s="433"/>
      <c r="O31" s="433"/>
      <c r="P31" s="337">
        <f t="shared" si="4"/>
        <v>0</v>
      </c>
      <c r="Q31" s="374">
        <f t="array" ref="Q31">IF(SUMIF($A$5:$A$10,B31,$Q$5:$Q$10)&gt;SUMIF($A$5:$A$10,A31,$Q$5:$Q$10),SUMIF($A$5:$A$10,B31,$Q$5:$Q$10)-SUMIF($A$5:$A$10,A31,$Q$5:$Q$10),SUMIF($A$5:$A$10,A31,$Q$5:$Q$10)-SUMIF($A$5:$A$10,B31,$Q$5:$Q$10))</f>
        <v>0</v>
      </c>
      <c r="R31" s="474">
        <f t="shared" si="5"/>
        <v>0</v>
      </c>
      <c r="S31" s="480"/>
      <c r="T31" s="471"/>
      <c r="U31" s="471"/>
      <c r="V31" s="471"/>
      <c r="W31" s="471"/>
      <c r="X31" s="471"/>
      <c r="Y31" s="337">
        <f t="shared" si="3"/>
        <v>0</v>
      </c>
      <c r="Z31" s="115"/>
      <c r="AA31" s="337">
        <f t="shared" si="1"/>
        <v>0</v>
      </c>
    </row>
    <row r="32" spans="1:27" x14ac:dyDescent="0.2">
      <c r="A32" s="372"/>
      <c r="B32" s="366"/>
      <c r="C32" s="494"/>
      <c r="D32" s="599"/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433"/>
      <c r="P32" s="337">
        <f t="shared" ref="P32:P41" si="6">E32*$E$52+F32*$F$52+G32*$G$52+H32*$H$52+I32*$I$52+J32*$J$52+K32*$K$52+L32*$L$52+M32*$M$52+N32*$N$52+O32*$O$52</f>
        <v>0</v>
      </c>
      <c r="Q32" s="374">
        <f t="array" ref="Q32">IF(SUMIF($A$5:$A$10,B32,$Q$5:$Q$10)&gt;SUMIF($A$5:$A$10,A32,$Q$5:$Q$10),SUMIF($A$5:$A$10,B32,$Q$5:$Q$10)-SUMIF($A$5:$A$10,A32,$Q$5:$Q$10),SUMIF($A$5:$A$10,A32,$Q$5:$Q$10)-SUMIF($A$5:$A$10,B32,$Q$5:$Q$10))</f>
        <v>0</v>
      </c>
      <c r="R32" s="474">
        <f t="shared" si="2"/>
        <v>0</v>
      </c>
      <c r="S32" s="480"/>
      <c r="T32" s="471"/>
      <c r="U32" s="471"/>
      <c r="V32" s="471"/>
      <c r="W32" s="471"/>
      <c r="X32" s="471"/>
      <c r="Y32" s="337">
        <f t="shared" si="3"/>
        <v>0</v>
      </c>
      <c r="Z32" s="115"/>
      <c r="AA32" s="337">
        <f t="shared" si="1"/>
        <v>0</v>
      </c>
    </row>
    <row r="33" spans="1:27" x14ac:dyDescent="0.2">
      <c r="A33" s="372"/>
      <c r="B33" s="366"/>
      <c r="C33" s="494"/>
      <c r="D33" s="599"/>
      <c r="E33" s="433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337">
        <f t="shared" si="6"/>
        <v>0</v>
      </c>
      <c r="Q33" s="374">
        <f t="array" ref="Q33">IF(SUMIF($A$5:$A$10,B33,$Q$5:$Q$10)&gt;SUMIF($A$5:$A$10,A33,$Q$5:$Q$10),SUMIF($A$5:$A$10,B33,$Q$5:$Q$10)-SUMIF($A$5:$A$10,A33,$Q$5:$Q$10),SUMIF($A$5:$A$10,A33,$Q$5:$Q$10)-SUMIF($A$5:$A$10,B33,$Q$5:$Q$10))</f>
        <v>0</v>
      </c>
      <c r="R33" s="474">
        <f t="shared" si="2"/>
        <v>0</v>
      </c>
      <c r="S33" s="480"/>
      <c r="T33" s="471"/>
      <c r="U33" s="471"/>
      <c r="V33" s="471"/>
      <c r="W33" s="471"/>
      <c r="X33" s="471"/>
      <c r="Y33" s="337">
        <f t="shared" si="3"/>
        <v>0</v>
      </c>
      <c r="Z33" s="115"/>
      <c r="AA33" s="337">
        <f t="shared" si="1"/>
        <v>0</v>
      </c>
    </row>
    <row r="34" spans="1:27" x14ac:dyDescent="0.2">
      <c r="A34" s="372"/>
      <c r="B34" s="366"/>
      <c r="C34" s="494"/>
      <c r="D34" s="599"/>
      <c r="E34" s="433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337">
        <f t="shared" si="6"/>
        <v>0</v>
      </c>
      <c r="Q34" s="374">
        <f t="array" ref="Q34">IF(SUMIF($A$5:$A$10,B34,$Q$5:$Q$10)&gt;SUMIF($A$5:$A$10,A34,$Q$5:$Q$10),SUMIF($A$5:$A$10,B34,$Q$5:$Q$10)-SUMIF($A$5:$A$10,A34,$Q$5:$Q$10),SUMIF($A$5:$A$10,A34,$Q$5:$Q$10)-SUMIF($A$5:$A$10,B34,$Q$5:$Q$10))</f>
        <v>0</v>
      </c>
      <c r="R34" s="474">
        <f t="shared" si="2"/>
        <v>0</v>
      </c>
      <c r="S34" s="480"/>
      <c r="T34" s="471"/>
      <c r="U34" s="471"/>
      <c r="V34" s="471"/>
      <c r="W34" s="471"/>
      <c r="X34" s="471"/>
      <c r="Y34" s="337">
        <f t="shared" si="3"/>
        <v>0</v>
      </c>
      <c r="Z34" s="115"/>
      <c r="AA34" s="337">
        <f t="shared" si="1"/>
        <v>0</v>
      </c>
    </row>
    <row r="35" spans="1:27" x14ac:dyDescent="0.2">
      <c r="A35" s="372"/>
      <c r="B35" s="366"/>
      <c r="C35" s="494"/>
      <c r="D35" s="599"/>
      <c r="E35" s="433"/>
      <c r="F35" s="433"/>
      <c r="G35" s="433"/>
      <c r="H35" s="433"/>
      <c r="I35" s="433"/>
      <c r="J35" s="433"/>
      <c r="K35" s="433"/>
      <c r="L35" s="433"/>
      <c r="M35" s="433"/>
      <c r="N35" s="433"/>
      <c r="O35" s="433"/>
      <c r="P35" s="337">
        <f t="shared" si="6"/>
        <v>0</v>
      </c>
      <c r="Q35" s="374">
        <f t="array" ref="Q35">IF(SUMIF($A$5:$A$10,B35,$Q$5:$Q$10)&gt;SUMIF($A$5:$A$10,A35,$Q$5:$Q$10),SUMIF($A$5:$A$10,B35,$Q$5:$Q$10)-SUMIF($A$5:$A$10,A35,$Q$5:$Q$10),SUMIF($A$5:$A$10,A35,$Q$5:$Q$10)-SUMIF($A$5:$A$10,B35,$Q$5:$Q$10))</f>
        <v>0</v>
      </c>
      <c r="R35" s="474">
        <f t="shared" ref="R35:R37" si="7">P35*Q35</f>
        <v>0</v>
      </c>
      <c r="S35" s="480"/>
      <c r="T35" s="471"/>
      <c r="U35" s="471"/>
      <c r="V35" s="471"/>
      <c r="W35" s="471"/>
      <c r="X35" s="471"/>
      <c r="Y35" s="337">
        <f t="shared" ref="Y35:Y37" si="8">P35*SUM(T35:X35)</f>
        <v>0</v>
      </c>
      <c r="Z35" s="115"/>
      <c r="AA35" s="337">
        <f t="shared" si="1"/>
        <v>0</v>
      </c>
    </row>
    <row r="36" spans="1:27" x14ac:dyDescent="0.2">
      <c r="A36" s="372"/>
      <c r="B36" s="366"/>
      <c r="C36" s="494"/>
      <c r="D36" s="599"/>
      <c r="E36" s="433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337">
        <f t="shared" si="6"/>
        <v>0</v>
      </c>
      <c r="Q36" s="374">
        <f t="array" ref="Q36">IF(SUMIF($A$5:$A$10,B36,$Q$5:$Q$10)&gt;SUMIF($A$5:$A$10,A36,$Q$5:$Q$10),SUMIF($A$5:$A$10,B36,$Q$5:$Q$10)-SUMIF($A$5:$A$10,A36,$Q$5:$Q$10),SUMIF($A$5:$A$10,A36,$Q$5:$Q$10)-SUMIF($A$5:$A$10,B36,$Q$5:$Q$10))</f>
        <v>0</v>
      </c>
      <c r="R36" s="474">
        <f t="shared" si="7"/>
        <v>0</v>
      </c>
      <c r="S36" s="480"/>
      <c r="T36" s="471"/>
      <c r="U36" s="471"/>
      <c r="V36" s="471"/>
      <c r="W36" s="471"/>
      <c r="X36" s="471"/>
      <c r="Y36" s="337">
        <f t="shared" si="8"/>
        <v>0</v>
      </c>
      <c r="Z36" s="115"/>
      <c r="AA36" s="337">
        <f t="shared" si="1"/>
        <v>0</v>
      </c>
    </row>
    <row r="37" spans="1:27" x14ac:dyDescent="0.2">
      <c r="A37" s="372"/>
      <c r="B37" s="366"/>
      <c r="C37" s="494"/>
      <c r="D37" s="599"/>
      <c r="E37" s="433"/>
      <c r="F37" s="433"/>
      <c r="G37" s="433"/>
      <c r="H37" s="433"/>
      <c r="I37" s="433"/>
      <c r="J37" s="433"/>
      <c r="K37" s="433"/>
      <c r="L37" s="433"/>
      <c r="M37" s="433"/>
      <c r="N37" s="433"/>
      <c r="O37" s="433"/>
      <c r="P37" s="337">
        <f t="shared" si="6"/>
        <v>0</v>
      </c>
      <c r="Q37" s="374">
        <f t="array" ref="Q37">IF(SUMIF($A$5:$A$10,B37,$Q$5:$Q$10)&gt;SUMIF($A$5:$A$10,A37,$Q$5:$Q$10),SUMIF($A$5:$A$10,B37,$Q$5:$Q$10)-SUMIF($A$5:$A$10,A37,$Q$5:$Q$10),SUMIF($A$5:$A$10,A37,$Q$5:$Q$10)-SUMIF($A$5:$A$10,B37,$Q$5:$Q$10))</f>
        <v>0</v>
      </c>
      <c r="R37" s="474">
        <f t="shared" si="7"/>
        <v>0</v>
      </c>
      <c r="S37" s="480"/>
      <c r="T37" s="471"/>
      <c r="U37" s="471"/>
      <c r="V37" s="471"/>
      <c r="W37" s="471"/>
      <c r="X37" s="471"/>
      <c r="Y37" s="337">
        <f t="shared" si="8"/>
        <v>0</v>
      </c>
      <c r="Z37" s="115"/>
      <c r="AA37" s="337">
        <f t="shared" si="1"/>
        <v>0</v>
      </c>
    </row>
    <row r="38" spans="1:27" x14ac:dyDescent="0.2">
      <c r="A38" s="372"/>
      <c r="B38" s="366"/>
      <c r="C38" s="494"/>
      <c r="D38" s="599"/>
      <c r="E38" s="433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337">
        <f t="shared" si="6"/>
        <v>0</v>
      </c>
      <c r="Q38" s="374">
        <f t="array" ref="Q38">IF(SUMIF($A$5:$A$10,B38,$Q$5:$Q$10)&gt;SUMIF($A$5:$A$10,A38,$Q$5:$Q$10),SUMIF($A$5:$A$10,B38,$Q$5:$Q$10)-SUMIF($A$5:$A$10,A38,$Q$5:$Q$10),SUMIF($A$5:$A$10,A38,$Q$5:$Q$10)-SUMIF($A$5:$A$10,B38,$Q$5:$Q$10))</f>
        <v>0</v>
      </c>
      <c r="R38" s="474">
        <f>P38*Q38</f>
        <v>0</v>
      </c>
      <c r="S38" s="480"/>
      <c r="T38" s="471"/>
      <c r="U38" s="471"/>
      <c r="V38" s="471"/>
      <c r="W38" s="471"/>
      <c r="X38" s="471"/>
      <c r="Y38" s="337">
        <f>P38*SUM(T38:X38)</f>
        <v>0</v>
      </c>
      <c r="Z38" s="115"/>
      <c r="AA38" s="337">
        <f t="shared" si="1"/>
        <v>0</v>
      </c>
    </row>
    <row r="39" spans="1:27" x14ac:dyDescent="0.2">
      <c r="A39" s="372"/>
      <c r="B39" s="366"/>
      <c r="C39" s="494"/>
      <c r="D39" s="599"/>
      <c r="E39" s="433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337">
        <f t="shared" si="6"/>
        <v>0</v>
      </c>
      <c r="Q39" s="374">
        <f t="array" ref="Q39">IF(SUMIF($A$5:$A$10,B39,$Q$5:$Q$10)&gt;SUMIF($A$5:$A$10,A39,$Q$5:$Q$10),SUMIF($A$5:$A$10,B39,$Q$5:$Q$10)-SUMIF($A$5:$A$10,A39,$Q$5:$Q$10),SUMIF($A$5:$A$10,A39,$Q$5:$Q$10)-SUMIF($A$5:$A$10,B39,$Q$5:$Q$10))</f>
        <v>0</v>
      </c>
      <c r="R39" s="474">
        <f>P39*Q39</f>
        <v>0</v>
      </c>
      <c r="S39" s="480"/>
      <c r="T39" s="471"/>
      <c r="U39" s="471"/>
      <c r="V39" s="471"/>
      <c r="W39" s="471"/>
      <c r="X39" s="471"/>
      <c r="Y39" s="337">
        <f>P39*SUM(T39:X39)</f>
        <v>0</v>
      </c>
      <c r="Z39" s="115"/>
      <c r="AA39" s="337">
        <f t="shared" si="1"/>
        <v>0</v>
      </c>
    </row>
    <row r="40" spans="1:27" x14ac:dyDescent="0.2">
      <c r="A40" s="372"/>
      <c r="B40" s="366"/>
      <c r="C40" s="494"/>
      <c r="D40" s="599"/>
      <c r="E40" s="433"/>
      <c r="F40" s="433"/>
      <c r="G40" s="433"/>
      <c r="H40" s="433"/>
      <c r="I40" s="433"/>
      <c r="J40" s="433"/>
      <c r="K40" s="433"/>
      <c r="L40" s="433"/>
      <c r="M40" s="433"/>
      <c r="N40" s="433"/>
      <c r="O40" s="433"/>
      <c r="P40" s="337">
        <f t="shared" si="6"/>
        <v>0</v>
      </c>
      <c r="Q40" s="374">
        <f t="array" ref="Q40">IF(SUMIF($A$5:$A$10,B40,$Q$5:$Q$10)&gt;SUMIF($A$5:$A$10,A40,$Q$5:$Q$10),SUMIF($A$5:$A$10,B40,$Q$5:$Q$10)-SUMIF($A$5:$A$10,A40,$Q$5:$Q$10),SUMIF($A$5:$A$10,A40,$Q$5:$Q$10)-SUMIF($A$5:$A$10,B40,$Q$5:$Q$10))</f>
        <v>0</v>
      </c>
      <c r="R40" s="474">
        <f>P40*Q40</f>
        <v>0</v>
      </c>
      <c r="S40" s="480"/>
      <c r="T40" s="471"/>
      <c r="U40" s="471"/>
      <c r="V40" s="471"/>
      <c r="W40" s="471"/>
      <c r="X40" s="471"/>
      <c r="Y40" s="337">
        <f>P40*SUM(T40:X40)</f>
        <v>0</v>
      </c>
      <c r="Z40" s="115"/>
      <c r="AA40" s="337">
        <f t="shared" si="1"/>
        <v>0</v>
      </c>
    </row>
    <row r="41" spans="1:27" ht="10.8" thickBot="1" x14ac:dyDescent="0.25">
      <c r="A41" s="373"/>
      <c r="B41" s="367"/>
      <c r="C41" s="495"/>
      <c r="D41" s="600"/>
      <c r="E41" s="434"/>
      <c r="F41" s="434"/>
      <c r="G41" s="434"/>
      <c r="H41" s="434"/>
      <c r="I41" s="434"/>
      <c r="J41" s="434"/>
      <c r="K41" s="434"/>
      <c r="L41" s="434"/>
      <c r="M41" s="434"/>
      <c r="N41" s="434"/>
      <c r="O41" s="434"/>
      <c r="P41" s="338">
        <f t="shared" si="6"/>
        <v>0</v>
      </c>
      <c r="Q41" s="374">
        <f t="array" ref="Q41">IF(SUMIF($A$5:$A$10,B41,$Q$5:$Q$10)&gt;SUMIF($A$5:$A$10,A41,$Q$5:$Q$10),SUMIF($A$5:$A$10,B41,$Q$5:$Q$10)-SUMIF($A$5:$A$10,A41,$Q$5:$Q$10),SUMIF($A$5:$A$10,A41,$Q$5:$Q$10)-SUMIF($A$5:$A$10,B41,$Q$5:$Q$10))</f>
        <v>0</v>
      </c>
      <c r="R41" s="475">
        <f>P41*Q41</f>
        <v>0</v>
      </c>
      <c r="S41" s="481"/>
      <c r="T41" s="472"/>
      <c r="U41" s="472"/>
      <c r="V41" s="472"/>
      <c r="W41" s="472"/>
      <c r="X41" s="472"/>
      <c r="Y41" s="338">
        <f>P41*SUM(T41:X41)</f>
        <v>0</v>
      </c>
      <c r="Z41" s="115"/>
      <c r="AA41" s="338">
        <f t="shared" si="1"/>
        <v>0</v>
      </c>
    </row>
    <row r="42" spans="1:27" x14ac:dyDescent="0.2">
      <c r="A42" s="339" t="s">
        <v>88</v>
      </c>
      <c r="B42" s="339"/>
      <c r="C42" s="339"/>
      <c r="D42" s="339"/>
      <c r="E42" s="340">
        <f t="shared" ref="E42:P42" si="9">SUM(E17:E41)</f>
        <v>1</v>
      </c>
      <c r="F42" s="340">
        <f t="shared" ref="F42:I42" si="10">SUM(F17:F41)</f>
        <v>0</v>
      </c>
      <c r="G42" s="340">
        <f t="shared" si="10"/>
        <v>0</v>
      </c>
      <c r="H42" s="340">
        <f t="shared" si="10"/>
        <v>0</v>
      </c>
      <c r="I42" s="340">
        <f t="shared" si="10"/>
        <v>0</v>
      </c>
      <c r="J42" s="340">
        <f t="shared" si="9"/>
        <v>1</v>
      </c>
      <c r="K42" s="340">
        <f t="shared" ref="K42:O42" si="11">SUM(K17:K41)</f>
        <v>0</v>
      </c>
      <c r="L42" s="340">
        <f t="shared" si="11"/>
        <v>0</v>
      </c>
      <c r="M42" s="340">
        <f t="shared" si="11"/>
        <v>1</v>
      </c>
      <c r="N42" s="340">
        <f t="shared" si="11"/>
        <v>0</v>
      </c>
      <c r="O42" s="340">
        <f t="shared" si="11"/>
        <v>0</v>
      </c>
      <c r="P42" s="340">
        <f t="shared" si="9"/>
        <v>365</v>
      </c>
      <c r="R42" s="340"/>
      <c r="Z42" s="115"/>
    </row>
    <row r="43" spans="1:27" x14ac:dyDescent="0.2">
      <c r="A43" s="339" t="s">
        <v>431</v>
      </c>
      <c r="B43" s="339"/>
      <c r="C43" s="339"/>
      <c r="D43" s="339"/>
      <c r="E43" s="340">
        <f t="shared" ref="E43:O43" si="12">SUMPRODUCT($Q$17:$Q$41,E17:E41)*E52</f>
        <v>6936.0000000000009</v>
      </c>
      <c r="F43" s="340">
        <f t="shared" si="12"/>
        <v>0</v>
      </c>
      <c r="G43" s="340">
        <f t="shared" si="12"/>
        <v>0</v>
      </c>
      <c r="H43" s="340">
        <f t="shared" si="12"/>
        <v>0</v>
      </c>
      <c r="I43" s="340">
        <f t="shared" si="12"/>
        <v>0</v>
      </c>
      <c r="J43" s="340">
        <f t="shared" si="12"/>
        <v>1414.4</v>
      </c>
      <c r="K43" s="340">
        <f t="shared" si="12"/>
        <v>0</v>
      </c>
      <c r="L43" s="340">
        <f t="shared" si="12"/>
        <v>0</v>
      </c>
      <c r="M43" s="340">
        <f t="shared" si="12"/>
        <v>1577.6000000000001</v>
      </c>
      <c r="N43" s="340">
        <f t="shared" si="12"/>
        <v>0</v>
      </c>
      <c r="O43" s="340">
        <f t="shared" si="12"/>
        <v>0</v>
      </c>
      <c r="P43" s="340"/>
      <c r="R43" s="340">
        <f>SUM(R17:R41)</f>
        <v>9928.0000000000018</v>
      </c>
      <c r="T43" s="340">
        <f>SUMPRODUCT($P$17:$P$41,T17:T41)</f>
        <v>1460</v>
      </c>
      <c r="U43" s="340">
        <f>SUMPRODUCT($P$17:$P$41,U17:U41)</f>
        <v>365</v>
      </c>
      <c r="V43" s="340">
        <f>SUMPRODUCT($P$17:$P$41,V17:V41)</f>
        <v>0</v>
      </c>
      <c r="W43" s="340">
        <f>SUMPRODUCT($P$17:$P$41,W17:W41)</f>
        <v>0</v>
      </c>
      <c r="X43" s="340">
        <f>SUMPRODUCT($P$17:$P$41,X17:X41)</f>
        <v>0</v>
      </c>
      <c r="Y43" s="340">
        <f>SUM(Y17:Y41)</f>
        <v>1825</v>
      </c>
      <c r="Z43" s="115"/>
      <c r="AA43" s="340">
        <f>SUM(AA17:AA41)</f>
        <v>19856.000000000004</v>
      </c>
    </row>
    <row r="44" spans="1:27" x14ac:dyDescent="0.2">
      <c r="A44" s="328"/>
      <c r="S44" s="265" t="s">
        <v>91</v>
      </c>
      <c r="T44" s="491" cm="1">
        <f t="array" ref="T44">SUMPRODUCT(($S$17:$S$41=$S44)*$P$17:$P$41,T$17:T$41)</f>
        <v>1460</v>
      </c>
      <c r="U44" s="491" cm="1">
        <f t="array" ref="U44">SUMPRODUCT(($S$17:$S$41=$S44)*$P$17:$P$41,U$17:U$41)</f>
        <v>365</v>
      </c>
      <c r="V44" s="491" cm="1">
        <f t="array" ref="V44">SUMPRODUCT(($S$17:$S$41=$S44)*$P$17:$P$41,V$17:V$41)</f>
        <v>0</v>
      </c>
      <c r="W44" s="491" cm="1">
        <f t="array" ref="W44">SUMPRODUCT(($S$17:$S$41=$S44)*$P$17:$P$41,W$17:W$41)</f>
        <v>0</v>
      </c>
      <c r="X44" s="491" cm="1">
        <f t="array" ref="X44">SUMPRODUCT(($S$17:$S$41=$S44)*$P$17:$P$41,X$17:X$41)</f>
        <v>0</v>
      </c>
      <c r="Y44" s="492">
        <f>SUM(T44:X44)</f>
        <v>1825</v>
      </c>
    </row>
    <row r="45" spans="1:27" x14ac:dyDescent="0.2">
      <c r="A45" s="328"/>
      <c r="S45" s="265" t="s">
        <v>98</v>
      </c>
      <c r="T45" s="491" cm="1">
        <f t="array" ref="T45">SUMPRODUCT(($S$17:$S$41=$S45)*$P$17:$P$41,T$17:T$41)</f>
        <v>0</v>
      </c>
      <c r="U45" s="491" cm="1">
        <f t="array" ref="U45">SUMPRODUCT(($S$17:$S$41=$S45)*$P$17:$P$41,U$17:U$41)</f>
        <v>0</v>
      </c>
      <c r="V45" s="491" cm="1">
        <f t="array" ref="V45">SUMPRODUCT(($S$17:$S$41=$S45)*$P$17:$P$41,V$17:V$41)</f>
        <v>0</v>
      </c>
      <c r="W45" s="491" cm="1">
        <f t="array" ref="W45">SUMPRODUCT(($S$17:$S$41=$S45)*$P$17:$P$41,W$17:W$41)</f>
        <v>0</v>
      </c>
      <c r="X45" s="491" cm="1">
        <f t="array" ref="X45">SUMPRODUCT(($S$17:$S$41=$S45)*$P$17:$P$41,X$17:X$41)</f>
        <v>0</v>
      </c>
      <c r="Y45" s="492">
        <f>SUM(T45:X45)</f>
        <v>0</v>
      </c>
    </row>
    <row r="46" spans="1:27" x14ac:dyDescent="0.2">
      <c r="A46" s="328"/>
      <c r="S46" s="265" t="s">
        <v>100</v>
      </c>
      <c r="T46" s="491" cm="1">
        <f t="array" ref="T46">SUMPRODUCT(($S$17:$S$41=$S46)*$P$17:$P$41,T$17:T$41)</f>
        <v>0</v>
      </c>
      <c r="U46" s="491" cm="1">
        <f t="array" ref="U46">SUMPRODUCT(($S$17:$S$41=$S46)*$P$17:$P$41,U$17:U$41)</f>
        <v>0</v>
      </c>
      <c r="V46" s="491" cm="1">
        <f t="array" ref="V46">SUMPRODUCT(($S$17:$S$41=$S46)*$P$17:$P$41,V$17:V$41)</f>
        <v>0</v>
      </c>
      <c r="W46" s="491" cm="1">
        <f t="array" ref="W46">SUMPRODUCT(($S$17:$S$41=$S46)*$P$17:$P$41,W$17:W$41)</f>
        <v>0</v>
      </c>
      <c r="X46" s="491" cm="1">
        <f t="array" ref="X46">SUMPRODUCT(($S$17:$S$41=$S46)*$P$17:$P$41,X$17:X$41)</f>
        <v>0</v>
      </c>
      <c r="Y46" s="492">
        <f>SUM(T46:X46)</f>
        <v>0</v>
      </c>
    </row>
    <row r="47" spans="1:27" ht="18" x14ac:dyDescent="0.35">
      <c r="A47" s="257" t="s">
        <v>393</v>
      </c>
      <c r="B47" s="65"/>
      <c r="C47" s="65"/>
      <c r="D47" s="65"/>
      <c r="E47" s="65"/>
      <c r="F47" s="65"/>
      <c r="G47" s="65"/>
      <c r="H47" s="65"/>
      <c r="I47" s="65"/>
    </row>
    <row r="48" spans="1:27" x14ac:dyDescent="0.2">
      <c r="A48" s="117"/>
      <c r="S48" s="332" t="s">
        <v>219</v>
      </c>
      <c r="T48" s="464" t="s">
        <v>429</v>
      </c>
      <c r="U48" s="465"/>
      <c r="V48" s="465"/>
      <c r="W48" s="465"/>
      <c r="X48" s="466"/>
      <c r="Y48" s="332" t="s">
        <v>294</v>
      </c>
      <c r="AA48" s="332" t="s">
        <v>294</v>
      </c>
    </row>
    <row r="49" spans="1:30" x14ac:dyDescent="0.2">
      <c r="A49" s="329"/>
      <c r="B49" s="330"/>
      <c r="C49" s="330"/>
      <c r="D49" s="331"/>
      <c r="E49" s="662" t="s">
        <v>219</v>
      </c>
      <c r="F49" s="663"/>
      <c r="G49" s="663"/>
      <c r="H49" s="663"/>
      <c r="I49" s="663"/>
      <c r="J49" s="663"/>
      <c r="K49" s="663"/>
      <c r="L49" s="663"/>
      <c r="M49" s="663"/>
      <c r="N49" s="663"/>
      <c r="O49" s="664"/>
      <c r="P49" s="332" t="s">
        <v>88</v>
      </c>
      <c r="S49" s="332" t="s">
        <v>432</v>
      </c>
      <c r="T49" s="467"/>
      <c r="U49" s="468"/>
      <c r="V49" s="468"/>
      <c r="W49" s="468"/>
      <c r="X49" s="469"/>
      <c r="Y49" s="332" t="s">
        <v>303</v>
      </c>
      <c r="AA49" s="332" t="s">
        <v>443</v>
      </c>
    </row>
    <row r="50" spans="1:30" x14ac:dyDescent="0.2">
      <c r="A50" s="658" t="s">
        <v>232</v>
      </c>
      <c r="B50" s="333"/>
      <c r="C50" s="333"/>
      <c r="D50" s="341"/>
      <c r="E50" s="662" t="s">
        <v>245</v>
      </c>
      <c r="F50" s="663"/>
      <c r="G50" s="663"/>
      <c r="H50" s="663"/>
      <c r="I50" s="664"/>
      <c r="J50" s="665" t="s">
        <v>246</v>
      </c>
      <c r="K50" s="666"/>
      <c r="L50" s="667"/>
      <c r="M50" s="665" t="s">
        <v>247</v>
      </c>
      <c r="N50" s="666"/>
      <c r="O50" s="667"/>
      <c r="P50" s="332"/>
      <c r="S50" s="335" t="s">
        <v>433</v>
      </c>
      <c r="T50" s="335" t="s">
        <v>262</v>
      </c>
      <c r="U50" s="335" t="s">
        <v>427</v>
      </c>
      <c r="V50" s="335" t="s">
        <v>428</v>
      </c>
      <c r="W50" s="335" t="s">
        <v>265</v>
      </c>
      <c r="X50" s="335" t="s">
        <v>266</v>
      </c>
      <c r="Y50" s="335" t="s">
        <v>237</v>
      </c>
      <c r="AA50" s="335" t="s">
        <v>237</v>
      </c>
    </row>
    <row r="51" spans="1:30" ht="10.8" thickBot="1" x14ac:dyDescent="0.25">
      <c r="A51" s="659"/>
      <c r="B51" s="333"/>
      <c r="C51" s="333"/>
      <c r="D51" s="341"/>
      <c r="E51" s="334" t="str">
        <f>IF(E$16&lt;&gt;"",E$16,"")</f>
        <v>Standaard</v>
      </c>
      <c r="F51" s="334" t="str">
        <f t="shared" ref="F51:I51" si="13">IF(F$16&lt;&gt;"",F$16,"")</f>
        <v/>
      </c>
      <c r="G51" s="334" t="str">
        <f t="shared" si="13"/>
        <v/>
      </c>
      <c r="H51" s="334" t="str">
        <f t="shared" si="13"/>
        <v/>
      </c>
      <c r="I51" s="334" t="str">
        <f t="shared" si="13"/>
        <v/>
      </c>
      <c r="J51" s="334" t="s">
        <v>248</v>
      </c>
      <c r="K51" s="334" t="str">
        <f t="shared" ref="K51:L51" si="14">IF(K$16&lt;&gt;"",K$16,"")</f>
        <v/>
      </c>
      <c r="L51" s="334" t="str">
        <f t="shared" si="14"/>
        <v/>
      </c>
      <c r="M51" s="334" t="str">
        <f>IF(M$16&lt;&gt;"",M$16,"")</f>
        <v>Standaard</v>
      </c>
      <c r="N51" s="334" t="str">
        <f t="shared" ref="N51:O51" si="15">IF(N$16&lt;&gt;"",N$16,"")</f>
        <v/>
      </c>
      <c r="O51" s="334" t="str">
        <f t="shared" si="15"/>
        <v/>
      </c>
      <c r="P51" s="335"/>
      <c r="S51" s="333" t="s">
        <v>91</v>
      </c>
      <c r="T51" s="483">
        <f t="shared" ref="T51:X53" si="16">T44</f>
        <v>1460</v>
      </c>
      <c r="U51" s="484">
        <f t="shared" si="16"/>
        <v>365</v>
      </c>
      <c r="V51" s="484">
        <f t="shared" si="16"/>
        <v>0</v>
      </c>
      <c r="W51" s="484">
        <f t="shared" si="16"/>
        <v>0</v>
      </c>
      <c r="X51" s="485">
        <f t="shared" si="16"/>
        <v>0</v>
      </c>
      <c r="Y51" s="354">
        <f>SUM(T51:X51)</f>
        <v>1825</v>
      </c>
    </row>
    <row r="52" spans="1:30" x14ac:dyDescent="0.2">
      <c r="A52" s="342" t="s">
        <v>249</v>
      </c>
      <c r="B52" s="343"/>
      <c r="C52" s="343"/>
      <c r="D52" s="344"/>
      <c r="E52" s="345">
        <f>255</f>
        <v>255</v>
      </c>
      <c r="F52" s="623">
        <v>205</v>
      </c>
      <c r="G52" s="623"/>
      <c r="H52" s="623"/>
      <c r="I52" s="623"/>
      <c r="J52" s="345">
        <f>52</f>
        <v>52</v>
      </c>
      <c r="K52" s="623"/>
      <c r="L52" s="623"/>
      <c r="M52" s="345">
        <f>58</f>
        <v>58</v>
      </c>
      <c r="N52" s="623"/>
      <c r="O52" s="623"/>
      <c r="P52" s="346"/>
      <c r="S52" s="333" t="s">
        <v>98</v>
      </c>
      <c r="T52" s="486">
        <f t="shared" si="16"/>
        <v>0</v>
      </c>
      <c r="U52" s="27">
        <f t="shared" si="16"/>
        <v>0</v>
      </c>
      <c r="V52" s="27">
        <f t="shared" si="16"/>
        <v>0</v>
      </c>
      <c r="W52" s="27">
        <f t="shared" si="16"/>
        <v>0</v>
      </c>
      <c r="X52" s="487">
        <f t="shared" si="16"/>
        <v>0</v>
      </c>
      <c r="Y52" s="354">
        <f t="shared" ref="Y52:Y53" si="17">SUM(T52:X52)</f>
        <v>0</v>
      </c>
    </row>
    <row r="53" spans="1:30" ht="10.8" thickBot="1" x14ac:dyDescent="0.25">
      <c r="A53" s="347" t="s">
        <v>410</v>
      </c>
      <c r="B53" s="348"/>
      <c r="C53" s="348"/>
      <c r="D53" s="349"/>
      <c r="E53" s="350">
        <f t="shared" ref="E53:O53" si="18">SUMPRODUCT(E17:E41,$Q$17:$Q$41)*E$52</f>
        <v>6936.0000000000009</v>
      </c>
      <c r="F53" s="350">
        <f t="shared" si="18"/>
        <v>0</v>
      </c>
      <c r="G53" s="350">
        <f t="shared" si="18"/>
        <v>0</v>
      </c>
      <c r="H53" s="350">
        <f t="shared" si="18"/>
        <v>0</v>
      </c>
      <c r="I53" s="350">
        <f t="shared" si="18"/>
        <v>0</v>
      </c>
      <c r="J53" s="350">
        <f t="shared" si="18"/>
        <v>1414.4</v>
      </c>
      <c r="K53" s="350">
        <f t="shared" si="18"/>
        <v>0</v>
      </c>
      <c r="L53" s="350">
        <f t="shared" si="18"/>
        <v>0</v>
      </c>
      <c r="M53" s="350">
        <f t="shared" si="18"/>
        <v>1577.6000000000001</v>
      </c>
      <c r="N53" s="350">
        <f t="shared" si="18"/>
        <v>0</v>
      </c>
      <c r="O53" s="350">
        <f t="shared" si="18"/>
        <v>0</v>
      </c>
      <c r="P53" s="351">
        <f>SUM(E53:O53)</f>
        <v>9928.0000000000018</v>
      </c>
      <c r="S53" s="333" t="s">
        <v>100</v>
      </c>
      <c r="T53" s="488">
        <f t="shared" si="16"/>
        <v>0</v>
      </c>
      <c r="U53" s="489">
        <f t="shared" si="16"/>
        <v>0</v>
      </c>
      <c r="V53" s="489">
        <f t="shared" si="16"/>
        <v>0</v>
      </c>
      <c r="W53" s="489">
        <f t="shared" si="16"/>
        <v>0</v>
      </c>
      <c r="X53" s="490">
        <f t="shared" si="16"/>
        <v>0</v>
      </c>
      <c r="Y53" s="354">
        <f t="shared" si="17"/>
        <v>0</v>
      </c>
    </row>
    <row r="54" spans="1:30" x14ac:dyDescent="0.2">
      <c r="A54" s="352" t="s">
        <v>409</v>
      </c>
      <c r="B54" s="352"/>
      <c r="C54" s="352"/>
      <c r="D54" s="352"/>
      <c r="E54" s="353">
        <f t="shared" ref="E54:O54" si="19">SUMPRODUCT(E17:E41,$Q$17:$Q$41)</f>
        <v>27.200000000000003</v>
      </c>
      <c r="F54" s="353">
        <f t="shared" si="19"/>
        <v>0</v>
      </c>
      <c r="G54" s="353">
        <f t="shared" si="19"/>
        <v>0</v>
      </c>
      <c r="H54" s="353">
        <f t="shared" si="19"/>
        <v>0</v>
      </c>
      <c r="I54" s="353">
        <f t="shared" si="19"/>
        <v>0</v>
      </c>
      <c r="J54" s="353">
        <f t="shared" si="19"/>
        <v>27.200000000000003</v>
      </c>
      <c r="K54" s="353">
        <f t="shared" si="19"/>
        <v>0</v>
      </c>
      <c r="L54" s="353">
        <f t="shared" si="19"/>
        <v>0</v>
      </c>
      <c r="M54" s="353">
        <f t="shared" si="19"/>
        <v>27.200000000000003</v>
      </c>
      <c r="N54" s="353">
        <f t="shared" si="19"/>
        <v>0</v>
      </c>
      <c r="O54" s="353">
        <f t="shared" si="19"/>
        <v>0</v>
      </c>
      <c r="P54" s="354"/>
      <c r="S54" s="333" t="s">
        <v>88</v>
      </c>
      <c r="T54" s="482">
        <f t="shared" ref="T54:Y54" si="20">SUM(T51:T53)</f>
        <v>1460</v>
      </c>
      <c r="U54" s="482">
        <f t="shared" si="20"/>
        <v>365</v>
      </c>
      <c r="V54" s="482">
        <f t="shared" si="20"/>
        <v>0</v>
      </c>
      <c r="W54" s="482">
        <f t="shared" si="20"/>
        <v>0</v>
      </c>
      <c r="X54" s="482">
        <f t="shared" si="20"/>
        <v>0</v>
      </c>
      <c r="Y54" s="482">
        <f t="shared" si="20"/>
        <v>1825</v>
      </c>
      <c r="AA54" s="501">
        <f>AA43</f>
        <v>19856.000000000004</v>
      </c>
    </row>
    <row r="55" spans="1:30" x14ac:dyDescent="0.2">
      <c r="A55" s="339"/>
      <c r="B55" s="353"/>
      <c r="C55" s="353"/>
      <c r="E55" s="353"/>
      <c r="G55" s="353"/>
      <c r="H55" s="353"/>
      <c r="J55" s="353"/>
      <c r="M55" s="353"/>
    </row>
    <row r="56" spans="1:30" x14ac:dyDescent="0.2">
      <c r="T56" s="111"/>
      <c r="Y56" s="160"/>
      <c r="Z56" s="159"/>
      <c r="AA56" s="159"/>
      <c r="AB56" s="159"/>
      <c r="AC56" s="159"/>
      <c r="AD56" s="159"/>
    </row>
    <row r="57" spans="1:30" ht="18" x14ac:dyDescent="0.35">
      <c r="A57" s="257" t="s">
        <v>394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9" spans="1:30" x14ac:dyDescent="0.2">
      <c r="A59" s="117"/>
      <c r="E59" s="656" t="s">
        <v>251</v>
      </c>
      <c r="F59" s="657"/>
      <c r="G59" s="657"/>
      <c r="H59" s="657"/>
      <c r="I59" s="657"/>
      <c r="J59" s="657"/>
      <c r="K59" s="657"/>
      <c r="L59" s="657"/>
      <c r="M59" s="657"/>
      <c r="N59" s="657"/>
      <c r="O59" s="657"/>
      <c r="P59" s="657"/>
      <c r="Q59" s="657"/>
      <c r="R59" s="657"/>
      <c r="S59" s="657"/>
      <c r="T59" s="657"/>
    </row>
    <row r="60" spans="1:30" ht="12" x14ac:dyDescent="0.2">
      <c r="A60" s="355"/>
      <c r="B60" s="358"/>
      <c r="C60" s="358"/>
      <c r="D60" s="356" t="s">
        <v>250</v>
      </c>
      <c r="E60" s="359" t="s">
        <v>374</v>
      </c>
      <c r="F60" s="359">
        <v>2029</v>
      </c>
      <c r="G60" s="359">
        <v>2030</v>
      </c>
      <c r="H60" s="359">
        <v>2031</v>
      </c>
      <c r="I60" s="359" t="s">
        <v>376</v>
      </c>
      <c r="J60" s="359">
        <v>2033</v>
      </c>
      <c r="K60" s="359">
        <v>2034</v>
      </c>
      <c r="L60" s="359">
        <v>2035</v>
      </c>
      <c r="M60" s="359" t="s">
        <v>377</v>
      </c>
      <c r="N60" s="359">
        <v>2037</v>
      </c>
      <c r="O60" s="359">
        <v>2038</v>
      </c>
      <c r="P60" s="359">
        <v>2039</v>
      </c>
      <c r="Q60" s="359" t="s">
        <v>377</v>
      </c>
      <c r="R60" s="359">
        <v>2041</v>
      </c>
      <c r="S60" s="359">
        <v>2042</v>
      </c>
      <c r="T60" s="359" t="s">
        <v>375</v>
      </c>
    </row>
    <row r="61" spans="1:30" x14ac:dyDescent="0.2">
      <c r="A61" s="360" t="s">
        <v>245</v>
      </c>
      <c r="B61" s="360" t="str">
        <f>IF($E$16&lt;&gt;"",$E$16,"")</f>
        <v>Standaard</v>
      </c>
      <c r="C61" s="360"/>
      <c r="D61" s="361">
        <f>E54</f>
        <v>27.200000000000003</v>
      </c>
      <c r="E61" s="362">
        <f>13-E65</f>
        <v>13</v>
      </c>
      <c r="F61" s="361">
        <f>$E$52</f>
        <v>255</v>
      </c>
      <c r="G61" s="361">
        <f>$E$52</f>
        <v>255</v>
      </c>
      <c r="H61" s="361">
        <f>$E$52</f>
        <v>255</v>
      </c>
      <c r="I61" s="361">
        <f>$E$52+1</f>
        <v>256</v>
      </c>
      <c r="J61" s="361">
        <f>$E$52</f>
        <v>255</v>
      </c>
      <c r="K61" s="361">
        <f>$E$52</f>
        <v>255</v>
      </c>
      <c r="L61" s="361">
        <f>$E$52</f>
        <v>255</v>
      </c>
      <c r="M61" s="361">
        <f>$E$52+1</f>
        <v>256</v>
      </c>
      <c r="N61" s="361">
        <f>$E$52</f>
        <v>255</v>
      </c>
      <c r="O61" s="361">
        <f>$E$52</f>
        <v>255</v>
      </c>
      <c r="P61" s="361">
        <f>$E$52</f>
        <v>255</v>
      </c>
      <c r="Q61" s="361">
        <f>$E$52+1</f>
        <v>256</v>
      </c>
      <c r="R61" s="361">
        <f>$E$52</f>
        <v>255</v>
      </c>
      <c r="S61" s="361">
        <f>$E$52</f>
        <v>255</v>
      </c>
      <c r="T61" s="361">
        <f>238+4</f>
        <v>242</v>
      </c>
    </row>
    <row r="62" spans="1:30" x14ac:dyDescent="0.2">
      <c r="A62" s="360"/>
      <c r="B62" s="360" t="str">
        <f>IF($F$16&lt;&gt;"",$F$16,"")</f>
        <v/>
      </c>
      <c r="C62" s="673"/>
      <c r="D62" s="361">
        <f>F54</f>
        <v>0</v>
      </c>
      <c r="E62" s="671"/>
      <c r="F62" s="361">
        <f t="shared" ref="F62:S62" si="21">$F$52</f>
        <v>205</v>
      </c>
      <c r="G62" s="361">
        <f t="shared" si="21"/>
        <v>205</v>
      </c>
      <c r="H62" s="361">
        <f t="shared" si="21"/>
        <v>205</v>
      </c>
      <c r="I62" s="361">
        <f>$F$52+$C$62</f>
        <v>205</v>
      </c>
      <c r="J62" s="361">
        <f t="shared" si="21"/>
        <v>205</v>
      </c>
      <c r="K62" s="361">
        <f t="shared" si="21"/>
        <v>205</v>
      </c>
      <c r="L62" s="361">
        <f t="shared" si="21"/>
        <v>205</v>
      </c>
      <c r="M62" s="361">
        <f>$F$52+$C$62</f>
        <v>205</v>
      </c>
      <c r="N62" s="361">
        <f t="shared" si="21"/>
        <v>205</v>
      </c>
      <c r="O62" s="361">
        <f t="shared" si="21"/>
        <v>205</v>
      </c>
      <c r="P62" s="361">
        <f t="shared" si="21"/>
        <v>205</v>
      </c>
      <c r="Q62" s="361">
        <f>$F$52+$C$62</f>
        <v>205</v>
      </c>
      <c r="R62" s="361">
        <f t="shared" si="21"/>
        <v>205</v>
      </c>
      <c r="S62" s="361">
        <f t="shared" si="21"/>
        <v>205</v>
      </c>
      <c r="T62" s="672"/>
    </row>
    <row r="63" spans="1:30" x14ac:dyDescent="0.2">
      <c r="A63" s="360"/>
      <c r="B63" s="360" t="str">
        <f>IF($G$16&lt;&gt;"",$G$16,"")</f>
        <v/>
      </c>
      <c r="C63" s="673"/>
      <c r="D63" s="361">
        <f>G54</f>
        <v>0</v>
      </c>
      <c r="E63" s="671"/>
      <c r="F63" s="361">
        <f t="shared" ref="F63:S63" si="22">$G$52</f>
        <v>0</v>
      </c>
      <c r="G63" s="361">
        <f t="shared" si="22"/>
        <v>0</v>
      </c>
      <c r="H63" s="361">
        <f t="shared" si="22"/>
        <v>0</v>
      </c>
      <c r="I63" s="361">
        <f>$G$52+$C$63</f>
        <v>0</v>
      </c>
      <c r="J63" s="361">
        <f t="shared" si="22"/>
        <v>0</v>
      </c>
      <c r="K63" s="361">
        <f t="shared" si="22"/>
        <v>0</v>
      </c>
      <c r="L63" s="361">
        <f t="shared" si="22"/>
        <v>0</v>
      </c>
      <c r="M63" s="361">
        <f>$G$52+$C$63</f>
        <v>0</v>
      </c>
      <c r="N63" s="361">
        <f t="shared" si="22"/>
        <v>0</v>
      </c>
      <c r="O63" s="361">
        <f t="shared" si="22"/>
        <v>0</v>
      </c>
      <c r="P63" s="361">
        <f t="shared" si="22"/>
        <v>0</v>
      </c>
      <c r="Q63" s="361">
        <f>$G$52+$C$63</f>
        <v>0</v>
      </c>
      <c r="R63" s="361">
        <f t="shared" si="22"/>
        <v>0</v>
      </c>
      <c r="S63" s="361">
        <f t="shared" si="22"/>
        <v>0</v>
      </c>
      <c r="T63" s="672"/>
    </row>
    <row r="64" spans="1:30" x14ac:dyDescent="0.2">
      <c r="A64" s="360"/>
      <c r="B64" s="360" t="str">
        <f>IF($H$16&lt;&gt;"",$H$16,"")</f>
        <v/>
      </c>
      <c r="C64" s="673"/>
      <c r="D64" s="361">
        <f>H54</f>
        <v>0</v>
      </c>
      <c r="E64" s="671"/>
      <c r="F64" s="361">
        <f t="shared" ref="F64:S64" si="23">$H$52</f>
        <v>0</v>
      </c>
      <c r="G64" s="361">
        <f t="shared" si="23"/>
        <v>0</v>
      </c>
      <c r="H64" s="361">
        <f t="shared" si="23"/>
        <v>0</v>
      </c>
      <c r="I64" s="361">
        <f>$H$52+$C$64</f>
        <v>0</v>
      </c>
      <c r="J64" s="361">
        <f t="shared" si="23"/>
        <v>0</v>
      </c>
      <c r="K64" s="361">
        <f t="shared" si="23"/>
        <v>0</v>
      </c>
      <c r="L64" s="361">
        <f t="shared" si="23"/>
        <v>0</v>
      </c>
      <c r="M64" s="361">
        <f>$H$52+$C$64</f>
        <v>0</v>
      </c>
      <c r="N64" s="361">
        <f t="shared" si="23"/>
        <v>0</v>
      </c>
      <c r="O64" s="361">
        <f t="shared" si="23"/>
        <v>0</v>
      </c>
      <c r="P64" s="361">
        <f t="shared" si="23"/>
        <v>0</v>
      </c>
      <c r="Q64" s="361">
        <f>$H$52+$C$64</f>
        <v>0</v>
      </c>
      <c r="R64" s="361">
        <f t="shared" si="23"/>
        <v>0</v>
      </c>
      <c r="S64" s="361">
        <f t="shared" si="23"/>
        <v>0</v>
      </c>
      <c r="T64" s="672"/>
    </row>
    <row r="65" spans="1:25" x14ac:dyDescent="0.2">
      <c r="A65" s="360"/>
      <c r="B65" s="360" t="str">
        <f>IF($I$16&lt;&gt;"",$I$16,"")</f>
        <v/>
      </c>
      <c r="C65" s="673"/>
      <c r="D65" s="361">
        <f>I54</f>
        <v>0</v>
      </c>
      <c r="E65" s="671"/>
      <c r="F65" s="361">
        <f t="shared" ref="F65:S65" si="24">$I$52</f>
        <v>0</v>
      </c>
      <c r="G65" s="361">
        <f t="shared" si="24"/>
        <v>0</v>
      </c>
      <c r="H65" s="361">
        <f t="shared" si="24"/>
        <v>0</v>
      </c>
      <c r="I65" s="361">
        <f>$I$52+$C$65</f>
        <v>0</v>
      </c>
      <c r="J65" s="361">
        <f t="shared" si="24"/>
        <v>0</v>
      </c>
      <c r="K65" s="361">
        <f t="shared" si="24"/>
        <v>0</v>
      </c>
      <c r="L65" s="361">
        <f t="shared" si="24"/>
        <v>0</v>
      </c>
      <c r="M65" s="361">
        <f>$I$52+$C$65</f>
        <v>0</v>
      </c>
      <c r="N65" s="361">
        <f t="shared" si="24"/>
        <v>0</v>
      </c>
      <c r="O65" s="361">
        <f t="shared" si="24"/>
        <v>0</v>
      </c>
      <c r="P65" s="361">
        <f t="shared" si="24"/>
        <v>0</v>
      </c>
      <c r="Q65" s="361">
        <f>$I$52+$C$65</f>
        <v>0</v>
      </c>
      <c r="R65" s="361">
        <f t="shared" si="24"/>
        <v>0</v>
      </c>
      <c r="S65" s="361">
        <f t="shared" si="24"/>
        <v>0</v>
      </c>
      <c r="T65" s="672"/>
    </row>
    <row r="66" spans="1:25" x14ac:dyDescent="0.2">
      <c r="A66" s="360" t="s">
        <v>225</v>
      </c>
      <c r="B66" s="360" t="str">
        <f>IF($J$16&lt;&gt;"",$J$16,"")</f>
        <v>Standaard</v>
      </c>
      <c r="C66" s="360"/>
      <c r="D66" s="361">
        <f>J54</f>
        <v>27.200000000000003</v>
      </c>
      <c r="E66" s="362">
        <f>3-E68</f>
        <v>3</v>
      </c>
      <c r="F66" s="361">
        <f t="shared" ref="F66:S66" si="25">$J$52</f>
        <v>52</v>
      </c>
      <c r="G66" s="361">
        <f t="shared" si="25"/>
        <v>52</v>
      </c>
      <c r="H66" s="361">
        <f t="shared" si="25"/>
        <v>52</v>
      </c>
      <c r="I66" s="361">
        <f t="shared" si="25"/>
        <v>52</v>
      </c>
      <c r="J66" s="361">
        <f t="shared" si="25"/>
        <v>52</v>
      </c>
      <c r="K66" s="361">
        <f t="shared" si="25"/>
        <v>52</v>
      </c>
      <c r="L66" s="361">
        <f t="shared" si="25"/>
        <v>52</v>
      </c>
      <c r="M66" s="361">
        <f t="shared" si="25"/>
        <v>52</v>
      </c>
      <c r="N66" s="361">
        <f t="shared" si="25"/>
        <v>52</v>
      </c>
      <c r="O66" s="361">
        <f t="shared" si="25"/>
        <v>52</v>
      </c>
      <c r="P66" s="361">
        <f t="shared" si="25"/>
        <v>52</v>
      </c>
      <c r="Q66" s="361">
        <f t="shared" si="25"/>
        <v>52</v>
      </c>
      <c r="R66" s="361">
        <f t="shared" si="25"/>
        <v>52</v>
      </c>
      <c r="S66" s="361">
        <f t="shared" si="25"/>
        <v>52</v>
      </c>
      <c r="T66" s="361">
        <f>39+12</f>
        <v>51</v>
      </c>
    </row>
    <row r="67" spans="1:25" x14ac:dyDescent="0.2">
      <c r="A67" s="360"/>
      <c r="B67" s="360" t="str">
        <f>IF($K$16&lt;&gt;"",$K$16,"")</f>
        <v/>
      </c>
      <c r="C67" s="360"/>
      <c r="D67" s="361">
        <f>K54</f>
        <v>0</v>
      </c>
      <c r="E67" s="671"/>
      <c r="F67" s="361">
        <f t="shared" ref="F67:S67" si="26">$K$52</f>
        <v>0</v>
      </c>
      <c r="G67" s="361">
        <f t="shared" si="26"/>
        <v>0</v>
      </c>
      <c r="H67" s="361">
        <f t="shared" si="26"/>
        <v>0</v>
      </c>
      <c r="I67" s="361">
        <f t="shared" si="26"/>
        <v>0</v>
      </c>
      <c r="J67" s="361">
        <f t="shared" si="26"/>
        <v>0</v>
      </c>
      <c r="K67" s="361">
        <f t="shared" si="26"/>
        <v>0</v>
      </c>
      <c r="L67" s="361">
        <f t="shared" si="26"/>
        <v>0</v>
      </c>
      <c r="M67" s="361">
        <f t="shared" si="26"/>
        <v>0</v>
      </c>
      <c r="N67" s="361">
        <f t="shared" si="26"/>
        <v>0</v>
      </c>
      <c r="O67" s="361">
        <f t="shared" si="26"/>
        <v>0</v>
      </c>
      <c r="P67" s="361">
        <f t="shared" si="26"/>
        <v>0</v>
      </c>
      <c r="Q67" s="361">
        <f t="shared" si="26"/>
        <v>0</v>
      </c>
      <c r="R67" s="361">
        <f t="shared" si="26"/>
        <v>0</v>
      </c>
      <c r="S67" s="361">
        <f t="shared" si="26"/>
        <v>0</v>
      </c>
      <c r="T67" s="672"/>
    </row>
    <row r="68" spans="1:25" x14ac:dyDescent="0.2">
      <c r="A68" s="360"/>
      <c r="B68" s="360" t="str">
        <f>IF($L$16&lt;&gt;"",$L$16,"")</f>
        <v/>
      </c>
      <c r="C68" s="360"/>
      <c r="D68" s="361">
        <f>L54</f>
        <v>0</v>
      </c>
      <c r="E68" s="671"/>
      <c r="F68" s="361">
        <f t="shared" ref="F68:S68" si="27">$L$52</f>
        <v>0</v>
      </c>
      <c r="G68" s="361">
        <f t="shared" si="27"/>
        <v>0</v>
      </c>
      <c r="H68" s="361">
        <f t="shared" si="27"/>
        <v>0</v>
      </c>
      <c r="I68" s="361">
        <f t="shared" si="27"/>
        <v>0</v>
      </c>
      <c r="J68" s="361">
        <f t="shared" si="27"/>
        <v>0</v>
      </c>
      <c r="K68" s="361">
        <f t="shared" si="27"/>
        <v>0</v>
      </c>
      <c r="L68" s="361">
        <f t="shared" si="27"/>
        <v>0</v>
      </c>
      <c r="M68" s="361">
        <f t="shared" si="27"/>
        <v>0</v>
      </c>
      <c r="N68" s="361">
        <f t="shared" si="27"/>
        <v>0</v>
      </c>
      <c r="O68" s="361">
        <f t="shared" si="27"/>
        <v>0</v>
      </c>
      <c r="P68" s="361">
        <f t="shared" si="27"/>
        <v>0</v>
      </c>
      <c r="Q68" s="361">
        <f t="shared" si="27"/>
        <v>0</v>
      </c>
      <c r="R68" s="361">
        <f t="shared" si="27"/>
        <v>0</v>
      </c>
      <c r="S68" s="361">
        <f t="shared" si="27"/>
        <v>0</v>
      </c>
      <c r="T68" s="672"/>
    </row>
    <row r="69" spans="1:25" x14ac:dyDescent="0.2">
      <c r="A69" s="360" t="s">
        <v>226</v>
      </c>
      <c r="B69" s="360" t="str">
        <f>IF($M$16&lt;&gt;"",$M$16,"")</f>
        <v>Standaard</v>
      </c>
      <c r="C69" s="360"/>
      <c r="D69" s="361">
        <f>M54</f>
        <v>27.200000000000003</v>
      </c>
      <c r="E69" s="362">
        <f>6-E71</f>
        <v>6</v>
      </c>
      <c r="F69" s="361">
        <f t="shared" ref="F69:S69" si="28">$M$52</f>
        <v>58</v>
      </c>
      <c r="G69" s="361">
        <f t="shared" si="28"/>
        <v>58</v>
      </c>
      <c r="H69" s="361">
        <f t="shared" si="28"/>
        <v>58</v>
      </c>
      <c r="I69" s="361">
        <f t="shared" si="28"/>
        <v>58</v>
      </c>
      <c r="J69" s="361">
        <f t="shared" si="28"/>
        <v>58</v>
      </c>
      <c r="K69" s="361">
        <f t="shared" si="28"/>
        <v>58</v>
      </c>
      <c r="L69" s="361">
        <f t="shared" si="28"/>
        <v>58</v>
      </c>
      <c r="M69" s="361">
        <f t="shared" si="28"/>
        <v>58</v>
      </c>
      <c r="N69" s="361">
        <f t="shared" si="28"/>
        <v>58</v>
      </c>
      <c r="O69" s="361">
        <f t="shared" si="28"/>
        <v>58</v>
      </c>
      <c r="P69" s="361">
        <f t="shared" si="28"/>
        <v>58</v>
      </c>
      <c r="Q69" s="361">
        <f t="shared" si="28"/>
        <v>58</v>
      </c>
      <c r="R69" s="361">
        <f t="shared" si="28"/>
        <v>58</v>
      </c>
      <c r="S69" s="361">
        <f t="shared" si="28"/>
        <v>58</v>
      </c>
      <c r="T69" s="361">
        <f>44+9</f>
        <v>53</v>
      </c>
    </row>
    <row r="70" spans="1:25" x14ac:dyDescent="0.2">
      <c r="A70" s="360"/>
      <c r="B70" s="360" t="str">
        <f>IF($N$16&lt;&gt;"",$N$16,"")</f>
        <v/>
      </c>
      <c r="C70" s="360"/>
      <c r="D70" s="361">
        <f>N54</f>
        <v>0</v>
      </c>
      <c r="E70" s="671"/>
      <c r="F70" s="361">
        <f t="shared" ref="F70:S70" si="29">$N$52</f>
        <v>0</v>
      </c>
      <c r="G70" s="361">
        <f t="shared" si="29"/>
        <v>0</v>
      </c>
      <c r="H70" s="361">
        <f t="shared" si="29"/>
        <v>0</v>
      </c>
      <c r="I70" s="361">
        <f t="shared" si="29"/>
        <v>0</v>
      </c>
      <c r="J70" s="361">
        <f t="shared" si="29"/>
        <v>0</v>
      </c>
      <c r="K70" s="361">
        <f t="shared" si="29"/>
        <v>0</v>
      </c>
      <c r="L70" s="361">
        <f t="shared" si="29"/>
        <v>0</v>
      </c>
      <c r="M70" s="361">
        <f t="shared" si="29"/>
        <v>0</v>
      </c>
      <c r="N70" s="361">
        <f t="shared" si="29"/>
        <v>0</v>
      </c>
      <c r="O70" s="361">
        <f t="shared" si="29"/>
        <v>0</v>
      </c>
      <c r="P70" s="361">
        <f t="shared" si="29"/>
        <v>0</v>
      </c>
      <c r="Q70" s="361">
        <f t="shared" si="29"/>
        <v>0</v>
      </c>
      <c r="R70" s="361">
        <f t="shared" si="29"/>
        <v>0</v>
      </c>
      <c r="S70" s="361">
        <f t="shared" si="29"/>
        <v>0</v>
      </c>
      <c r="T70" s="672"/>
    </row>
    <row r="71" spans="1:25" ht="10.8" thickBot="1" x14ac:dyDescent="0.25">
      <c r="A71" s="360"/>
      <c r="B71" s="360" t="str">
        <f>IF($O$16&lt;&gt;"",$O$16,"")</f>
        <v/>
      </c>
      <c r="C71" s="360"/>
      <c r="D71" s="361">
        <f>O54</f>
        <v>0</v>
      </c>
      <c r="E71" s="671"/>
      <c r="F71" s="361">
        <f t="shared" ref="F71:S71" si="30">$O$52</f>
        <v>0</v>
      </c>
      <c r="G71" s="361">
        <f t="shared" si="30"/>
        <v>0</v>
      </c>
      <c r="H71" s="361">
        <f t="shared" si="30"/>
        <v>0</v>
      </c>
      <c r="I71" s="361">
        <f t="shared" si="30"/>
        <v>0</v>
      </c>
      <c r="J71" s="361">
        <f t="shared" si="30"/>
        <v>0</v>
      </c>
      <c r="K71" s="361">
        <f t="shared" si="30"/>
        <v>0</v>
      </c>
      <c r="L71" s="361">
        <f t="shared" si="30"/>
        <v>0</v>
      </c>
      <c r="M71" s="361">
        <f t="shared" si="30"/>
        <v>0</v>
      </c>
      <c r="N71" s="361">
        <f t="shared" si="30"/>
        <v>0</v>
      </c>
      <c r="O71" s="361">
        <f t="shared" si="30"/>
        <v>0</v>
      </c>
      <c r="P71" s="361">
        <f t="shared" si="30"/>
        <v>0</v>
      </c>
      <c r="Q71" s="361">
        <f t="shared" si="30"/>
        <v>0</v>
      </c>
      <c r="R71" s="361">
        <f t="shared" si="30"/>
        <v>0</v>
      </c>
      <c r="S71" s="361">
        <f t="shared" si="30"/>
        <v>0</v>
      </c>
      <c r="T71" s="672"/>
    </row>
    <row r="72" spans="1:25" ht="10.8" thickBot="1" x14ac:dyDescent="0.25">
      <c r="A72" s="660"/>
      <c r="B72" s="661"/>
      <c r="C72" s="460"/>
      <c r="D72" s="443"/>
      <c r="E72" s="444">
        <f>$D61*E61+$D62*E62+$D63*E63+$D64*E64+$D65*E65+$D66*E66+$D67*E67+$D68*E68+$D69*E69+$D70*E70+$D71*E71</f>
        <v>598.40000000000009</v>
      </c>
      <c r="F72" s="444">
        <f>$D61*F61+$D62*F62+$D63*F63+$D64*F64+$D65*F65+$D66*F66+$D67*F67+$D68*F68+$D69*F69+$D70*F70+$D71*F71</f>
        <v>9928.0000000000018</v>
      </c>
      <c r="G72" s="444">
        <f>$D61*G61+$D62*G62+$D63*G63+$D64*G64+$D65*G65+$D66*G66+$D67*G67+$D68*G68+$D69*G69+$D70*G70+$D71*G71</f>
        <v>9928.0000000000018</v>
      </c>
      <c r="H72" s="444">
        <f t="shared" ref="H72:T72" si="31">$D61*H61+$D62*H62+$D63*H63+$D64*H64+$D65*H65+$D66*H66+$D67*H67+$D68*H68+$D69*H69+$D70*H70+$D71*H71</f>
        <v>9928.0000000000018</v>
      </c>
      <c r="I72" s="444">
        <f t="shared" si="31"/>
        <v>9955.2000000000007</v>
      </c>
      <c r="J72" s="444">
        <f t="shared" si="31"/>
        <v>9928.0000000000018</v>
      </c>
      <c r="K72" s="444">
        <f t="shared" si="31"/>
        <v>9928.0000000000018</v>
      </c>
      <c r="L72" s="444">
        <f t="shared" si="31"/>
        <v>9928.0000000000018</v>
      </c>
      <c r="M72" s="444">
        <f t="shared" si="31"/>
        <v>9955.2000000000007</v>
      </c>
      <c r="N72" s="444">
        <f t="shared" si="31"/>
        <v>9928.0000000000018</v>
      </c>
      <c r="O72" s="444">
        <f t="shared" si="31"/>
        <v>9928.0000000000018</v>
      </c>
      <c r="P72" s="444">
        <f t="shared" si="31"/>
        <v>9928.0000000000018</v>
      </c>
      <c r="Q72" s="444">
        <f t="shared" si="31"/>
        <v>9955.2000000000007</v>
      </c>
      <c r="R72" s="444">
        <f t="shared" si="31"/>
        <v>9928.0000000000018</v>
      </c>
      <c r="S72" s="444">
        <f t="shared" si="31"/>
        <v>9928.0000000000018</v>
      </c>
      <c r="T72" s="445">
        <f t="shared" si="31"/>
        <v>9411.2000000000007</v>
      </c>
    </row>
    <row r="73" spans="1:25" ht="12" x14ac:dyDescent="0.2">
      <c r="A73" t="s">
        <v>392</v>
      </c>
    </row>
    <row r="74" spans="1:25" ht="12" x14ac:dyDescent="0.2">
      <c r="A74" s="292" t="s">
        <v>306</v>
      </c>
      <c r="Y74" s="115"/>
    </row>
    <row r="75" spans="1:25" ht="12" x14ac:dyDescent="0.2">
      <c r="A75" s="292"/>
      <c r="Y75" s="115"/>
    </row>
    <row r="76" spans="1:25" ht="15.6" x14ac:dyDescent="0.3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25" ht="15.6" x14ac:dyDescent="0.3">
      <c r="A77" s="102" t="s">
        <v>158</v>
      </c>
      <c r="B77" s="648"/>
      <c r="C77" s="649"/>
      <c r="D77" s="649"/>
      <c r="E77" s="649"/>
      <c r="F77" s="649"/>
      <c r="G77" s="649"/>
      <c r="H77" s="649"/>
      <c r="I77" s="649"/>
      <c r="J77" s="649"/>
      <c r="K77" s="649"/>
      <c r="L77" s="649"/>
      <c r="M77" s="649"/>
      <c r="N77" s="649"/>
      <c r="O77" s="649"/>
      <c r="P77" s="650"/>
    </row>
    <row r="78" spans="1:25" ht="78" x14ac:dyDescent="0.3">
      <c r="A78" s="100" t="s">
        <v>159</v>
      </c>
      <c r="B78" s="648"/>
      <c r="C78" s="649"/>
      <c r="D78" s="649"/>
      <c r="E78" s="649"/>
      <c r="F78" s="649"/>
      <c r="G78" s="649"/>
      <c r="H78" s="649"/>
      <c r="I78" s="649"/>
      <c r="J78" s="649"/>
      <c r="K78" s="649"/>
      <c r="L78" s="649"/>
      <c r="M78" s="649"/>
      <c r="N78" s="649"/>
      <c r="O78" s="649"/>
      <c r="P78" s="650"/>
    </row>
    <row r="79" spans="1:25" ht="15.6" x14ac:dyDescent="0.3">
      <c r="A79" s="101" t="s">
        <v>160</v>
      </c>
      <c r="B79" s="648"/>
      <c r="C79" s="649"/>
      <c r="D79" s="649"/>
      <c r="E79" s="649"/>
      <c r="F79" s="649"/>
      <c r="G79" s="649"/>
      <c r="H79" s="649"/>
      <c r="I79" s="649"/>
      <c r="J79" s="649"/>
      <c r="K79" s="649"/>
      <c r="L79" s="649"/>
      <c r="M79" s="649"/>
      <c r="N79" s="649"/>
      <c r="O79" s="649"/>
      <c r="P79" s="650"/>
    </row>
    <row r="80" spans="1:25" ht="78" x14ac:dyDescent="0.3">
      <c r="A80" s="100" t="s">
        <v>161</v>
      </c>
      <c r="B80" s="648"/>
      <c r="C80" s="649"/>
      <c r="D80" s="649"/>
      <c r="E80" s="649"/>
      <c r="F80" s="649"/>
      <c r="G80" s="649"/>
      <c r="H80" s="649"/>
      <c r="I80" s="649"/>
      <c r="J80" s="649"/>
      <c r="K80" s="649"/>
      <c r="L80" s="649"/>
      <c r="M80" s="649"/>
      <c r="N80" s="649"/>
      <c r="O80" s="649"/>
      <c r="P80" s="650"/>
    </row>
    <row r="81" spans="1:16" ht="15.6" x14ac:dyDescent="0.3">
      <c r="A81" s="100" t="s">
        <v>162</v>
      </c>
      <c r="B81" s="651"/>
      <c r="C81" s="652"/>
      <c r="D81" s="649"/>
      <c r="E81" s="649"/>
      <c r="F81" s="649"/>
      <c r="G81" s="649"/>
      <c r="H81" s="649"/>
      <c r="I81" s="649"/>
      <c r="J81" s="649"/>
      <c r="K81" s="649"/>
      <c r="L81" s="649"/>
      <c r="M81" s="649"/>
      <c r="N81" s="649"/>
      <c r="O81" s="649"/>
      <c r="P81" s="650"/>
    </row>
    <row r="82" spans="1:16" ht="15.6" x14ac:dyDescent="0.3">
      <c r="A82" s="65"/>
      <c r="B82" s="65"/>
      <c r="C82" s="65"/>
      <c r="D82" s="65"/>
      <c r="E82" s="65"/>
      <c r="F82" s="65"/>
      <c r="G82" s="65"/>
      <c r="H82" s="65"/>
      <c r="I82" s="65"/>
    </row>
    <row r="85" spans="1:16" x14ac:dyDescent="0.2">
      <c r="B85" s="99"/>
      <c r="C85" s="99"/>
      <c r="O85" s="98"/>
    </row>
    <row r="86" spans="1:16" x14ac:dyDescent="0.2">
      <c r="B86" s="99"/>
      <c r="C86" s="99"/>
      <c r="O86" s="98"/>
    </row>
    <row r="87" spans="1:16" x14ac:dyDescent="0.2">
      <c r="B87" s="99"/>
      <c r="C87" s="99"/>
    </row>
    <row r="88" spans="1:16" x14ac:dyDescent="0.2">
      <c r="B88" s="99"/>
      <c r="C88" s="99"/>
      <c r="O88" s="98"/>
    </row>
    <row r="89" spans="1:16" x14ac:dyDescent="0.2">
      <c r="B89" s="99"/>
      <c r="C89" s="99"/>
      <c r="O89" s="98"/>
    </row>
    <row r="90" spans="1:16" x14ac:dyDescent="0.2">
      <c r="B90" s="99"/>
      <c r="C90" s="99"/>
    </row>
    <row r="91" spans="1:16" x14ac:dyDescent="0.2">
      <c r="B91" s="99"/>
      <c r="C91" s="99"/>
      <c r="O91" s="98"/>
    </row>
    <row r="92" spans="1:16" x14ac:dyDescent="0.2">
      <c r="B92" s="99"/>
      <c r="C92" s="99"/>
      <c r="O92" s="98"/>
    </row>
    <row r="93" spans="1:16" x14ac:dyDescent="0.2">
      <c r="B93" s="99"/>
      <c r="C93" s="99"/>
      <c r="O93" s="98"/>
    </row>
    <row r="95" spans="1:16" x14ac:dyDescent="0.2">
      <c r="B95" s="97"/>
      <c r="C95" s="97"/>
    </row>
    <row r="103" spans="2:24" x14ac:dyDescent="0.2">
      <c r="B103" s="96"/>
      <c r="C103" s="96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P103" s="96"/>
      <c r="Q103" s="95"/>
      <c r="R103" s="95"/>
      <c r="S103" s="95"/>
      <c r="T103" s="95"/>
      <c r="U103" s="95"/>
      <c r="V103" s="95"/>
      <c r="W103" s="95"/>
      <c r="X103" s="95"/>
    </row>
    <row r="104" spans="2:24" x14ac:dyDescent="0.2"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P104" s="95"/>
      <c r="Q104" s="95"/>
      <c r="R104" s="95"/>
      <c r="S104" s="95"/>
      <c r="T104" s="95"/>
      <c r="U104" s="95"/>
      <c r="V104" s="95"/>
      <c r="W104" s="95"/>
      <c r="X104" s="95"/>
    </row>
    <row r="105" spans="2:24" x14ac:dyDescent="0.2"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P105" s="95"/>
      <c r="Q105" s="95"/>
      <c r="R105" s="95"/>
      <c r="S105" s="95"/>
      <c r="T105" s="95"/>
      <c r="U105" s="95"/>
      <c r="V105" s="95"/>
      <c r="W105" s="95"/>
      <c r="X105" s="95"/>
    </row>
    <row r="106" spans="2:24" x14ac:dyDescent="0.2"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P106" s="95"/>
      <c r="Q106" s="95"/>
      <c r="R106" s="95"/>
      <c r="S106" s="95"/>
      <c r="T106" s="95"/>
      <c r="U106" s="95"/>
      <c r="V106" s="95"/>
      <c r="W106" s="95"/>
      <c r="X106" s="95"/>
    </row>
    <row r="107" spans="2:24" x14ac:dyDescent="0.2"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P107" s="95"/>
      <c r="Q107" s="95"/>
      <c r="R107" s="95"/>
      <c r="S107" s="95"/>
      <c r="T107" s="95"/>
      <c r="U107" s="95"/>
      <c r="V107" s="95"/>
      <c r="W107" s="95"/>
      <c r="X107" s="95"/>
    </row>
    <row r="108" spans="2:24" x14ac:dyDescent="0.2"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P108" s="95"/>
      <c r="Q108" s="95"/>
      <c r="R108" s="95"/>
      <c r="S108" s="95"/>
      <c r="T108" s="95"/>
      <c r="U108" s="95"/>
      <c r="V108" s="95"/>
      <c r="W108" s="95"/>
      <c r="X108" s="95"/>
    </row>
    <row r="109" spans="2:24" x14ac:dyDescent="0.2"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P109" s="95"/>
      <c r="Q109" s="95"/>
      <c r="R109" s="95"/>
      <c r="S109" s="95"/>
      <c r="T109" s="95"/>
      <c r="U109" s="95"/>
      <c r="V109" s="95"/>
      <c r="W109" s="95"/>
      <c r="X109" s="95"/>
    </row>
    <row r="110" spans="2:24" x14ac:dyDescent="0.2"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P110" s="95"/>
      <c r="Q110" s="95"/>
      <c r="R110" s="95"/>
      <c r="S110" s="95"/>
      <c r="T110" s="95"/>
      <c r="U110" s="95"/>
      <c r="V110" s="95"/>
      <c r="W110" s="95"/>
      <c r="X110" s="95"/>
    </row>
    <row r="111" spans="2:24" x14ac:dyDescent="0.2"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P111" s="95"/>
      <c r="Q111" s="95"/>
      <c r="R111" s="95"/>
      <c r="S111" s="95"/>
      <c r="T111" s="95"/>
      <c r="U111" s="95"/>
      <c r="V111" s="95"/>
      <c r="W111" s="95"/>
      <c r="X111" s="95"/>
    </row>
    <row r="112" spans="2:24" x14ac:dyDescent="0.2"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P112" s="95"/>
      <c r="Q112" s="95"/>
      <c r="R112" s="95"/>
      <c r="S112" s="95"/>
      <c r="T112" s="95"/>
      <c r="U112" s="95"/>
      <c r="V112" s="95"/>
      <c r="W112" s="95"/>
      <c r="X112" s="95"/>
    </row>
    <row r="113" spans="2:24" x14ac:dyDescent="0.2"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P113" s="95"/>
      <c r="Q113" s="95"/>
      <c r="R113" s="95"/>
      <c r="S113" s="95"/>
      <c r="T113" s="95"/>
      <c r="U113" s="95"/>
      <c r="V113" s="95"/>
      <c r="W113" s="95"/>
      <c r="X113" s="95"/>
    </row>
    <row r="114" spans="2:24" x14ac:dyDescent="0.2"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P114" s="95"/>
      <c r="Q114" s="95"/>
      <c r="R114" s="95"/>
      <c r="S114" s="95"/>
      <c r="T114" s="95"/>
      <c r="U114" s="95"/>
      <c r="V114" s="95"/>
      <c r="W114" s="95"/>
      <c r="X114" s="95"/>
    </row>
    <row r="115" spans="2:24" x14ac:dyDescent="0.2"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P115" s="95"/>
      <c r="Q115" s="95"/>
      <c r="R115" s="95"/>
      <c r="S115" s="95"/>
      <c r="T115" s="95"/>
      <c r="U115" s="95"/>
      <c r="V115" s="95"/>
      <c r="W115" s="95"/>
      <c r="X115" s="95"/>
    </row>
    <row r="116" spans="2:24" x14ac:dyDescent="0.2"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P116" s="95"/>
      <c r="Q116" s="95"/>
      <c r="R116" s="95"/>
      <c r="S116" s="95"/>
      <c r="T116" s="95"/>
      <c r="U116" s="95"/>
      <c r="V116" s="95"/>
      <c r="W116" s="95"/>
      <c r="X116" s="95"/>
    </row>
    <row r="117" spans="2:24" x14ac:dyDescent="0.2"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P117" s="95"/>
      <c r="Q117" s="95"/>
      <c r="R117" s="95"/>
      <c r="S117" s="95"/>
      <c r="T117" s="95"/>
      <c r="U117" s="95"/>
      <c r="V117" s="95"/>
      <c r="W117" s="95"/>
      <c r="X117" s="95"/>
    </row>
    <row r="118" spans="2:24" x14ac:dyDescent="0.2"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P118" s="95"/>
      <c r="Q118" s="95"/>
      <c r="R118" s="95"/>
      <c r="S118" s="95"/>
      <c r="T118" s="95"/>
      <c r="U118" s="95"/>
      <c r="V118" s="95"/>
      <c r="W118" s="95"/>
      <c r="X118" s="95"/>
    </row>
  </sheetData>
  <mergeCells count="13">
    <mergeCell ref="A50:A51"/>
    <mergeCell ref="A72:B72"/>
    <mergeCell ref="E49:O49"/>
    <mergeCell ref="M50:O50"/>
    <mergeCell ref="J50:L50"/>
    <mergeCell ref="E50:I50"/>
    <mergeCell ref="B79:P79"/>
    <mergeCell ref="B80:P80"/>
    <mergeCell ref="B81:P81"/>
    <mergeCell ref="U1:W1"/>
    <mergeCell ref="B77:P77"/>
    <mergeCell ref="B78:P78"/>
    <mergeCell ref="E59:T59"/>
  </mergeCells>
  <phoneticPr fontId="19" type="noConversion"/>
  <dataValidations count="4">
    <dataValidation type="list" allowBlank="1" showInputMessage="1" showErrorMessage="1" sqref="G55:H55 J55 E55 M55" xr:uid="{7B0A8752-FCC8-4F26-B67E-9A6F3874DF37}">
      <formula1>"Ja,Nee"</formula1>
    </dataValidation>
    <dataValidation type="list" allowBlank="1" showInputMessage="1" showErrorMessage="1" sqref="A17:B41" xr:uid="{C11237EF-39AB-407A-89FC-9EF4839B87BB}">
      <formula1>$A$5:$A$10</formula1>
    </dataValidation>
    <dataValidation type="list" allowBlank="1" showInputMessage="1" showErrorMessage="1" sqref="S17:S41" xr:uid="{B434316E-2440-4AE6-BEEB-EFC61CEC8618}">
      <formula1>"A,B,C"</formula1>
    </dataValidation>
    <dataValidation type="list" allowBlank="1" showInputMessage="1" showErrorMessage="1" sqref="C62:C65" xr:uid="{F7CB6805-5435-4273-9F69-FE3DB676F7D1}">
      <formula1>"1,0"</formula1>
    </dataValidation>
  </dataValidations>
  <hyperlinks>
    <hyperlink ref="A2" location="FEO!A1" display="terug" xr:uid="{3B393034-F3A5-4441-863F-6A7B68208E1F}"/>
  </hyperlinks>
  <pageMargins left="0.7" right="0.7" top="0.75" bottom="0.75" header="0.3" footer="0.3"/>
  <pageSetup paperSize="9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EC70E-3E26-4337-81DD-7A1BB7D2AE76}">
  <sheetPr>
    <tabColor rgb="FF00B0F0"/>
  </sheetPr>
  <dimension ref="A1:AF205"/>
  <sheetViews>
    <sheetView workbookViewId="0"/>
  </sheetViews>
  <sheetFormatPr defaultRowHeight="10.199999999999999" x14ac:dyDescent="0.2"/>
  <cols>
    <col min="1" max="1" width="22.875" customWidth="1"/>
    <col min="2" max="2" width="13.875" customWidth="1"/>
    <col min="3" max="3" width="7.875" bestFit="1" customWidth="1"/>
    <col min="4" max="29" width="13.875" customWidth="1"/>
    <col min="30" max="30" width="10.875" customWidth="1"/>
    <col min="31" max="31" width="18" customWidth="1"/>
    <col min="32" max="34" width="19.125" customWidth="1"/>
    <col min="35" max="36" width="13.875" customWidth="1"/>
  </cols>
  <sheetData>
    <row r="1" spans="1:29" ht="16.2" x14ac:dyDescent="0.3">
      <c r="A1" s="51" t="s">
        <v>399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Y1" s="106" t="s">
        <v>83</v>
      </c>
      <c r="Z1" s="653" t="s">
        <v>84</v>
      </c>
      <c r="AA1" s="654"/>
      <c r="AB1" s="655"/>
    </row>
    <row r="2" spans="1:29" ht="15.6" x14ac:dyDescent="0.3">
      <c r="A2" s="56" t="s">
        <v>131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AA2" s="266" t="str">
        <f>FEO!AA1</f>
        <v>Versie</v>
      </c>
      <c r="AB2" s="274" t="str">
        <f>FEO!AA2</f>
        <v>NVI 5b</v>
      </c>
    </row>
    <row r="3" spans="1:29" ht="18" x14ac:dyDescent="0.3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AC3" s="171"/>
    </row>
    <row r="4" spans="1:29" x14ac:dyDescent="0.2">
      <c r="A4" s="117" t="s">
        <v>227</v>
      </c>
      <c r="B4" s="327"/>
      <c r="C4" s="327"/>
      <c r="T4" s="2" t="s">
        <v>389</v>
      </c>
      <c r="U4" s="368" t="s">
        <v>293</v>
      </c>
      <c r="V4" s="368"/>
      <c r="AC4" s="115"/>
    </row>
    <row r="5" spans="1:29" x14ac:dyDescent="0.2">
      <c r="A5" s="104" t="s">
        <v>400</v>
      </c>
      <c r="B5" s="327"/>
      <c r="C5" s="327"/>
      <c r="T5" t="s">
        <v>265</v>
      </c>
      <c r="U5" s="324">
        <v>0</v>
      </c>
      <c r="V5" s="272"/>
      <c r="AC5" s="115"/>
    </row>
    <row r="6" spans="1:29" x14ac:dyDescent="0.2">
      <c r="A6" s="104" t="s">
        <v>401</v>
      </c>
      <c r="B6" s="327"/>
      <c r="C6" s="327"/>
      <c r="T6" t="s">
        <v>427</v>
      </c>
      <c r="U6" s="325">
        <v>12.1</v>
      </c>
      <c r="V6" s="272"/>
      <c r="AC6" s="115"/>
    </row>
    <row r="7" spans="1:29" x14ac:dyDescent="0.2">
      <c r="A7" s="104" t="s">
        <v>402</v>
      </c>
      <c r="B7" s="327"/>
      <c r="C7" s="327"/>
      <c r="T7" t="s">
        <v>427</v>
      </c>
      <c r="U7" s="325">
        <v>23.1</v>
      </c>
      <c r="V7" s="272"/>
      <c r="AC7" s="115"/>
    </row>
    <row r="8" spans="1:29" x14ac:dyDescent="0.2">
      <c r="A8" s="104" t="s">
        <v>385</v>
      </c>
      <c r="B8" s="327"/>
      <c r="C8" s="327"/>
      <c r="T8" t="s">
        <v>262</v>
      </c>
      <c r="U8" s="325">
        <v>33.9</v>
      </c>
      <c r="V8" s="272"/>
      <c r="AC8" s="115"/>
    </row>
    <row r="9" spans="1:29" x14ac:dyDescent="0.2">
      <c r="A9" s="104" t="s">
        <v>384</v>
      </c>
      <c r="B9" s="327"/>
      <c r="C9" s="327"/>
      <c r="T9" t="s">
        <v>427</v>
      </c>
      <c r="U9" s="325">
        <v>42.3</v>
      </c>
      <c r="V9" s="272"/>
      <c r="AC9" s="115"/>
    </row>
    <row r="10" spans="1:29" x14ac:dyDescent="0.2">
      <c r="A10" s="104" t="s">
        <v>403</v>
      </c>
      <c r="B10" s="327"/>
      <c r="C10" s="327"/>
      <c r="T10" t="s">
        <v>262</v>
      </c>
      <c r="U10" s="325">
        <v>47.9</v>
      </c>
      <c r="V10" s="272"/>
      <c r="AC10" s="115"/>
    </row>
    <row r="11" spans="1:29" x14ac:dyDescent="0.2">
      <c r="A11" s="104" t="s">
        <v>404</v>
      </c>
      <c r="B11" s="327"/>
      <c r="C11" s="327"/>
      <c r="T11" t="s">
        <v>427</v>
      </c>
      <c r="U11" s="325">
        <v>55.4</v>
      </c>
      <c r="V11" s="272"/>
      <c r="AC11" s="115"/>
    </row>
    <row r="12" spans="1:29" x14ac:dyDescent="0.2">
      <c r="A12" s="104" t="s">
        <v>405</v>
      </c>
      <c r="B12" s="327"/>
      <c r="C12" s="327"/>
      <c r="T12" t="s">
        <v>262</v>
      </c>
      <c r="U12" s="325">
        <v>59.2</v>
      </c>
      <c r="V12" s="272"/>
      <c r="AC12" s="115"/>
    </row>
    <row r="13" spans="1:29" x14ac:dyDescent="0.2">
      <c r="A13" s="104" t="s">
        <v>406</v>
      </c>
      <c r="B13" s="327"/>
      <c r="C13" s="327"/>
      <c r="T13" t="s">
        <v>262</v>
      </c>
      <c r="U13" s="325">
        <v>66.3</v>
      </c>
      <c r="V13" s="272"/>
      <c r="AC13" s="115"/>
    </row>
    <row r="14" spans="1:29" x14ac:dyDescent="0.2">
      <c r="A14" s="104" t="s">
        <v>407</v>
      </c>
      <c r="B14" s="327"/>
      <c r="C14" s="327"/>
      <c r="T14" t="s">
        <v>262</v>
      </c>
      <c r="U14" s="325">
        <v>70.099999999999994</v>
      </c>
      <c r="V14" s="272"/>
      <c r="AC14" s="115"/>
    </row>
    <row r="15" spans="1:29" x14ac:dyDescent="0.2">
      <c r="A15" s="104" t="s">
        <v>408</v>
      </c>
      <c r="B15" s="327"/>
      <c r="C15" s="327"/>
      <c r="T15" t="s">
        <v>427</v>
      </c>
      <c r="U15" s="326">
        <v>75.400000000000006</v>
      </c>
      <c r="V15" s="272"/>
      <c r="AC15" s="115"/>
    </row>
    <row r="16" spans="1:29" x14ac:dyDescent="0.2">
      <c r="AC16" s="115"/>
    </row>
    <row r="17" spans="1:31" ht="18" x14ac:dyDescent="0.35">
      <c r="A17" s="257" t="s">
        <v>396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AC17" s="115"/>
    </row>
    <row r="18" spans="1:31" x14ac:dyDescent="0.2">
      <c r="A18" s="117"/>
      <c r="AC18" s="115"/>
    </row>
    <row r="19" spans="1:31" ht="15.6" x14ac:dyDescent="0.3">
      <c r="A19" s="446" t="s">
        <v>412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AC19" s="115"/>
    </row>
    <row r="20" spans="1:31" x14ac:dyDescent="0.2">
      <c r="A20" s="117"/>
      <c r="AC20" s="115"/>
    </row>
    <row r="21" spans="1:31" x14ac:dyDescent="0.2">
      <c r="A21" s="329" t="s">
        <v>304</v>
      </c>
      <c r="B21" s="330"/>
      <c r="C21" s="330"/>
      <c r="D21" s="330"/>
      <c r="E21" s="355" t="s">
        <v>219</v>
      </c>
      <c r="F21" s="358"/>
      <c r="G21" s="358"/>
      <c r="H21" s="358"/>
      <c r="I21" s="358"/>
      <c r="J21" s="358"/>
      <c r="K21" s="358"/>
      <c r="L21" s="358"/>
      <c r="M21" s="358"/>
      <c r="N21" s="358"/>
      <c r="O21" s="358"/>
      <c r="P21" s="358"/>
      <c r="Q21" s="358"/>
      <c r="R21" s="358"/>
      <c r="S21" s="430"/>
      <c r="T21" s="332" t="s">
        <v>294</v>
      </c>
      <c r="U21" s="332" t="s">
        <v>297</v>
      </c>
      <c r="V21" s="332" t="s">
        <v>299</v>
      </c>
      <c r="W21" s="332" t="s">
        <v>219</v>
      </c>
      <c r="X21" s="464" t="s">
        <v>429</v>
      </c>
      <c r="Y21" s="465"/>
      <c r="Z21" s="465"/>
      <c r="AA21" s="465"/>
      <c r="AB21" s="466"/>
      <c r="AC21" s="332" t="s">
        <v>294</v>
      </c>
      <c r="AE21" s="332" t="s">
        <v>442</v>
      </c>
    </row>
    <row r="22" spans="1:31" ht="10.199999999999999" customHeight="1" x14ac:dyDescent="0.2">
      <c r="A22" s="369" t="s">
        <v>232</v>
      </c>
      <c r="B22" s="333"/>
      <c r="C22" s="333"/>
      <c r="D22" s="333"/>
      <c r="E22" s="357" t="s">
        <v>245</v>
      </c>
      <c r="F22" s="357"/>
      <c r="G22" s="357"/>
      <c r="H22" s="357"/>
      <c r="I22" s="357"/>
      <c r="J22" s="357"/>
      <c r="K22" s="357"/>
      <c r="L22" s="357"/>
      <c r="M22" s="357"/>
      <c r="N22" s="624" t="s">
        <v>246</v>
      </c>
      <c r="O22" s="624"/>
      <c r="P22" s="624"/>
      <c r="Q22" s="624" t="s">
        <v>247</v>
      </c>
      <c r="R22" s="624"/>
      <c r="S22" s="624"/>
      <c r="T22" s="332" t="s">
        <v>295</v>
      </c>
      <c r="U22" s="332" t="s">
        <v>298</v>
      </c>
      <c r="V22" s="332" t="s">
        <v>300</v>
      </c>
      <c r="W22" s="332" t="s">
        <v>432</v>
      </c>
      <c r="X22" s="467"/>
      <c r="Y22" s="468"/>
      <c r="Z22" s="468"/>
      <c r="AA22" s="468"/>
      <c r="AB22" s="469"/>
      <c r="AC22" s="332" t="s">
        <v>303</v>
      </c>
      <c r="AE22" s="332" t="s">
        <v>301</v>
      </c>
    </row>
    <row r="23" spans="1:31" ht="10.8" thickBot="1" x14ac:dyDescent="0.25">
      <c r="A23" s="370" t="s">
        <v>89</v>
      </c>
      <c r="B23" s="333" t="s">
        <v>302</v>
      </c>
      <c r="C23" s="333" t="s">
        <v>440</v>
      </c>
      <c r="D23" s="333" t="s">
        <v>441</v>
      </c>
      <c r="E23" s="431" t="s">
        <v>248</v>
      </c>
      <c r="F23" s="621" t="s">
        <v>581</v>
      </c>
      <c r="G23" s="621" t="s">
        <v>582</v>
      </c>
      <c r="H23" s="621"/>
      <c r="I23" s="621"/>
      <c r="J23" s="621"/>
      <c r="K23" s="621"/>
      <c r="L23" s="621"/>
      <c r="M23" s="622"/>
      <c r="N23" s="334" t="s">
        <v>248</v>
      </c>
      <c r="O23" s="622"/>
      <c r="P23" s="622"/>
      <c r="Q23" s="334" t="s">
        <v>248</v>
      </c>
      <c r="R23" s="622"/>
      <c r="S23" s="622"/>
      <c r="T23" s="335"/>
      <c r="U23" s="335"/>
      <c r="V23" s="335" t="s">
        <v>301</v>
      </c>
      <c r="W23" s="335" t="s">
        <v>433</v>
      </c>
      <c r="X23" s="335" t="s">
        <v>262</v>
      </c>
      <c r="Y23" s="335" t="s">
        <v>427</v>
      </c>
      <c r="Z23" s="335" t="s">
        <v>428</v>
      </c>
      <c r="AA23" s="335" t="s">
        <v>265</v>
      </c>
      <c r="AB23" s="335" t="s">
        <v>266</v>
      </c>
      <c r="AC23" s="335" t="s">
        <v>237</v>
      </c>
      <c r="AE23" s="335"/>
    </row>
    <row r="24" spans="1:31" x14ac:dyDescent="0.2">
      <c r="A24" s="630" t="s">
        <v>400</v>
      </c>
      <c r="B24" s="631" t="s">
        <v>408</v>
      </c>
      <c r="C24" s="632">
        <v>4</v>
      </c>
      <c r="D24" s="633">
        <v>320</v>
      </c>
      <c r="E24" s="432">
        <v>18</v>
      </c>
      <c r="F24" s="432"/>
      <c r="G24" s="432"/>
      <c r="H24" s="432"/>
      <c r="I24" s="432"/>
      <c r="J24" s="432"/>
      <c r="K24" s="432"/>
      <c r="L24" s="432"/>
      <c r="M24" s="432"/>
      <c r="N24" s="432"/>
      <c r="O24" s="432"/>
      <c r="P24" s="432"/>
      <c r="Q24" s="432"/>
      <c r="R24" s="432"/>
      <c r="S24" s="432"/>
      <c r="T24" s="336">
        <f t="shared" ref="T24:T48" si="0">E24*$E$129+F24*$F$129+G24*$G$129+H24*$H$129+I24*$I$129+J24*$J$129+K24*$K$129+L24*$L$129+M24*$M$129+N24*$N$129+O24*$O$129+P24*$P$129+Q24*$Q$129+R24*$R$129+S24*$S$129</f>
        <v>4590</v>
      </c>
      <c r="U24" s="374">
        <f t="array" ref="U24">IF(SUMIF($A$5:$A$15,B24,$U$5:$U$15)&gt;SUMIF($A$5:$A$15,A24,$U$5:$U$15),SUMIF($A$5:$A$15,B24,$U$5:$U$15)-SUMIF($A$5:$A$15,A24,$U$5:$U$15),SUMIF($A$5:$A$15,A24,$U$5:$U$15)-SUMIF($A$5:$A$15,B24,$U$5:$U$15))</f>
        <v>75.400000000000006</v>
      </c>
      <c r="V24" s="476">
        <f t="shared" ref="V24:V48" si="1">T24*U24</f>
        <v>346086</v>
      </c>
      <c r="W24" s="479" t="s">
        <v>91</v>
      </c>
      <c r="X24" s="470">
        <v>5</v>
      </c>
      <c r="Y24" s="470">
        <v>5</v>
      </c>
      <c r="Z24" s="470"/>
      <c r="AA24" s="470"/>
      <c r="AB24" s="470"/>
      <c r="AC24" s="336">
        <f t="shared" ref="AC24:AC48" si="2">T24*SUM(X24:AB24)</f>
        <v>45900</v>
      </c>
      <c r="AE24" s="497">
        <f>V24*C24</f>
        <v>1384344</v>
      </c>
    </row>
    <row r="25" spans="1:31" x14ac:dyDescent="0.2">
      <c r="A25" s="366"/>
      <c r="B25" s="366"/>
      <c r="C25" s="494"/>
      <c r="D25" s="451"/>
      <c r="E25" s="433"/>
      <c r="F25" s="433"/>
      <c r="G25" s="433"/>
      <c r="H25" s="433"/>
      <c r="I25" s="433"/>
      <c r="J25" s="433"/>
      <c r="K25" s="433"/>
      <c r="L25" s="433"/>
      <c r="M25" s="433"/>
      <c r="N25" s="433"/>
      <c r="O25" s="433"/>
      <c r="P25" s="433"/>
      <c r="Q25" s="433"/>
      <c r="R25" s="433"/>
      <c r="S25" s="433"/>
      <c r="T25" s="337">
        <f t="shared" si="0"/>
        <v>0</v>
      </c>
      <c r="U25" s="374">
        <f t="array" ref="U25">IF(SUMIF($A$5:$A$15,B25,$U$5:$U$15)&gt;SUMIF($A$5:$A$15,A25,$U$5:$U$15),SUMIF($A$5:$A$15,B25,$U$5:$U$15)-SUMIF($A$5:$A$15,A25,$U$5:$U$15),SUMIF($A$5:$A$15,A25,$U$5:$U$15)-SUMIF($A$5:$A$15,B25,$U$5:$U$15))</f>
        <v>0</v>
      </c>
      <c r="V25" s="477">
        <f t="shared" si="1"/>
        <v>0</v>
      </c>
      <c r="W25" s="480"/>
      <c r="X25" s="471"/>
      <c r="Y25" s="471"/>
      <c r="Z25" s="471"/>
      <c r="AA25" s="471"/>
      <c r="AB25" s="471"/>
      <c r="AC25" s="337">
        <f t="shared" si="2"/>
        <v>0</v>
      </c>
      <c r="AE25" s="498">
        <f t="shared" ref="AE25:AE48" si="3">V25*C25</f>
        <v>0</v>
      </c>
    </row>
    <row r="26" spans="1:31" x14ac:dyDescent="0.2">
      <c r="A26" s="372"/>
      <c r="B26" s="366"/>
      <c r="C26" s="494"/>
      <c r="D26" s="451"/>
      <c r="E26" s="433"/>
      <c r="F26" s="433"/>
      <c r="G26" s="433"/>
      <c r="H26" s="433"/>
      <c r="I26" s="433"/>
      <c r="J26" s="433"/>
      <c r="K26" s="433"/>
      <c r="L26" s="433"/>
      <c r="M26" s="433"/>
      <c r="N26" s="433"/>
      <c r="O26" s="433"/>
      <c r="P26" s="433"/>
      <c r="Q26" s="433"/>
      <c r="R26" s="433"/>
      <c r="S26" s="433"/>
      <c r="T26" s="337">
        <f t="shared" si="0"/>
        <v>0</v>
      </c>
      <c r="U26" s="374">
        <f t="array" ref="U26">IF(SUMIF($A$5:$A$15,B26,$U$5:$U$15)&gt;SUMIF($A$5:$A$15,A26,$U$5:$U$15),SUMIF($A$5:$A$15,B26,$U$5:$U$15)-SUMIF($A$5:$A$15,A26,$U$5:$U$15),SUMIF($A$5:$A$15,A26,$U$5:$U$15)-SUMIF($A$5:$A$15,B26,$U$5:$U$15))</f>
        <v>0</v>
      </c>
      <c r="V26" s="477">
        <f t="shared" si="1"/>
        <v>0</v>
      </c>
      <c r="W26" s="480"/>
      <c r="X26" s="471"/>
      <c r="Y26" s="471"/>
      <c r="Z26" s="471"/>
      <c r="AA26" s="471"/>
      <c r="AB26" s="471"/>
      <c r="AC26" s="337">
        <f t="shared" si="2"/>
        <v>0</v>
      </c>
      <c r="AE26" s="498">
        <f t="shared" si="3"/>
        <v>0</v>
      </c>
    </row>
    <row r="27" spans="1:31" x14ac:dyDescent="0.2">
      <c r="A27" s="372"/>
      <c r="B27" s="366"/>
      <c r="C27" s="494"/>
      <c r="D27" s="451"/>
      <c r="E27" s="433"/>
      <c r="F27" s="433"/>
      <c r="G27" s="433"/>
      <c r="H27" s="433"/>
      <c r="I27" s="433"/>
      <c r="J27" s="433"/>
      <c r="K27" s="433"/>
      <c r="L27" s="433"/>
      <c r="M27" s="433"/>
      <c r="N27" s="433"/>
      <c r="O27" s="433"/>
      <c r="P27" s="433"/>
      <c r="Q27" s="433"/>
      <c r="R27" s="433"/>
      <c r="S27" s="433"/>
      <c r="T27" s="337">
        <f t="shared" si="0"/>
        <v>0</v>
      </c>
      <c r="U27" s="374">
        <f t="array" ref="U27">IF(SUMIF($A$5:$A$15,B27,$U$5:$U$15)&gt;SUMIF($A$5:$A$15,A27,$U$5:$U$15),SUMIF($A$5:$A$15,B27,$U$5:$U$15)-SUMIF($A$5:$A$15,A27,$U$5:$U$15),SUMIF($A$5:$A$15,A27,$U$5:$U$15)-SUMIF($A$5:$A$15,B27,$U$5:$U$15))</f>
        <v>0</v>
      </c>
      <c r="V27" s="477">
        <f t="shared" si="1"/>
        <v>0</v>
      </c>
      <c r="W27" s="480"/>
      <c r="X27" s="471"/>
      <c r="Y27" s="471"/>
      <c r="Z27" s="471"/>
      <c r="AA27" s="471"/>
      <c r="AB27" s="471"/>
      <c r="AC27" s="337">
        <f t="shared" si="2"/>
        <v>0</v>
      </c>
      <c r="AE27" s="498">
        <f t="shared" si="3"/>
        <v>0</v>
      </c>
    </row>
    <row r="28" spans="1:31" x14ac:dyDescent="0.2">
      <c r="A28" s="372"/>
      <c r="B28" s="366"/>
      <c r="C28" s="494"/>
      <c r="D28" s="451"/>
      <c r="E28" s="433"/>
      <c r="F28" s="433"/>
      <c r="G28" s="433"/>
      <c r="H28" s="433"/>
      <c r="I28" s="433"/>
      <c r="J28" s="433"/>
      <c r="K28" s="433"/>
      <c r="L28" s="433"/>
      <c r="M28" s="433"/>
      <c r="N28" s="433"/>
      <c r="O28" s="433"/>
      <c r="P28" s="433"/>
      <c r="Q28" s="433"/>
      <c r="R28" s="433"/>
      <c r="S28" s="433"/>
      <c r="T28" s="337">
        <f t="shared" si="0"/>
        <v>0</v>
      </c>
      <c r="U28" s="374">
        <f t="array" ref="U28">IF(SUMIF($A$5:$A$15,B28,$U$5:$U$15)&gt;SUMIF($A$5:$A$15,A28,$U$5:$U$15),SUMIF($A$5:$A$15,B28,$U$5:$U$15)-SUMIF($A$5:$A$15,A28,$U$5:$U$15),SUMIF($A$5:$A$15,A28,$U$5:$U$15)-SUMIF($A$5:$A$15,B28,$U$5:$U$15))</f>
        <v>0</v>
      </c>
      <c r="V28" s="477">
        <f t="shared" si="1"/>
        <v>0</v>
      </c>
      <c r="W28" s="480"/>
      <c r="X28" s="471"/>
      <c r="Y28" s="471"/>
      <c r="Z28" s="471"/>
      <c r="AA28" s="471"/>
      <c r="AB28" s="471"/>
      <c r="AC28" s="337">
        <f t="shared" si="2"/>
        <v>0</v>
      </c>
      <c r="AE28" s="498">
        <f t="shared" si="3"/>
        <v>0</v>
      </c>
    </row>
    <row r="29" spans="1:31" x14ac:dyDescent="0.2">
      <c r="A29" s="372"/>
      <c r="B29" s="366"/>
      <c r="C29" s="494"/>
      <c r="D29" s="451"/>
      <c r="E29" s="433"/>
      <c r="F29" s="433"/>
      <c r="G29" s="433"/>
      <c r="H29" s="433"/>
      <c r="I29" s="433"/>
      <c r="J29" s="433"/>
      <c r="K29" s="433"/>
      <c r="L29" s="433"/>
      <c r="M29" s="433"/>
      <c r="N29" s="433"/>
      <c r="O29" s="433"/>
      <c r="P29" s="433"/>
      <c r="Q29" s="433"/>
      <c r="R29" s="433"/>
      <c r="S29" s="433"/>
      <c r="T29" s="337">
        <f t="shared" si="0"/>
        <v>0</v>
      </c>
      <c r="U29" s="374">
        <f t="array" ref="U29">IF(SUMIF($A$5:$A$15,B29,$U$5:$U$15)&gt;SUMIF($A$5:$A$15,A29,$U$5:$U$15),SUMIF($A$5:$A$15,B29,$U$5:$U$15)-SUMIF($A$5:$A$15,A29,$U$5:$U$15),SUMIF($A$5:$A$15,A29,$U$5:$U$15)-SUMIF($A$5:$A$15,B29,$U$5:$U$15))</f>
        <v>0</v>
      </c>
      <c r="V29" s="477">
        <f t="shared" ref="V29:V37" si="4">T29*U29</f>
        <v>0</v>
      </c>
      <c r="W29" s="480"/>
      <c r="X29" s="471"/>
      <c r="Y29" s="471"/>
      <c r="Z29" s="471"/>
      <c r="AA29" s="471"/>
      <c r="AB29" s="471"/>
      <c r="AC29" s="337">
        <f t="shared" si="2"/>
        <v>0</v>
      </c>
      <c r="AE29" s="498">
        <f t="shared" si="3"/>
        <v>0</v>
      </c>
    </row>
    <row r="30" spans="1:31" x14ac:dyDescent="0.2">
      <c r="A30" s="372"/>
      <c r="B30" s="366"/>
      <c r="C30" s="494"/>
      <c r="D30" s="451"/>
      <c r="E30" s="433"/>
      <c r="F30" s="433"/>
      <c r="G30" s="433"/>
      <c r="H30" s="433"/>
      <c r="I30" s="433"/>
      <c r="J30" s="433"/>
      <c r="K30" s="433"/>
      <c r="L30" s="433"/>
      <c r="M30" s="433"/>
      <c r="N30" s="433"/>
      <c r="O30" s="433"/>
      <c r="P30" s="433"/>
      <c r="Q30" s="433"/>
      <c r="R30" s="433"/>
      <c r="S30" s="433"/>
      <c r="T30" s="337">
        <f t="shared" si="0"/>
        <v>0</v>
      </c>
      <c r="U30" s="374">
        <f t="array" ref="U30">IF(SUMIF($A$5:$A$15,B30,$U$5:$U$15)&gt;SUMIF($A$5:$A$15,A30,$U$5:$U$15),SUMIF($A$5:$A$15,B30,$U$5:$U$15)-SUMIF($A$5:$A$15,A30,$U$5:$U$15),SUMIF($A$5:$A$15,A30,$U$5:$U$15)-SUMIF($A$5:$A$15,B30,$U$5:$U$15))</f>
        <v>0</v>
      </c>
      <c r="V30" s="477">
        <f t="shared" si="4"/>
        <v>0</v>
      </c>
      <c r="W30" s="480"/>
      <c r="X30" s="471"/>
      <c r="Y30" s="471"/>
      <c r="Z30" s="471"/>
      <c r="AA30" s="471"/>
      <c r="AB30" s="471"/>
      <c r="AC30" s="337">
        <f t="shared" si="2"/>
        <v>0</v>
      </c>
      <c r="AE30" s="498">
        <f t="shared" si="3"/>
        <v>0</v>
      </c>
    </row>
    <row r="31" spans="1:31" x14ac:dyDescent="0.2">
      <c r="A31" s="372"/>
      <c r="B31" s="366"/>
      <c r="C31" s="494"/>
      <c r="D31" s="451"/>
      <c r="E31" s="433"/>
      <c r="F31" s="433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337">
        <f t="shared" si="0"/>
        <v>0</v>
      </c>
      <c r="U31" s="374">
        <f t="array" ref="U31">IF(SUMIF($A$5:$A$15,B31,$U$5:$U$15)&gt;SUMIF($A$5:$A$15,A31,$U$5:$U$15),SUMIF($A$5:$A$15,B31,$U$5:$U$15)-SUMIF($A$5:$A$15,A31,$U$5:$U$15),SUMIF($A$5:$A$15,A31,$U$5:$U$15)-SUMIF($A$5:$A$15,B31,$U$5:$U$15))</f>
        <v>0</v>
      </c>
      <c r="V31" s="477">
        <f t="shared" si="4"/>
        <v>0</v>
      </c>
      <c r="W31" s="480"/>
      <c r="X31" s="471"/>
      <c r="Y31" s="471"/>
      <c r="Z31" s="471"/>
      <c r="AA31" s="471"/>
      <c r="AB31" s="471"/>
      <c r="AC31" s="337">
        <f t="shared" si="2"/>
        <v>0</v>
      </c>
      <c r="AE31" s="498">
        <f t="shared" si="3"/>
        <v>0</v>
      </c>
    </row>
    <row r="32" spans="1:31" x14ac:dyDescent="0.2">
      <c r="A32" s="372"/>
      <c r="B32" s="366"/>
      <c r="C32" s="494"/>
      <c r="D32" s="451"/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433"/>
      <c r="P32" s="433"/>
      <c r="Q32" s="433"/>
      <c r="R32" s="433"/>
      <c r="S32" s="433"/>
      <c r="T32" s="337">
        <f t="shared" si="0"/>
        <v>0</v>
      </c>
      <c r="U32" s="374">
        <f t="array" ref="U32">IF(SUMIF($A$5:$A$15,B32,$U$5:$U$15)&gt;SUMIF($A$5:$A$15,A32,$U$5:$U$15),SUMIF($A$5:$A$15,B32,$U$5:$U$15)-SUMIF($A$5:$A$15,A32,$U$5:$U$15),SUMIF($A$5:$A$15,A32,$U$5:$U$15)-SUMIF($A$5:$A$15,B32,$U$5:$U$15))</f>
        <v>0</v>
      </c>
      <c r="V32" s="477">
        <f t="shared" si="4"/>
        <v>0</v>
      </c>
      <c r="W32" s="480"/>
      <c r="X32" s="471"/>
      <c r="Y32" s="471"/>
      <c r="Z32" s="471"/>
      <c r="AA32" s="471"/>
      <c r="AB32" s="471"/>
      <c r="AC32" s="337">
        <f t="shared" si="2"/>
        <v>0</v>
      </c>
      <c r="AE32" s="498">
        <f t="shared" si="3"/>
        <v>0</v>
      </c>
    </row>
    <row r="33" spans="1:31" x14ac:dyDescent="0.2">
      <c r="A33" s="372"/>
      <c r="B33" s="366"/>
      <c r="C33" s="494"/>
      <c r="D33" s="451"/>
      <c r="E33" s="433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Q33" s="433"/>
      <c r="R33" s="433"/>
      <c r="S33" s="433"/>
      <c r="T33" s="337">
        <f t="shared" si="0"/>
        <v>0</v>
      </c>
      <c r="U33" s="374">
        <f t="array" ref="U33">IF(SUMIF($A$5:$A$15,B33,$U$5:$U$15)&gt;SUMIF($A$5:$A$15,A33,$U$5:$U$15),SUMIF($A$5:$A$15,B33,$U$5:$U$15)-SUMIF($A$5:$A$15,A33,$U$5:$U$15),SUMIF($A$5:$A$15,A33,$U$5:$U$15)-SUMIF($A$5:$A$15,B33,$U$5:$U$15))</f>
        <v>0</v>
      </c>
      <c r="V33" s="477">
        <f t="shared" si="4"/>
        <v>0</v>
      </c>
      <c r="W33" s="480"/>
      <c r="X33" s="471"/>
      <c r="Y33" s="471"/>
      <c r="Z33" s="471"/>
      <c r="AA33" s="471"/>
      <c r="AB33" s="471"/>
      <c r="AC33" s="337">
        <f t="shared" si="2"/>
        <v>0</v>
      </c>
      <c r="AE33" s="498">
        <f t="shared" si="3"/>
        <v>0</v>
      </c>
    </row>
    <row r="34" spans="1:31" x14ac:dyDescent="0.2">
      <c r="A34" s="372"/>
      <c r="B34" s="366"/>
      <c r="C34" s="494"/>
      <c r="D34" s="451"/>
      <c r="E34" s="433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433"/>
      <c r="Q34" s="433"/>
      <c r="R34" s="433"/>
      <c r="S34" s="433"/>
      <c r="T34" s="337">
        <f t="shared" si="0"/>
        <v>0</v>
      </c>
      <c r="U34" s="374">
        <f t="array" ref="U34">IF(SUMIF($A$5:$A$15,B34,$U$5:$U$15)&gt;SUMIF($A$5:$A$15,A34,$U$5:$U$15),SUMIF($A$5:$A$15,B34,$U$5:$U$15)-SUMIF($A$5:$A$15,A34,$U$5:$U$15),SUMIF($A$5:$A$15,A34,$U$5:$U$15)-SUMIF($A$5:$A$15,B34,$U$5:$U$15))</f>
        <v>0</v>
      </c>
      <c r="V34" s="477">
        <f t="shared" si="4"/>
        <v>0</v>
      </c>
      <c r="W34" s="480"/>
      <c r="X34" s="471"/>
      <c r="Y34" s="471"/>
      <c r="Z34" s="471"/>
      <c r="AA34" s="471"/>
      <c r="AB34" s="471"/>
      <c r="AC34" s="337">
        <f t="shared" si="2"/>
        <v>0</v>
      </c>
      <c r="AE34" s="498">
        <f t="shared" si="3"/>
        <v>0</v>
      </c>
    </row>
    <row r="35" spans="1:31" x14ac:dyDescent="0.2">
      <c r="A35" s="372"/>
      <c r="B35" s="366"/>
      <c r="C35" s="494"/>
      <c r="D35" s="451"/>
      <c r="E35" s="433"/>
      <c r="F35" s="433"/>
      <c r="G35" s="433"/>
      <c r="H35" s="433"/>
      <c r="I35" s="433"/>
      <c r="J35" s="433"/>
      <c r="K35" s="433"/>
      <c r="L35" s="433"/>
      <c r="M35" s="433"/>
      <c r="N35" s="433"/>
      <c r="O35" s="433"/>
      <c r="P35" s="433"/>
      <c r="Q35" s="433"/>
      <c r="R35" s="433"/>
      <c r="S35" s="433"/>
      <c r="T35" s="337">
        <f t="shared" si="0"/>
        <v>0</v>
      </c>
      <c r="U35" s="374">
        <f t="array" ref="U35">IF(SUMIF($A$5:$A$15,B35,$U$5:$U$15)&gt;SUMIF($A$5:$A$15,A35,$U$5:$U$15),SUMIF($A$5:$A$15,B35,$U$5:$U$15)-SUMIF($A$5:$A$15,A35,$U$5:$U$15),SUMIF($A$5:$A$15,A35,$U$5:$U$15)-SUMIF($A$5:$A$15,B35,$U$5:$U$15))</f>
        <v>0</v>
      </c>
      <c r="V35" s="477">
        <f t="shared" si="4"/>
        <v>0</v>
      </c>
      <c r="W35" s="480"/>
      <c r="X35" s="471"/>
      <c r="Y35" s="471"/>
      <c r="Z35" s="471"/>
      <c r="AA35" s="471"/>
      <c r="AB35" s="471"/>
      <c r="AC35" s="337">
        <f t="shared" si="2"/>
        <v>0</v>
      </c>
      <c r="AE35" s="498">
        <f t="shared" si="3"/>
        <v>0</v>
      </c>
    </row>
    <row r="36" spans="1:31" x14ac:dyDescent="0.2">
      <c r="A36" s="372"/>
      <c r="B36" s="366"/>
      <c r="C36" s="494"/>
      <c r="D36" s="451"/>
      <c r="E36" s="433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433"/>
      <c r="Q36" s="433"/>
      <c r="R36" s="433"/>
      <c r="S36" s="433"/>
      <c r="T36" s="337">
        <f t="shared" si="0"/>
        <v>0</v>
      </c>
      <c r="U36" s="374">
        <f t="array" ref="U36">IF(SUMIF($A$5:$A$15,B36,$U$5:$U$15)&gt;SUMIF($A$5:$A$15,A36,$U$5:$U$15),SUMIF($A$5:$A$15,B36,$U$5:$U$15)-SUMIF($A$5:$A$15,A36,$U$5:$U$15),SUMIF($A$5:$A$15,A36,$U$5:$U$15)-SUMIF($A$5:$A$15,B36,$U$5:$U$15))</f>
        <v>0</v>
      </c>
      <c r="V36" s="477">
        <f t="shared" si="4"/>
        <v>0</v>
      </c>
      <c r="W36" s="480"/>
      <c r="X36" s="471"/>
      <c r="Y36" s="471"/>
      <c r="Z36" s="471"/>
      <c r="AA36" s="471"/>
      <c r="AB36" s="471"/>
      <c r="AC36" s="337">
        <f t="shared" si="2"/>
        <v>0</v>
      </c>
      <c r="AE36" s="498">
        <f t="shared" si="3"/>
        <v>0</v>
      </c>
    </row>
    <row r="37" spans="1:31" x14ac:dyDescent="0.2">
      <c r="A37" s="372"/>
      <c r="B37" s="366"/>
      <c r="C37" s="494"/>
      <c r="D37" s="451"/>
      <c r="E37" s="433"/>
      <c r="F37" s="433"/>
      <c r="G37" s="433"/>
      <c r="H37" s="433"/>
      <c r="I37" s="433"/>
      <c r="J37" s="433"/>
      <c r="K37" s="433"/>
      <c r="L37" s="433"/>
      <c r="M37" s="433"/>
      <c r="N37" s="433"/>
      <c r="O37" s="433"/>
      <c r="P37" s="433"/>
      <c r="Q37" s="433"/>
      <c r="R37" s="433"/>
      <c r="S37" s="433"/>
      <c r="T37" s="337">
        <f t="shared" si="0"/>
        <v>0</v>
      </c>
      <c r="U37" s="374">
        <f t="array" ref="U37">IF(SUMIF($A$5:$A$15,B37,$U$5:$U$15)&gt;SUMIF($A$5:$A$15,A37,$U$5:$U$15),SUMIF($A$5:$A$15,B37,$U$5:$U$15)-SUMIF($A$5:$A$15,A37,$U$5:$U$15),SUMIF($A$5:$A$15,A37,$U$5:$U$15)-SUMIF($A$5:$A$15,B37,$U$5:$U$15))</f>
        <v>0</v>
      </c>
      <c r="V37" s="477">
        <f t="shared" si="4"/>
        <v>0</v>
      </c>
      <c r="W37" s="480"/>
      <c r="X37" s="471"/>
      <c r="Y37" s="471"/>
      <c r="Z37" s="471"/>
      <c r="AA37" s="471"/>
      <c r="AB37" s="471"/>
      <c r="AC37" s="337">
        <f t="shared" si="2"/>
        <v>0</v>
      </c>
      <c r="AE37" s="498">
        <f t="shared" si="3"/>
        <v>0</v>
      </c>
    </row>
    <row r="38" spans="1:31" x14ac:dyDescent="0.2">
      <c r="A38" s="372"/>
      <c r="B38" s="366"/>
      <c r="C38" s="494"/>
      <c r="D38" s="451"/>
      <c r="E38" s="433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433"/>
      <c r="Q38" s="433"/>
      <c r="R38" s="433"/>
      <c r="S38" s="433"/>
      <c r="T38" s="337">
        <f t="shared" si="0"/>
        <v>0</v>
      </c>
      <c r="U38" s="374">
        <f t="array" ref="U38">IF(SUMIF($A$5:$A$15,B38,$U$5:$U$15)&gt;SUMIF($A$5:$A$15,A38,$U$5:$U$15),SUMIF($A$5:$A$15,B38,$U$5:$U$15)-SUMIF($A$5:$A$15,A38,$U$5:$U$15),SUMIF($A$5:$A$15,A38,$U$5:$U$15)-SUMIF($A$5:$A$15,B38,$U$5:$U$15))</f>
        <v>0</v>
      </c>
      <c r="V38" s="477">
        <f t="shared" si="1"/>
        <v>0</v>
      </c>
      <c r="W38" s="480"/>
      <c r="X38" s="471"/>
      <c r="Y38" s="471"/>
      <c r="Z38" s="471"/>
      <c r="AA38" s="471"/>
      <c r="AB38" s="471"/>
      <c r="AC38" s="337">
        <f t="shared" si="2"/>
        <v>0</v>
      </c>
      <c r="AE38" s="498">
        <f t="shared" si="3"/>
        <v>0</v>
      </c>
    </row>
    <row r="39" spans="1:31" x14ac:dyDescent="0.2">
      <c r="A39" s="372"/>
      <c r="B39" s="366"/>
      <c r="C39" s="494"/>
      <c r="D39" s="451"/>
      <c r="E39" s="433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433"/>
      <c r="Q39" s="433"/>
      <c r="R39" s="433"/>
      <c r="S39" s="433"/>
      <c r="T39" s="337">
        <f t="shared" si="0"/>
        <v>0</v>
      </c>
      <c r="U39" s="374">
        <f t="array" ref="U39">IF(SUMIF($A$5:$A$15,B39,$U$5:$U$15)&gt;SUMIF($A$5:$A$15,A39,$U$5:$U$15),SUMIF($A$5:$A$15,B39,$U$5:$U$15)-SUMIF($A$5:$A$15,A39,$U$5:$U$15),SUMIF($A$5:$A$15,A39,$U$5:$U$15)-SUMIF($A$5:$A$15,B39,$U$5:$U$15))</f>
        <v>0</v>
      </c>
      <c r="V39" s="477">
        <f t="shared" si="1"/>
        <v>0</v>
      </c>
      <c r="W39" s="480"/>
      <c r="X39" s="471"/>
      <c r="Y39" s="471"/>
      <c r="Z39" s="471"/>
      <c r="AA39" s="471"/>
      <c r="AB39" s="471"/>
      <c r="AC39" s="337">
        <f t="shared" si="2"/>
        <v>0</v>
      </c>
      <c r="AE39" s="498">
        <f t="shared" si="3"/>
        <v>0</v>
      </c>
    </row>
    <row r="40" spans="1:31" x14ac:dyDescent="0.2">
      <c r="A40" s="372"/>
      <c r="B40" s="366"/>
      <c r="C40" s="494"/>
      <c r="D40" s="451"/>
      <c r="E40" s="433"/>
      <c r="F40" s="433"/>
      <c r="G40" s="433"/>
      <c r="H40" s="433"/>
      <c r="I40" s="433"/>
      <c r="J40" s="433"/>
      <c r="K40" s="433"/>
      <c r="L40" s="433"/>
      <c r="M40" s="433"/>
      <c r="N40" s="433"/>
      <c r="O40" s="433"/>
      <c r="P40" s="433"/>
      <c r="Q40" s="433"/>
      <c r="R40" s="433"/>
      <c r="S40" s="433"/>
      <c r="T40" s="337">
        <f t="shared" si="0"/>
        <v>0</v>
      </c>
      <c r="U40" s="374">
        <f t="array" ref="U40">IF(SUMIF($A$5:$A$15,B40,$U$5:$U$15)&gt;SUMIF($A$5:$A$15,A40,$U$5:$U$15),SUMIF($A$5:$A$15,B40,$U$5:$U$15)-SUMIF($A$5:$A$15,A40,$U$5:$U$15),SUMIF($A$5:$A$15,A40,$U$5:$U$15)-SUMIF($A$5:$A$15,B40,$U$5:$U$15))</f>
        <v>0</v>
      </c>
      <c r="V40" s="477">
        <f t="shared" ref="V40:V41" si="5">T40*U40</f>
        <v>0</v>
      </c>
      <c r="W40" s="480"/>
      <c r="X40" s="471"/>
      <c r="Y40" s="471"/>
      <c r="Z40" s="471"/>
      <c r="AA40" s="471"/>
      <c r="AB40" s="471"/>
      <c r="AC40" s="337">
        <f t="shared" si="2"/>
        <v>0</v>
      </c>
      <c r="AE40" s="498">
        <f t="shared" si="3"/>
        <v>0</v>
      </c>
    </row>
    <row r="41" spans="1:31" x14ac:dyDescent="0.2">
      <c r="A41" s="372"/>
      <c r="B41" s="366"/>
      <c r="C41" s="494"/>
      <c r="D41" s="451"/>
      <c r="E41" s="433"/>
      <c r="F41" s="433"/>
      <c r="G41" s="433"/>
      <c r="H41" s="433"/>
      <c r="I41" s="433"/>
      <c r="J41" s="433"/>
      <c r="K41" s="433"/>
      <c r="L41" s="433"/>
      <c r="M41" s="433"/>
      <c r="N41" s="433"/>
      <c r="O41" s="433"/>
      <c r="P41" s="433"/>
      <c r="Q41" s="433"/>
      <c r="R41" s="433"/>
      <c r="S41" s="433"/>
      <c r="T41" s="337">
        <f t="shared" si="0"/>
        <v>0</v>
      </c>
      <c r="U41" s="374">
        <f t="array" ref="U41">IF(SUMIF($A$5:$A$15,B41,$U$5:$U$15)&gt;SUMIF($A$5:$A$15,A41,$U$5:$U$15),SUMIF($A$5:$A$15,B41,$U$5:$U$15)-SUMIF($A$5:$A$15,A41,$U$5:$U$15),SUMIF($A$5:$A$15,A41,$U$5:$U$15)-SUMIF($A$5:$A$15,B41,$U$5:$U$15))</f>
        <v>0</v>
      </c>
      <c r="V41" s="477">
        <f t="shared" si="5"/>
        <v>0</v>
      </c>
      <c r="W41" s="480"/>
      <c r="X41" s="471"/>
      <c r="Y41" s="471"/>
      <c r="Z41" s="471"/>
      <c r="AA41" s="471"/>
      <c r="AB41" s="471"/>
      <c r="AC41" s="337">
        <f t="shared" si="2"/>
        <v>0</v>
      </c>
      <c r="AE41" s="498">
        <f t="shared" si="3"/>
        <v>0</v>
      </c>
    </row>
    <row r="42" spans="1:31" x14ac:dyDescent="0.2">
      <c r="A42" s="372"/>
      <c r="B42" s="366"/>
      <c r="C42" s="494"/>
      <c r="D42" s="451"/>
      <c r="E42" s="433"/>
      <c r="F42" s="433"/>
      <c r="G42" s="433"/>
      <c r="H42" s="433"/>
      <c r="I42" s="433"/>
      <c r="J42" s="433"/>
      <c r="K42" s="433"/>
      <c r="L42" s="433"/>
      <c r="M42" s="433"/>
      <c r="N42" s="433"/>
      <c r="O42" s="433"/>
      <c r="P42" s="433"/>
      <c r="Q42" s="433"/>
      <c r="R42" s="433"/>
      <c r="S42" s="433"/>
      <c r="T42" s="337">
        <f t="shared" si="0"/>
        <v>0</v>
      </c>
      <c r="U42" s="374">
        <f t="array" ref="U42">IF(SUMIF($A$5:$A$15,B42,$U$5:$U$15)&gt;SUMIF($A$5:$A$15,A42,$U$5:$U$15),SUMIF($A$5:$A$15,B42,$U$5:$U$15)-SUMIF($A$5:$A$15,A42,$U$5:$U$15),SUMIF($A$5:$A$15,A42,$U$5:$U$15)-SUMIF($A$5:$A$15,B42,$U$5:$U$15))</f>
        <v>0</v>
      </c>
      <c r="V42" s="477">
        <f t="shared" si="1"/>
        <v>0</v>
      </c>
      <c r="W42" s="480"/>
      <c r="X42" s="471"/>
      <c r="Y42" s="471"/>
      <c r="Z42" s="471"/>
      <c r="AA42" s="471"/>
      <c r="AB42" s="471"/>
      <c r="AC42" s="337">
        <f t="shared" si="2"/>
        <v>0</v>
      </c>
      <c r="AE42" s="498">
        <f t="shared" si="3"/>
        <v>0</v>
      </c>
    </row>
    <row r="43" spans="1:31" x14ac:dyDescent="0.2">
      <c r="A43" s="372"/>
      <c r="B43" s="366"/>
      <c r="C43" s="494"/>
      <c r="D43" s="451"/>
      <c r="E43" s="433"/>
      <c r="F43" s="433"/>
      <c r="G43" s="433"/>
      <c r="H43" s="433"/>
      <c r="I43" s="433"/>
      <c r="J43" s="433"/>
      <c r="K43" s="433"/>
      <c r="L43" s="433"/>
      <c r="M43" s="433"/>
      <c r="N43" s="433"/>
      <c r="O43" s="433"/>
      <c r="P43" s="433"/>
      <c r="Q43" s="433"/>
      <c r="R43" s="433"/>
      <c r="S43" s="433"/>
      <c r="T43" s="337">
        <f t="shared" si="0"/>
        <v>0</v>
      </c>
      <c r="U43" s="374">
        <f t="array" ref="U43">IF(SUMIF($A$5:$A$15,B43,$U$5:$U$15)&gt;SUMIF($A$5:$A$15,A43,$U$5:$U$15),SUMIF($A$5:$A$15,B43,$U$5:$U$15)-SUMIF($A$5:$A$15,A43,$U$5:$U$15),SUMIF($A$5:$A$15,A43,$U$5:$U$15)-SUMIF($A$5:$A$15,B43,$U$5:$U$15))</f>
        <v>0</v>
      </c>
      <c r="V43" s="477">
        <f t="shared" si="1"/>
        <v>0</v>
      </c>
      <c r="W43" s="480"/>
      <c r="X43" s="471"/>
      <c r="Y43" s="471"/>
      <c r="Z43" s="471"/>
      <c r="AA43" s="471"/>
      <c r="AB43" s="471"/>
      <c r="AC43" s="337">
        <f t="shared" si="2"/>
        <v>0</v>
      </c>
      <c r="AE43" s="498">
        <f t="shared" si="3"/>
        <v>0</v>
      </c>
    </row>
    <row r="44" spans="1:31" x14ac:dyDescent="0.2">
      <c r="A44" s="372"/>
      <c r="B44" s="366"/>
      <c r="C44" s="494"/>
      <c r="D44" s="451"/>
      <c r="E44" s="433"/>
      <c r="F44" s="433"/>
      <c r="G44" s="433"/>
      <c r="H44" s="433"/>
      <c r="I44" s="433"/>
      <c r="J44" s="433"/>
      <c r="K44" s="433"/>
      <c r="L44" s="433"/>
      <c r="M44" s="433"/>
      <c r="N44" s="433"/>
      <c r="O44" s="433"/>
      <c r="P44" s="433"/>
      <c r="Q44" s="433"/>
      <c r="R44" s="433"/>
      <c r="S44" s="433"/>
      <c r="T44" s="337">
        <f t="shared" si="0"/>
        <v>0</v>
      </c>
      <c r="U44" s="374">
        <f t="array" ref="U44">IF(SUMIF($A$5:$A$15,B44,$U$5:$U$15)&gt;SUMIF($A$5:$A$15,A44,$U$5:$U$15),SUMIF($A$5:$A$15,B44,$U$5:$U$15)-SUMIF($A$5:$A$15,A44,$U$5:$U$15),SUMIF($A$5:$A$15,A44,$U$5:$U$15)-SUMIF($A$5:$A$15,B44,$U$5:$U$15))</f>
        <v>0</v>
      </c>
      <c r="V44" s="477">
        <f t="shared" si="1"/>
        <v>0</v>
      </c>
      <c r="W44" s="480"/>
      <c r="X44" s="471"/>
      <c r="Y44" s="471"/>
      <c r="Z44" s="471"/>
      <c r="AA44" s="471"/>
      <c r="AB44" s="471"/>
      <c r="AC44" s="337">
        <f t="shared" si="2"/>
        <v>0</v>
      </c>
      <c r="AE44" s="498">
        <f t="shared" si="3"/>
        <v>0</v>
      </c>
    </row>
    <row r="45" spans="1:31" x14ac:dyDescent="0.2">
      <c r="A45" s="372"/>
      <c r="B45" s="366"/>
      <c r="C45" s="494"/>
      <c r="D45" s="451"/>
      <c r="E45" s="433"/>
      <c r="F45" s="433"/>
      <c r="G45" s="433"/>
      <c r="H45" s="433"/>
      <c r="I45" s="433"/>
      <c r="J45" s="433"/>
      <c r="K45" s="433"/>
      <c r="L45" s="433"/>
      <c r="M45" s="433"/>
      <c r="N45" s="433"/>
      <c r="O45" s="433"/>
      <c r="P45" s="433"/>
      <c r="Q45" s="433"/>
      <c r="R45" s="433"/>
      <c r="S45" s="433"/>
      <c r="T45" s="337">
        <f t="shared" si="0"/>
        <v>0</v>
      </c>
      <c r="U45" s="374">
        <f t="array" ref="U45">IF(SUMIF($A$5:$A$15,B45,$U$5:$U$15)&gt;SUMIF($A$5:$A$15,A45,$U$5:$U$15),SUMIF($A$5:$A$15,B45,$U$5:$U$15)-SUMIF($A$5:$A$15,A45,$U$5:$U$15),SUMIF($A$5:$A$15,A45,$U$5:$U$15)-SUMIF($A$5:$A$15,B45,$U$5:$U$15))</f>
        <v>0</v>
      </c>
      <c r="V45" s="477">
        <f t="shared" si="1"/>
        <v>0</v>
      </c>
      <c r="W45" s="480"/>
      <c r="X45" s="471"/>
      <c r="Y45" s="471"/>
      <c r="Z45" s="471"/>
      <c r="AA45" s="471"/>
      <c r="AB45" s="471"/>
      <c r="AC45" s="337">
        <f t="shared" si="2"/>
        <v>0</v>
      </c>
      <c r="AE45" s="498">
        <f t="shared" si="3"/>
        <v>0</v>
      </c>
    </row>
    <row r="46" spans="1:31" x14ac:dyDescent="0.2">
      <c r="A46" s="372"/>
      <c r="B46" s="366"/>
      <c r="C46" s="494"/>
      <c r="D46" s="451"/>
      <c r="E46" s="433"/>
      <c r="F46" s="433"/>
      <c r="G46" s="433"/>
      <c r="H46" s="433"/>
      <c r="I46" s="433"/>
      <c r="J46" s="433"/>
      <c r="K46" s="433"/>
      <c r="L46" s="433"/>
      <c r="M46" s="433"/>
      <c r="N46" s="433"/>
      <c r="O46" s="433"/>
      <c r="P46" s="433"/>
      <c r="Q46" s="433"/>
      <c r="R46" s="433"/>
      <c r="S46" s="433"/>
      <c r="T46" s="337">
        <f t="shared" si="0"/>
        <v>0</v>
      </c>
      <c r="U46" s="374">
        <f t="array" ref="U46">IF(SUMIF($A$5:$A$15,B46,$U$5:$U$15)&gt;SUMIF($A$5:$A$15,A46,$U$5:$U$15),SUMIF($A$5:$A$15,B46,$U$5:$U$15)-SUMIF($A$5:$A$15,A46,$U$5:$U$15),SUMIF($A$5:$A$15,A46,$U$5:$U$15)-SUMIF($A$5:$A$15,B46,$U$5:$U$15))</f>
        <v>0</v>
      </c>
      <c r="V46" s="477">
        <f t="shared" si="1"/>
        <v>0</v>
      </c>
      <c r="W46" s="480"/>
      <c r="X46" s="471"/>
      <c r="Y46" s="471"/>
      <c r="Z46" s="471"/>
      <c r="AA46" s="471"/>
      <c r="AB46" s="471"/>
      <c r="AC46" s="337">
        <f t="shared" si="2"/>
        <v>0</v>
      </c>
      <c r="AE46" s="498">
        <f t="shared" si="3"/>
        <v>0</v>
      </c>
    </row>
    <row r="47" spans="1:31" x14ac:dyDescent="0.2">
      <c r="A47" s="372"/>
      <c r="B47" s="366"/>
      <c r="C47" s="494"/>
      <c r="D47" s="451"/>
      <c r="E47" s="433"/>
      <c r="F47" s="433"/>
      <c r="G47" s="433"/>
      <c r="H47" s="433"/>
      <c r="I47" s="433"/>
      <c r="J47" s="433"/>
      <c r="K47" s="433"/>
      <c r="L47" s="433"/>
      <c r="M47" s="433"/>
      <c r="N47" s="433"/>
      <c r="O47" s="433"/>
      <c r="P47" s="433"/>
      <c r="Q47" s="433"/>
      <c r="R47" s="433"/>
      <c r="S47" s="433"/>
      <c r="T47" s="337">
        <f t="shared" si="0"/>
        <v>0</v>
      </c>
      <c r="U47" s="374">
        <f t="array" ref="U47">IF(SUMIF($A$5:$A$15,B47,$U$5:$U$15)&gt;SUMIF($A$5:$A$15,A47,$U$5:$U$15),SUMIF($A$5:$A$15,B47,$U$5:$U$15)-SUMIF($A$5:$A$15,A47,$U$5:$U$15),SUMIF($A$5:$A$15,A47,$U$5:$U$15)-SUMIF($A$5:$A$15,B47,$U$5:$U$15))</f>
        <v>0</v>
      </c>
      <c r="V47" s="477">
        <f t="shared" si="1"/>
        <v>0</v>
      </c>
      <c r="W47" s="480"/>
      <c r="X47" s="471"/>
      <c r="Y47" s="471"/>
      <c r="Z47" s="471"/>
      <c r="AA47" s="471"/>
      <c r="AB47" s="471"/>
      <c r="AC47" s="337">
        <f t="shared" si="2"/>
        <v>0</v>
      </c>
      <c r="AE47" s="498">
        <f t="shared" si="3"/>
        <v>0</v>
      </c>
    </row>
    <row r="48" spans="1:31" ht="10.8" thickBot="1" x14ac:dyDescent="0.25">
      <c r="A48" s="373"/>
      <c r="B48" s="367"/>
      <c r="C48" s="495"/>
      <c r="D48" s="452"/>
      <c r="E48" s="434"/>
      <c r="F48" s="434"/>
      <c r="G48" s="434"/>
      <c r="H48" s="434"/>
      <c r="I48" s="434"/>
      <c r="J48" s="434"/>
      <c r="K48" s="434"/>
      <c r="L48" s="434"/>
      <c r="M48" s="434"/>
      <c r="N48" s="434"/>
      <c r="O48" s="434"/>
      <c r="P48" s="434"/>
      <c r="Q48" s="434"/>
      <c r="R48" s="434"/>
      <c r="S48" s="434"/>
      <c r="T48" s="338">
        <f t="shared" si="0"/>
        <v>0</v>
      </c>
      <c r="U48" s="374">
        <f t="array" ref="U48">IF(SUMIF($A$5:$A$15,B48,$U$5:$U$15)&gt;SUMIF($A$5:$A$15,A48,$U$5:$U$15),SUMIF($A$5:$A$15,B48,$U$5:$U$15)-SUMIF($A$5:$A$15,A48,$U$5:$U$15),SUMIF($A$5:$A$15,A48,$U$5:$U$15)-SUMIF($A$5:$A$15,B48,$U$5:$U$15))</f>
        <v>0</v>
      </c>
      <c r="V48" s="478">
        <f t="shared" si="1"/>
        <v>0</v>
      </c>
      <c r="W48" s="481"/>
      <c r="X48" s="472"/>
      <c r="Y48" s="472"/>
      <c r="Z48" s="472"/>
      <c r="AA48" s="472"/>
      <c r="AB48" s="472"/>
      <c r="AC48" s="338">
        <f t="shared" si="2"/>
        <v>0</v>
      </c>
      <c r="AE48" s="499">
        <f t="shared" si="3"/>
        <v>0</v>
      </c>
    </row>
    <row r="49" spans="1:31" x14ac:dyDescent="0.2">
      <c r="A49" s="339" t="s">
        <v>88</v>
      </c>
      <c r="B49" s="339"/>
      <c r="C49" s="339"/>
      <c r="E49" s="340">
        <f t="shared" ref="E49:S49" si="6">SUM(E24:E48)</f>
        <v>18</v>
      </c>
      <c r="F49" s="340">
        <f t="shared" si="6"/>
        <v>0</v>
      </c>
      <c r="G49" s="340">
        <f t="shared" si="6"/>
        <v>0</v>
      </c>
      <c r="H49" s="340">
        <f t="shared" si="6"/>
        <v>0</v>
      </c>
      <c r="I49" s="340">
        <f t="shared" si="6"/>
        <v>0</v>
      </c>
      <c r="J49" s="340">
        <f t="shared" si="6"/>
        <v>0</v>
      </c>
      <c r="K49" s="340">
        <f t="shared" si="6"/>
        <v>0</v>
      </c>
      <c r="L49" s="340">
        <f t="shared" si="6"/>
        <v>0</v>
      </c>
      <c r="M49" s="340">
        <f t="shared" si="6"/>
        <v>0</v>
      </c>
      <c r="N49" s="340">
        <f t="shared" si="6"/>
        <v>0</v>
      </c>
      <c r="O49" s="340">
        <f t="shared" si="6"/>
        <v>0</v>
      </c>
      <c r="P49" s="340">
        <f t="shared" si="6"/>
        <v>0</v>
      </c>
      <c r="Q49" s="340">
        <f t="shared" si="6"/>
        <v>0</v>
      </c>
      <c r="R49" s="340">
        <f t="shared" si="6"/>
        <v>0</v>
      </c>
      <c r="S49" s="340">
        <f t="shared" si="6"/>
        <v>0</v>
      </c>
      <c r="V49" s="340"/>
      <c r="X49" s="340"/>
      <c r="AE49" s="340"/>
    </row>
    <row r="50" spans="1:31" x14ac:dyDescent="0.2">
      <c r="A50" s="339" t="s">
        <v>431</v>
      </c>
      <c r="B50" s="339"/>
      <c r="C50" s="339"/>
      <c r="E50" s="340">
        <f>SUMPRODUCT($U$24:$U$48,E24:E48)*E$129</f>
        <v>346086</v>
      </c>
      <c r="F50" s="340">
        <f>SUMPRODUCT($U$24:$U$48,F24:F48)*F$129</f>
        <v>0</v>
      </c>
      <c r="G50" s="340">
        <f>SUMPRODUCT($U$24:$U$48,G24:G48)*G$129</f>
        <v>0</v>
      </c>
      <c r="H50" s="340">
        <f>SUMPRODUCT($U$24:$U$48,H24:H48)*H$129</f>
        <v>0</v>
      </c>
      <c r="I50" s="340">
        <f>SUMPRODUCT($U$24:$U$48,I24:I48)*I$129</f>
        <v>0</v>
      </c>
      <c r="J50" s="340">
        <f>SUMPRODUCT($U$24:$U$48,J24:J48)*J$129</f>
        <v>0</v>
      </c>
      <c r="K50" s="340">
        <f>SUMPRODUCT($U$24:$U$48,K24:K48)*K$129</f>
        <v>0</v>
      </c>
      <c r="L50" s="340">
        <f>SUMPRODUCT($U$24:$U$48,L24:L48)*L$129</f>
        <v>0</v>
      </c>
      <c r="M50" s="340">
        <f>SUMPRODUCT($U$24:$U$48,M24:M48)*M$129</f>
        <v>0</v>
      </c>
      <c r="N50" s="340">
        <f>SUMPRODUCT($U$24:$U$48,N24:N48)*N$129</f>
        <v>0</v>
      </c>
      <c r="O50" s="340">
        <f>SUMPRODUCT($U$24:$U$48,O24:O48)*O$129</f>
        <v>0</v>
      </c>
      <c r="P50" s="340">
        <f>SUMPRODUCT($U$24:$U$48,P24:P48)*P$129</f>
        <v>0</v>
      </c>
      <c r="Q50" s="340">
        <f>SUMPRODUCT($U$24:$U$48,Q24:Q48)*Q$129</f>
        <v>0</v>
      </c>
      <c r="R50" s="340">
        <f>SUMPRODUCT($U$24:$U$48,R24:R48)*R$129</f>
        <v>0</v>
      </c>
      <c r="S50" s="340">
        <f>SUMPRODUCT($U$24:$U$48,S24:S48)*S$129</f>
        <v>0</v>
      </c>
      <c r="T50" s="340">
        <f>SUMPRODUCT($U$24:$U$48,T24:T48)*T$129</f>
        <v>0</v>
      </c>
      <c r="V50" s="340">
        <f>SUM(V24:V48)</f>
        <v>346086</v>
      </c>
      <c r="W50" s="340"/>
      <c r="X50" s="340">
        <f>SUMPRODUCT($T$24:$T$48,X24:X48)</f>
        <v>22950</v>
      </c>
      <c r="Y50" s="340">
        <f>SUMPRODUCT($T$24:$T$48,Y24:Y48)</f>
        <v>22950</v>
      </c>
      <c r="Z50" s="340">
        <f>SUMPRODUCT($T$24:$T$48,Z24:Z48)</f>
        <v>0</v>
      </c>
      <c r="AA50" s="340">
        <f>SUMPRODUCT($T$24:$T$48,AA24:AA48)</f>
        <v>0</v>
      </c>
      <c r="AB50" s="340">
        <f>SUMPRODUCT($T$24:$T$48,AB24:AB48)</f>
        <v>0</v>
      </c>
      <c r="AC50" s="340">
        <f>SUM(AC24:AC48)</f>
        <v>45900</v>
      </c>
      <c r="AE50" s="340">
        <f>SUM(AE24:AE48)</f>
        <v>1384344</v>
      </c>
    </row>
    <row r="51" spans="1:31" x14ac:dyDescent="0.2">
      <c r="A51" s="339"/>
      <c r="B51" s="339"/>
      <c r="C51" s="339"/>
      <c r="E51" s="340"/>
      <c r="F51" s="340"/>
      <c r="G51" s="340"/>
      <c r="H51" s="340"/>
      <c r="I51" s="340"/>
      <c r="J51" s="340"/>
      <c r="K51" s="340"/>
      <c r="L51" s="340"/>
      <c r="M51" s="340"/>
      <c r="N51" s="340"/>
      <c r="O51" s="340"/>
      <c r="P51" s="340"/>
      <c r="Q51" s="340"/>
      <c r="R51" s="340"/>
      <c r="S51" s="340"/>
      <c r="T51" s="340"/>
      <c r="V51" s="340"/>
      <c r="W51" s="265" t="s">
        <v>91</v>
      </c>
      <c r="X51" s="483" cm="1">
        <f t="array" ref="X51">SUMPRODUCT(($W$24:$W$48=$W51)*$T$24:$T$48,X$24:X$48)</f>
        <v>22950</v>
      </c>
      <c r="Y51" s="484" cm="1">
        <f t="array" ref="Y51">SUMPRODUCT(($W$24:$W$48=$W51)*$T$24:$T$48,Y$24:Y$48)</f>
        <v>22950</v>
      </c>
      <c r="Z51" s="484" cm="1">
        <f t="array" ref="Z51">SUMPRODUCT(($W$24:$W$48=$W51)*$T$24:$T$48,Z$24:Z$48)</f>
        <v>0</v>
      </c>
      <c r="AA51" s="484" cm="1">
        <f t="array" ref="AA51">SUMPRODUCT(($W$24:$W$48=$W51)*$T$24:$T$48,AA$24:AA$48)</f>
        <v>0</v>
      </c>
      <c r="AB51" s="485" cm="1">
        <f t="array" ref="AB51">SUMPRODUCT(($W$24:$W$48=$W51)*$T$24:$T$48,AB$24:AB$48)</f>
        <v>0</v>
      </c>
      <c r="AC51" s="354">
        <f>SUM(X51:AB51)</f>
        <v>45900</v>
      </c>
    </row>
    <row r="52" spans="1:31" x14ac:dyDescent="0.2">
      <c r="A52" s="339"/>
      <c r="B52" s="339"/>
      <c r="C52" s="339"/>
      <c r="E52" s="340"/>
      <c r="F52" s="340"/>
      <c r="G52" s="340"/>
      <c r="H52" s="340"/>
      <c r="I52" s="340"/>
      <c r="J52" s="340"/>
      <c r="K52" s="340"/>
      <c r="L52" s="340"/>
      <c r="M52" s="340"/>
      <c r="N52" s="340"/>
      <c r="O52" s="340"/>
      <c r="P52" s="340"/>
      <c r="Q52" s="340"/>
      <c r="R52" s="340"/>
      <c r="S52" s="340"/>
      <c r="T52" s="340"/>
      <c r="V52" s="340"/>
      <c r="W52" s="265" t="s">
        <v>98</v>
      </c>
      <c r="X52" s="486" cm="1">
        <f t="array" ref="X52">SUMPRODUCT(($W$24:$W$48=$W52)*$T$24:$T$48,X$24:X$48)</f>
        <v>0</v>
      </c>
      <c r="Y52" s="27" cm="1">
        <f t="array" ref="Y52">SUMPRODUCT(($W$24:$W$48=$W52)*$T$24:$T$48,Y$24:Y$48)</f>
        <v>0</v>
      </c>
      <c r="Z52" s="27" cm="1">
        <f t="array" ref="Z52">SUMPRODUCT(($W$24:$W$48=$W52)*$T$24:$T$48,Z$24:Z$48)</f>
        <v>0</v>
      </c>
      <c r="AA52" s="27" cm="1">
        <f t="array" ref="AA52">SUMPRODUCT(($W$24:$W$48=$W52)*$T$24:$T$48,AA$24:AA$48)</f>
        <v>0</v>
      </c>
      <c r="AB52" s="487" cm="1">
        <f t="array" ref="AB52">SUMPRODUCT(($W$24:$W$48=$W52)*$T$24:$T$48,AB$24:AB$48)</f>
        <v>0</v>
      </c>
      <c r="AC52" s="354">
        <f t="shared" ref="AC52:AC53" si="7">SUM(X52:AB52)</f>
        <v>0</v>
      </c>
    </row>
    <row r="53" spans="1:31" x14ac:dyDescent="0.2">
      <c r="A53" s="328"/>
      <c r="W53" s="265" t="s">
        <v>100</v>
      </c>
      <c r="X53" s="488" cm="1">
        <f t="array" ref="X53">SUMPRODUCT(($W$24:$W$48=$W53)*$T$24:$T$48,X$24:X$48)</f>
        <v>0</v>
      </c>
      <c r="Y53" s="489" cm="1">
        <f t="array" ref="Y53">SUMPRODUCT(($W$24:$W$48=$W53)*$T$24:$T$48,Y$24:Y$48)</f>
        <v>0</v>
      </c>
      <c r="Z53" s="489" cm="1">
        <f t="array" ref="Z53">SUMPRODUCT(($W$24:$W$48=$W53)*$T$24:$T$48,Z$24:Z$48)</f>
        <v>0</v>
      </c>
      <c r="AA53" s="489" cm="1">
        <f t="array" ref="AA53">SUMPRODUCT(($W$24:$W$48=$W53)*$T$24:$T$48,AA$24:AA$48)</f>
        <v>0</v>
      </c>
      <c r="AB53" s="490" cm="1">
        <f t="array" ref="AB53">SUMPRODUCT(($W$24:$W$48=$W53)*$T$24:$T$48,AB$24:AB$48)</f>
        <v>0</v>
      </c>
      <c r="AC53" s="354">
        <f t="shared" si="7"/>
        <v>0</v>
      </c>
    </row>
    <row r="54" spans="1:31" ht="15.6" x14ac:dyDescent="0.3">
      <c r="A54" s="446" t="s">
        <v>411</v>
      </c>
      <c r="AC54" s="80"/>
    </row>
    <row r="55" spans="1:31" x14ac:dyDescent="0.2">
      <c r="A55" s="328"/>
    </row>
    <row r="56" spans="1:31" x14ac:dyDescent="0.2">
      <c r="A56" s="329" t="s">
        <v>304</v>
      </c>
      <c r="B56" s="330"/>
      <c r="C56" s="330"/>
      <c r="D56" s="330"/>
      <c r="E56" s="355" t="s">
        <v>219</v>
      </c>
      <c r="F56" s="358"/>
      <c r="G56" s="358"/>
      <c r="H56" s="358"/>
      <c r="I56" s="358"/>
      <c r="J56" s="358"/>
      <c r="K56" s="358"/>
      <c r="L56" s="358"/>
      <c r="M56" s="358"/>
      <c r="N56" s="358"/>
      <c r="O56" s="358"/>
      <c r="P56" s="358"/>
      <c r="Q56" s="358"/>
      <c r="R56" s="358"/>
      <c r="S56" s="430"/>
      <c r="T56" s="332" t="s">
        <v>294</v>
      </c>
      <c r="U56" s="332" t="s">
        <v>297</v>
      </c>
      <c r="V56" s="332" t="s">
        <v>299</v>
      </c>
      <c r="W56" s="332" t="s">
        <v>219</v>
      </c>
      <c r="X56" s="464" t="s">
        <v>429</v>
      </c>
      <c r="Y56" s="465"/>
      <c r="Z56" s="465"/>
      <c r="AA56" s="465"/>
      <c r="AB56" s="466"/>
      <c r="AC56" s="332" t="s">
        <v>294</v>
      </c>
      <c r="AE56" s="332" t="s">
        <v>442</v>
      </c>
    </row>
    <row r="57" spans="1:31" x14ac:dyDescent="0.2">
      <c r="A57" s="369"/>
      <c r="B57" s="333"/>
      <c r="C57" s="333"/>
      <c r="D57" s="333"/>
      <c r="E57" s="355" t="s">
        <v>245</v>
      </c>
      <c r="F57" s="358"/>
      <c r="G57" s="358"/>
      <c r="H57" s="358"/>
      <c r="I57" s="358"/>
      <c r="J57" s="358"/>
      <c r="K57" s="358"/>
      <c r="L57" s="358"/>
      <c r="M57" s="430"/>
      <c r="N57" s="428" t="s">
        <v>246</v>
      </c>
      <c r="O57" s="620"/>
      <c r="P57" s="429"/>
      <c r="Q57" s="428" t="s">
        <v>247</v>
      </c>
      <c r="R57" s="620"/>
      <c r="S57" s="429"/>
      <c r="T57" s="332" t="s">
        <v>295</v>
      </c>
      <c r="U57" s="332" t="s">
        <v>298</v>
      </c>
      <c r="V57" s="332" t="s">
        <v>300</v>
      </c>
      <c r="W57" s="332" t="s">
        <v>432</v>
      </c>
      <c r="X57" s="467"/>
      <c r="Y57" s="468"/>
      <c r="Z57" s="468"/>
      <c r="AA57" s="468"/>
      <c r="AB57" s="469"/>
      <c r="AC57" s="332" t="s">
        <v>303</v>
      </c>
      <c r="AE57" s="332" t="s">
        <v>301</v>
      </c>
    </row>
    <row r="58" spans="1:31" ht="10.8" thickBot="1" x14ac:dyDescent="0.25">
      <c r="A58" s="370" t="s">
        <v>89</v>
      </c>
      <c r="B58" s="333" t="s">
        <v>302</v>
      </c>
      <c r="C58" s="333" t="s">
        <v>440</v>
      </c>
      <c r="D58" s="333" t="s">
        <v>441</v>
      </c>
      <c r="E58" s="334" t="str">
        <f>IF(E$23&lt;&gt;"",E$23,"")</f>
        <v>Standaard</v>
      </c>
      <c r="F58" s="626" t="str">
        <f t="shared" ref="F58:S58" si="8">IF(F$23&lt;&gt;"",F$23,"")</f>
        <v>Vakantie</v>
      </c>
      <c r="G58" s="626" t="str">
        <f t="shared" si="8"/>
        <v>Niet-vakantie</v>
      </c>
      <c r="H58" s="626" t="str">
        <f t="shared" si="8"/>
        <v/>
      </c>
      <c r="I58" s="626" t="str">
        <f t="shared" si="8"/>
        <v/>
      </c>
      <c r="J58" s="626" t="str">
        <f t="shared" si="8"/>
        <v/>
      </c>
      <c r="K58" s="626" t="str">
        <f t="shared" si="8"/>
        <v/>
      </c>
      <c r="L58" s="626" t="str">
        <f t="shared" si="8"/>
        <v/>
      </c>
      <c r="M58" s="626" t="str">
        <f t="shared" si="8"/>
        <v/>
      </c>
      <c r="N58" s="626" t="str">
        <f t="shared" si="8"/>
        <v>Standaard</v>
      </c>
      <c r="O58" s="626" t="str">
        <f t="shared" si="8"/>
        <v/>
      </c>
      <c r="P58" s="626" t="str">
        <f t="shared" si="8"/>
        <v/>
      </c>
      <c r="Q58" s="626" t="str">
        <f t="shared" si="8"/>
        <v>Standaard</v>
      </c>
      <c r="R58" s="626" t="str">
        <f t="shared" si="8"/>
        <v/>
      </c>
      <c r="S58" s="626" t="str">
        <f t="shared" si="8"/>
        <v/>
      </c>
      <c r="T58" s="335" t="s">
        <v>296</v>
      </c>
      <c r="U58" s="335"/>
      <c r="V58" s="335" t="s">
        <v>301</v>
      </c>
      <c r="W58" s="335" t="s">
        <v>433</v>
      </c>
      <c r="X58" s="335" t="s">
        <v>262</v>
      </c>
      <c r="Y58" s="335" t="s">
        <v>427</v>
      </c>
      <c r="Z58" s="335" t="s">
        <v>428</v>
      </c>
      <c r="AA58" s="335" t="s">
        <v>265</v>
      </c>
      <c r="AB58" s="335" t="s">
        <v>266</v>
      </c>
      <c r="AC58" s="335" t="s">
        <v>237</v>
      </c>
      <c r="AE58" s="335"/>
    </row>
    <row r="59" spans="1:31" x14ac:dyDescent="0.2">
      <c r="A59" s="371"/>
      <c r="B59" s="365"/>
      <c r="C59" s="493"/>
      <c r="D59" s="447"/>
      <c r="E59" s="432"/>
      <c r="F59" s="625"/>
      <c r="G59" s="625"/>
      <c r="H59" s="625"/>
      <c r="I59" s="625"/>
      <c r="J59" s="625"/>
      <c r="K59" s="625"/>
      <c r="L59" s="625"/>
      <c r="M59" s="625"/>
      <c r="N59" s="625"/>
      <c r="O59" s="625"/>
      <c r="P59" s="625"/>
      <c r="Q59" s="625"/>
      <c r="R59" s="625"/>
      <c r="S59" s="625"/>
      <c r="T59" s="336">
        <f t="shared" ref="T59:T83" si="9">E59*$E$129+F59*$F$129+G59*$G$129+H59*$H$129+I59*$I$129+J59*$J$129+K59*$K$129+L59*$L$129+M59*$M$129+N59*$N$129+O59*$O$129+P59*$P$129+Q59*$Q$129+R59*$R$129+S59*$S$129</f>
        <v>0</v>
      </c>
      <c r="U59" s="374">
        <f t="array" ref="U59">IF(SUMIF($A$5:$A$15,B59,$U$5:$U$15)&gt;SUMIF($A$5:$A$15,A59,$U$5:$U$15),SUMIF($A$5:$A$15,B59,$U$5:$U$15)-SUMIF($A$5:$A$15,A59,$U$5:$U$15),SUMIF($A$5:$A$15,A59,$U$5:$U$15)-SUMIF($A$5:$A$15,B59,$U$5:$U$15))</f>
        <v>0</v>
      </c>
      <c r="V59" s="476">
        <f t="shared" ref="V59:V83" si="10">T59*U59</f>
        <v>0</v>
      </c>
      <c r="W59" s="479"/>
      <c r="X59" s="470"/>
      <c r="Y59" s="470"/>
      <c r="Z59" s="470"/>
      <c r="AA59" s="470"/>
      <c r="AB59" s="470"/>
      <c r="AC59" s="336">
        <f t="shared" ref="AC59:AC83" si="11">T59*SUM(X59:AB59)</f>
        <v>0</v>
      </c>
      <c r="AE59" s="497">
        <f t="shared" ref="AE59:AE83" si="12">V59*C59</f>
        <v>0</v>
      </c>
    </row>
    <row r="60" spans="1:31" x14ac:dyDescent="0.2">
      <c r="A60" s="372"/>
      <c r="B60" s="366"/>
      <c r="C60" s="494"/>
      <c r="D60" s="448"/>
      <c r="E60" s="433"/>
      <c r="F60" s="433"/>
      <c r="G60" s="433"/>
      <c r="H60" s="433"/>
      <c r="I60" s="433"/>
      <c r="J60" s="433"/>
      <c r="K60" s="433"/>
      <c r="L60" s="433"/>
      <c r="M60" s="433"/>
      <c r="N60" s="433"/>
      <c r="O60" s="433"/>
      <c r="P60" s="433"/>
      <c r="Q60" s="433"/>
      <c r="R60" s="433"/>
      <c r="S60" s="433"/>
      <c r="T60" s="337">
        <f t="shared" si="9"/>
        <v>0</v>
      </c>
      <c r="U60" s="374">
        <f t="array" ref="U60">IF(SUMIF($A$5:$A$15,B60,$U$5:$U$15)&gt;SUMIF($A$5:$A$15,A60,$U$5:$U$15),SUMIF($A$5:$A$15,B60,$U$5:$U$15)-SUMIF($A$5:$A$15,A60,$U$5:$U$15),SUMIF($A$5:$A$15,A60,$U$5:$U$15)-SUMIF($A$5:$A$15,B60,$U$5:$U$15))</f>
        <v>0</v>
      </c>
      <c r="V60" s="477">
        <f t="shared" si="10"/>
        <v>0</v>
      </c>
      <c r="W60" s="480"/>
      <c r="X60" s="471"/>
      <c r="Y60" s="471"/>
      <c r="Z60" s="471"/>
      <c r="AA60" s="471"/>
      <c r="AB60" s="471"/>
      <c r="AC60" s="337">
        <f t="shared" si="11"/>
        <v>0</v>
      </c>
      <c r="AE60" s="498">
        <f t="shared" si="12"/>
        <v>0</v>
      </c>
    </row>
    <row r="61" spans="1:31" x14ac:dyDescent="0.2">
      <c r="A61" s="372"/>
      <c r="B61" s="366"/>
      <c r="C61" s="494"/>
      <c r="D61" s="448"/>
      <c r="E61" s="433"/>
      <c r="F61" s="433"/>
      <c r="G61" s="433"/>
      <c r="H61" s="433"/>
      <c r="I61" s="433"/>
      <c r="J61" s="433"/>
      <c r="K61" s="433"/>
      <c r="L61" s="433"/>
      <c r="M61" s="433"/>
      <c r="N61" s="433"/>
      <c r="O61" s="433"/>
      <c r="P61" s="433"/>
      <c r="Q61" s="433"/>
      <c r="R61" s="433"/>
      <c r="S61" s="433"/>
      <c r="T61" s="337">
        <f t="shared" si="9"/>
        <v>0</v>
      </c>
      <c r="U61" s="374">
        <f t="array" ref="U61">IF(SUMIF($A$5:$A$15,B61,$U$5:$U$15)&gt;SUMIF($A$5:$A$15,A61,$U$5:$U$15),SUMIF($A$5:$A$15,B61,$U$5:$U$15)-SUMIF($A$5:$A$15,A61,$U$5:$U$15),SUMIF($A$5:$A$15,A61,$U$5:$U$15)-SUMIF($A$5:$A$15,B61,$U$5:$U$15))</f>
        <v>0</v>
      </c>
      <c r="V61" s="477">
        <f t="shared" si="10"/>
        <v>0</v>
      </c>
      <c r="W61" s="480"/>
      <c r="X61" s="471"/>
      <c r="Y61" s="471"/>
      <c r="Z61" s="471"/>
      <c r="AA61" s="471"/>
      <c r="AB61" s="471"/>
      <c r="AC61" s="337">
        <f t="shared" si="11"/>
        <v>0</v>
      </c>
      <c r="AE61" s="498">
        <f t="shared" si="12"/>
        <v>0</v>
      </c>
    </row>
    <row r="62" spans="1:31" x14ac:dyDescent="0.2">
      <c r="A62" s="372"/>
      <c r="B62" s="366"/>
      <c r="C62" s="494"/>
      <c r="D62" s="448"/>
      <c r="E62" s="433"/>
      <c r="F62" s="433"/>
      <c r="G62" s="433"/>
      <c r="H62" s="433"/>
      <c r="I62" s="433"/>
      <c r="J62" s="433"/>
      <c r="K62" s="433"/>
      <c r="L62" s="433"/>
      <c r="M62" s="433"/>
      <c r="N62" s="433"/>
      <c r="O62" s="433"/>
      <c r="P62" s="433"/>
      <c r="Q62" s="433"/>
      <c r="R62" s="433"/>
      <c r="S62" s="433"/>
      <c r="T62" s="337">
        <f t="shared" si="9"/>
        <v>0</v>
      </c>
      <c r="U62" s="374">
        <f t="array" ref="U62">IF(SUMIF($A$5:$A$15,B62,$U$5:$U$15)&gt;SUMIF($A$5:$A$15,A62,$U$5:$U$15),SUMIF($A$5:$A$15,B62,$U$5:$U$15)-SUMIF($A$5:$A$15,A62,$U$5:$U$15),SUMIF($A$5:$A$15,A62,$U$5:$U$15)-SUMIF($A$5:$A$15,B62,$U$5:$U$15))</f>
        <v>0</v>
      </c>
      <c r="V62" s="477">
        <f t="shared" si="10"/>
        <v>0</v>
      </c>
      <c r="W62" s="480"/>
      <c r="X62" s="471"/>
      <c r="Y62" s="471"/>
      <c r="Z62" s="471"/>
      <c r="AA62" s="471"/>
      <c r="AB62" s="471"/>
      <c r="AC62" s="337">
        <f t="shared" si="11"/>
        <v>0</v>
      </c>
      <c r="AE62" s="498">
        <f t="shared" si="12"/>
        <v>0</v>
      </c>
    </row>
    <row r="63" spans="1:31" x14ac:dyDescent="0.2">
      <c r="A63" s="372"/>
      <c r="B63" s="366"/>
      <c r="C63" s="494"/>
      <c r="D63" s="448"/>
      <c r="E63" s="433"/>
      <c r="F63" s="433"/>
      <c r="G63" s="433"/>
      <c r="H63" s="433"/>
      <c r="I63" s="433"/>
      <c r="J63" s="433"/>
      <c r="K63" s="433"/>
      <c r="L63" s="433"/>
      <c r="M63" s="433"/>
      <c r="N63" s="433"/>
      <c r="O63" s="433"/>
      <c r="P63" s="433"/>
      <c r="Q63" s="433"/>
      <c r="R63" s="433"/>
      <c r="S63" s="433"/>
      <c r="T63" s="337">
        <f t="shared" si="9"/>
        <v>0</v>
      </c>
      <c r="U63" s="374">
        <f t="array" ref="U63">IF(SUMIF($A$5:$A$15,B63,$U$5:$U$15)&gt;SUMIF($A$5:$A$15,A63,$U$5:$U$15),SUMIF($A$5:$A$15,B63,$U$5:$U$15)-SUMIF($A$5:$A$15,A63,$U$5:$U$15),SUMIF($A$5:$A$15,A63,$U$5:$U$15)-SUMIF($A$5:$A$15,B63,$U$5:$U$15))</f>
        <v>0</v>
      </c>
      <c r="V63" s="477">
        <f t="shared" si="10"/>
        <v>0</v>
      </c>
      <c r="W63" s="480"/>
      <c r="X63" s="471"/>
      <c r="Y63" s="471"/>
      <c r="Z63" s="471"/>
      <c r="AA63" s="471"/>
      <c r="AB63" s="471"/>
      <c r="AC63" s="337">
        <f t="shared" si="11"/>
        <v>0</v>
      </c>
      <c r="AE63" s="498">
        <f t="shared" si="12"/>
        <v>0</v>
      </c>
    </row>
    <row r="64" spans="1:31" x14ac:dyDescent="0.2">
      <c r="A64" s="372"/>
      <c r="B64" s="366"/>
      <c r="C64" s="494"/>
      <c r="D64" s="448"/>
      <c r="E64" s="433"/>
      <c r="F64" s="433"/>
      <c r="G64" s="433"/>
      <c r="H64" s="433"/>
      <c r="I64" s="433"/>
      <c r="J64" s="433"/>
      <c r="K64" s="433"/>
      <c r="L64" s="433"/>
      <c r="M64" s="433"/>
      <c r="N64" s="433"/>
      <c r="O64" s="433"/>
      <c r="P64" s="433"/>
      <c r="Q64" s="433"/>
      <c r="R64" s="433"/>
      <c r="S64" s="433"/>
      <c r="T64" s="337">
        <f t="shared" si="9"/>
        <v>0</v>
      </c>
      <c r="U64" s="374">
        <f t="array" ref="U64">IF(SUMIF($A$5:$A$15,B64,$U$5:$U$15)&gt;SUMIF($A$5:$A$15,A64,$U$5:$U$15),SUMIF($A$5:$A$15,B64,$U$5:$U$15)-SUMIF($A$5:$A$15,A64,$U$5:$U$15),SUMIF($A$5:$A$15,A64,$U$5:$U$15)-SUMIF($A$5:$A$15,B64,$U$5:$U$15))</f>
        <v>0</v>
      </c>
      <c r="V64" s="477">
        <f t="shared" ref="V64:V76" si="13">T64*U64</f>
        <v>0</v>
      </c>
      <c r="W64" s="480"/>
      <c r="X64" s="471"/>
      <c r="Y64" s="471"/>
      <c r="Z64" s="471"/>
      <c r="AA64" s="471"/>
      <c r="AB64" s="471"/>
      <c r="AC64" s="337">
        <f t="shared" ref="AC64:AC76" si="14">T64*SUM(X64:AB64)</f>
        <v>0</v>
      </c>
      <c r="AE64" s="498">
        <f t="shared" ref="AE64:AE76" si="15">V64*C64</f>
        <v>0</v>
      </c>
    </row>
    <row r="65" spans="1:31" x14ac:dyDescent="0.2">
      <c r="A65" s="372"/>
      <c r="B65" s="366"/>
      <c r="C65" s="494"/>
      <c r="D65" s="448"/>
      <c r="E65" s="433"/>
      <c r="F65" s="433"/>
      <c r="G65" s="433"/>
      <c r="H65" s="433"/>
      <c r="I65" s="433"/>
      <c r="J65" s="433"/>
      <c r="K65" s="433"/>
      <c r="L65" s="433"/>
      <c r="M65" s="433"/>
      <c r="N65" s="433"/>
      <c r="O65" s="433"/>
      <c r="P65" s="433"/>
      <c r="Q65" s="433"/>
      <c r="R65" s="433"/>
      <c r="S65" s="433"/>
      <c r="T65" s="337">
        <f t="shared" si="9"/>
        <v>0</v>
      </c>
      <c r="U65" s="374">
        <f t="array" ref="U65">IF(SUMIF($A$5:$A$15,B65,$U$5:$U$15)&gt;SUMIF($A$5:$A$15,A65,$U$5:$U$15),SUMIF($A$5:$A$15,B65,$U$5:$U$15)-SUMIF($A$5:$A$15,A65,$U$5:$U$15),SUMIF($A$5:$A$15,A65,$U$5:$U$15)-SUMIF($A$5:$A$15,B65,$U$5:$U$15))</f>
        <v>0</v>
      </c>
      <c r="V65" s="477">
        <f t="shared" si="13"/>
        <v>0</v>
      </c>
      <c r="W65" s="480"/>
      <c r="X65" s="471"/>
      <c r="Y65" s="471"/>
      <c r="Z65" s="471"/>
      <c r="AA65" s="471"/>
      <c r="AB65" s="471"/>
      <c r="AC65" s="337">
        <f t="shared" si="14"/>
        <v>0</v>
      </c>
      <c r="AE65" s="498">
        <f t="shared" si="15"/>
        <v>0</v>
      </c>
    </row>
    <row r="66" spans="1:31" x14ac:dyDescent="0.2">
      <c r="A66" s="372"/>
      <c r="B66" s="366"/>
      <c r="C66" s="494"/>
      <c r="D66" s="448"/>
      <c r="E66" s="433"/>
      <c r="F66" s="433"/>
      <c r="G66" s="433"/>
      <c r="H66" s="433"/>
      <c r="I66" s="433"/>
      <c r="J66" s="433"/>
      <c r="K66" s="433"/>
      <c r="L66" s="433"/>
      <c r="M66" s="433"/>
      <c r="N66" s="433"/>
      <c r="O66" s="433"/>
      <c r="P66" s="433"/>
      <c r="Q66" s="433"/>
      <c r="R66" s="433"/>
      <c r="S66" s="433"/>
      <c r="T66" s="337">
        <f t="shared" si="9"/>
        <v>0</v>
      </c>
      <c r="U66" s="374">
        <f t="array" ref="U66">IF(SUMIF($A$5:$A$15,B66,$U$5:$U$15)&gt;SUMIF($A$5:$A$15,A66,$U$5:$U$15),SUMIF($A$5:$A$15,B66,$U$5:$U$15)-SUMIF($A$5:$A$15,A66,$U$5:$U$15),SUMIF($A$5:$A$15,A66,$U$5:$U$15)-SUMIF($A$5:$A$15,B66,$U$5:$U$15))</f>
        <v>0</v>
      </c>
      <c r="V66" s="477">
        <f t="shared" ref="V66:V74" si="16">T66*U66</f>
        <v>0</v>
      </c>
      <c r="W66" s="480"/>
      <c r="X66" s="471"/>
      <c r="Y66" s="471"/>
      <c r="Z66" s="471"/>
      <c r="AA66" s="471"/>
      <c r="AB66" s="471"/>
      <c r="AC66" s="337">
        <f t="shared" si="14"/>
        <v>0</v>
      </c>
      <c r="AE66" s="498">
        <f t="shared" si="15"/>
        <v>0</v>
      </c>
    </row>
    <row r="67" spans="1:31" x14ac:dyDescent="0.2">
      <c r="A67" s="372"/>
      <c r="B67" s="366"/>
      <c r="C67" s="494"/>
      <c r="D67" s="448"/>
      <c r="E67" s="433"/>
      <c r="F67" s="433"/>
      <c r="G67" s="433"/>
      <c r="H67" s="433"/>
      <c r="I67" s="433"/>
      <c r="J67" s="433"/>
      <c r="K67" s="433"/>
      <c r="L67" s="433"/>
      <c r="M67" s="433"/>
      <c r="N67" s="433"/>
      <c r="O67" s="433"/>
      <c r="P67" s="433"/>
      <c r="Q67" s="433"/>
      <c r="R67" s="433"/>
      <c r="S67" s="433"/>
      <c r="T67" s="337">
        <f t="shared" si="9"/>
        <v>0</v>
      </c>
      <c r="U67" s="374">
        <f t="array" ref="U67">IF(SUMIF($A$5:$A$15,B67,$U$5:$U$15)&gt;SUMIF($A$5:$A$15,A67,$U$5:$U$15),SUMIF($A$5:$A$15,B67,$U$5:$U$15)-SUMIF($A$5:$A$15,A67,$U$5:$U$15),SUMIF($A$5:$A$15,A67,$U$5:$U$15)-SUMIF($A$5:$A$15,B67,$U$5:$U$15))</f>
        <v>0</v>
      </c>
      <c r="V67" s="477">
        <f t="shared" si="16"/>
        <v>0</v>
      </c>
      <c r="W67" s="480"/>
      <c r="X67" s="471"/>
      <c r="Y67" s="471"/>
      <c r="Z67" s="471"/>
      <c r="AA67" s="471"/>
      <c r="AB67" s="471"/>
      <c r="AC67" s="337">
        <f t="shared" si="14"/>
        <v>0</v>
      </c>
      <c r="AE67" s="498">
        <f t="shared" si="15"/>
        <v>0</v>
      </c>
    </row>
    <row r="68" spans="1:31" x14ac:dyDescent="0.2">
      <c r="A68" s="372"/>
      <c r="B68" s="366"/>
      <c r="C68" s="494"/>
      <c r="D68" s="448"/>
      <c r="E68" s="433"/>
      <c r="F68" s="433"/>
      <c r="G68" s="433"/>
      <c r="H68" s="433"/>
      <c r="I68" s="433"/>
      <c r="J68" s="433"/>
      <c r="K68" s="433"/>
      <c r="L68" s="433"/>
      <c r="M68" s="433"/>
      <c r="N68" s="433"/>
      <c r="O68" s="433"/>
      <c r="P68" s="433"/>
      <c r="Q68" s="433"/>
      <c r="R68" s="433"/>
      <c r="S68" s="433"/>
      <c r="T68" s="337">
        <f t="shared" si="9"/>
        <v>0</v>
      </c>
      <c r="U68" s="374">
        <f t="array" ref="U68">IF(SUMIF($A$5:$A$15,B68,$U$5:$U$15)&gt;SUMIF($A$5:$A$15,A68,$U$5:$U$15),SUMIF($A$5:$A$15,B68,$U$5:$U$15)-SUMIF($A$5:$A$15,A68,$U$5:$U$15),SUMIF($A$5:$A$15,A68,$U$5:$U$15)-SUMIF($A$5:$A$15,B68,$U$5:$U$15))</f>
        <v>0</v>
      </c>
      <c r="V68" s="477">
        <f t="shared" si="16"/>
        <v>0</v>
      </c>
      <c r="W68" s="480"/>
      <c r="X68" s="471"/>
      <c r="Y68" s="471"/>
      <c r="Z68" s="471"/>
      <c r="AA68" s="471"/>
      <c r="AB68" s="471"/>
      <c r="AC68" s="337">
        <f t="shared" si="14"/>
        <v>0</v>
      </c>
      <c r="AE68" s="498">
        <f t="shared" si="15"/>
        <v>0</v>
      </c>
    </row>
    <row r="69" spans="1:31" x14ac:dyDescent="0.2">
      <c r="A69" s="372"/>
      <c r="B69" s="366"/>
      <c r="C69" s="494"/>
      <c r="D69" s="448"/>
      <c r="E69" s="433"/>
      <c r="F69" s="433"/>
      <c r="G69" s="433"/>
      <c r="H69" s="433"/>
      <c r="I69" s="433"/>
      <c r="J69" s="433"/>
      <c r="K69" s="433"/>
      <c r="L69" s="433"/>
      <c r="M69" s="433"/>
      <c r="N69" s="433"/>
      <c r="O69" s="433"/>
      <c r="P69" s="433"/>
      <c r="Q69" s="433"/>
      <c r="R69" s="433"/>
      <c r="S69" s="433"/>
      <c r="T69" s="337">
        <f t="shared" si="9"/>
        <v>0</v>
      </c>
      <c r="U69" s="374">
        <f t="array" ref="U69">IF(SUMIF($A$5:$A$15,B69,$U$5:$U$15)&gt;SUMIF($A$5:$A$15,A69,$U$5:$U$15),SUMIF($A$5:$A$15,B69,$U$5:$U$15)-SUMIF($A$5:$A$15,A69,$U$5:$U$15),SUMIF($A$5:$A$15,A69,$U$5:$U$15)-SUMIF($A$5:$A$15,B69,$U$5:$U$15))</f>
        <v>0</v>
      </c>
      <c r="V69" s="477">
        <f t="shared" si="16"/>
        <v>0</v>
      </c>
      <c r="W69" s="480"/>
      <c r="X69" s="471"/>
      <c r="Y69" s="471"/>
      <c r="Z69" s="471"/>
      <c r="AA69" s="471"/>
      <c r="AB69" s="471"/>
      <c r="AC69" s="337">
        <f t="shared" si="14"/>
        <v>0</v>
      </c>
      <c r="AE69" s="498">
        <f t="shared" si="15"/>
        <v>0</v>
      </c>
    </row>
    <row r="70" spans="1:31" x14ac:dyDescent="0.2">
      <c r="A70" s="372"/>
      <c r="B70" s="366"/>
      <c r="C70" s="494"/>
      <c r="D70" s="448"/>
      <c r="E70" s="433"/>
      <c r="F70" s="433"/>
      <c r="G70" s="433"/>
      <c r="H70" s="433"/>
      <c r="I70" s="433"/>
      <c r="J70" s="433"/>
      <c r="K70" s="433"/>
      <c r="L70" s="433"/>
      <c r="M70" s="433"/>
      <c r="N70" s="433"/>
      <c r="O70" s="433"/>
      <c r="P70" s="433"/>
      <c r="Q70" s="433"/>
      <c r="R70" s="433"/>
      <c r="S70" s="433"/>
      <c r="T70" s="337">
        <f t="shared" si="9"/>
        <v>0</v>
      </c>
      <c r="U70" s="374">
        <f t="array" ref="U70">IF(SUMIF($A$5:$A$15,B70,$U$5:$U$15)&gt;SUMIF($A$5:$A$15,A70,$U$5:$U$15),SUMIF($A$5:$A$15,B70,$U$5:$U$15)-SUMIF($A$5:$A$15,A70,$U$5:$U$15),SUMIF($A$5:$A$15,A70,$U$5:$U$15)-SUMIF($A$5:$A$15,B70,$U$5:$U$15))</f>
        <v>0</v>
      </c>
      <c r="V70" s="477">
        <f t="shared" si="16"/>
        <v>0</v>
      </c>
      <c r="W70" s="480"/>
      <c r="X70" s="471"/>
      <c r="Y70" s="471"/>
      <c r="Z70" s="471"/>
      <c r="AA70" s="471"/>
      <c r="AB70" s="471"/>
      <c r="AC70" s="337">
        <f t="shared" si="14"/>
        <v>0</v>
      </c>
      <c r="AE70" s="498">
        <f t="shared" si="15"/>
        <v>0</v>
      </c>
    </row>
    <row r="71" spans="1:31" x14ac:dyDescent="0.2">
      <c r="A71" s="372"/>
      <c r="B71" s="366"/>
      <c r="C71" s="494"/>
      <c r="D71" s="448"/>
      <c r="E71" s="433"/>
      <c r="F71" s="433"/>
      <c r="G71" s="433"/>
      <c r="H71" s="433"/>
      <c r="I71" s="433"/>
      <c r="J71" s="433"/>
      <c r="K71" s="433"/>
      <c r="L71" s="433"/>
      <c r="M71" s="433"/>
      <c r="N71" s="433"/>
      <c r="O71" s="433"/>
      <c r="P71" s="433"/>
      <c r="Q71" s="433"/>
      <c r="R71" s="433"/>
      <c r="S71" s="433"/>
      <c r="T71" s="337">
        <f t="shared" si="9"/>
        <v>0</v>
      </c>
      <c r="U71" s="374">
        <f t="array" ref="U71">IF(SUMIF($A$5:$A$15,B71,$U$5:$U$15)&gt;SUMIF($A$5:$A$15,A71,$U$5:$U$15),SUMIF($A$5:$A$15,B71,$U$5:$U$15)-SUMIF($A$5:$A$15,A71,$U$5:$U$15),SUMIF($A$5:$A$15,A71,$U$5:$U$15)-SUMIF($A$5:$A$15,B71,$U$5:$U$15))</f>
        <v>0</v>
      </c>
      <c r="V71" s="477">
        <f t="shared" si="16"/>
        <v>0</v>
      </c>
      <c r="W71" s="480"/>
      <c r="X71" s="471"/>
      <c r="Y71" s="471"/>
      <c r="Z71" s="471"/>
      <c r="AA71" s="471"/>
      <c r="AB71" s="471"/>
      <c r="AC71" s="337">
        <f t="shared" si="14"/>
        <v>0</v>
      </c>
      <c r="AE71" s="498">
        <f t="shared" si="15"/>
        <v>0</v>
      </c>
    </row>
    <row r="72" spans="1:31" x14ac:dyDescent="0.2">
      <c r="A72" s="372"/>
      <c r="B72" s="366"/>
      <c r="C72" s="494"/>
      <c r="D72" s="448"/>
      <c r="E72" s="433"/>
      <c r="F72" s="433"/>
      <c r="G72" s="433"/>
      <c r="H72" s="433"/>
      <c r="I72" s="433"/>
      <c r="J72" s="433"/>
      <c r="K72" s="433"/>
      <c r="L72" s="433"/>
      <c r="M72" s="433"/>
      <c r="N72" s="433"/>
      <c r="O72" s="433"/>
      <c r="P72" s="433"/>
      <c r="Q72" s="433"/>
      <c r="R72" s="433"/>
      <c r="S72" s="433"/>
      <c r="T72" s="337">
        <f t="shared" si="9"/>
        <v>0</v>
      </c>
      <c r="U72" s="374">
        <f t="array" ref="U72">IF(SUMIF($A$5:$A$15,B72,$U$5:$U$15)&gt;SUMIF($A$5:$A$15,A72,$U$5:$U$15),SUMIF($A$5:$A$15,B72,$U$5:$U$15)-SUMIF($A$5:$A$15,A72,$U$5:$U$15),SUMIF($A$5:$A$15,A72,$U$5:$U$15)-SUMIF($A$5:$A$15,B72,$U$5:$U$15))</f>
        <v>0</v>
      </c>
      <c r="V72" s="477">
        <f t="shared" si="16"/>
        <v>0</v>
      </c>
      <c r="W72" s="480"/>
      <c r="X72" s="471"/>
      <c r="Y72" s="471"/>
      <c r="Z72" s="471"/>
      <c r="AA72" s="471"/>
      <c r="AB72" s="471"/>
      <c r="AC72" s="337">
        <f t="shared" si="14"/>
        <v>0</v>
      </c>
      <c r="AE72" s="498">
        <f t="shared" si="15"/>
        <v>0</v>
      </c>
    </row>
    <row r="73" spans="1:31" x14ac:dyDescent="0.2">
      <c r="A73" s="372"/>
      <c r="B73" s="366"/>
      <c r="C73" s="494"/>
      <c r="D73" s="448"/>
      <c r="E73" s="433"/>
      <c r="F73" s="433"/>
      <c r="G73" s="433"/>
      <c r="H73" s="433"/>
      <c r="I73" s="433"/>
      <c r="J73" s="433"/>
      <c r="K73" s="433"/>
      <c r="L73" s="433"/>
      <c r="M73" s="433"/>
      <c r="N73" s="433"/>
      <c r="O73" s="433"/>
      <c r="P73" s="433"/>
      <c r="Q73" s="433"/>
      <c r="R73" s="433"/>
      <c r="S73" s="433"/>
      <c r="T73" s="337">
        <f t="shared" si="9"/>
        <v>0</v>
      </c>
      <c r="U73" s="374">
        <f t="array" ref="U73">IF(SUMIF($A$5:$A$15,B73,$U$5:$U$15)&gt;SUMIF($A$5:$A$15,A73,$U$5:$U$15),SUMIF($A$5:$A$15,B73,$U$5:$U$15)-SUMIF($A$5:$A$15,A73,$U$5:$U$15),SUMIF($A$5:$A$15,A73,$U$5:$U$15)-SUMIF($A$5:$A$15,B73,$U$5:$U$15))</f>
        <v>0</v>
      </c>
      <c r="V73" s="477">
        <f t="shared" si="16"/>
        <v>0</v>
      </c>
      <c r="W73" s="480"/>
      <c r="X73" s="471"/>
      <c r="Y73" s="471"/>
      <c r="Z73" s="471"/>
      <c r="AA73" s="471"/>
      <c r="AB73" s="471"/>
      <c r="AC73" s="337">
        <f t="shared" si="14"/>
        <v>0</v>
      </c>
      <c r="AE73" s="498">
        <f t="shared" si="15"/>
        <v>0</v>
      </c>
    </row>
    <row r="74" spans="1:31" x14ac:dyDescent="0.2">
      <c r="A74" s="372"/>
      <c r="B74" s="366"/>
      <c r="C74" s="494"/>
      <c r="D74" s="448"/>
      <c r="E74" s="433"/>
      <c r="F74" s="433"/>
      <c r="G74" s="433"/>
      <c r="H74" s="433"/>
      <c r="I74" s="433"/>
      <c r="J74" s="433"/>
      <c r="K74" s="433"/>
      <c r="L74" s="433"/>
      <c r="M74" s="433"/>
      <c r="N74" s="433"/>
      <c r="O74" s="433"/>
      <c r="P74" s="433"/>
      <c r="Q74" s="433"/>
      <c r="R74" s="433"/>
      <c r="S74" s="433"/>
      <c r="T74" s="337">
        <f t="shared" si="9"/>
        <v>0</v>
      </c>
      <c r="U74" s="374">
        <f t="array" ref="U74">IF(SUMIF($A$5:$A$15,B74,$U$5:$U$15)&gt;SUMIF($A$5:$A$15,A74,$U$5:$U$15),SUMIF($A$5:$A$15,B74,$U$5:$U$15)-SUMIF($A$5:$A$15,A74,$U$5:$U$15),SUMIF($A$5:$A$15,A74,$U$5:$U$15)-SUMIF($A$5:$A$15,B74,$U$5:$U$15))</f>
        <v>0</v>
      </c>
      <c r="V74" s="477">
        <f t="shared" si="16"/>
        <v>0</v>
      </c>
      <c r="W74" s="480"/>
      <c r="X74" s="471"/>
      <c r="Y74" s="471"/>
      <c r="Z74" s="471"/>
      <c r="AA74" s="471"/>
      <c r="AB74" s="471"/>
      <c r="AC74" s="337">
        <f t="shared" si="14"/>
        <v>0</v>
      </c>
      <c r="AE74" s="498">
        <f t="shared" si="15"/>
        <v>0</v>
      </c>
    </row>
    <row r="75" spans="1:31" x14ac:dyDescent="0.2">
      <c r="A75" s="372"/>
      <c r="B75" s="366"/>
      <c r="C75" s="494"/>
      <c r="D75" s="448"/>
      <c r="E75" s="433"/>
      <c r="F75" s="433"/>
      <c r="G75" s="433"/>
      <c r="H75" s="433"/>
      <c r="I75" s="433"/>
      <c r="J75" s="433"/>
      <c r="K75" s="433"/>
      <c r="L75" s="433"/>
      <c r="M75" s="433"/>
      <c r="N75" s="433"/>
      <c r="O75" s="433"/>
      <c r="P75" s="433"/>
      <c r="Q75" s="433"/>
      <c r="R75" s="433"/>
      <c r="S75" s="433"/>
      <c r="T75" s="337">
        <f t="shared" si="9"/>
        <v>0</v>
      </c>
      <c r="U75" s="374">
        <f t="array" ref="U75">IF(SUMIF($A$5:$A$15,B75,$U$5:$U$15)&gt;SUMIF($A$5:$A$15,A75,$U$5:$U$15),SUMIF($A$5:$A$15,B75,$U$5:$U$15)-SUMIF($A$5:$A$15,A75,$U$5:$U$15),SUMIF($A$5:$A$15,A75,$U$5:$U$15)-SUMIF($A$5:$A$15,B75,$U$5:$U$15))</f>
        <v>0</v>
      </c>
      <c r="V75" s="477">
        <f t="shared" si="13"/>
        <v>0</v>
      </c>
      <c r="W75" s="480"/>
      <c r="X75" s="471"/>
      <c r="Y75" s="471"/>
      <c r="Z75" s="471"/>
      <c r="AA75" s="471"/>
      <c r="AB75" s="471"/>
      <c r="AC75" s="337">
        <f t="shared" si="14"/>
        <v>0</v>
      </c>
      <c r="AE75" s="498">
        <f t="shared" si="15"/>
        <v>0</v>
      </c>
    </row>
    <row r="76" spans="1:31" x14ac:dyDescent="0.2">
      <c r="A76" s="372"/>
      <c r="B76" s="366"/>
      <c r="C76" s="494"/>
      <c r="D76" s="448"/>
      <c r="E76" s="433"/>
      <c r="F76" s="433"/>
      <c r="G76" s="433"/>
      <c r="H76" s="433"/>
      <c r="I76" s="433"/>
      <c r="J76" s="433"/>
      <c r="K76" s="433"/>
      <c r="L76" s="433"/>
      <c r="M76" s="433"/>
      <c r="N76" s="433"/>
      <c r="O76" s="433"/>
      <c r="P76" s="433"/>
      <c r="Q76" s="433"/>
      <c r="R76" s="433"/>
      <c r="S76" s="433"/>
      <c r="T76" s="337">
        <f t="shared" si="9"/>
        <v>0</v>
      </c>
      <c r="U76" s="374">
        <f t="array" ref="U76">IF(SUMIF($A$5:$A$15,B76,$U$5:$U$15)&gt;SUMIF($A$5:$A$15,A76,$U$5:$U$15),SUMIF($A$5:$A$15,B76,$U$5:$U$15)-SUMIF($A$5:$A$15,A76,$U$5:$U$15),SUMIF($A$5:$A$15,A76,$U$5:$U$15)-SUMIF($A$5:$A$15,B76,$U$5:$U$15))</f>
        <v>0</v>
      </c>
      <c r="V76" s="477">
        <f t="shared" si="13"/>
        <v>0</v>
      </c>
      <c r="W76" s="480"/>
      <c r="X76" s="471"/>
      <c r="Y76" s="471"/>
      <c r="Z76" s="471"/>
      <c r="AA76" s="471"/>
      <c r="AB76" s="471"/>
      <c r="AC76" s="337">
        <f t="shared" si="14"/>
        <v>0</v>
      </c>
      <c r="AE76" s="498">
        <f t="shared" si="15"/>
        <v>0</v>
      </c>
    </row>
    <row r="77" spans="1:31" x14ac:dyDescent="0.2">
      <c r="A77" s="372"/>
      <c r="B77" s="366"/>
      <c r="C77" s="494"/>
      <c r="D77" s="448"/>
      <c r="E77" s="433"/>
      <c r="F77" s="433"/>
      <c r="G77" s="433"/>
      <c r="H77" s="433"/>
      <c r="I77" s="433"/>
      <c r="J77" s="433"/>
      <c r="K77" s="433"/>
      <c r="L77" s="433"/>
      <c r="M77" s="433"/>
      <c r="N77" s="433"/>
      <c r="O77" s="433"/>
      <c r="P77" s="433"/>
      <c r="Q77" s="433"/>
      <c r="R77" s="433"/>
      <c r="S77" s="433"/>
      <c r="T77" s="337">
        <f t="shared" si="9"/>
        <v>0</v>
      </c>
      <c r="U77" s="374">
        <f t="array" ref="U77">IF(SUMIF($A$5:$A$15,B77,$U$5:$U$15)&gt;SUMIF($A$5:$A$15,A77,$U$5:$U$15),SUMIF($A$5:$A$15,B77,$U$5:$U$15)-SUMIF($A$5:$A$15,A77,$U$5:$U$15),SUMIF($A$5:$A$15,A77,$U$5:$U$15)-SUMIF($A$5:$A$15,B77,$U$5:$U$15))</f>
        <v>0</v>
      </c>
      <c r="V77" s="477">
        <f t="shared" si="10"/>
        <v>0</v>
      </c>
      <c r="W77" s="480"/>
      <c r="X77" s="471"/>
      <c r="Y77" s="471"/>
      <c r="Z77" s="471"/>
      <c r="AA77" s="471"/>
      <c r="AB77" s="471"/>
      <c r="AC77" s="337">
        <f t="shared" si="11"/>
        <v>0</v>
      </c>
      <c r="AE77" s="498">
        <f t="shared" si="12"/>
        <v>0</v>
      </c>
    </row>
    <row r="78" spans="1:31" x14ac:dyDescent="0.2">
      <c r="A78" s="372"/>
      <c r="B78" s="366"/>
      <c r="C78" s="494"/>
      <c r="D78" s="448"/>
      <c r="E78" s="433"/>
      <c r="F78" s="433"/>
      <c r="G78" s="433"/>
      <c r="H78" s="433"/>
      <c r="I78" s="433"/>
      <c r="J78" s="433"/>
      <c r="K78" s="433"/>
      <c r="L78" s="433"/>
      <c r="M78" s="433"/>
      <c r="N78" s="433"/>
      <c r="O78" s="433"/>
      <c r="P78" s="433"/>
      <c r="Q78" s="433"/>
      <c r="R78" s="433"/>
      <c r="S78" s="433"/>
      <c r="T78" s="337">
        <f t="shared" si="9"/>
        <v>0</v>
      </c>
      <c r="U78" s="374">
        <f t="array" ref="U78">IF(SUMIF($A$5:$A$15,B78,$U$5:$U$15)&gt;SUMIF($A$5:$A$15,A78,$U$5:$U$15),SUMIF($A$5:$A$15,B78,$U$5:$U$15)-SUMIF($A$5:$A$15,A78,$U$5:$U$15),SUMIF($A$5:$A$15,A78,$U$5:$U$15)-SUMIF($A$5:$A$15,B78,$U$5:$U$15))</f>
        <v>0</v>
      </c>
      <c r="V78" s="477">
        <f t="shared" si="10"/>
        <v>0</v>
      </c>
      <c r="W78" s="480"/>
      <c r="X78" s="471"/>
      <c r="Y78" s="471"/>
      <c r="Z78" s="471"/>
      <c r="AA78" s="471"/>
      <c r="AB78" s="471"/>
      <c r="AC78" s="337">
        <f t="shared" si="11"/>
        <v>0</v>
      </c>
      <c r="AE78" s="498">
        <f t="shared" si="12"/>
        <v>0</v>
      </c>
    </row>
    <row r="79" spans="1:31" x14ac:dyDescent="0.2">
      <c r="A79" s="372"/>
      <c r="B79" s="366"/>
      <c r="C79" s="494"/>
      <c r="D79" s="448"/>
      <c r="E79" s="433"/>
      <c r="F79" s="433"/>
      <c r="G79" s="433"/>
      <c r="H79" s="433"/>
      <c r="I79" s="433"/>
      <c r="J79" s="433"/>
      <c r="K79" s="433"/>
      <c r="L79" s="433"/>
      <c r="M79" s="433"/>
      <c r="N79" s="433"/>
      <c r="O79" s="433"/>
      <c r="P79" s="433"/>
      <c r="Q79" s="433"/>
      <c r="R79" s="433"/>
      <c r="S79" s="433"/>
      <c r="T79" s="337">
        <f t="shared" si="9"/>
        <v>0</v>
      </c>
      <c r="U79" s="374">
        <f t="array" ref="U79">IF(SUMIF($A$5:$A$15,B79,$U$5:$U$15)&gt;SUMIF($A$5:$A$15,A79,$U$5:$U$15),SUMIF($A$5:$A$15,B79,$U$5:$U$15)-SUMIF($A$5:$A$15,A79,$U$5:$U$15),SUMIF($A$5:$A$15,A79,$U$5:$U$15)-SUMIF($A$5:$A$15,B79,$U$5:$U$15))</f>
        <v>0</v>
      </c>
      <c r="V79" s="477">
        <f t="shared" si="10"/>
        <v>0</v>
      </c>
      <c r="W79" s="480"/>
      <c r="X79" s="471"/>
      <c r="Y79" s="471"/>
      <c r="Z79" s="471"/>
      <c r="AA79" s="471"/>
      <c r="AB79" s="471"/>
      <c r="AC79" s="337">
        <f t="shared" si="11"/>
        <v>0</v>
      </c>
      <c r="AE79" s="498">
        <f t="shared" si="12"/>
        <v>0</v>
      </c>
    </row>
    <row r="80" spans="1:31" x14ac:dyDescent="0.2">
      <c r="A80" s="372"/>
      <c r="B80" s="366"/>
      <c r="C80" s="494"/>
      <c r="D80" s="448"/>
      <c r="E80" s="433"/>
      <c r="F80" s="433"/>
      <c r="G80" s="433"/>
      <c r="H80" s="433"/>
      <c r="I80" s="433"/>
      <c r="J80" s="433"/>
      <c r="K80" s="433"/>
      <c r="L80" s="433"/>
      <c r="M80" s="433"/>
      <c r="N80" s="433"/>
      <c r="O80" s="433"/>
      <c r="P80" s="433"/>
      <c r="Q80" s="433"/>
      <c r="R80" s="433"/>
      <c r="S80" s="433"/>
      <c r="T80" s="337">
        <f t="shared" si="9"/>
        <v>0</v>
      </c>
      <c r="U80" s="374">
        <f t="array" ref="U80">IF(SUMIF($A$5:$A$15,B80,$U$5:$U$15)&gt;SUMIF($A$5:$A$15,A80,$U$5:$U$15),SUMIF($A$5:$A$15,B80,$U$5:$U$15)-SUMIF($A$5:$A$15,A80,$U$5:$U$15),SUMIF($A$5:$A$15,A80,$U$5:$U$15)-SUMIF($A$5:$A$15,B80,$U$5:$U$15))</f>
        <v>0</v>
      </c>
      <c r="V80" s="477">
        <f t="shared" si="10"/>
        <v>0</v>
      </c>
      <c r="W80" s="480"/>
      <c r="X80" s="471"/>
      <c r="Y80" s="471"/>
      <c r="Z80" s="471"/>
      <c r="AA80" s="471"/>
      <c r="AB80" s="471"/>
      <c r="AC80" s="337">
        <f t="shared" si="11"/>
        <v>0</v>
      </c>
      <c r="AE80" s="498">
        <f t="shared" si="12"/>
        <v>0</v>
      </c>
    </row>
    <row r="81" spans="1:31" x14ac:dyDescent="0.2">
      <c r="A81" s="454"/>
      <c r="B81" s="455"/>
      <c r="C81" s="496"/>
      <c r="D81" s="456"/>
      <c r="E81" s="457"/>
      <c r="F81" s="457"/>
      <c r="G81" s="457"/>
      <c r="H81" s="457"/>
      <c r="I81" s="457"/>
      <c r="J81" s="457"/>
      <c r="K81" s="457"/>
      <c r="L81" s="457"/>
      <c r="M81" s="457"/>
      <c r="N81" s="457"/>
      <c r="O81" s="457"/>
      <c r="P81" s="457"/>
      <c r="Q81" s="457"/>
      <c r="R81" s="457"/>
      <c r="S81" s="457"/>
      <c r="T81" s="337">
        <f t="shared" si="9"/>
        <v>0</v>
      </c>
      <c r="U81" s="374">
        <f t="array" ref="U81">IF(SUMIF($A$5:$A$15,B81,$U$5:$U$15)&gt;SUMIF($A$5:$A$15,A81,$U$5:$U$15),SUMIF($A$5:$A$15,B81,$U$5:$U$15)-SUMIF($A$5:$A$15,A81,$U$5:$U$15),SUMIF($A$5:$A$15,A81,$U$5:$U$15)-SUMIF($A$5:$A$15,B81,$U$5:$U$15))</f>
        <v>0</v>
      </c>
      <c r="V81" s="477">
        <f t="shared" si="10"/>
        <v>0</v>
      </c>
      <c r="W81" s="480"/>
      <c r="X81" s="471"/>
      <c r="Y81" s="471"/>
      <c r="Z81" s="471"/>
      <c r="AA81" s="471"/>
      <c r="AB81" s="471"/>
      <c r="AC81" s="337">
        <f t="shared" si="11"/>
        <v>0</v>
      </c>
      <c r="AE81" s="498">
        <f t="shared" si="12"/>
        <v>0</v>
      </c>
    </row>
    <row r="82" spans="1:31" x14ac:dyDescent="0.2">
      <c r="A82" s="454"/>
      <c r="B82" s="455"/>
      <c r="C82" s="496"/>
      <c r="D82" s="456"/>
      <c r="E82" s="457"/>
      <c r="F82" s="457"/>
      <c r="G82" s="457"/>
      <c r="H82" s="457"/>
      <c r="I82" s="457"/>
      <c r="J82" s="457"/>
      <c r="K82" s="457"/>
      <c r="L82" s="457"/>
      <c r="M82" s="457"/>
      <c r="N82" s="457"/>
      <c r="O82" s="457"/>
      <c r="P82" s="457"/>
      <c r="Q82" s="457"/>
      <c r="R82" s="457"/>
      <c r="S82" s="457"/>
      <c r="T82" s="337">
        <f t="shared" si="9"/>
        <v>0</v>
      </c>
      <c r="U82" s="374">
        <f t="array" ref="U82">IF(SUMIF($A$5:$A$15,B82,$U$5:$U$15)&gt;SUMIF($A$5:$A$15,A82,$U$5:$U$15),SUMIF($A$5:$A$15,B82,$U$5:$U$15)-SUMIF($A$5:$A$15,A82,$U$5:$U$15),SUMIF($A$5:$A$15,A82,$U$5:$U$15)-SUMIF($A$5:$A$15,B82,$U$5:$U$15))</f>
        <v>0</v>
      </c>
      <c r="V82" s="477">
        <f t="shared" si="10"/>
        <v>0</v>
      </c>
      <c r="W82" s="480"/>
      <c r="X82" s="471"/>
      <c r="Y82" s="471"/>
      <c r="Z82" s="471"/>
      <c r="AA82" s="471"/>
      <c r="AB82" s="471"/>
      <c r="AC82" s="337">
        <f t="shared" si="11"/>
        <v>0</v>
      </c>
      <c r="AE82" s="498">
        <f t="shared" si="12"/>
        <v>0</v>
      </c>
    </row>
    <row r="83" spans="1:31" ht="10.8" thickBot="1" x14ac:dyDescent="0.25">
      <c r="A83" s="373"/>
      <c r="B83" s="367"/>
      <c r="C83" s="495"/>
      <c r="D83" s="449"/>
      <c r="E83" s="434"/>
      <c r="F83" s="434"/>
      <c r="G83" s="434"/>
      <c r="H83" s="434"/>
      <c r="I83" s="434"/>
      <c r="J83" s="434"/>
      <c r="K83" s="434"/>
      <c r="L83" s="434"/>
      <c r="M83" s="434"/>
      <c r="N83" s="434"/>
      <c r="O83" s="434"/>
      <c r="P83" s="434"/>
      <c r="Q83" s="434"/>
      <c r="R83" s="434"/>
      <c r="S83" s="434"/>
      <c r="T83" s="338">
        <f t="shared" si="9"/>
        <v>0</v>
      </c>
      <c r="U83" s="374">
        <f t="array" ref="U83">IF(SUMIF($A$5:$A$15,B83,$U$5:$U$15)&gt;SUMIF($A$5:$A$15,A83,$U$5:$U$15),SUMIF($A$5:$A$15,B83,$U$5:$U$15)-SUMIF($A$5:$A$15,A83,$U$5:$U$15),SUMIF($A$5:$A$15,A83,$U$5:$U$15)-SUMIF($A$5:$A$15,B83,$U$5:$U$15))</f>
        <v>0</v>
      </c>
      <c r="V83" s="478">
        <f t="shared" si="10"/>
        <v>0</v>
      </c>
      <c r="W83" s="481"/>
      <c r="X83" s="472"/>
      <c r="Y83" s="472"/>
      <c r="Z83" s="472"/>
      <c r="AA83" s="472"/>
      <c r="AB83" s="472"/>
      <c r="AC83" s="338">
        <f t="shared" si="11"/>
        <v>0</v>
      </c>
      <c r="AE83" s="499">
        <f t="shared" si="12"/>
        <v>0</v>
      </c>
    </row>
    <row r="84" spans="1:31" x14ac:dyDescent="0.2">
      <c r="A84" s="339" t="s">
        <v>88</v>
      </c>
      <c r="B84" s="339"/>
      <c r="C84" s="339"/>
      <c r="D84" s="340"/>
      <c r="E84" s="340">
        <f t="shared" ref="E84:T84" si="17">SUM(E59:E83)</f>
        <v>0</v>
      </c>
      <c r="F84" s="340">
        <f t="shared" ref="F84:R84" si="18">SUM(F59:F83)</f>
        <v>0</v>
      </c>
      <c r="G84" s="340">
        <f t="shared" si="18"/>
        <v>0</v>
      </c>
      <c r="H84" s="340">
        <f t="shared" si="18"/>
        <v>0</v>
      </c>
      <c r="I84" s="340">
        <f t="shared" si="18"/>
        <v>0</v>
      </c>
      <c r="J84" s="340">
        <f t="shared" si="18"/>
        <v>0</v>
      </c>
      <c r="K84" s="340">
        <f t="shared" si="18"/>
        <v>0</v>
      </c>
      <c r="L84" s="340">
        <f t="shared" si="18"/>
        <v>0</v>
      </c>
      <c r="M84" s="340">
        <f t="shared" si="18"/>
        <v>0</v>
      </c>
      <c r="N84" s="340">
        <f t="shared" si="18"/>
        <v>0</v>
      </c>
      <c r="O84" s="340">
        <f t="shared" si="18"/>
        <v>0</v>
      </c>
      <c r="P84" s="340">
        <f t="shared" si="18"/>
        <v>0</v>
      </c>
      <c r="Q84" s="340">
        <f t="shared" si="18"/>
        <v>0</v>
      </c>
      <c r="R84" s="340">
        <f t="shared" si="18"/>
        <v>0</v>
      </c>
      <c r="S84" s="340">
        <f t="shared" si="17"/>
        <v>0</v>
      </c>
      <c r="T84" s="340">
        <f t="shared" si="17"/>
        <v>0</v>
      </c>
      <c r="V84" s="340"/>
      <c r="X84" s="340"/>
      <c r="AE84" s="340"/>
    </row>
    <row r="85" spans="1:31" x14ac:dyDescent="0.2">
      <c r="A85" s="339" t="s">
        <v>431</v>
      </c>
      <c r="B85" s="339"/>
      <c r="C85" s="339"/>
      <c r="D85" s="340"/>
      <c r="E85" s="340">
        <f t="shared" ref="E85:S85" si="19">SUMPRODUCT($U$59:$U$83,E59:E83)*E$129</f>
        <v>0</v>
      </c>
      <c r="F85" s="340">
        <f t="shared" si="19"/>
        <v>0</v>
      </c>
      <c r="G85" s="340">
        <f t="shared" si="19"/>
        <v>0</v>
      </c>
      <c r="H85" s="340">
        <f t="shared" si="19"/>
        <v>0</v>
      </c>
      <c r="I85" s="340">
        <f t="shared" si="19"/>
        <v>0</v>
      </c>
      <c r="J85" s="340">
        <f t="shared" si="19"/>
        <v>0</v>
      </c>
      <c r="K85" s="340">
        <f t="shared" si="19"/>
        <v>0</v>
      </c>
      <c r="L85" s="340">
        <f t="shared" si="19"/>
        <v>0</v>
      </c>
      <c r="M85" s="340">
        <f t="shared" si="19"/>
        <v>0</v>
      </c>
      <c r="N85" s="340">
        <f t="shared" si="19"/>
        <v>0</v>
      </c>
      <c r="O85" s="340">
        <f t="shared" si="19"/>
        <v>0</v>
      </c>
      <c r="P85" s="340">
        <f t="shared" si="19"/>
        <v>0</v>
      </c>
      <c r="Q85" s="340">
        <f t="shared" si="19"/>
        <v>0</v>
      </c>
      <c r="R85" s="340">
        <f t="shared" si="19"/>
        <v>0</v>
      </c>
      <c r="S85" s="340">
        <f t="shared" si="19"/>
        <v>0</v>
      </c>
      <c r="T85" s="340"/>
      <c r="V85" s="340">
        <f>SUM(V57:V83)</f>
        <v>0</v>
      </c>
      <c r="W85" s="340"/>
      <c r="X85" s="340">
        <f>SUMPRODUCT($T$59:$T$83,X59:X83)</f>
        <v>0</v>
      </c>
      <c r="Y85" s="340">
        <f t="shared" ref="Y85:AB85" si="20">SUMPRODUCT($T$59:$T$83,Y59:Y83)</f>
        <v>0</v>
      </c>
      <c r="Z85" s="340">
        <f t="shared" si="20"/>
        <v>0</v>
      </c>
      <c r="AA85" s="340">
        <f t="shared" si="20"/>
        <v>0</v>
      </c>
      <c r="AB85" s="340">
        <f t="shared" si="20"/>
        <v>0</v>
      </c>
      <c r="AC85" s="340">
        <f>SUM(AC59:AC83)</f>
        <v>0</v>
      </c>
      <c r="AE85" s="340">
        <f>SUM(AE59:AE83)</f>
        <v>0</v>
      </c>
    </row>
    <row r="86" spans="1:31" x14ac:dyDescent="0.2">
      <c r="A86" s="339"/>
      <c r="B86" s="339"/>
      <c r="C86" s="339"/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V86" s="340"/>
      <c r="W86" s="265" t="s">
        <v>91</v>
      </c>
      <c r="X86" s="483" cm="1">
        <f t="array" ref="X86">SUMPRODUCT(($W$59:$W$83=$W86)*$T$59:$T$83,X$59:X$83)</f>
        <v>0</v>
      </c>
      <c r="Y86" s="484" cm="1">
        <f t="array" ref="Y86">SUMPRODUCT(($W$59:$W$83=$W86)*$T$59:$T$83,Y$59:Y$83)</f>
        <v>0</v>
      </c>
      <c r="Z86" s="484" cm="1">
        <f t="array" ref="Z86">SUMPRODUCT(($W$59:$W$83=$W86)*$T$59:$T$83,Z$59:Z$83)</f>
        <v>0</v>
      </c>
      <c r="AA86" s="484" cm="1">
        <f t="array" ref="AA86">SUMPRODUCT(($W$59:$W$83=$W86)*$T$59:$T$83,AA$59:AA$83)</f>
        <v>0</v>
      </c>
      <c r="AB86" s="485" cm="1">
        <f t="array" ref="AB86">SUMPRODUCT(($W$59:$W$83=$W86)*$T$59:$T$83,AB$59:AB$83)</f>
        <v>0</v>
      </c>
      <c r="AC86" s="354">
        <f>SUM(X86:AB86)</f>
        <v>0</v>
      </c>
    </row>
    <row r="87" spans="1:31" x14ac:dyDescent="0.2">
      <c r="A87" s="339"/>
      <c r="B87" s="339"/>
      <c r="C87" s="339"/>
      <c r="D87" s="340"/>
      <c r="E87" s="340"/>
      <c r="F87" s="340"/>
      <c r="G87" s="340"/>
      <c r="H87" s="340"/>
      <c r="I87" s="340"/>
      <c r="J87" s="340"/>
      <c r="K87" s="340"/>
      <c r="L87" s="340"/>
      <c r="M87" s="340"/>
      <c r="N87" s="340"/>
      <c r="O87" s="340"/>
      <c r="P87" s="340"/>
      <c r="Q87" s="340"/>
      <c r="R87" s="340"/>
      <c r="S87" s="340"/>
      <c r="T87" s="340"/>
      <c r="V87" s="340"/>
      <c r="W87" s="265" t="s">
        <v>98</v>
      </c>
      <c r="X87" s="486" cm="1">
        <f t="array" ref="X87">SUMPRODUCT(($W$59:$W$83=$W87)*$T$59:$T$83,X$59:X$83)</f>
        <v>0</v>
      </c>
      <c r="Y87" s="27" cm="1">
        <f t="array" ref="Y87">SUMPRODUCT(($W$59:$W$83=$W87)*$T$59:$T$83,Y$59:Y$83)</f>
        <v>0</v>
      </c>
      <c r="Z87" s="27" cm="1">
        <f t="array" ref="Z87">SUMPRODUCT(($W$59:$W$83=$W87)*$T$59:$T$83,Z$59:Z$83)</f>
        <v>0</v>
      </c>
      <c r="AA87" s="27" cm="1">
        <f t="array" ref="AA87">SUMPRODUCT(($W$59:$W$83=$W87)*$T$59:$T$83,AA$59:AA$83)</f>
        <v>0</v>
      </c>
      <c r="AB87" s="487" cm="1">
        <f t="array" ref="AB87">SUMPRODUCT(($W$59:$W$83=$W87)*$T$59:$T$83,AB$59:AB$83)</f>
        <v>0</v>
      </c>
      <c r="AC87" s="354">
        <f t="shared" ref="AC87:AC88" si="21">SUM(X87:AB87)</f>
        <v>0</v>
      </c>
    </row>
    <row r="88" spans="1:31" x14ac:dyDescent="0.2">
      <c r="A88" s="328"/>
      <c r="W88" s="265" t="s">
        <v>100</v>
      </c>
      <c r="X88" s="488" cm="1">
        <f t="array" ref="X88">SUMPRODUCT(($W$59:$W$83=$W88)*$T$59:$T$83,X$59:X$83)</f>
        <v>0</v>
      </c>
      <c r="Y88" s="489" cm="1">
        <f t="array" ref="Y88">SUMPRODUCT(($W$59:$W$83=$W88)*$T$59:$T$83,Y$59:Y$83)</f>
        <v>0</v>
      </c>
      <c r="Z88" s="489" cm="1">
        <f t="array" ref="Z88">SUMPRODUCT(($W$59:$W$83=$W88)*$T$59:$T$83,Z$59:Z$83)</f>
        <v>0</v>
      </c>
      <c r="AA88" s="489" cm="1">
        <f t="array" ref="AA88">SUMPRODUCT(($W$59:$W$83=$W88)*$T$59:$T$83,AA$59:AA$83)</f>
        <v>0</v>
      </c>
      <c r="AB88" s="490" cm="1">
        <f t="array" ref="AB88">SUMPRODUCT(($W$59:$W$83=$W88)*$T$59:$T$83,AB$59:AB$83)</f>
        <v>0</v>
      </c>
      <c r="AC88" s="354">
        <f t="shared" si="21"/>
        <v>0</v>
      </c>
    </row>
    <row r="89" spans="1:31" ht="15.6" x14ac:dyDescent="0.3">
      <c r="A89" s="446" t="s">
        <v>413</v>
      </c>
      <c r="B89" s="65"/>
      <c r="C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</row>
    <row r="90" spans="1:31" x14ac:dyDescent="0.2">
      <c r="A90" s="117"/>
    </row>
    <row r="91" spans="1:31" x14ac:dyDescent="0.2">
      <c r="A91" s="329" t="s">
        <v>304</v>
      </c>
      <c r="B91" s="330"/>
      <c r="C91" s="330"/>
      <c r="D91" s="330"/>
      <c r="E91" s="355" t="s">
        <v>219</v>
      </c>
      <c r="F91" s="358"/>
      <c r="G91" s="358"/>
      <c r="H91" s="358"/>
      <c r="I91" s="358"/>
      <c r="J91" s="358"/>
      <c r="K91" s="358"/>
      <c r="L91" s="358"/>
      <c r="M91" s="358"/>
      <c r="N91" s="358"/>
      <c r="O91" s="358"/>
      <c r="P91" s="358"/>
      <c r="Q91" s="358"/>
      <c r="R91" s="358"/>
      <c r="S91" s="430"/>
      <c r="T91" s="332" t="s">
        <v>294</v>
      </c>
      <c r="U91" s="332" t="s">
        <v>297</v>
      </c>
      <c r="V91" s="332" t="s">
        <v>299</v>
      </c>
      <c r="W91" s="332" t="s">
        <v>219</v>
      </c>
      <c r="X91" s="464" t="s">
        <v>429</v>
      </c>
      <c r="Y91" s="465"/>
      <c r="Z91" s="465"/>
      <c r="AA91" s="465"/>
      <c r="AB91" s="466"/>
      <c r="AC91" s="332" t="s">
        <v>294</v>
      </c>
      <c r="AE91" s="332" t="s">
        <v>442</v>
      </c>
    </row>
    <row r="92" spans="1:31" x14ac:dyDescent="0.2">
      <c r="A92" s="369"/>
      <c r="B92" s="333"/>
      <c r="C92" s="333"/>
      <c r="D92" s="333"/>
      <c r="E92" s="357" t="s">
        <v>245</v>
      </c>
      <c r="F92" s="357"/>
      <c r="G92" s="357"/>
      <c r="H92" s="357"/>
      <c r="I92" s="357"/>
      <c r="J92" s="357"/>
      <c r="K92" s="357"/>
      <c r="L92" s="357"/>
      <c r="M92" s="357"/>
      <c r="N92" s="624" t="s">
        <v>246</v>
      </c>
      <c r="O92" s="624"/>
      <c r="P92" s="624"/>
      <c r="Q92" s="624" t="s">
        <v>247</v>
      </c>
      <c r="R92" s="624"/>
      <c r="S92" s="624"/>
      <c r="T92" s="332" t="s">
        <v>295</v>
      </c>
      <c r="U92" s="332" t="s">
        <v>298</v>
      </c>
      <c r="V92" s="332" t="s">
        <v>300</v>
      </c>
      <c r="W92" s="332" t="s">
        <v>432</v>
      </c>
      <c r="X92" s="467"/>
      <c r="Y92" s="468"/>
      <c r="Z92" s="468"/>
      <c r="AA92" s="468"/>
      <c r="AB92" s="469"/>
      <c r="AC92" s="332" t="s">
        <v>303</v>
      </c>
      <c r="AE92" s="332" t="s">
        <v>301</v>
      </c>
    </row>
    <row r="93" spans="1:31" ht="10.8" thickBot="1" x14ac:dyDescent="0.25">
      <c r="A93" s="370" t="s">
        <v>89</v>
      </c>
      <c r="B93" s="333" t="s">
        <v>302</v>
      </c>
      <c r="C93" s="333" t="s">
        <v>440</v>
      </c>
      <c r="D93" s="333" t="s">
        <v>441</v>
      </c>
      <c r="E93" s="626" t="str">
        <f t="shared" ref="E93:S93" si="22">IF(E$23&lt;&gt;"",E$23,"")</f>
        <v>Standaard</v>
      </c>
      <c r="F93" s="626" t="str">
        <f t="shared" si="22"/>
        <v>Vakantie</v>
      </c>
      <c r="G93" s="626" t="str">
        <f t="shared" si="22"/>
        <v>Niet-vakantie</v>
      </c>
      <c r="H93" s="626" t="str">
        <f t="shared" si="22"/>
        <v/>
      </c>
      <c r="I93" s="626" t="str">
        <f t="shared" si="22"/>
        <v/>
      </c>
      <c r="J93" s="626" t="str">
        <f t="shared" si="22"/>
        <v/>
      </c>
      <c r="K93" s="626" t="str">
        <f t="shared" si="22"/>
        <v/>
      </c>
      <c r="L93" s="626" t="str">
        <f t="shared" si="22"/>
        <v/>
      </c>
      <c r="M93" s="626" t="str">
        <f t="shared" si="22"/>
        <v/>
      </c>
      <c r="N93" s="626" t="str">
        <f t="shared" si="22"/>
        <v>Standaard</v>
      </c>
      <c r="O93" s="626" t="str">
        <f t="shared" si="22"/>
        <v/>
      </c>
      <c r="P93" s="626" t="str">
        <f t="shared" si="22"/>
        <v/>
      </c>
      <c r="Q93" s="626" t="str">
        <f t="shared" si="22"/>
        <v>Standaard</v>
      </c>
      <c r="R93" s="626" t="str">
        <f t="shared" si="22"/>
        <v/>
      </c>
      <c r="S93" s="626" t="str">
        <f t="shared" si="22"/>
        <v/>
      </c>
      <c r="T93" s="335" t="s">
        <v>296</v>
      </c>
      <c r="U93" s="335"/>
      <c r="V93" s="335" t="s">
        <v>301</v>
      </c>
      <c r="W93" s="335" t="s">
        <v>433</v>
      </c>
      <c r="X93" s="335" t="s">
        <v>262</v>
      </c>
      <c r="Y93" s="335" t="s">
        <v>427</v>
      </c>
      <c r="Z93" s="335" t="s">
        <v>428</v>
      </c>
      <c r="AA93" s="335" t="s">
        <v>265</v>
      </c>
      <c r="AB93" s="335" t="s">
        <v>266</v>
      </c>
      <c r="AC93" s="335" t="s">
        <v>237</v>
      </c>
      <c r="AE93" s="335"/>
    </row>
    <row r="94" spans="1:31" x14ac:dyDescent="0.2">
      <c r="A94" s="371" t="s">
        <v>402</v>
      </c>
      <c r="B94" s="365" t="s">
        <v>401</v>
      </c>
      <c r="C94" s="493"/>
      <c r="D94" s="450"/>
      <c r="E94" s="432"/>
      <c r="F94" s="432"/>
      <c r="G94" s="432"/>
      <c r="H94" s="432"/>
      <c r="I94" s="432"/>
      <c r="J94" s="432"/>
      <c r="K94" s="432"/>
      <c r="L94" s="432"/>
      <c r="M94" s="432"/>
      <c r="N94" s="432"/>
      <c r="O94" s="432"/>
      <c r="P94" s="432"/>
      <c r="Q94" s="432"/>
      <c r="R94" s="432"/>
      <c r="S94" s="432"/>
      <c r="T94" s="336">
        <f t="shared" ref="T94:T118" si="23">E94*$E$129+F94*$F$129+G94*$G$129+H94*$H$129+I94*$I$129+J94*$J$129+K94*$K$129+L94*$L$129+M94*$M$129+N94*$N$129+O94*$O$129+P94*$P$129+Q94*$Q$129+R94*$R$129+S94*$S$129</f>
        <v>0</v>
      </c>
      <c r="U94" s="374">
        <f t="array" ref="U94">IF(SUMIF($A$5:$A$15,B94,$U$5:$U$15)&gt;SUMIF($A$5:$A$15,A94,$U$5:$U$15),SUMIF($A$5:$A$15,B94,$U$5:$U$15)-SUMIF($A$5:$A$15,A94,$U$5:$U$15),SUMIF($A$5:$A$15,A94,$U$5:$U$15)-SUMIF($A$5:$A$15,B94,$U$5:$U$15))</f>
        <v>11.000000000000002</v>
      </c>
      <c r="V94" s="476">
        <f t="shared" ref="V94:V118" si="24">T94*U94</f>
        <v>0</v>
      </c>
      <c r="W94" s="479"/>
      <c r="X94" s="470"/>
      <c r="Y94" s="470"/>
      <c r="Z94" s="470"/>
      <c r="AA94" s="470"/>
      <c r="AB94" s="470"/>
      <c r="AC94" s="336">
        <f t="shared" ref="AC94:AC118" si="25">T94*SUM(X94:AB94)</f>
        <v>0</v>
      </c>
      <c r="AE94" s="497">
        <f>V94*C94</f>
        <v>0</v>
      </c>
    </row>
    <row r="95" spans="1:31" x14ac:dyDescent="0.2">
      <c r="A95" s="372"/>
      <c r="B95" s="366"/>
      <c r="C95" s="494"/>
      <c r="D95" s="451"/>
      <c r="E95" s="433"/>
      <c r="F95" s="433"/>
      <c r="G95" s="433"/>
      <c r="H95" s="433"/>
      <c r="I95" s="433"/>
      <c r="J95" s="433"/>
      <c r="K95" s="433"/>
      <c r="L95" s="433"/>
      <c r="M95" s="433"/>
      <c r="N95" s="433"/>
      <c r="O95" s="433"/>
      <c r="P95" s="433"/>
      <c r="Q95" s="433"/>
      <c r="R95" s="433"/>
      <c r="S95" s="433"/>
      <c r="T95" s="337">
        <f t="shared" si="23"/>
        <v>0</v>
      </c>
      <c r="U95" s="374">
        <f t="array" ref="U95">IF(SUMIF($A$5:$A$15,B95,$U$5:$U$15)&gt;SUMIF($A$5:$A$15,A95,$U$5:$U$15),SUMIF($A$5:$A$15,B95,$U$5:$U$15)-SUMIF($A$5:$A$15,A95,$U$5:$U$15),SUMIF($A$5:$A$15,A95,$U$5:$U$15)-SUMIF($A$5:$A$15,B95,$U$5:$U$15))</f>
        <v>0</v>
      </c>
      <c r="V95" s="477">
        <f t="shared" si="24"/>
        <v>0</v>
      </c>
      <c r="W95" s="480"/>
      <c r="X95" s="471"/>
      <c r="Y95" s="471"/>
      <c r="Z95" s="471"/>
      <c r="AA95" s="471"/>
      <c r="AB95" s="471"/>
      <c r="AC95" s="337">
        <f t="shared" si="25"/>
        <v>0</v>
      </c>
      <c r="AE95" s="498">
        <f>V95*C95</f>
        <v>0</v>
      </c>
    </row>
    <row r="96" spans="1:31" x14ac:dyDescent="0.2">
      <c r="A96" s="372"/>
      <c r="B96" s="366"/>
      <c r="C96" s="494"/>
      <c r="D96" s="451"/>
      <c r="E96" s="433"/>
      <c r="F96" s="433"/>
      <c r="G96" s="433"/>
      <c r="H96" s="433"/>
      <c r="I96" s="433"/>
      <c r="J96" s="433"/>
      <c r="K96" s="433"/>
      <c r="L96" s="433"/>
      <c r="M96" s="433"/>
      <c r="N96" s="433"/>
      <c r="O96" s="433"/>
      <c r="P96" s="433"/>
      <c r="Q96" s="433"/>
      <c r="R96" s="433"/>
      <c r="S96" s="433"/>
      <c r="T96" s="337">
        <f t="shared" si="23"/>
        <v>0</v>
      </c>
      <c r="U96" s="374">
        <f t="array" ref="U96">IF(SUMIF($A$5:$A$15,B96,$U$5:$U$15)&gt;SUMIF($A$5:$A$15,A96,$U$5:$U$15),SUMIF($A$5:$A$15,B96,$U$5:$U$15)-SUMIF($A$5:$A$15,A96,$U$5:$U$15),SUMIF($A$5:$A$15,A96,$U$5:$U$15)-SUMIF($A$5:$A$15,B96,$U$5:$U$15))</f>
        <v>0</v>
      </c>
      <c r="V96" s="477">
        <f t="shared" si="24"/>
        <v>0</v>
      </c>
      <c r="W96" s="480"/>
      <c r="X96" s="471"/>
      <c r="Y96" s="471"/>
      <c r="Z96" s="471"/>
      <c r="AA96" s="471"/>
      <c r="AB96" s="471"/>
      <c r="AC96" s="337">
        <f t="shared" si="25"/>
        <v>0</v>
      </c>
      <c r="AE96" s="498">
        <f>V96*C96</f>
        <v>0</v>
      </c>
    </row>
    <row r="97" spans="1:31" x14ac:dyDescent="0.2">
      <c r="A97" s="372"/>
      <c r="B97" s="366"/>
      <c r="C97" s="494"/>
      <c r="D97" s="451"/>
      <c r="E97" s="433"/>
      <c r="F97" s="433"/>
      <c r="G97" s="433"/>
      <c r="H97" s="433"/>
      <c r="I97" s="433"/>
      <c r="J97" s="433"/>
      <c r="K97" s="433"/>
      <c r="L97" s="433"/>
      <c r="M97" s="433"/>
      <c r="N97" s="433"/>
      <c r="O97" s="433"/>
      <c r="P97" s="433"/>
      <c r="Q97" s="433"/>
      <c r="R97" s="433"/>
      <c r="S97" s="433"/>
      <c r="T97" s="337">
        <f t="shared" si="23"/>
        <v>0</v>
      </c>
      <c r="U97" s="374">
        <f t="array" ref="U97">IF(SUMIF($A$5:$A$15,B97,$U$5:$U$15)&gt;SUMIF($A$5:$A$15,A97,$U$5:$U$15),SUMIF($A$5:$A$15,B97,$U$5:$U$15)-SUMIF($A$5:$A$15,A97,$U$5:$U$15),SUMIF($A$5:$A$15,A97,$U$5:$U$15)-SUMIF($A$5:$A$15,B97,$U$5:$U$15))</f>
        <v>0</v>
      </c>
      <c r="V97" s="477">
        <f t="shared" si="24"/>
        <v>0</v>
      </c>
      <c r="W97" s="480"/>
      <c r="X97" s="471"/>
      <c r="Y97" s="471"/>
      <c r="Z97" s="471"/>
      <c r="AA97" s="471"/>
      <c r="AB97" s="471"/>
      <c r="AC97" s="337">
        <f t="shared" si="25"/>
        <v>0</v>
      </c>
      <c r="AE97" s="498">
        <f>V97*C97</f>
        <v>0</v>
      </c>
    </row>
    <row r="98" spans="1:31" x14ac:dyDescent="0.2">
      <c r="A98" s="372"/>
      <c r="B98" s="366"/>
      <c r="C98" s="494"/>
      <c r="D98" s="451"/>
      <c r="E98" s="433"/>
      <c r="F98" s="433"/>
      <c r="G98" s="433"/>
      <c r="H98" s="433"/>
      <c r="I98" s="433"/>
      <c r="J98" s="433"/>
      <c r="K98" s="433"/>
      <c r="L98" s="433"/>
      <c r="M98" s="433"/>
      <c r="N98" s="433"/>
      <c r="O98" s="433"/>
      <c r="P98" s="433"/>
      <c r="Q98" s="433"/>
      <c r="R98" s="433"/>
      <c r="S98" s="433"/>
      <c r="T98" s="337">
        <f t="shared" si="23"/>
        <v>0</v>
      </c>
      <c r="U98" s="374">
        <f t="array" ref="U98">IF(SUMIF($A$5:$A$15,B98,$U$5:$U$15)&gt;SUMIF($A$5:$A$15,A98,$U$5:$U$15),SUMIF($A$5:$A$15,B98,$U$5:$U$15)-SUMIF($A$5:$A$15,A98,$U$5:$U$15),SUMIF($A$5:$A$15,A98,$U$5:$U$15)-SUMIF($A$5:$A$15,B98,$U$5:$U$15))</f>
        <v>0</v>
      </c>
      <c r="V98" s="477">
        <f t="shared" si="24"/>
        <v>0</v>
      </c>
      <c r="W98" s="480"/>
      <c r="X98" s="471"/>
      <c r="Y98" s="471"/>
      <c r="Z98" s="471"/>
      <c r="AA98" s="471"/>
      <c r="AB98" s="471"/>
      <c r="AC98" s="337">
        <f t="shared" si="25"/>
        <v>0</v>
      </c>
      <c r="AE98" s="498">
        <f>V98*C98</f>
        <v>0</v>
      </c>
    </row>
    <row r="99" spans="1:31" x14ac:dyDescent="0.2">
      <c r="A99" s="372"/>
      <c r="B99" s="366"/>
      <c r="C99" s="494"/>
      <c r="D99" s="451"/>
      <c r="E99" s="433"/>
      <c r="F99" s="433"/>
      <c r="G99" s="433"/>
      <c r="H99" s="433"/>
      <c r="I99" s="433"/>
      <c r="J99" s="433"/>
      <c r="K99" s="433"/>
      <c r="L99" s="433"/>
      <c r="M99" s="433"/>
      <c r="N99" s="433"/>
      <c r="O99" s="433"/>
      <c r="P99" s="433"/>
      <c r="Q99" s="433"/>
      <c r="R99" s="433"/>
      <c r="S99" s="433"/>
      <c r="T99" s="337">
        <f t="shared" si="23"/>
        <v>0</v>
      </c>
      <c r="U99" s="374">
        <f t="array" ref="U99">IF(SUMIF($A$5:$A$15,B99,$U$5:$U$15)&gt;SUMIF($A$5:$A$15,A99,$U$5:$U$15),SUMIF($A$5:$A$15,B99,$U$5:$U$15)-SUMIF($A$5:$A$15,A99,$U$5:$U$15),SUMIF($A$5:$A$15,A99,$U$5:$U$15)-SUMIF($A$5:$A$15,B99,$U$5:$U$15))</f>
        <v>0</v>
      </c>
      <c r="V99" s="477">
        <f t="shared" ref="V99:V107" si="26">T99*U99</f>
        <v>0</v>
      </c>
      <c r="W99" s="480"/>
      <c r="X99" s="471"/>
      <c r="Y99" s="471"/>
      <c r="Z99" s="471"/>
      <c r="AA99" s="471"/>
      <c r="AB99" s="471"/>
      <c r="AC99" s="337">
        <f t="shared" ref="AC99:AC111" si="27">T99*SUM(X99:AB99)</f>
        <v>0</v>
      </c>
      <c r="AE99" s="498">
        <f t="shared" ref="AE99:AE111" si="28">V99*C99</f>
        <v>0</v>
      </c>
    </row>
    <row r="100" spans="1:31" x14ac:dyDescent="0.2">
      <c r="A100" s="372"/>
      <c r="B100" s="366"/>
      <c r="C100" s="494"/>
      <c r="D100" s="451"/>
      <c r="E100" s="433"/>
      <c r="F100" s="433"/>
      <c r="G100" s="433"/>
      <c r="H100" s="433"/>
      <c r="I100" s="433"/>
      <c r="J100" s="433"/>
      <c r="K100" s="433"/>
      <c r="L100" s="433"/>
      <c r="M100" s="433"/>
      <c r="N100" s="433"/>
      <c r="O100" s="433"/>
      <c r="P100" s="433"/>
      <c r="Q100" s="433"/>
      <c r="R100" s="433"/>
      <c r="S100" s="433"/>
      <c r="T100" s="337">
        <f t="shared" si="23"/>
        <v>0</v>
      </c>
      <c r="U100" s="374">
        <f t="array" ref="U100">IF(SUMIF($A$5:$A$15,B100,$U$5:$U$15)&gt;SUMIF($A$5:$A$15,A100,$U$5:$U$15),SUMIF($A$5:$A$15,B100,$U$5:$U$15)-SUMIF($A$5:$A$15,A100,$U$5:$U$15),SUMIF($A$5:$A$15,A100,$U$5:$U$15)-SUMIF($A$5:$A$15,B100,$U$5:$U$15))</f>
        <v>0</v>
      </c>
      <c r="V100" s="477">
        <f t="shared" si="26"/>
        <v>0</v>
      </c>
      <c r="W100" s="480"/>
      <c r="X100" s="471"/>
      <c r="Y100" s="471"/>
      <c r="Z100" s="471"/>
      <c r="AA100" s="471"/>
      <c r="AB100" s="471"/>
      <c r="AC100" s="337">
        <f t="shared" si="27"/>
        <v>0</v>
      </c>
      <c r="AE100" s="498">
        <f t="shared" si="28"/>
        <v>0</v>
      </c>
    </row>
    <row r="101" spans="1:31" x14ac:dyDescent="0.2">
      <c r="A101" s="372"/>
      <c r="B101" s="366"/>
      <c r="C101" s="494"/>
      <c r="D101" s="451"/>
      <c r="E101" s="433"/>
      <c r="F101" s="433"/>
      <c r="G101" s="433"/>
      <c r="H101" s="433"/>
      <c r="I101" s="433"/>
      <c r="J101" s="433"/>
      <c r="K101" s="433"/>
      <c r="L101" s="433"/>
      <c r="M101" s="433"/>
      <c r="N101" s="433"/>
      <c r="O101" s="433"/>
      <c r="P101" s="433"/>
      <c r="Q101" s="433"/>
      <c r="R101" s="433"/>
      <c r="S101" s="433"/>
      <c r="T101" s="337">
        <f t="shared" si="23"/>
        <v>0</v>
      </c>
      <c r="U101" s="374">
        <f t="array" ref="U101">IF(SUMIF($A$5:$A$15,B101,$U$5:$U$15)&gt;SUMIF($A$5:$A$15,A101,$U$5:$U$15),SUMIF($A$5:$A$15,B101,$U$5:$U$15)-SUMIF($A$5:$A$15,A101,$U$5:$U$15),SUMIF($A$5:$A$15,A101,$U$5:$U$15)-SUMIF($A$5:$A$15,B101,$U$5:$U$15))</f>
        <v>0</v>
      </c>
      <c r="V101" s="477">
        <f t="shared" si="26"/>
        <v>0</v>
      </c>
      <c r="W101" s="480"/>
      <c r="X101" s="471"/>
      <c r="Y101" s="471"/>
      <c r="Z101" s="471"/>
      <c r="AA101" s="471"/>
      <c r="AB101" s="471"/>
      <c r="AC101" s="337">
        <f t="shared" si="27"/>
        <v>0</v>
      </c>
      <c r="AE101" s="498">
        <f t="shared" si="28"/>
        <v>0</v>
      </c>
    </row>
    <row r="102" spans="1:31" x14ac:dyDescent="0.2">
      <c r="A102" s="372"/>
      <c r="B102" s="366"/>
      <c r="C102" s="494"/>
      <c r="D102" s="451"/>
      <c r="E102" s="433"/>
      <c r="F102" s="433"/>
      <c r="G102" s="433"/>
      <c r="H102" s="433"/>
      <c r="I102" s="433"/>
      <c r="J102" s="433"/>
      <c r="K102" s="433"/>
      <c r="L102" s="433"/>
      <c r="M102" s="433"/>
      <c r="N102" s="433"/>
      <c r="O102" s="433"/>
      <c r="P102" s="433"/>
      <c r="Q102" s="433"/>
      <c r="R102" s="433"/>
      <c r="S102" s="433"/>
      <c r="T102" s="337">
        <f t="shared" si="23"/>
        <v>0</v>
      </c>
      <c r="U102" s="374">
        <f t="array" ref="U102">IF(SUMIF($A$5:$A$15,B102,$U$5:$U$15)&gt;SUMIF($A$5:$A$15,A102,$U$5:$U$15),SUMIF($A$5:$A$15,B102,$U$5:$U$15)-SUMIF($A$5:$A$15,A102,$U$5:$U$15),SUMIF($A$5:$A$15,A102,$U$5:$U$15)-SUMIF($A$5:$A$15,B102,$U$5:$U$15))</f>
        <v>0</v>
      </c>
      <c r="V102" s="477">
        <f t="shared" si="26"/>
        <v>0</v>
      </c>
      <c r="W102" s="480"/>
      <c r="X102" s="471"/>
      <c r="Y102" s="471"/>
      <c r="Z102" s="471"/>
      <c r="AA102" s="471"/>
      <c r="AB102" s="471"/>
      <c r="AC102" s="337">
        <f t="shared" si="27"/>
        <v>0</v>
      </c>
      <c r="AE102" s="498">
        <f t="shared" si="28"/>
        <v>0</v>
      </c>
    </row>
    <row r="103" spans="1:31" x14ac:dyDescent="0.2">
      <c r="A103" s="372"/>
      <c r="B103" s="366"/>
      <c r="C103" s="494"/>
      <c r="D103" s="451"/>
      <c r="E103" s="433"/>
      <c r="F103" s="433"/>
      <c r="G103" s="433"/>
      <c r="H103" s="433"/>
      <c r="I103" s="433"/>
      <c r="J103" s="433"/>
      <c r="K103" s="433"/>
      <c r="L103" s="433"/>
      <c r="M103" s="433"/>
      <c r="N103" s="433"/>
      <c r="O103" s="433"/>
      <c r="P103" s="433"/>
      <c r="Q103" s="433"/>
      <c r="R103" s="433"/>
      <c r="S103" s="433"/>
      <c r="T103" s="337">
        <f t="shared" si="23"/>
        <v>0</v>
      </c>
      <c r="U103" s="374">
        <f t="array" ref="U103">IF(SUMIF($A$5:$A$15,B103,$U$5:$U$15)&gt;SUMIF($A$5:$A$15,A103,$U$5:$U$15),SUMIF($A$5:$A$15,B103,$U$5:$U$15)-SUMIF($A$5:$A$15,A103,$U$5:$U$15),SUMIF($A$5:$A$15,A103,$U$5:$U$15)-SUMIF($A$5:$A$15,B103,$U$5:$U$15))</f>
        <v>0</v>
      </c>
      <c r="V103" s="477">
        <f t="shared" si="26"/>
        <v>0</v>
      </c>
      <c r="W103" s="480"/>
      <c r="X103" s="471"/>
      <c r="Y103" s="471"/>
      <c r="Z103" s="471"/>
      <c r="AA103" s="471"/>
      <c r="AB103" s="471"/>
      <c r="AC103" s="337">
        <f t="shared" si="27"/>
        <v>0</v>
      </c>
      <c r="AE103" s="498">
        <f t="shared" si="28"/>
        <v>0</v>
      </c>
    </row>
    <row r="104" spans="1:31" x14ac:dyDescent="0.2">
      <c r="A104" s="372"/>
      <c r="B104" s="366"/>
      <c r="C104" s="494"/>
      <c r="D104" s="451"/>
      <c r="E104" s="433"/>
      <c r="F104" s="433"/>
      <c r="G104" s="433"/>
      <c r="H104" s="433"/>
      <c r="I104" s="433"/>
      <c r="J104" s="433"/>
      <c r="K104" s="433"/>
      <c r="L104" s="433"/>
      <c r="M104" s="433"/>
      <c r="N104" s="433"/>
      <c r="O104" s="433"/>
      <c r="P104" s="433"/>
      <c r="Q104" s="433"/>
      <c r="R104" s="433"/>
      <c r="S104" s="433"/>
      <c r="T104" s="337">
        <f t="shared" si="23"/>
        <v>0</v>
      </c>
      <c r="U104" s="374">
        <f t="array" ref="U104">IF(SUMIF($A$5:$A$15,B104,$U$5:$U$15)&gt;SUMIF($A$5:$A$15,A104,$U$5:$U$15),SUMIF($A$5:$A$15,B104,$U$5:$U$15)-SUMIF($A$5:$A$15,A104,$U$5:$U$15),SUMIF($A$5:$A$15,A104,$U$5:$U$15)-SUMIF($A$5:$A$15,B104,$U$5:$U$15))</f>
        <v>0</v>
      </c>
      <c r="V104" s="477">
        <f t="shared" si="26"/>
        <v>0</v>
      </c>
      <c r="W104" s="480"/>
      <c r="X104" s="471"/>
      <c r="Y104" s="471"/>
      <c r="Z104" s="471"/>
      <c r="AA104" s="471"/>
      <c r="AB104" s="471"/>
      <c r="AC104" s="337">
        <f t="shared" si="27"/>
        <v>0</v>
      </c>
      <c r="AE104" s="498">
        <f t="shared" si="28"/>
        <v>0</v>
      </c>
    </row>
    <row r="105" spans="1:31" x14ac:dyDescent="0.2">
      <c r="A105" s="372"/>
      <c r="B105" s="366"/>
      <c r="C105" s="494"/>
      <c r="D105" s="451"/>
      <c r="E105" s="433"/>
      <c r="F105" s="433"/>
      <c r="G105" s="433"/>
      <c r="H105" s="433"/>
      <c r="I105" s="433"/>
      <c r="J105" s="433"/>
      <c r="K105" s="433"/>
      <c r="L105" s="433"/>
      <c r="M105" s="433"/>
      <c r="N105" s="433"/>
      <c r="O105" s="433"/>
      <c r="P105" s="433"/>
      <c r="Q105" s="433"/>
      <c r="R105" s="433"/>
      <c r="S105" s="433"/>
      <c r="T105" s="337">
        <f t="shared" si="23"/>
        <v>0</v>
      </c>
      <c r="U105" s="374">
        <f t="array" ref="U105">IF(SUMIF($A$5:$A$15,B105,$U$5:$U$15)&gt;SUMIF($A$5:$A$15,A105,$U$5:$U$15),SUMIF($A$5:$A$15,B105,$U$5:$U$15)-SUMIF($A$5:$A$15,A105,$U$5:$U$15),SUMIF($A$5:$A$15,A105,$U$5:$U$15)-SUMIF($A$5:$A$15,B105,$U$5:$U$15))</f>
        <v>0</v>
      </c>
      <c r="V105" s="477">
        <f t="shared" si="26"/>
        <v>0</v>
      </c>
      <c r="W105" s="480"/>
      <c r="X105" s="471"/>
      <c r="Y105" s="471"/>
      <c r="Z105" s="471"/>
      <c r="AA105" s="471"/>
      <c r="AB105" s="471"/>
      <c r="AC105" s="337">
        <f t="shared" si="27"/>
        <v>0</v>
      </c>
      <c r="AE105" s="498">
        <f t="shared" si="28"/>
        <v>0</v>
      </c>
    </row>
    <row r="106" spans="1:31" x14ac:dyDescent="0.2">
      <c r="A106" s="372"/>
      <c r="B106" s="366"/>
      <c r="C106" s="494"/>
      <c r="D106" s="451"/>
      <c r="E106" s="433"/>
      <c r="F106" s="433"/>
      <c r="G106" s="433"/>
      <c r="H106" s="433"/>
      <c r="I106" s="433"/>
      <c r="J106" s="433"/>
      <c r="K106" s="433"/>
      <c r="L106" s="433"/>
      <c r="M106" s="433"/>
      <c r="N106" s="433"/>
      <c r="O106" s="433"/>
      <c r="P106" s="433"/>
      <c r="Q106" s="433"/>
      <c r="R106" s="433"/>
      <c r="S106" s="433"/>
      <c r="T106" s="337">
        <f t="shared" si="23"/>
        <v>0</v>
      </c>
      <c r="U106" s="374">
        <f t="array" ref="U106">IF(SUMIF($A$5:$A$15,B106,$U$5:$U$15)&gt;SUMIF($A$5:$A$15,A106,$U$5:$U$15),SUMIF($A$5:$A$15,B106,$U$5:$U$15)-SUMIF($A$5:$A$15,A106,$U$5:$U$15),SUMIF($A$5:$A$15,A106,$U$5:$U$15)-SUMIF($A$5:$A$15,B106,$U$5:$U$15))</f>
        <v>0</v>
      </c>
      <c r="V106" s="477">
        <f t="shared" si="26"/>
        <v>0</v>
      </c>
      <c r="W106" s="480"/>
      <c r="X106" s="471"/>
      <c r="Y106" s="471"/>
      <c r="Z106" s="471"/>
      <c r="AA106" s="471"/>
      <c r="AB106" s="471"/>
      <c r="AC106" s="337">
        <f t="shared" si="27"/>
        <v>0</v>
      </c>
      <c r="AE106" s="498">
        <f t="shared" si="28"/>
        <v>0</v>
      </c>
    </row>
    <row r="107" spans="1:31" x14ac:dyDescent="0.2">
      <c r="A107" s="372"/>
      <c r="B107" s="366"/>
      <c r="C107" s="494"/>
      <c r="D107" s="451"/>
      <c r="E107" s="433"/>
      <c r="F107" s="433"/>
      <c r="G107" s="433"/>
      <c r="H107" s="433"/>
      <c r="I107" s="433"/>
      <c r="J107" s="433"/>
      <c r="K107" s="433"/>
      <c r="L107" s="433"/>
      <c r="M107" s="433"/>
      <c r="N107" s="433"/>
      <c r="O107" s="433"/>
      <c r="P107" s="433"/>
      <c r="Q107" s="433"/>
      <c r="R107" s="433"/>
      <c r="S107" s="433"/>
      <c r="T107" s="337">
        <f t="shared" si="23"/>
        <v>0</v>
      </c>
      <c r="U107" s="374">
        <f t="array" ref="U107">IF(SUMIF($A$5:$A$15,B107,$U$5:$U$15)&gt;SUMIF($A$5:$A$15,A107,$U$5:$U$15),SUMIF($A$5:$A$15,B107,$U$5:$U$15)-SUMIF($A$5:$A$15,A107,$U$5:$U$15),SUMIF($A$5:$A$15,A107,$U$5:$U$15)-SUMIF($A$5:$A$15,B107,$U$5:$U$15))</f>
        <v>0</v>
      </c>
      <c r="V107" s="477">
        <f t="shared" si="26"/>
        <v>0</v>
      </c>
      <c r="W107" s="480"/>
      <c r="X107" s="471"/>
      <c r="Y107" s="471"/>
      <c r="Z107" s="471"/>
      <c r="AA107" s="471"/>
      <c r="AB107" s="471"/>
      <c r="AC107" s="337">
        <f t="shared" si="27"/>
        <v>0</v>
      </c>
      <c r="AE107" s="498">
        <f t="shared" si="28"/>
        <v>0</v>
      </c>
    </row>
    <row r="108" spans="1:31" x14ac:dyDescent="0.2">
      <c r="A108" s="372"/>
      <c r="B108" s="366"/>
      <c r="C108" s="494"/>
      <c r="D108" s="451"/>
      <c r="E108" s="433"/>
      <c r="F108" s="433"/>
      <c r="G108" s="433"/>
      <c r="H108" s="433"/>
      <c r="I108" s="433"/>
      <c r="J108" s="433"/>
      <c r="K108" s="433"/>
      <c r="L108" s="433"/>
      <c r="M108" s="433"/>
      <c r="N108" s="433"/>
      <c r="O108" s="433"/>
      <c r="P108" s="433"/>
      <c r="Q108" s="433"/>
      <c r="R108" s="433"/>
      <c r="S108" s="433"/>
      <c r="T108" s="337">
        <f t="shared" si="23"/>
        <v>0</v>
      </c>
      <c r="U108" s="374">
        <f t="array" ref="U108">IF(SUMIF($A$5:$A$15,B108,$U$5:$U$15)&gt;SUMIF($A$5:$A$15,A108,$U$5:$U$15),SUMIF($A$5:$A$15,B108,$U$5:$U$15)-SUMIF($A$5:$A$15,A108,$U$5:$U$15),SUMIF($A$5:$A$15,A108,$U$5:$U$15)-SUMIF($A$5:$A$15,B108,$U$5:$U$15))</f>
        <v>0</v>
      </c>
      <c r="V108" s="477">
        <f t="shared" si="24"/>
        <v>0</v>
      </c>
      <c r="W108" s="480"/>
      <c r="X108" s="471"/>
      <c r="Y108" s="471"/>
      <c r="Z108" s="471"/>
      <c r="AA108" s="471"/>
      <c r="AB108" s="471"/>
      <c r="AC108" s="337">
        <f t="shared" si="27"/>
        <v>0</v>
      </c>
      <c r="AE108" s="498">
        <f t="shared" si="28"/>
        <v>0</v>
      </c>
    </row>
    <row r="109" spans="1:31" x14ac:dyDescent="0.2">
      <c r="A109" s="372"/>
      <c r="B109" s="366"/>
      <c r="C109" s="494"/>
      <c r="D109" s="451"/>
      <c r="E109" s="433"/>
      <c r="F109" s="433"/>
      <c r="G109" s="433"/>
      <c r="H109" s="433"/>
      <c r="I109" s="433"/>
      <c r="J109" s="433"/>
      <c r="K109" s="433"/>
      <c r="L109" s="433"/>
      <c r="M109" s="433"/>
      <c r="N109" s="433"/>
      <c r="O109" s="433"/>
      <c r="P109" s="433"/>
      <c r="Q109" s="433"/>
      <c r="R109" s="433"/>
      <c r="S109" s="433"/>
      <c r="T109" s="337">
        <f t="shared" si="23"/>
        <v>0</v>
      </c>
      <c r="U109" s="374">
        <f t="array" ref="U109">IF(SUMIF($A$5:$A$15,B109,$U$5:$U$15)&gt;SUMIF($A$5:$A$15,A109,$U$5:$U$15),SUMIF($A$5:$A$15,B109,$U$5:$U$15)-SUMIF($A$5:$A$15,A109,$U$5:$U$15),SUMIF($A$5:$A$15,A109,$U$5:$U$15)-SUMIF($A$5:$A$15,B109,$U$5:$U$15))</f>
        <v>0</v>
      </c>
      <c r="V109" s="477">
        <f t="shared" si="24"/>
        <v>0</v>
      </c>
      <c r="W109" s="480"/>
      <c r="X109" s="471"/>
      <c r="Y109" s="471"/>
      <c r="Z109" s="471"/>
      <c r="AA109" s="471"/>
      <c r="AB109" s="471"/>
      <c r="AC109" s="337">
        <f t="shared" si="27"/>
        <v>0</v>
      </c>
      <c r="AE109" s="498">
        <f t="shared" si="28"/>
        <v>0</v>
      </c>
    </row>
    <row r="110" spans="1:31" x14ac:dyDescent="0.2">
      <c r="A110" s="372"/>
      <c r="B110" s="366"/>
      <c r="C110" s="494"/>
      <c r="D110" s="451"/>
      <c r="E110" s="433"/>
      <c r="F110" s="433"/>
      <c r="G110" s="433"/>
      <c r="H110" s="433"/>
      <c r="I110" s="433"/>
      <c r="J110" s="433"/>
      <c r="K110" s="433"/>
      <c r="L110" s="433"/>
      <c r="M110" s="433"/>
      <c r="N110" s="433"/>
      <c r="O110" s="433"/>
      <c r="P110" s="433"/>
      <c r="Q110" s="433"/>
      <c r="R110" s="433"/>
      <c r="S110" s="433"/>
      <c r="T110" s="337">
        <f t="shared" si="23"/>
        <v>0</v>
      </c>
      <c r="U110" s="374">
        <f t="array" ref="U110">IF(SUMIF($A$5:$A$15,B110,$U$5:$U$15)&gt;SUMIF($A$5:$A$15,A110,$U$5:$U$15),SUMIF($A$5:$A$15,B110,$U$5:$U$15)-SUMIF($A$5:$A$15,A110,$U$5:$U$15),SUMIF($A$5:$A$15,A110,$U$5:$U$15)-SUMIF($A$5:$A$15,B110,$U$5:$U$15))</f>
        <v>0</v>
      </c>
      <c r="V110" s="477">
        <f t="shared" ref="V110:V111" si="29">T110*U110</f>
        <v>0</v>
      </c>
      <c r="W110" s="480"/>
      <c r="X110" s="471"/>
      <c r="Y110" s="471"/>
      <c r="Z110" s="471"/>
      <c r="AA110" s="471"/>
      <c r="AB110" s="471"/>
      <c r="AC110" s="337">
        <f t="shared" si="27"/>
        <v>0</v>
      </c>
      <c r="AE110" s="498">
        <f t="shared" si="28"/>
        <v>0</v>
      </c>
    </row>
    <row r="111" spans="1:31" x14ac:dyDescent="0.2">
      <c r="A111" s="372"/>
      <c r="B111" s="366"/>
      <c r="C111" s="494"/>
      <c r="D111" s="451"/>
      <c r="E111" s="433"/>
      <c r="F111" s="433"/>
      <c r="G111" s="433"/>
      <c r="H111" s="433"/>
      <c r="I111" s="433"/>
      <c r="J111" s="433"/>
      <c r="K111" s="433"/>
      <c r="L111" s="433"/>
      <c r="M111" s="433"/>
      <c r="N111" s="433"/>
      <c r="O111" s="433"/>
      <c r="P111" s="433"/>
      <c r="Q111" s="433"/>
      <c r="R111" s="433"/>
      <c r="S111" s="433"/>
      <c r="T111" s="337">
        <f t="shared" si="23"/>
        <v>0</v>
      </c>
      <c r="U111" s="374">
        <f t="array" ref="U111">IF(SUMIF($A$5:$A$15,B111,$U$5:$U$15)&gt;SUMIF($A$5:$A$15,A111,$U$5:$U$15),SUMIF($A$5:$A$15,B111,$U$5:$U$15)-SUMIF($A$5:$A$15,A111,$U$5:$U$15),SUMIF($A$5:$A$15,A111,$U$5:$U$15)-SUMIF($A$5:$A$15,B111,$U$5:$U$15))</f>
        <v>0</v>
      </c>
      <c r="V111" s="477">
        <f t="shared" si="29"/>
        <v>0</v>
      </c>
      <c r="W111" s="480"/>
      <c r="X111" s="471"/>
      <c r="Y111" s="471"/>
      <c r="Z111" s="471"/>
      <c r="AA111" s="471"/>
      <c r="AB111" s="471"/>
      <c r="AC111" s="337">
        <f t="shared" si="27"/>
        <v>0</v>
      </c>
      <c r="AE111" s="498">
        <f t="shared" si="28"/>
        <v>0</v>
      </c>
    </row>
    <row r="112" spans="1:31" x14ac:dyDescent="0.2">
      <c r="A112" s="372"/>
      <c r="B112" s="366"/>
      <c r="C112" s="494"/>
      <c r="D112" s="451"/>
      <c r="E112" s="433"/>
      <c r="F112" s="433"/>
      <c r="G112" s="433"/>
      <c r="H112" s="433"/>
      <c r="I112" s="433"/>
      <c r="J112" s="433"/>
      <c r="K112" s="433"/>
      <c r="L112" s="433"/>
      <c r="M112" s="433"/>
      <c r="N112" s="433"/>
      <c r="O112" s="433"/>
      <c r="P112" s="433"/>
      <c r="Q112" s="433"/>
      <c r="R112" s="433"/>
      <c r="S112" s="433"/>
      <c r="T112" s="337">
        <f t="shared" si="23"/>
        <v>0</v>
      </c>
      <c r="U112" s="374">
        <f t="array" ref="U112">IF(SUMIF($A$5:$A$15,B112,$U$5:$U$15)&gt;SUMIF($A$5:$A$15,A112,$U$5:$U$15),SUMIF($A$5:$A$15,B112,$U$5:$U$15)-SUMIF($A$5:$A$15,A112,$U$5:$U$15),SUMIF($A$5:$A$15,A112,$U$5:$U$15)-SUMIF($A$5:$A$15,B112,$U$5:$U$15))</f>
        <v>0</v>
      </c>
      <c r="V112" s="477">
        <f t="shared" si="24"/>
        <v>0</v>
      </c>
      <c r="W112" s="480"/>
      <c r="X112" s="471"/>
      <c r="Y112" s="471"/>
      <c r="Z112" s="471"/>
      <c r="AA112" s="471"/>
      <c r="AB112" s="471"/>
      <c r="AC112" s="337">
        <f t="shared" si="25"/>
        <v>0</v>
      </c>
      <c r="AE112" s="498">
        <f t="shared" ref="AE112:AE118" si="30">V112*C112</f>
        <v>0</v>
      </c>
    </row>
    <row r="113" spans="1:32" x14ac:dyDescent="0.2">
      <c r="A113" s="372"/>
      <c r="B113" s="366"/>
      <c r="C113" s="494"/>
      <c r="D113" s="451"/>
      <c r="E113" s="433"/>
      <c r="F113" s="433"/>
      <c r="G113" s="433"/>
      <c r="H113" s="433"/>
      <c r="I113" s="433"/>
      <c r="J113" s="433"/>
      <c r="K113" s="433"/>
      <c r="L113" s="433"/>
      <c r="M113" s="433"/>
      <c r="N113" s="433"/>
      <c r="O113" s="433"/>
      <c r="P113" s="433"/>
      <c r="Q113" s="433"/>
      <c r="R113" s="433"/>
      <c r="S113" s="433"/>
      <c r="T113" s="337">
        <f t="shared" si="23"/>
        <v>0</v>
      </c>
      <c r="U113" s="374">
        <f t="array" ref="U113">IF(SUMIF($A$5:$A$15,B113,$U$5:$U$15)&gt;SUMIF($A$5:$A$15,A113,$U$5:$U$15),SUMIF($A$5:$A$15,B113,$U$5:$U$15)-SUMIF($A$5:$A$15,A113,$U$5:$U$15),SUMIF($A$5:$A$15,A113,$U$5:$U$15)-SUMIF($A$5:$A$15,B113,$U$5:$U$15))</f>
        <v>0</v>
      </c>
      <c r="V113" s="477">
        <f t="shared" si="24"/>
        <v>0</v>
      </c>
      <c r="W113" s="480"/>
      <c r="X113" s="471"/>
      <c r="Y113" s="471"/>
      <c r="Z113" s="471"/>
      <c r="AA113" s="471"/>
      <c r="AB113" s="471"/>
      <c r="AC113" s="337">
        <f t="shared" si="25"/>
        <v>0</v>
      </c>
      <c r="AE113" s="498">
        <f t="shared" si="30"/>
        <v>0</v>
      </c>
    </row>
    <row r="114" spans="1:32" x14ac:dyDescent="0.2">
      <c r="A114" s="372"/>
      <c r="B114" s="366"/>
      <c r="C114" s="494"/>
      <c r="D114" s="451"/>
      <c r="E114" s="433"/>
      <c r="F114" s="433"/>
      <c r="G114" s="433"/>
      <c r="H114" s="433"/>
      <c r="I114" s="433"/>
      <c r="J114" s="433"/>
      <c r="K114" s="433"/>
      <c r="L114" s="433"/>
      <c r="M114" s="433"/>
      <c r="N114" s="433"/>
      <c r="O114" s="433"/>
      <c r="P114" s="433"/>
      <c r="Q114" s="433"/>
      <c r="R114" s="433"/>
      <c r="S114" s="433"/>
      <c r="T114" s="337">
        <f t="shared" si="23"/>
        <v>0</v>
      </c>
      <c r="U114" s="374">
        <f t="array" ref="U114">IF(SUMIF($A$5:$A$15,B114,$U$5:$U$15)&gt;SUMIF($A$5:$A$15,A114,$U$5:$U$15),SUMIF($A$5:$A$15,B114,$U$5:$U$15)-SUMIF($A$5:$A$15,A114,$U$5:$U$15),SUMIF($A$5:$A$15,A114,$U$5:$U$15)-SUMIF($A$5:$A$15,B114,$U$5:$U$15))</f>
        <v>0</v>
      </c>
      <c r="V114" s="477">
        <f t="shared" si="24"/>
        <v>0</v>
      </c>
      <c r="W114" s="480"/>
      <c r="X114" s="471"/>
      <c r="Y114" s="471"/>
      <c r="Z114" s="471"/>
      <c r="AA114" s="471"/>
      <c r="AB114" s="471"/>
      <c r="AC114" s="337">
        <f t="shared" si="25"/>
        <v>0</v>
      </c>
      <c r="AE114" s="498">
        <f t="shared" si="30"/>
        <v>0</v>
      </c>
    </row>
    <row r="115" spans="1:32" x14ac:dyDescent="0.2">
      <c r="A115" s="372"/>
      <c r="B115" s="366"/>
      <c r="C115" s="494"/>
      <c r="D115" s="451"/>
      <c r="E115" s="433"/>
      <c r="F115" s="433"/>
      <c r="G115" s="433"/>
      <c r="H115" s="433"/>
      <c r="I115" s="433"/>
      <c r="J115" s="433"/>
      <c r="K115" s="433"/>
      <c r="L115" s="433"/>
      <c r="M115" s="433"/>
      <c r="N115" s="433"/>
      <c r="O115" s="433"/>
      <c r="P115" s="433"/>
      <c r="Q115" s="433"/>
      <c r="R115" s="433"/>
      <c r="S115" s="433"/>
      <c r="T115" s="337">
        <f t="shared" si="23"/>
        <v>0</v>
      </c>
      <c r="U115" s="374">
        <f t="array" ref="U115">IF(SUMIF($A$5:$A$15,B115,$U$5:$U$15)&gt;SUMIF($A$5:$A$15,A115,$U$5:$U$15),SUMIF($A$5:$A$15,B115,$U$5:$U$15)-SUMIF($A$5:$A$15,A115,$U$5:$U$15),SUMIF($A$5:$A$15,A115,$U$5:$U$15)-SUMIF($A$5:$A$15,B115,$U$5:$U$15))</f>
        <v>0</v>
      </c>
      <c r="V115" s="477">
        <f t="shared" si="24"/>
        <v>0</v>
      </c>
      <c r="W115" s="480"/>
      <c r="X115" s="471"/>
      <c r="Y115" s="471"/>
      <c r="Z115" s="471"/>
      <c r="AA115" s="471"/>
      <c r="AB115" s="471"/>
      <c r="AC115" s="337">
        <f t="shared" si="25"/>
        <v>0</v>
      </c>
      <c r="AE115" s="498">
        <f t="shared" si="30"/>
        <v>0</v>
      </c>
    </row>
    <row r="116" spans="1:32" x14ac:dyDescent="0.2">
      <c r="A116" s="372"/>
      <c r="B116" s="366"/>
      <c r="C116" s="494"/>
      <c r="D116" s="451"/>
      <c r="E116" s="433"/>
      <c r="F116" s="433"/>
      <c r="G116" s="433"/>
      <c r="H116" s="433"/>
      <c r="I116" s="433"/>
      <c r="J116" s="433"/>
      <c r="K116" s="433"/>
      <c r="L116" s="433"/>
      <c r="M116" s="433"/>
      <c r="N116" s="433"/>
      <c r="O116" s="433"/>
      <c r="P116" s="433"/>
      <c r="Q116" s="433"/>
      <c r="R116" s="433"/>
      <c r="S116" s="433"/>
      <c r="T116" s="337">
        <f t="shared" si="23"/>
        <v>0</v>
      </c>
      <c r="U116" s="374">
        <f t="array" ref="U116">IF(SUMIF($A$5:$A$15,B116,$U$5:$U$15)&gt;SUMIF($A$5:$A$15,A116,$U$5:$U$15),SUMIF($A$5:$A$15,B116,$U$5:$U$15)-SUMIF($A$5:$A$15,A116,$U$5:$U$15),SUMIF($A$5:$A$15,A116,$U$5:$U$15)-SUMIF($A$5:$A$15,B116,$U$5:$U$15))</f>
        <v>0</v>
      </c>
      <c r="V116" s="477">
        <f t="shared" si="24"/>
        <v>0</v>
      </c>
      <c r="W116" s="480"/>
      <c r="X116" s="471"/>
      <c r="Y116" s="471"/>
      <c r="Z116" s="471"/>
      <c r="AA116" s="471"/>
      <c r="AB116" s="471"/>
      <c r="AC116" s="337">
        <f t="shared" si="25"/>
        <v>0</v>
      </c>
      <c r="AE116" s="498">
        <f t="shared" si="30"/>
        <v>0</v>
      </c>
    </row>
    <row r="117" spans="1:32" x14ac:dyDescent="0.2">
      <c r="A117" s="372"/>
      <c r="B117" s="366"/>
      <c r="C117" s="494"/>
      <c r="D117" s="451"/>
      <c r="E117" s="433"/>
      <c r="F117" s="433"/>
      <c r="G117" s="433"/>
      <c r="H117" s="433"/>
      <c r="I117" s="433"/>
      <c r="J117" s="433"/>
      <c r="K117" s="433"/>
      <c r="L117" s="433"/>
      <c r="M117" s="433"/>
      <c r="N117" s="433"/>
      <c r="O117" s="433"/>
      <c r="P117" s="433"/>
      <c r="Q117" s="433"/>
      <c r="R117" s="433"/>
      <c r="S117" s="433"/>
      <c r="T117" s="337">
        <f t="shared" si="23"/>
        <v>0</v>
      </c>
      <c r="U117" s="374">
        <f t="array" ref="U117">IF(SUMIF($A$5:$A$15,B117,$U$5:$U$15)&gt;SUMIF($A$5:$A$15,A117,$U$5:$U$15),SUMIF($A$5:$A$15,B117,$U$5:$U$15)-SUMIF($A$5:$A$15,A117,$U$5:$U$15),SUMIF($A$5:$A$15,A117,$U$5:$U$15)-SUMIF($A$5:$A$15,B117,$U$5:$U$15))</f>
        <v>0</v>
      </c>
      <c r="V117" s="477">
        <f t="shared" si="24"/>
        <v>0</v>
      </c>
      <c r="W117" s="480"/>
      <c r="X117" s="471"/>
      <c r="Y117" s="471"/>
      <c r="Z117" s="471"/>
      <c r="AA117" s="471"/>
      <c r="AB117" s="471"/>
      <c r="AC117" s="337">
        <f t="shared" si="25"/>
        <v>0</v>
      </c>
      <c r="AE117" s="498">
        <f t="shared" si="30"/>
        <v>0</v>
      </c>
    </row>
    <row r="118" spans="1:32" ht="10.8" thickBot="1" x14ac:dyDescent="0.25">
      <c r="A118" s="373"/>
      <c r="B118" s="367"/>
      <c r="C118" s="495"/>
      <c r="D118" s="452"/>
      <c r="E118" s="434"/>
      <c r="F118" s="434"/>
      <c r="G118" s="434"/>
      <c r="H118" s="434"/>
      <c r="I118" s="434"/>
      <c r="J118" s="434"/>
      <c r="K118" s="434"/>
      <c r="L118" s="434"/>
      <c r="M118" s="434"/>
      <c r="N118" s="434"/>
      <c r="O118" s="434"/>
      <c r="P118" s="434"/>
      <c r="Q118" s="434"/>
      <c r="R118" s="434"/>
      <c r="S118" s="434"/>
      <c r="T118" s="338">
        <f t="shared" si="23"/>
        <v>0</v>
      </c>
      <c r="U118" s="374">
        <f t="array" ref="U118">IF(SUMIF($A$5:$A$15,B118,$U$5:$U$15)&gt;SUMIF($A$5:$A$15,A118,$U$5:$U$15),SUMIF($A$5:$A$15,B118,$U$5:$U$15)-SUMIF($A$5:$A$15,A118,$U$5:$U$15),SUMIF($A$5:$A$15,A118,$U$5:$U$15)-SUMIF($A$5:$A$15,B118,$U$5:$U$15))</f>
        <v>0</v>
      </c>
      <c r="V118" s="478">
        <f t="shared" si="24"/>
        <v>0</v>
      </c>
      <c r="W118" s="481"/>
      <c r="X118" s="472"/>
      <c r="Y118" s="472"/>
      <c r="Z118" s="472"/>
      <c r="AA118" s="472"/>
      <c r="AB118" s="472"/>
      <c r="AC118" s="338">
        <f t="shared" si="25"/>
        <v>0</v>
      </c>
      <c r="AE118" s="499">
        <f t="shared" si="30"/>
        <v>0</v>
      </c>
    </row>
    <row r="119" spans="1:32" x14ac:dyDescent="0.2">
      <c r="A119" s="339" t="s">
        <v>88</v>
      </c>
      <c r="B119" s="339"/>
      <c r="C119" s="339"/>
      <c r="D119" s="453"/>
      <c r="E119" s="340">
        <f t="shared" ref="E119:T119" si="31">SUM(E94:E118)</f>
        <v>0</v>
      </c>
      <c r="F119" s="340">
        <f t="shared" ref="F119:S119" si="32">SUM(F94:F118)</f>
        <v>0</v>
      </c>
      <c r="G119" s="340">
        <f t="shared" si="32"/>
        <v>0</v>
      </c>
      <c r="H119" s="340">
        <f t="shared" si="32"/>
        <v>0</v>
      </c>
      <c r="I119" s="340">
        <f t="shared" si="32"/>
        <v>0</v>
      </c>
      <c r="J119" s="340">
        <f t="shared" si="32"/>
        <v>0</v>
      </c>
      <c r="K119" s="340">
        <f t="shared" si="32"/>
        <v>0</v>
      </c>
      <c r="L119" s="340">
        <f t="shared" si="32"/>
        <v>0</v>
      </c>
      <c r="M119" s="340">
        <f t="shared" si="32"/>
        <v>0</v>
      </c>
      <c r="N119" s="340">
        <f t="shared" si="32"/>
        <v>0</v>
      </c>
      <c r="O119" s="340">
        <f t="shared" si="32"/>
        <v>0</v>
      </c>
      <c r="P119" s="340">
        <f t="shared" si="32"/>
        <v>0</v>
      </c>
      <c r="Q119" s="340">
        <f t="shared" si="32"/>
        <v>0</v>
      </c>
      <c r="R119" s="340">
        <f t="shared" si="32"/>
        <v>0</v>
      </c>
      <c r="S119" s="340">
        <f t="shared" si="32"/>
        <v>0</v>
      </c>
      <c r="T119" s="340">
        <f t="shared" si="31"/>
        <v>0</v>
      </c>
      <c r="V119" s="340"/>
      <c r="X119" s="340"/>
    </row>
    <row r="120" spans="1:32" x14ac:dyDescent="0.2">
      <c r="A120" s="339" t="s">
        <v>431</v>
      </c>
      <c r="B120" s="339"/>
      <c r="C120" s="339"/>
      <c r="D120" s="453"/>
      <c r="E120" s="340">
        <f t="shared" ref="E120:S120" si="33">SUMPRODUCT($U$94:$U$118,E94:E118)*E$129</f>
        <v>0</v>
      </c>
      <c r="F120" s="340">
        <f t="shared" si="33"/>
        <v>0</v>
      </c>
      <c r="G120" s="340">
        <f t="shared" si="33"/>
        <v>0</v>
      </c>
      <c r="H120" s="340">
        <f t="shared" si="33"/>
        <v>0</v>
      </c>
      <c r="I120" s="340">
        <f t="shared" si="33"/>
        <v>0</v>
      </c>
      <c r="J120" s="340">
        <f t="shared" si="33"/>
        <v>0</v>
      </c>
      <c r="K120" s="340">
        <f t="shared" si="33"/>
        <v>0</v>
      </c>
      <c r="L120" s="340">
        <f t="shared" si="33"/>
        <v>0</v>
      </c>
      <c r="M120" s="340">
        <f t="shared" si="33"/>
        <v>0</v>
      </c>
      <c r="N120" s="340">
        <f t="shared" si="33"/>
        <v>0</v>
      </c>
      <c r="O120" s="340">
        <f t="shared" si="33"/>
        <v>0</v>
      </c>
      <c r="P120" s="340">
        <f t="shared" si="33"/>
        <v>0</v>
      </c>
      <c r="Q120" s="340">
        <f t="shared" si="33"/>
        <v>0</v>
      </c>
      <c r="R120" s="340">
        <f t="shared" si="33"/>
        <v>0</v>
      </c>
      <c r="S120" s="340">
        <f t="shared" si="33"/>
        <v>0</v>
      </c>
      <c r="T120" s="340"/>
      <c r="V120" s="340">
        <f>SUM(V94:V118)</f>
        <v>0</v>
      </c>
      <c r="W120" s="340"/>
      <c r="X120" s="340">
        <f>SUMPRODUCT($T$94:$T$118,X94:X118)</f>
        <v>0</v>
      </c>
      <c r="Y120" s="340">
        <f t="shared" ref="Y120:AB120" si="34">SUMPRODUCT($T$94:$T$118,Y94:Y118)</f>
        <v>0</v>
      </c>
      <c r="Z120" s="340">
        <f t="shared" si="34"/>
        <v>0</v>
      </c>
      <c r="AA120" s="340">
        <f t="shared" si="34"/>
        <v>0</v>
      </c>
      <c r="AB120" s="340">
        <f t="shared" si="34"/>
        <v>0</v>
      </c>
      <c r="AC120" s="340">
        <f>SUM(AC94:AC118)</f>
        <v>0</v>
      </c>
      <c r="AE120" s="340">
        <f>SUM(AE94:AE118)</f>
        <v>0</v>
      </c>
      <c r="AF120" s="80"/>
    </row>
    <row r="121" spans="1:32" x14ac:dyDescent="0.2">
      <c r="A121" s="328"/>
      <c r="E121" s="80">
        <f>E120/365*13</f>
        <v>0</v>
      </c>
      <c r="W121" s="265" t="s">
        <v>91</v>
      </c>
      <c r="X121" s="483" cm="1">
        <f t="array" ref="X121">SUMPRODUCT(($W$94:$W$118=$W121)*$T$94:$T$118,X$94:X$118)</f>
        <v>0</v>
      </c>
      <c r="Y121" s="484" cm="1">
        <f t="array" ref="Y121">SUMPRODUCT(($W$94:$W$118=$W121)*$T$94:$T$118,Y$94:Y$118)</f>
        <v>0</v>
      </c>
      <c r="Z121" s="484" cm="1">
        <f t="array" ref="Z121">SUMPRODUCT(($W$94:$W$118=$W121)*$T$94:$T$118,Z$94:Z$118)</f>
        <v>0</v>
      </c>
      <c r="AA121" s="484" cm="1">
        <f t="array" ref="AA121">SUMPRODUCT(($W$94:$W$118=$W121)*$T$94:$T$118,AA$94:AA$118)</f>
        <v>0</v>
      </c>
      <c r="AB121" s="485" cm="1">
        <f t="array" ref="AB121">SUMPRODUCT(($W$94:$W$118=$W121)*$T$94:$T$118,AB$94:AB$118)</f>
        <v>0</v>
      </c>
      <c r="AC121" s="354">
        <f>SUM(X121:AB121)</f>
        <v>0</v>
      </c>
    </row>
    <row r="122" spans="1:32" x14ac:dyDescent="0.2">
      <c r="A122" s="328"/>
      <c r="W122" s="265" t="s">
        <v>98</v>
      </c>
      <c r="X122" s="486" cm="1">
        <f t="array" ref="X122">SUMPRODUCT(($W$94:$W$118=$W122)*$T$94:$T$118,X$94:X$118)</f>
        <v>0</v>
      </c>
      <c r="Y122" s="27" cm="1">
        <f t="array" ref="Y122">SUMPRODUCT(($W$94:$W$118=$W122)*$T$94:$T$118,Y$94:Y$118)</f>
        <v>0</v>
      </c>
      <c r="Z122" s="27" cm="1">
        <f t="array" ref="Z122">SUMPRODUCT(($W$94:$W$118=$W122)*$T$94:$T$118,Z$94:Z$118)</f>
        <v>0</v>
      </c>
      <c r="AA122" s="27" cm="1">
        <f t="array" ref="AA122">SUMPRODUCT(($W$94:$W$118=$W122)*$T$94:$T$118,AA$94:AA$118)</f>
        <v>0</v>
      </c>
      <c r="AB122" s="487" cm="1">
        <f t="array" ref="AB122">SUMPRODUCT(($W$94:$W$118=$W122)*$T$94:$T$118,AB$94:AB$118)</f>
        <v>0</v>
      </c>
      <c r="AC122" s="354">
        <f t="shared" ref="AC122:AC123" si="35">SUM(X122:AB122)</f>
        <v>0</v>
      </c>
    </row>
    <row r="123" spans="1:32" x14ac:dyDescent="0.2">
      <c r="A123" s="328"/>
      <c r="W123" s="265" t="s">
        <v>100</v>
      </c>
      <c r="X123" s="488" cm="1">
        <f t="array" ref="X123">SUMPRODUCT(($W$94:$W$118=$W123)*$T$94:$T$118,X$94:X$118)</f>
        <v>0</v>
      </c>
      <c r="Y123" s="489" cm="1">
        <f t="array" ref="Y123">SUMPRODUCT(($W$94:$W$118=$W123)*$T$94:$T$118,Y$94:Y$118)</f>
        <v>0</v>
      </c>
      <c r="Z123" s="489" cm="1">
        <f t="array" ref="Z123">SUMPRODUCT(($W$94:$W$118=$W123)*$T$94:$T$118,Z$94:Z$118)</f>
        <v>0</v>
      </c>
      <c r="AA123" s="489" cm="1">
        <f t="array" ref="AA123">SUMPRODUCT(($W$94:$W$118=$W123)*$T$94:$T$118,AA$94:AA$118)</f>
        <v>0</v>
      </c>
      <c r="AB123" s="490" cm="1">
        <f t="array" ref="AB123">SUMPRODUCT(($W$94:$W$118=$W123)*$T$94:$T$118,AB$94:AB$118)</f>
        <v>0</v>
      </c>
      <c r="AC123" s="354">
        <f t="shared" si="35"/>
        <v>0</v>
      </c>
    </row>
    <row r="124" spans="1:32" ht="18" x14ac:dyDescent="0.35">
      <c r="A124" s="257" t="s">
        <v>397</v>
      </c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32" x14ac:dyDescent="0.2">
      <c r="A125" s="117"/>
    </row>
    <row r="126" spans="1:32" x14ac:dyDescent="0.2">
      <c r="A126" s="329"/>
      <c r="B126" s="330"/>
      <c r="C126" s="330"/>
      <c r="D126" s="331"/>
      <c r="E126" s="662" t="s">
        <v>219</v>
      </c>
      <c r="F126" s="663"/>
      <c r="G126" s="663"/>
      <c r="H126" s="663"/>
      <c r="I126" s="663"/>
      <c r="J126" s="663"/>
      <c r="K126" s="663"/>
      <c r="L126" s="663"/>
      <c r="M126" s="663"/>
      <c r="N126" s="663"/>
      <c r="O126" s="663"/>
      <c r="P126" s="663"/>
      <c r="Q126" s="663"/>
      <c r="R126" s="663"/>
      <c r="S126" s="664"/>
      <c r="T126" s="332" t="s">
        <v>88</v>
      </c>
      <c r="AC126" s="115"/>
    </row>
    <row r="127" spans="1:32" x14ac:dyDescent="0.2">
      <c r="A127" s="658" t="s">
        <v>232</v>
      </c>
      <c r="B127" s="333"/>
      <c r="C127" s="333"/>
      <c r="D127" s="341"/>
      <c r="E127" s="662" t="s">
        <v>245</v>
      </c>
      <c r="F127" s="663"/>
      <c r="G127" s="663"/>
      <c r="H127" s="663"/>
      <c r="I127" s="663"/>
      <c r="J127" s="663"/>
      <c r="K127" s="663"/>
      <c r="L127" s="663"/>
      <c r="M127" s="664"/>
      <c r="N127" s="665" t="s">
        <v>246</v>
      </c>
      <c r="O127" s="666"/>
      <c r="P127" s="667"/>
      <c r="Q127" s="665" t="s">
        <v>247</v>
      </c>
      <c r="R127" s="666"/>
      <c r="S127" s="667"/>
      <c r="T127" s="332"/>
      <c r="W127" s="332" t="s">
        <v>219</v>
      </c>
      <c r="X127" s="464" t="s">
        <v>429</v>
      </c>
      <c r="Y127" s="465"/>
      <c r="Z127" s="465"/>
      <c r="AA127" s="465"/>
      <c r="AB127" s="466"/>
      <c r="AC127" s="332" t="s">
        <v>294</v>
      </c>
      <c r="AE127" s="332" t="s">
        <v>442</v>
      </c>
    </row>
    <row r="128" spans="1:32" ht="10.8" thickBot="1" x14ac:dyDescent="0.25">
      <c r="A128" s="659"/>
      <c r="B128" s="333"/>
      <c r="C128" s="333"/>
      <c r="D128" s="341"/>
      <c r="E128" s="334" t="str">
        <f t="shared" ref="E128:S128" si="36">IF(E$23&lt;&gt;"",E$23,"")</f>
        <v>Standaard</v>
      </c>
      <c r="F128" s="334" t="str">
        <f t="shared" si="36"/>
        <v>Vakantie</v>
      </c>
      <c r="G128" s="334" t="str">
        <f t="shared" si="36"/>
        <v>Niet-vakantie</v>
      </c>
      <c r="H128" s="334" t="str">
        <f t="shared" si="36"/>
        <v/>
      </c>
      <c r="I128" s="334" t="str">
        <f t="shared" si="36"/>
        <v/>
      </c>
      <c r="J128" s="334" t="str">
        <f t="shared" si="36"/>
        <v/>
      </c>
      <c r="K128" s="334" t="str">
        <f t="shared" si="36"/>
        <v/>
      </c>
      <c r="L128" s="334" t="str">
        <f t="shared" si="36"/>
        <v/>
      </c>
      <c r="M128" s="334" t="str">
        <f t="shared" si="36"/>
        <v/>
      </c>
      <c r="N128" s="334" t="str">
        <f t="shared" si="36"/>
        <v>Standaard</v>
      </c>
      <c r="O128" s="334" t="str">
        <f t="shared" si="36"/>
        <v/>
      </c>
      <c r="P128" s="334" t="str">
        <f t="shared" si="36"/>
        <v/>
      </c>
      <c r="Q128" s="334" t="str">
        <f t="shared" si="36"/>
        <v>Standaard</v>
      </c>
      <c r="R128" s="334" t="str">
        <f t="shared" si="36"/>
        <v/>
      </c>
      <c r="S128" s="334" t="str">
        <f t="shared" si="36"/>
        <v/>
      </c>
      <c r="T128" s="335"/>
      <c r="W128" s="332" t="s">
        <v>432</v>
      </c>
      <c r="X128" s="467"/>
      <c r="Y128" s="468"/>
      <c r="Z128" s="468"/>
      <c r="AA128" s="468"/>
      <c r="AB128" s="469"/>
      <c r="AC128" s="332" t="s">
        <v>303</v>
      </c>
      <c r="AE128" s="332" t="s">
        <v>301</v>
      </c>
    </row>
    <row r="129" spans="1:31" x14ac:dyDescent="0.2">
      <c r="A129" s="342" t="s">
        <v>249</v>
      </c>
      <c r="B129" s="343"/>
      <c r="C129" s="343"/>
      <c r="D129" s="344"/>
      <c r="E129" s="345">
        <f>255</f>
        <v>255</v>
      </c>
      <c r="F129" s="623">
        <v>205</v>
      </c>
      <c r="G129" s="623">
        <v>50</v>
      </c>
      <c r="H129" s="623"/>
      <c r="I129" s="623"/>
      <c r="J129" s="623"/>
      <c r="K129" s="623"/>
      <c r="L129" s="623"/>
      <c r="M129" s="623"/>
      <c r="N129" s="345">
        <f>52</f>
        <v>52</v>
      </c>
      <c r="O129" s="623"/>
      <c r="P129" s="623"/>
      <c r="Q129" s="345">
        <f>58</f>
        <v>58</v>
      </c>
      <c r="R129" s="623"/>
      <c r="S129" s="623"/>
      <c r="T129" s="346"/>
      <c r="U129" s="12" t="s">
        <v>430</v>
      </c>
      <c r="W129" s="335" t="s">
        <v>433</v>
      </c>
      <c r="X129" s="335" t="s">
        <v>262</v>
      </c>
      <c r="Y129" s="335" t="s">
        <v>427</v>
      </c>
      <c r="Z129" s="335" t="s">
        <v>428</v>
      </c>
      <c r="AA129" s="335" t="s">
        <v>265</v>
      </c>
      <c r="AB129" s="335" t="s">
        <v>266</v>
      </c>
      <c r="AC129" s="335" t="s">
        <v>237</v>
      </c>
      <c r="AE129" s="335"/>
    </row>
    <row r="130" spans="1:31" ht="10.8" thickBot="1" x14ac:dyDescent="0.25">
      <c r="A130" s="347" t="s">
        <v>410</v>
      </c>
      <c r="B130" s="348"/>
      <c r="C130" s="348"/>
      <c r="D130" s="349"/>
      <c r="E130" s="350">
        <f t="shared" ref="E130:S130" si="37">SUMPRODUCT(E94:E118,$U$94:$U$118)*E$129+SUMPRODUCT(E59:E83,$U$59:$U$83)*E$129+SUMPRODUCT(E24:E48,$U$24:$U$48)*E$129</f>
        <v>346086</v>
      </c>
      <c r="F130" s="350">
        <f t="shared" si="37"/>
        <v>0</v>
      </c>
      <c r="G130" s="350">
        <f t="shared" si="37"/>
        <v>0</v>
      </c>
      <c r="H130" s="350">
        <f t="shared" si="37"/>
        <v>0</v>
      </c>
      <c r="I130" s="350">
        <f t="shared" si="37"/>
        <v>0</v>
      </c>
      <c r="J130" s="350">
        <f t="shared" si="37"/>
        <v>0</v>
      </c>
      <c r="K130" s="350">
        <f t="shared" si="37"/>
        <v>0</v>
      </c>
      <c r="L130" s="350">
        <f t="shared" si="37"/>
        <v>0</v>
      </c>
      <c r="M130" s="350">
        <f t="shared" si="37"/>
        <v>0</v>
      </c>
      <c r="N130" s="350">
        <f t="shared" si="37"/>
        <v>0</v>
      </c>
      <c r="O130" s="350">
        <f t="shared" si="37"/>
        <v>0</v>
      </c>
      <c r="P130" s="350">
        <f t="shared" si="37"/>
        <v>0</v>
      </c>
      <c r="Q130" s="350">
        <f t="shared" si="37"/>
        <v>0</v>
      </c>
      <c r="R130" s="350">
        <f t="shared" si="37"/>
        <v>0</v>
      </c>
      <c r="S130" s="350">
        <f t="shared" si="37"/>
        <v>0</v>
      </c>
      <c r="T130" s="351">
        <f>SUM(E130:S130)</f>
        <v>346086</v>
      </c>
      <c r="U130" s="80">
        <f>T130-V120-V85-V50</f>
        <v>0</v>
      </c>
      <c r="W130" s="333" t="s">
        <v>91</v>
      </c>
      <c r="X130" s="483">
        <f>X51+X86+X121</f>
        <v>22950</v>
      </c>
      <c r="Y130" s="484">
        <f t="shared" ref="Y130:AB130" si="38">Y51+Y86+Y121</f>
        <v>22950</v>
      </c>
      <c r="Z130" s="484">
        <f t="shared" si="38"/>
        <v>0</v>
      </c>
      <c r="AA130" s="484">
        <f t="shared" si="38"/>
        <v>0</v>
      </c>
      <c r="AB130" s="485">
        <f t="shared" si="38"/>
        <v>0</v>
      </c>
      <c r="AC130" s="354">
        <f>SUM(X130:AB130)</f>
        <v>45900</v>
      </c>
    </row>
    <row r="131" spans="1:31" x14ac:dyDescent="0.2">
      <c r="A131" s="537" t="s">
        <v>577</v>
      </c>
      <c r="B131" s="352"/>
      <c r="C131" s="352"/>
      <c r="D131" s="352"/>
      <c r="E131" s="353">
        <f t="shared" ref="E131:S131" si="39">SUMPRODUCT(E24:E48,$U$24:$U$48)</f>
        <v>1357.2</v>
      </c>
      <c r="F131" s="353">
        <f t="shared" si="39"/>
        <v>0</v>
      </c>
      <c r="G131" s="353">
        <f t="shared" si="39"/>
        <v>0</v>
      </c>
      <c r="H131" s="353">
        <f t="shared" si="39"/>
        <v>0</v>
      </c>
      <c r="I131" s="353">
        <f t="shared" si="39"/>
        <v>0</v>
      </c>
      <c r="J131" s="353">
        <f t="shared" si="39"/>
        <v>0</v>
      </c>
      <c r="K131" s="353">
        <f t="shared" si="39"/>
        <v>0</v>
      </c>
      <c r="L131" s="353">
        <f t="shared" si="39"/>
        <v>0</v>
      </c>
      <c r="M131" s="353">
        <f t="shared" si="39"/>
        <v>0</v>
      </c>
      <c r="N131" s="353">
        <f t="shared" si="39"/>
        <v>0</v>
      </c>
      <c r="O131" s="353">
        <f t="shared" si="39"/>
        <v>0</v>
      </c>
      <c r="P131" s="353">
        <f t="shared" si="39"/>
        <v>0</v>
      </c>
      <c r="Q131" s="353">
        <f t="shared" si="39"/>
        <v>0</v>
      </c>
      <c r="R131" s="353">
        <f t="shared" si="39"/>
        <v>0</v>
      </c>
      <c r="S131" s="353">
        <f t="shared" si="39"/>
        <v>0</v>
      </c>
      <c r="T131" s="354"/>
      <c r="U131" s="80"/>
      <c r="W131" s="333" t="s">
        <v>98</v>
      </c>
      <c r="X131" s="486">
        <f>X52+X87+X122</f>
        <v>0</v>
      </c>
      <c r="Y131" s="27">
        <f t="shared" ref="Y131:AB132" si="40">Y52+Y87+Y122</f>
        <v>0</v>
      </c>
      <c r="Z131" s="27">
        <f t="shared" si="40"/>
        <v>0</v>
      </c>
      <c r="AA131" s="27">
        <f t="shared" si="40"/>
        <v>0</v>
      </c>
      <c r="AB131" s="487">
        <f t="shared" si="40"/>
        <v>0</v>
      </c>
      <c r="AC131" s="354">
        <f t="shared" ref="AC131:AC132" si="41">SUM(X131:AB131)</f>
        <v>0</v>
      </c>
    </row>
    <row r="132" spans="1:31" x14ac:dyDescent="0.2">
      <c r="A132" s="537" t="s">
        <v>578</v>
      </c>
      <c r="B132" s="352"/>
      <c r="C132" s="352"/>
      <c r="D132" s="352"/>
      <c r="E132" s="353">
        <f t="shared" ref="E132:S132" si="42">SUMPRODUCT(E59:E83,$U$59:$U$83)</f>
        <v>0</v>
      </c>
      <c r="F132" s="353">
        <f t="shared" si="42"/>
        <v>0</v>
      </c>
      <c r="G132" s="353">
        <f t="shared" si="42"/>
        <v>0</v>
      </c>
      <c r="H132" s="353">
        <f t="shared" si="42"/>
        <v>0</v>
      </c>
      <c r="I132" s="353">
        <f t="shared" si="42"/>
        <v>0</v>
      </c>
      <c r="J132" s="353">
        <f t="shared" si="42"/>
        <v>0</v>
      </c>
      <c r="K132" s="353">
        <f t="shared" si="42"/>
        <v>0</v>
      </c>
      <c r="L132" s="353">
        <f t="shared" si="42"/>
        <v>0</v>
      </c>
      <c r="M132" s="353">
        <f t="shared" si="42"/>
        <v>0</v>
      </c>
      <c r="N132" s="353">
        <f t="shared" si="42"/>
        <v>0</v>
      </c>
      <c r="O132" s="353">
        <f t="shared" si="42"/>
        <v>0</v>
      </c>
      <c r="P132" s="353">
        <f t="shared" si="42"/>
        <v>0</v>
      </c>
      <c r="Q132" s="353">
        <f t="shared" si="42"/>
        <v>0</v>
      </c>
      <c r="R132" s="353">
        <f t="shared" si="42"/>
        <v>0</v>
      </c>
      <c r="S132" s="353">
        <f t="shared" si="42"/>
        <v>0</v>
      </c>
      <c r="T132" s="354"/>
      <c r="U132" s="80"/>
      <c r="W132" s="333" t="s">
        <v>100</v>
      </c>
      <c r="X132" s="488">
        <f>X53+X88+X123</f>
        <v>0</v>
      </c>
      <c r="Y132" s="489">
        <f t="shared" si="40"/>
        <v>0</v>
      </c>
      <c r="Z132" s="489">
        <f t="shared" si="40"/>
        <v>0</v>
      </c>
      <c r="AA132" s="489">
        <f t="shared" si="40"/>
        <v>0</v>
      </c>
      <c r="AB132" s="490">
        <f t="shared" si="40"/>
        <v>0</v>
      </c>
      <c r="AC132" s="354">
        <f t="shared" si="41"/>
        <v>0</v>
      </c>
    </row>
    <row r="133" spans="1:31" x14ac:dyDescent="0.2">
      <c r="A133" s="537" t="s">
        <v>576</v>
      </c>
      <c r="B133" s="352"/>
      <c r="C133" s="352"/>
      <c r="D133" s="352"/>
      <c r="E133" s="353">
        <f t="shared" ref="E133:S133" si="43">SUMPRODUCT(E94:E118,$U$94:$U$118)</f>
        <v>0</v>
      </c>
      <c r="F133" s="353">
        <f t="shared" si="43"/>
        <v>0</v>
      </c>
      <c r="G133" s="353">
        <f t="shared" si="43"/>
        <v>0</v>
      </c>
      <c r="H133" s="353">
        <f t="shared" si="43"/>
        <v>0</v>
      </c>
      <c r="I133" s="353">
        <f t="shared" si="43"/>
        <v>0</v>
      </c>
      <c r="J133" s="353">
        <f t="shared" si="43"/>
        <v>0</v>
      </c>
      <c r="K133" s="353">
        <f t="shared" si="43"/>
        <v>0</v>
      </c>
      <c r="L133" s="353">
        <f t="shared" si="43"/>
        <v>0</v>
      </c>
      <c r="M133" s="353">
        <f t="shared" si="43"/>
        <v>0</v>
      </c>
      <c r="N133" s="353">
        <f t="shared" si="43"/>
        <v>0</v>
      </c>
      <c r="O133" s="353">
        <f t="shared" si="43"/>
        <v>0</v>
      </c>
      <c r="P133" s="353">
        <f t="shared" si="43"/>
        <v>0</v>
      </c>
      <c r="Q133" s="353">
        <f t="shared" si="43"/>
        <v>0</v>
      </c>
      <c r="R133" s="353">
        <f t="shared" si="43"/>
        <v>0</v>
      </c>
      <c r="S133" s="353">
        <f t="shared" si="43"/>
        <v>0</v>
      </c>
      <c r="T133" s="354"/>
      <c r="U133" s="80"/>
      <c r="W133" s="333" t="s">
        <v>88</v>
      </c>
      <c r="X133" s="482">
        <f>SUM(X130:X132)</f>
        <v>22950</v>
      </c>
      <c r="Y133" s="482">
        <f t="shared" ref="Y133:AB133" si="44">SUM(Y130:Y132)</f>
        <v>22950</v>
      </c>
      <c r="Z133" s="482">
        <f t="shared" si="44"/>
        <v>0</v>
      </c>
      <c r="AA133" s="482">
        <f t="shared" si="44"/>
        <v>0</v>
      </c>
      <c r="AB133" s="482">
        <f t="shared" si="44"/>
        <v>0</v>
      </c>
      <c r="AC133" s="482">
        <f>SUM(AC130:AC132)</f>
        <v>45900</v>
      </c>
      <c r="AE133" s="501">
        <f>AE120+AE85+AE50</f>
        <v>1384344</v>
      </c>
    </row>
    <row r="134" spans="1:31" x14ac:dyDescent="0.2">
      <c r="A134" s="352" t="s">
        <v>575</v>
      </c>
      <c r="B134" s="352"/>
      <c r="C134" s="352"/>
      <c r="D134" s="352"/>
      <c r="E134" s="340">
        <f t="shared" ref="E134:S134" si="45">SUMPRODUCT(E24:E48,$U$24:$U$48)+SUMPRODUCT(E59:E83,$U$59:$U$83)+SUMPRODUCT(E94:E118,$U$94:$U$118)</f>
        <v>1357.2</v>
      </c>
      <c r="F134" s="340">
        <f t="shared" si="45"/>
        <v>0</v>
      </c>
      <c r="G134" s="340">
        <f t="shared" si="45"/>
        <v>0</v>
      </c>
      <c r="H134" s="340">
        <f t="shared" si="45"/>
        <v>0</v>
      </c>
      <c r="I134" s="340">
        <f t="shared" si="45"/>
        <v>0</v>
      </c>
      <c r="J134" s="340">
        <f t="shared" si="45"/>
        <v>0</v>
      </c>
      <c r="K134" s="340">
        <f t="shared" si="45"/>
        <v>0</v>
      </c>
      <c r="L134" s="340">
        <f t="shared" si="45"/>
        <v>0</v>
      </c>
      <c r="M134" s="340">
        <f t="shared" si="45"/>
        <v>0</v>
      </c>
      <c r="N134" s="340">
        <f t="shared" si="45"/>
        <v>0</v>
      </c>
      <c r="O134" s="340">
        <f t="shared" si="45"/>
        <v>0</v>
      </c>
      <c r="P134" s="340">
        <f t="shared" si="45"/>
        <v>0</v>
      </c>
      <c r="Q134" s="340">
        <f t="shared" si="45"/>
        <v>0</v>
      </c>
      <c r="R134" s="340">
        <f t="shared" si="45"/>
        <v>0</v>
      </c>
      <c r="S134" s="340">
        <f t="shared" si="45"/>
        <v>0</v>
      </c>
      <c r="T134" s="354"/>
      <c r="X134" s="34"/>
      <c r="Y134" s="34"/>
      <c r="Z134" s="34"/>
      <c r="AA134" s="34"/>
      <c r="AB134" s="34"/>
      <c r="AC134" s="34"/>
    </row>
    <row r="135" spans="1:31" x14ac:dyDescent="0.2">
      <c r="W135" s="265"/>
    </row>
    <row r="137" spans="1:31" ht="18" x14ac:dyDescent="0.35">
      <c r="A137" s="257" t="s">
        <v>398</v>
      </c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</row>
    <row r="139" spans="1:31" x14ac:dyDescent="0.2">
      <c r="A139" s="117"/>
      <c r="E139" s="668" t="s">
        <v>251</v>
      </c>
      <c r="F139" s="669"/>
      <c r="G139" s="669"/>
      <c r="H139" s="669"/>
      <c r="I139" s="669"/>
      <c r="J139" s="669"/>
      <c r="K139" s="669"/>
      <c r="L139" s="669"/>
      <c r="M139" s="669"/>
      <c r="N139" s="669"/>
      <c r="O139" s="669"/>
      <c r="P139" s="669"/>
      <c r="Q139" s="669"/>
      <c r="R139" s="669"/>
      <c r="S139" s="669"/>
      <c r="T139" s="670"/>
    </row>
    <row r="140" spans="1:31" ht="12" x14ac:dyDescent="0.2">
      <c r="A140" s="355"/>
      <c r="B140" s="358"/>
      <c r="C140" s="358"/>
      <c r="D140" s="356" t="s">
        <v>250</v>
      </c>
      <c r="E140" s="359" t="s">
        <v>374</v>
      </c>
      <c r="F140" s="359">
        <v>2029</v>
      </c>
      <c r="G140" s="359">
        <v>2030</v>
      </c>
      <c r="H140" s="359">
        <v>2031</v>
      </c>
      <c r="I140" s="359" t="s">
        <v>376</v>
      </c>
      <c r="J140" s="359">
        <v>2033</v>
      </c>
      <c r="K140" s="359">
        <v>2034</v>
      </c>
      <c r="L140" s="359">
        <v>2035</v>
      </c>
      <c r="M140" s="359" t="s">
        <v>377</v>
      </c>
      <c r="N140" s="359">
        <v>2037</v>
      </c>
      <c r="O140" s="359">
        <v>2038</v>
      </c>
      <c r="P140" s="359">
        <v>2039</v>
      </c>
      <c r="Q140" s="359" t="s">
        <v>378</v>
      </c>
      <c r="R140" s="359">
        <v>2041</v>
      </c>
      <c r="S140" s="359">
        <v>2042</v>
      </c>
      <c r="T140" s="359" t="s">
        <v>375</v>
      </c>
    </row>
    <row r="141" spans="1:31" x14ac:dyDescent="0.2">
      <c r="A141" s="360" t="s">
        <v>245</v>
      </c>
      <c r="B141" s="627" t="str">
        <f>IF(E$23&lt;&gt;"",E$23,"")</f>
        <v>Standaard</v>
      </c>
      <c r="C141" s="360"/>
      <c r="D141" s="361">
        <f>E134</f>
        <v>1357.2</v>
      </c>
      <c r="E141" s="362">
        <v>13</v>
      </c>
      <c r="F141" s="361">
        <f>$E$129</f>
        <v>255</v>
      </c>
      <c r="G141" s="361">
        <f>$E$129</f>
        <v>255</v>
      </c>
      <c r="H141" s="361">
        <f>$E$129</f>
        <v>255</v>
      </c>
      <c r="I141" s="361">
        <f>$E$129+1</f>
        <v>256</v>
      </c>
      <c r="J141" s="361">
        <f>$E$129</f>
        <v>255</v>
      </c>
      <c r="K141" s="361">
        <f>$E$129</f>
        <v>255</v>
      </c>
      <c r="L141" s="361">
        <f>$E$129</f>
        <v>255</v>
      </c>
      <c r="M141" s="361">
        <f>$E$129+1</f>
        <v>256</v>
      </c>
      <c r="N141" s="361">
        <f>$E$129</f>
        <v>255</v>
      </c>
      <c r="O141" s="361">
        <f>$E$129</f>
        <v>255</v>
      </c>
      <c r="P141" s="361">
        <f>$E$129</f>
        <v>255</v>
      </c>
      <c r="Q141" s="361">
        <f>$E$129+1</f>
        <v>256</v>
      </c>
      <c r="R141" s="361">
        <f>$E$129</f>
        <v>255</v>
      </c>
      <c r="S141" s="361">
        <f>$E$129</f>
        <v>255</v>
      </c>
      <c r="T141" s="361">
        <f>238+4</f>
        <v>242</v>
      </c>
    </row>
    <row r="142" spans="1:31" x14ac:dyDescent="0.2">
      <c r="A142" s="360"/>
      <c r="B142" s="628" t="str">
        <f>IF(F$23&lt;&gt;"",F$23,"")</f>
        <v>Vakantie</v>
      </c>
      <c r="C142" s="674"/>
      <c r="D142" s="361">
        <f>F134</f>
        <v>0</v>
      </c>
      <c r="E142" s="671"/>
      <c r="F142" s="361">
        <f>$F$129</f>
        <v>205</v>
      </c>
      <c r="G142" s="361">
        <f t="shared" ref="F142:S142" si="46">$F$129</f>
        <v>205</v>
      </c>
      <c r="H142" s="361">
        <f t="shared" si="46"/>
        <v>205</v>
      </c>
      <c r="I142" s="361">
        <f>$F$129+$C$142</f>
        <v>205</v>
      </c>
      <c r="J142" s="361">
        <f t="shared" si="46"/>
        <v>205</v>
      </c>
      <c r="K142" s="361">
        <f t="shared" si="46"/>
        <v>205</v>
      </c>
      <c r="L142" s="361">
        <f t="shared" si="46"/>
        <v>205</v>
      </c>
      <c r="M142" s="361">
        <f>$F$129+$C$142</f>
        <v>205</v>
      </c>
      <c r="N142" s="361">
        <f t="shared" si="46"/>
        <v>205</v>
      </c>
      <c r="O142" s="361">
        <f t="shared" si="46"/>
        <v>205</v>
      </c>
      <c r="P142" s="361">
        <f t="shared" si="46"/>
        <v>205</v>
      </c>
      <c r="Q142" s="361">
        <f>$F$129+$C$142</f>
        <v>205</v>
      </c>
      <c r="R142" s="361">
        <f t="shared" si="46"/>
        <v>205</v>
      </c>
      <c r="S142" s="361">
        <f t="shared" si="46"/>
        <v>205</v>
      </c>
      <c r="T142" s="672"/>
    </row>
    <row r="143" spans="1:31" x14ac:dyDescent="0.2">
      <c r="A143" s="360"/>
      <c r="B143" s="628" t="str">
        <f>IF(G$23&lt;&gt;"",G$23,"")</f>
        <v>Niet-vakantie</v>
      </c>
      <c r="C143" s="674"/>
      <c r="D143" s="361">
        <f>G134</f>
        <v>0</v>
      </c>
      <c r="E143" s="671"/>
      <c r="F143" s="361">
        <f>$G$129</f>
        <v>50</v>
      </c>
      <c r="G143" s="361">
        <f t="shared" ref="F143:S143" si="47">$G$129</f>
        <v>50</v>
      </c>
      <c r="H143" s="361">
        <f t="shared" si="47"/>
        <v>50</v>
      </c>
      <c r="I143" s="361">
        <f>$G$129+$C$143</f>
        <v>50</v>
      </c>
      <c r="J143" s="361">
        <f t="shared" si="47"/>
        <v>50</v>
      </c>
      <c r="K143" s="361">
        <f t="shared" si="47"/>
        <v>50</v>
      </c>
      <c r="L143" s="361">
        <f t="shared" si="47"/>
        <v>50</v>
      </c>
      <c r="M143" s="361">
        <f>$G$129+$C$143</f>
        <v>50</v>
      </c>
      <c r="N143" s="361">
        <f t="shared" si="47"/>
        <v>50</v>
      </c>
      <c r="O143" s="361">
        <f t="shared" si="47"/>
        <v>50</v>
      </c>
      <c r="P143" s="361">
        <f t="shared" si="47"/>
        <v>50</v>
      </c>
      <c r="Q143" s="361">
        <f>$G$129+$C$143</f>
        <v>50</v>
      </c>
      <c r="R143" s="361">
        <f t="shared" si="47"/>
        <v>50</v>
      </c>
      <c r="S143" s="361">
        <f t="shared" si="47"/>
        <v>50</v>
      </c>
      <c r="T143" s="672"/>
    </row>
    <row r="144" spans="1:31" x14ac:dyDescent="0.2">
      <c r="A144" s="360"/>
      <c r="B144" s="628" t="str">
        <f>IF(H$23&lt;&gt;"",H$23,"")</f>
        <v/>
      </c>
      <c r="C144" s="674"/>
      <c r="D144" s="361">
        <f>H134</f>
        <v>0</v>
      </c>
      <c r="E144" s="671"/>
      <c r="F144" s="361">
        <f>$H$129</f>
        <v>0</v>
      </c>
      <c r="G144" s="361">
        <f t="shared" ref="F144:S144" si="48">$H$129</f>
        <v>0</v>
      </c>
      <c r="H144" s="361">
        <f t="shared" si="48"/>
        <v>0</v>
      </c>
      <c r="I144" s="361">
        <f>$H$129+$C$144</f>
        <v>0</v>
      </c>
      <c r="J144" s="361">
        <f t="shared" si="48"/>
        <v>0</v>
      </c>
      <c r="K144" s="361">
        <f t="shared" si="48"/>
        <v>0</v>
      </c>
      <c r="L144" s="361">
        <f t="shared" si="48"/>
        <v>0</v>
      </c>
      <c r="M144" s="361">
        <f>$H$129+$C$144</f>
        <v>0</v>
      </c>
      <c r="N144" s="361">
        <f t="shared" si="48"/>
        <v>0</v>
      </c>
      <c r="O144" s="361">
        <f t="shared" si="48"/>
        <v>0</v>
      </c>
      <c r="P144" s="361">
        <f t="shared" si="48"/>
        <v>0</v>
      </c>
      <c r="Q144" s="361">
        <f>$H$129+$C$144</f>
        <v>0</v>
      </c>
      <c r="R144" s="361">
        <f t="shared" si="48"/>
        <v>0</v>
      </c>
      <c r="S144" s="361">
        <f t="shared" si="48"/>
        <v>0</v>
      </c>
      <c r="T144" s="672"/>
    </row>
    <row r="145" spans="1:20" x14ac:dyDescent="0.2">
      <c r="A145" s="360"/>
      <c r="B145" s="628" t="str">
        <f>IF(I$23&lt;&gt;"",I$23,"")</f>
        <v/>
      </c>
      <c r="C145" s="674"/>
      <c r="D145" s="361">
        <f>I134</f>
        <v>0</v>
      </c>
      <c r="E145" s="671"/>
      <c r="F145" s="361">
        <f>$I$129</f>
        <v>0</v>
      </c>
      <c r="G145" s="361">
        <f t="shared" ref="F145:S145" si="49">$I$129</f>
        <v>0</v>
      </c>
      <c r="H145" s="361">
        <f t="shared" si="49"/>
        <v>0</v>
      </c>
      <c r="I145" s="361">
        <f>$I$129+$C$145</f>
        <v>0</v>
      </c>
      <c r="J145" s="361">
        <f t="shared" si="49"/>
        <v>0</v>
      </c>
      <c r="K145" s="361">
        <f t="shared" si="49"/>
        <v>0</v>
      </c>
      <c r="L145" s="361">
        <f t="shared" si="49"/>
        <v>0</v>
      </c>
      <c r="M145" s="361">
        <f>$I$129+$C$145</f>
        <v>0</v>
      </c>
      <c r="N145" s="361">
        <f t="shared" si="49"/>
        <v>0</v>
      </c>
      <c r="O145" s="361">
        <f t="shared" si="49"/>
        <v>0</v>
      </c>
      <c r="P145" s="361">
        <f t="shared" si="49"/>
        <v>0</v>
      </c>
      <c r="Q145" s="361">
        <f>$I$129+$C$145</f>
        <v>0</v>
      </c>
      <c r="R145" s="361">
        <f t="shared" si="49"/>
        <v>0</v>
      </c>
      <c r="S145" s="361">
        <f t="shared" si="49"/>
        <v>0</v>
      </c>
      <c r="T145" s="672"/>
    </row>
    <row r="146" spans="1:20" x14ac:dyDescent="0.2">
      <c r="A146" s="360"/>
      <c r="B146" s="628" t="str">
        <f>IF(J$23&lt;&gt;"",J$23,"")</f>
        <v/>
      </c>
      <c r="C146" s="674"/>
      <c r="D146" s="361">
        <f>J134</f>
        <v>0</v>
      </c>
      <c r="E146" s="671"/>
      <c r="F146" s="361">
        <f>$J$129</f>
        <v>0</v>
      </c>
      <c r="G146" s="361">
        <f t="shared" ref="F146:S146" si="50">$J$129</f>
        <v>0</v>
      </c>
      <c r="H146" s="361">
        <f t="shared" si="50"/>
        <v>0</v>
      </c>
      <c r="I146" s="361">
        <f>$J$129+$C$146</f>
        <v>0</v>
      </c>
      <c r="J146" s="361">
        <f t="shared" si="50"/>
        <v>0</v>
      </c>
      <c r="K146" s="361">
        <f t="shared" si="50"/>
        <v>0</v>
      </c>
      <c r="L146" s="361">
        <f t="shared" si="50"/>
        <v>0</v>
      </c>
      <c r="M146" s="361">
        <f>$J$129+$C$146</f>
        <v>0</v>
      </c>
      <c r="N146" s="361">
        <f t="shared" si="50"/>
        <v>0</v>
      </c>
      <c r="O146" s="361">
        <f t="shared" si="50"/>
        <v>0</v>
      </c>
      <c r="P146" s="361">
        <f t="shared" si="50"/>
        <v>0</v>
      </c>
      <c r="Q146" s="361">
        <f>$J$129+$C$146</f>
        <v>0</v>
      </c>
      <c r="R146" s="361">
        <f t="shared" si="50"/>
        <v>0</v>
      </c>
      <c r="S146" s="361">
        <f t="shared" si="50"/>
        <v>0</v>
      </c>
      <c r="T146" s="672"/>
    </row>
    <row r="147" spans="1:20" x14ac:dyDescent="0.2">
      <c r="A147" s="360"/>
      <c r="B147" s="628" t="str">
        <f>IF(K$23&lt;&gt;"",K$23,"")</f>
        <v/>
      </c>
      <c r="C147" s="674"/>
      <c r="D147" s="361">
        <f>K134</f>
        <v>0</v>
      </c>
      <c r="E147" s="671"/>
      <c r="F147" s="361">
        <f>$K$129</f>
        <v>0</v>
      </c>
      <c r="G147" s="361">
        <f t="shared" ref="F147:S147" si="51">$K$129</f>
        <v>0</v>
      </c>
      <c r="H147" s="361">
        <f t="shared" si="51"/>
        <v>0</v>
      </c>
      <c r="I147" s="361">
        <f>$K$129+$C$147</f>
        <v>0</v>
      </c>
      <c r="J147" s="361">
        <f t="shared" si="51"/>
        <v>0</v>
      </c>
      <c r="K147" s="361">
        <f t="shared" si="51"/>
        <v>0</v>
      </c>
      <c r="L147" s="361">
        <f t="shared" si="51"/>
        <v>0</v>
      </c>
      <c r="M147" s="361">
        <f>$K$129+$C$147</f>
        <v>0</v>
      </c>
      <c r="N147" s="361">
        <f t="shared" si="51"/>
        <v>0</v>
      </c>
      <c r="O147" s="361">
        <f t="shared" si="51"/>
        <v>0</v>
      </c>
      <c r="P147" s="361">
        <f t="shared" si="51"/>
        <v>0</v>
      </c>
      <c r="Q147" s="361">
        <f>$K$129+$C$147</f>
        <v>0</v>
      </c>
      <c r="R147" s="361">
        <f t="shared" si="51"/>
        <v>0</v>
      </c>
      <c r="S147" s="361">
        <f t="shared" si="51"/>
        <v>0</v>
      </c>
      <c r="T147" s="672"/>
    </row>
    <row r="148" spans="1:20" x14ac:dyDescent="0.2">
      <c r="A148" s="360"/>
      <c r="B148" s="628" t="str">
        <f>IF(L$23&lt;&gt;"",L$23,"")</f>
        <v/>
      </c>
      <c r="C148" s="674"/>
      <c r="D148" s="361">
        <f>L134</f>
        <v>0</v>
      </c>
      <c r="E148" s="671"/>
      <c r="F148" s="361">
        <f>$L$129</f>
        <v>0</v>
      </c>
      <c r="G148" s="361">
        <f t="shared" ref="F148:S148" si="52">$L$129</f>
        <v>0</v>
      </c>
      <c r="H148" s="361">
        <f t="shared" si="52"/>
        <v>0</v>
      </c>
      <c r="I148" s="361">
        <f>$L$129+$C$148</f>
        <v>0</v>
      </c>
      <c r="J148" s="361">
        <f t="shared" si="52"/>
        <v>0</v>
      </c>
      <c r="K148" s="361">
        <f t="shared" si="52"/>
        <v>0</v>
      </c>
      <c r="L148" s="361">
        <f t="shared" si="52"/>
        <v>0</v>
      </c>
      <c r="M148" s="361">
        <f>$L$129+$C$148</f>
        <v>0</v>
      </c>
      <c r="N148" s="361">
        <f t="shared" si="52"/>
        <v>0</v>
      </c>
      <c r="O148" s="361">
        <f t="shared" si="52"/>
        <v>0</v>
      </c>
      <c r="P148" s="361">
        <f t="shared" si="52"/>
        <v>0</v>
      </c>
      <c r="Q148" s="361">
        <f>$L$129+$C$148</f>
        <v>0</v>
      </c>
      <c r="R148" s="361">
        <f t="shared" si="52"/>
        <v>0</v>
      </c>
      <c r="S148" s="361">
        <f t="shared" si="52"/>
        <v>0</v>
      </c>
      <c r="T148" s="672"/>
    </row>
    <row r="149" spans="1:20" x14ac:dyDescent="0.2">
      <c r="A149" s="360"/>
      <c r="B149" s="628" t="str">
        <f>IF(M$23&lt;&gt;"",M$23,"")</f>
        <v/>
      </c>
      <c r="C149" s="674"/>
      <c r="D149" s="361">
        <f>M134</f>
        <v>0</v>
      </c>
      <c r="E149" s="671"/>
      <c r="F149" s="361">
        <f>$M$129</f>
        <v>0</v>
      </c>
      <c r="G149" s="361">
        <f t="shared" ref="G149:S149" si="53">$M$129</f>
        <v>0</v>
      </c>
      <c r="H149" s="361">
        <f t="shared" si="53"/>
        <v>0</v>
      </c>
      <c r="I149" s="361">
        <f>$M$129+$C$149</f>
        <v>0</v>
      </c>
      <c r="J149" s="361">
        <f t="shared" si="53"/>
        <v>0</v>
      </c>
      <c r="K149" s="361">
        <f t="shared" si="53"/>
        <v>0</v>
      </c>
      <c r="L149" s="361">
        <f t="shared" si="53"/>
        <v>0</v>
      </c>
      <c r="M149" s="361">
        <f>$M$129+$C$149</f>
        <v>0</v>
      </c>
      <c r="N149" s="361">
        <f t="shared" si="53"/>
        <v>0</v>
      </c>
      <c r="O149" s="361">
        <f t="shared" si="53"/>
        <v>0</v>
      </c>
      <c r="P149" s="361">
        <f t="shared" si="53"/>
        <v>0</v>
      </c>
      <c r="Q149" s="361">
        <f>$M$129+$C$149</f>
        <v>0</v>
      </c>
      <c r="R149" s="361">
        <f t="shared" si="53"/>
        <v>0</v>
      </c>
      <c r="S149" s="361">
        <f t="shared" si="53"/>
        <v>0</v>
      </c>
      <c r="T149" s="672"/>
    </row>
    <row r="150" spans="1:20" x14ac:dyDescent="0.2">
      <c r="A150" s="360" t="s">
        <v>225</v>
      </c>
      <c r="B150" s="628" t="str">
        <f>IF(N$23&lt;&gt;"",N$23,"")</f>
        <v>Standaard</v>
      </c>
      <c r="C150" s="360"/>
      <c r="D150" s="361">
        <f>N134</f>
        <v>0</v>
      </c>
      <c r="E150" s="362">
        <v>3</v>
      </c>
      <c r="F150" s="361">
        <f t="shared" ref="F150:S150" si="54">$N$129</f>
        <v>52</v>
      </c>
      <c r="G150" s="361">
        <f t="shared" si="54"/>
        <v>52</v>
      </c>
      <c r="H150" s="361">
        <f t="shared" si="54"/>
        <v>52</v>
      </c>
      <c r="I150" s="361">
        <f t="shared" si="54"/>
        <v>52</v>
      </c>
      <c r="J150" s="361">
        <f t="shared" si="54"/>
        <v>52</v>
      </c>
      <c r="K150" s="361">
        <f t="shared" si="54"/>
        <v>52</v>
      </c>
      <c r="L150" s="361">
        <f t="shared" si="54"/>
        <v>52</v>
      </c>
      <c r="M150" s="361">
        <f t="shared" si="54"/>
        <v>52</v>
      </c>
      <c r="N150" s="361">
        <f t="shared" si="54"/>
        <v>52</v>
      </c>
      <c r="O150" s="361">
        <f t="shared" si="54"/>
        <v>52</v>
      </c>
      <c r="P150" s="361">
        <f t="shared" si="54"/>
        <v>52</v>
      </c>
      <c r="Q150" s="361">
        <f t="shared" si="54"/>
        <v>52</v>
      </c>
      <c r="R150" s="361">
        <f t="shared" si="54"/>
        <v>52</v>
      </c>
      <c r="S150" s="361">
        <f t="shared" si="54"/>
        <v>52</v>
      </c>
      <c r="T150" s="361">
        <v>51</v>
      </c>
    </row>
    <row r="151" spans="1:20" x14ac:dyDescent="0.2">
      <c r="A151" s="360"/>
      <c r="B151" s="628" t="str">
        <f>IF(O$23&lt;&gt;"",O$23,"")</f>
        <v/>
      </c>
      <c r="C151" s="360"/>
      <c r="D151" s="361">
        <f>O134</f>
        <v>0</v>
      </c>
      <c r="E151" s="671"/>
      <c r="F151" s="361">
        <f t="shared" ref="F151:S151" si="55">$O$129</f>
        <v>0</v>
      </c>
      <c r="G151" s="361">
        <f t="shared" si="55"/>
        <v>0</v>
      </c>
      <c r="H151" s="361">
        <f t="shared" si="55"/>
        <v>0</v>
      </c>
      <c r="I151" s="361">
        <f t="shared" si="55"/>
        <v>0</v>
      </c>
      <c r="J151" s="361">
        <f t="shared" si="55"/>
        <v>0</v>
      </c>
      <c r="K151" s="361">
        <f t="shared" si="55"/>
        <v>0</v>
      </c>
      <c r="L151" s="361">
        <f t="shared" si="55"/>
        <v>0</v>
      </c>
      <c r="M151" s="361">
        <f t="shared" si="55"/>
        <v>0</v>
      </c>
      <c r="N151" s="361">
        <f t="shared" si="55"/>
        <v>0</v>
      </c>
      <c r="O151" s="361">
        <f t="shared" si="55"/>
        <v>0</v>
      </c>
      <c r="P151" s="361">
        <f t="shared" si="55"/>
        <v>0</v>
      </c>
      <c r="Q151" s="361">
        <f t="shared" si="55"/>
        <v>0</v>
      </c>
      <c r="R151" s="361">
        <f t="shared" si="55"/>
        <v>0</v>
      </c>
      <c r="S151" s="361">
        <f t="shared" si="55"/>
        <v>0</v>
      </c>
      <c r="T151" s="672"/>
    </row>
    <row r="152" spans="1:20" x14ac:dyDescent="0.2">
      <c r="A152" s="360"/>
      <c r="B152" s="628" t="str">
        <f>IF(P$23&lt;&gt;"",P$23,"")</f>
        <v/>
      </c>
      <c r="C152" s="360"/>
      <c r="D152" s="361">
        <f>P134</f>
        <v>0</v>
      </c>
      <c r="E152" s="671"/>
      <c r="F152" s="361">
        <f t="shared" ref="F152:S152" si="56">$P$129</f>
        <v>0</v>
      </c>
      <c r="G152" s="361">
        <f t="shared" si="56"/>
        <v>0</v>
      </c>
      <c r="H152" s="361">
        <f t="shared" si="56"/>
        <v>0</v>
      </c>
      <c r="I152" s="361">
        <f t="shared" si="56"/>
        <v>0</v>
      </c>
      <c r="J152" s="361">
        <f t="shared" si="56"/>
        <v>0</v>
      </c>
      <c r="K152" s="361">
        <f t="shared" si="56"/>
        <v>0</v>
      </c>
      <c r="L152" s="361">
        <f t="shared" si="56"/>
        <v>0</v>
      </c>
      <c r="M152" s="361">
        <f t="shared" si="56"/>
        <v>0</v>
      </c>
      <c r="N152" s="361">
        <f t="shared" si="56"/>
        <v>0</v>
      </c>
      <c r="O152" s="361">
        <f t="shared" si="56"/>
        <v>0</v>
      </c>
      <c r="P152" s="361">
        <f t="shared" si="56"/>
        <v>0</v>
      </c>
      <c r="Q152" s="361">
        <f t="shared" si="56"/>
        <v>0</v>
      </c>
      <c r="R152" s="361">
        <f t="shared" si="56"/>
        <v>0</v>
      </c>
      <c r="S152" s="361">
        <f t="shared" si="56"/>
        <v>0</v>
      </c>
      <c r="T152" s="672"/>
    </row>
    <row r="153" spans="1:20" x14ac:dyDescent="0.2">
      <c r="A153" s="360" t="s">
        <v>226</v>
      </c>
      <c r="B153" s="628" t="str">
        <f>IF(Q$23&lt;&gt;"",Q$23,"")</f>
        <v>Standaard</v>
      </c>
      <c r="C153" s="360"/>
      <c r="D153" s="361">
        <f>Q134</f>
        <v>0</v>
      </c>
      <c r="E153" s="362">
        <v>6</v>
      </c>
      <c r="F153" s="361">
        <f t="shared" ref="F153:S153" si="57">$Q$129</f>
        <v>58</v>
      </c>
      <c r="G153" s="361">
        <f t="shared" si="57"/>
        <v>58</v>
      </c>
      <c r="H153" s="361">
        <f t="shared" si="57"/>
        <v>58</v>
      </c>
      <c r="I153" s="361">
        <f t="shared" si="57"/>
        <v>58</v>
      </c>
      <c r="J153" s="361">
        <f t="shared" si="57"/>
        <v>58</v>
      </c>
      <c r="K153" s="361">
        <f t="shared" si="57"/>
        <v>58</v>
      </c>
      <c r="L153" s="361">
        <f t="shared" si="57"/>
        <v>58</v>
      </c>
      <c r="M153" s="361">
        <f t="shared" si="57"/>
        <v>58</v>
      </c>
      <c r="N153" s="361">
        <f t="shared" si="57"/>
        <v>58</v>
      </c>
      <c r="O153" s="361">
        <f t="shared" si="57"/>
        <v>58</v>
      </c>
      <c r="P153" s="361">
        <f t="shared" si="57"/>
        <v>58</v>
      </c>
      <c r="Q153" s="361">
        <f t="shared" si="57"/>
        <v>58</v>
      </c>
      <c r="R153" s="361">
        <f t="shared" si="57"/>
        <v>58</v>
      </c>
      <c r="S153" s="361">
        <f t="shared" si="57"/>
        <v>58</v>
      </c>
      <c r="T153" s="361">
        <f>56-3</f>
        <v>53</v>
      </c>
    </row>
    <row r="154" spans="1:20" x14ac:dyDescent="0.2">
      <c r="A154" s="360"/>
      <c r="B154" s="628" t="str">
        <f>IF(R$23&lt;&gt;"",R$23,"")</f>
        <v/>
      </c>
      <c r="C154" s="360"/>
      <c r="D154" s="361">
        <f>R134</f>
        <v>0</v>
      </c>
      <c r="E154" s="671"/>
      <c r="F154" s="361">
        <f t="shared" ref="F154:S154" si="58">$R$129</f>
        <v>0</v>
      </c>
      <c r="G154" s="361">
        <f t="shared" si="58"/>
        <v>0</v>
      </c>
      <c r="H154" s="361">
        <f t="shared" si="58"/>
        <v>0</v>
      </c>
      <c r="I154" s="361">
        <f t="shared" si="58"/>
        <v>0</v>
      </c>
      <c r="J154" s="361">
        <f t="shared" si="58"/>
        <v>0</v>
      </c>
      <c r="K154" s="361">
        <f t="shared" si="58"/>
        <v>0</v>
      </c>
      <c r="L154" s="361">
        <f t="shared" si="58"/>
        <v>0</v>
      </c>
      <c r="M154" s="361">
        <f t="shared" si="58"/>
        <v>0</v>
      </c>
      <c r="N154" s="361">
        <f t="shared" si="58"/>
        <v>0</v>
      </c>
      <c r="O154" s="361">
        <f t="shared" si="58"/>
        <v>0</v>
      </c>
      <c r="P154" s="361">
        <f t="shared" si="58"/>
        <v>0</v>
      </c>
      <c r="Q154" s="361">
        <f t="shared" si="58"/>
        <v>0</v>
      </c>
      <c r="R154" s="361">
        <f t="shared" si="58"/>
        <v>0</v>
      </c>
      <c r="S154" s="361">
        <f t="shared" si="58"/>
        <v>0</v>
      </c>
      <c r="T154" s="672"/>
    </row>
    <row r="155" spans="1:20" ht="10.8" thickBot="1" x14ac:dyDescent="0.25">
      <c r="A155" s="360"/>
      <c r="B155" s="629" t="str">
        <f>IF(S$23&lt;&gt;"",S$23,"")</f>
        <v/>
      </c>
      <c r="C155" s="360"/>
      <c r="D155" s="361">
        <f>S134</f>
        <v>0</v>
      </c>
      <c r="E155" s="671"/>
      <c r="F155" s="361">
        <f t="shared" ref="F155:S155" si="59">$S$129</f>
        <v>0</v>
      </c>
      <c r="G155" s="361">
        <f t="shared" si="59"/>
        <v>0</v>
      </c>
      <c r="H155" s="361">
        <f t="shared" si="59"/>
        <v>0</v>
      </c>
      <c r="I155" s="361">
        <f t="shared" si="59"/>
        <v>0</v>
      </c>
      <c r="J155" s="361">
        <f t="shared" si="59"/>
        <v>0</v>
      </c>
      <c r="K155" s="361">
        <f t="shared" si="59"/>
        <v>0</v>
      </c>
      <c r="L155" s="361">
        <f t="shared" si="59"/>
        <v>0</v>
      </c>
      <c r="M155" s="361">
        <f t="shared" si="59"/>
        <v>0</v>
      </c>
      <c r="N155" s="361">
        <f t="shared" si="59"/>
        <v>0</v>
      </c>
      <c r="O155" s="361">
        <f t="shared" si="59"/>
        <v>0</v>
      </c>
      <c r="P155" s="361">
        <f t="shared" si="59"/>
        <v>0</v>
      </c>
      <c r="Q155" s="361">
        <f t="shared" si="59"/>
        <v>0</v>
      </c>
      <c r="R155" s="361">
        <f t="shared" si="59"/>
        <v>0</v>
      </c>
      <c r="S155" s="361">
        <f t="shared" si="59"/>
        <v>0</v>
      </c>
      <c r="T155" s="672"/>
    </row>
    <row r="156" spans="1:20" ht="10.8" thickBot="1" x14ac:dyDescent="0.25">
      <c r="A156" s="660" t="s">
        <v>410</v>
      </c>
      <c r="B156" s="661"/>
      <c r="C156" s="460"/>
      <c r="D156" s="363"/>
      <c r="E156" s="364">
        <f t="shared" ref="E156:T156" si="60">$D141*E141+$D142*E142+$D143*E143+$D144*E144+$D145*E145+$D146*E146+$D147*E147*$D148*E148+$D149*E149+$D150*E150+$D151*E151+$D152*E152+$D153*E153+$D154*E154+$D155*E155</f>
        <v>17643.600000000002</v>
      </c>
      <c r="F156" s="364">
        <f t="shared" si="60"/>
        <v>346086</v>
      </c>
      <c r="G156" s="364">
        <f t="shared" si="60"/>
        <v>346086</v>
      </c>
      <c r="H156" s="364">
        <f t="shared" si="60"/>
        <v>346086</v>
      </c>
      <c r="I156" s="364">
        <f t="shared" si="60"/>
        <v>347443.20000000001</v>
      </c>
      <c r="J156" s="364">
        <f t="shared" si="60"/>
        <v>346086</v>
      </c>
      <c r="K156" s="364">
        <f t="shared" si="60"/>
        <v>346086</v>
      </c>
      <c r="L156" s="364">
        <f t="shared" si="60"/>
        <v>346086</v>
      </c>
      <c r="M156" s="364">
        <f t="shared" si="60"/>
        <v>347443.20000000001</v>
      </c>
      <c r="N156" s="364">
        <f t="shared" si="60"/>
        <v>346086</v>
      </c>
      <c r="O156" s="364">
        <f t="shared" si="60"/>
        <v>346086</v>
      </c>
      <c r="P156" s="364">
        <f t="shared" si="60"/>
        <v>346086</v>
      </c>
      <c r="Q156" s="364">
        <f t="shared" si="60"/>
        <v>347443.20000000001</v>
      </c>
      <c r="R156" s="364">
        <f t="shared" si="60"/>
        <v>346086</v>
      </c>
      <c r="S156" s="364">
        <f t="shared" si="60"/>
        <v>346086</v>
      </c>
      <c r="T156" s="500">
        <f t="shared" si="60"/>
        <v>328442.40000000002</v>
      </c>
    </row>
    <row r="157" spans="1:20" x14ac:dyDescent="0.2">
      <c r="A157" s="536" t="s">
        <v>464</v>
      </c>
      <c r="B157" s="533"/>
      <c r="C157" s="533"/>
      <c r="D157" s="534"/>
      <c r="E157" s="535">
        <f>$E$131*E$141+$F$131*E$142+$G$131*E$143+$H$131*E$144+$I$131*E$145+$J$131*E$146+$K$131*E$147+$L$131*E$148+$M$131*E$149+$N$131*E$150+$O$131*E$151+$P$131*E$152+$Q$131*E$153+$R$131*E$154+$S$131*E$155</f>
        <v>17643.600000000002</v>
      </c>
      <c r="F157" s="535">
        <f t="shared" ref="E157:T157" si="61">$E$131*F$141+$F$131*F$142+$G$131*F$143+$H$131*F$144+$I$131*F$145+$J$131*F$146+$K$131*F$147+$L$131*F$148+$M$131*F$149+$N$131*F$150+$O$131*F$151+$P$131*F$152+$Q$131*F$153+$R$131*F$154+$S$131*F$155</f>
        <v>346086</v>
      </c>
      <c r="G157" s="535">
        <f t="shared" si="61"/>
        <v>346086</v>
      </c>
      <c r="H157" s="535">
        <f t="shared" si="61"/>
        <v>346086</v>
      </c>
      <c r="I157" s="535">
        <f t="shared" si="61"/>
        <v>347443.20000000001</v>
      </c>
      <c r="J157" s="535">
        <f t="shared" si="61"/>
        <v>346086</v>
      </c>
      <c r="K157" s="535">
        <f t="shared" si="61"/>
        <v>346086</v>
      </c>
      <c r="L157" s="535">
        <f t="shared" si="61"/>
        <v>346086</v>
      </c>
      <c r="M157" s="535">
        <f t="shared" si="61"/>
        <v>347443.20000000001</v>
      </c>
      <c r="N157" s="535">
        <f t="shared" si="61"/>
        <v>346086</v>
      </c>
      <c r="O157" s="535">
        <f t="shared" si="61"/>
        <v>346086</v>
      </c>
      <c r="P157" s="535">
        <f t="shared" si="61"/>
        <v>346086</v>
      </c>
      <c r="Q157" s="535">
        <f t="shared" si="61"/>
        <v>347443.20000000001</v>
      </c>
      <c r="R157" s="535">
        <f t="shared" si="61"/>
        <v>346086</v>
      </c>
      <c r="S157" s="535">
        <f t="shared" si="61"/>
        <v>346086</v>
      </c>
      <c r="T157" s="535">
        <f t="shared" si="61"/>
        <v>328442.40000000002</v>
      </c>
    </row>
    <row r="158" spans="1:20" x14ac:dyDescent="0.2">
      <c r="A158" s="536" t="s">
        <v>463</v>
      </c>
      <c r="B158" s="533"/>
      <c r="C158" s="533"/>
      <c r="D158" s="534"/>
      <c r="E158" s="535">
        <f t="shared" ref="E158:T158" si="62">$E$132*E$141+$F$132*E$142+$G$132*E$143+$H$132*E$144+$I$132*E$145+$J$132*E$146+$K$132*E$147+$L$132*E$148+$M$132*E$149+$N$132*E$150+$O$132*E$151+$P$132*E$152+$Q$132*E$153+$R$132*E$154+$S$132*E$155</f>
        <v>0</v>
      </c>
      <c r="F158" s="535">
        <f t="shared" si="62"/>
        <v>0</v>
      </c>
      <c r="G158" s="535">
        <f t="shared" si="62"/>
        <v>0</v>
      </c>
      <c r="H158" s="535">
        <f t="shared" si="62"/>
        <v>0</v>
      </c>
      <c r="I158" s="535">
        <f t="shared" si="62"/>
        <v>0</v>
      </c>
      <c r="J158" s="535">
        <f t="shared" si="62"/>
        <v>0</v>
      </c>
      <c r="K158" s="535">
        <f t="shared" si="62"/>
        <v>0</v>
      </c>
      <c r="L158" s="535">
        <f t="shared" si="62"/>
        <v>0</v>
      </c>
      <c r="M158" s="535">
        <f t="shared" si="62"/>
        <v>0</v>
      </c>
      <c r="N158" s="535">
        <f t="shared" si="62"/>
        <v>0</v>
      </c>
      <c r="O158" s="535">
        <f t="shared" si="62"/>
        <v>0</v>
      </c>
      <c r="P158" s="535">
        <f t="shared" si="62"/>
        <v>0</v>
      </c>
      <c r="Q158" s="535">
        <f t="shared" si="62"/>
        <v>0</v>
      </c>
      <c r="R158" s="535">
        <f t="shared" si="62"/>
        <v>0</v>
      </c>
      <c r="S158" s="535">
        <f t="shared" si="62"/>
        <v>0</v>
      </c>
      <c r="T158" s="535">
        <f t="shared" si="62"/>
        <v>0</v>
      </c>
    </row>
    <row r="159" spans="1:20" x14ac:dyDescent="0.2">
      <c r="A159" s="536" t="s">
        <v>462</v>
      </c>
      <c r="B159" s="533"/>
      <c r="C159" s="533"/>
      <c r="D159" s="534"/>
      <c r="E159" s="535">
        <f t="shared" ref="E159:T159" si="63">$E$133*E$141+$F$133*E$142+$G$133*E$143+$H$133*E$144+$I$133*E$145+$J$133*E$146+$K$133*E$147+$L$133*E$148+$M$133*E$149+$N$133*E$150+$O$133*E$151+$P$133*E$152+$Q$133*E$153+$R$133*E$154+$S$133*E$155</f>
        <v>0</v>
      </c>
      <c r="F159" s="535">
        <f t="shared" si="63"/>
        <v>0</v>
      </c>
      <c r="G159" s="535">
        <f t="shared" si="63"/>
        <v>0</v>
      </c>
      <c r="H159" s="535">
        <f t="shared" si="63"/>
        <v>0</v>
      </c>
      <c r="I159" s="535">
        <f t="shared" si="63"/>
        <v>0</v>
      </c>
      <c r="J159" s="535">
        <f t="shared" si="63"/>
        <v>0</v>
      </c>
      <c r="K159" s="535">
        <f t="shared" si="63"/>
        <v>0</v>
      </c>
      <c r="L159" s="535">
        <f t="shared" si="63"/>
        <v>0</v>
      </c>
      <c r="M159" s="535">
        <f t="shared" si="63"/>
        <v>0</v>
      </c>
      <c r="N159" s="535">
        <f t="shared" si="63"/>
        <v>0</v>
      </c>
      <c r="O159" s="535">
        <f t="shared" si="63"/>
        <v>0</v>
      </c>
      <c r="P159" s="535">
        <f t="shared" si="63"/>
        <v>0</v>
      </c>
      <c r="Q159" s="535">
        <f t="shared" si="63"/>
        <v>0</v>
      </c>
      <c r="R159" s="535">
        <f t="shared" si="63"/>
        <v>0</v>
      </c>
      <c r="S159" s="535">
        <f t="shared" si="63"/>
        <v>0</v>
      </c>
      <c r="T159" s="535">
        <f t="shared" si="63"/>
        <v>0</v>
      </c>
    </row>
    <row r="160" spans="1:20" ht="12" x14ac:dyDescent="0.2">
      <c r="A160" t="s">
        <v>392</v>
      </c>
    </row>
    <row r="161" spans="1:29" ht="12" x14ac:dyDescent="0.2">
      <c r="A161" s="292" t="s">
        <v>306</v>
      </c>
      <c r="AC161" s="115"/>
    </row>
    <row r="162" spans="1:29" ht="12" x14ac:dyDescent="0.2">
      <c r="A162" s="292"/>
      <c r="AC162" s="115"/>
    </row>
    <row r="163" spans="1:29" ht="15.6" x14ac:dyDescent="0.3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</row>
    <row r="164" spans="1:29" ht="15.6" x14ac:dyDescent="0.3">
      <c r="A164" s="102" t="s">
        <v>158</v>
      </c>
      <c r="B164" s="648"/>
      <c r="C164" s="649"/>
      <c r="D164" s="649"/>
      <c r="E164" s="649"/>
      <c r="F164" s="649"/>
      <c r="G164" s="649"/>
      <c r="H164" s="649"/>
      <c r="I164" s="649"/>
      <c r="J164" s="649"/>
      <c r="K164" s="649"/>
      <c r="L164" s="649"/>
      <c r="M164" s="649"/>
      <c r="N164" s="649"/>
      <c r="O164" s="649"/>
      <c r="P164" s="649"/>
      <c r="Q164" s="649"/>
      <c r="R164" s="649"/>
      <c r="S164" s="649"/>
      <c r="T164" s="650"/>
    </row>
    <row r="165" spans="1:29" ht="78" x14ac:dyDescent="0.3">
      <c r="A165" s="100" t="s">
        <v>159</v>
      </c>
      <c r="B165" s="648"/>
      <c r="C165" s="649"/>
      <c r="D165" s="649"/>
      <c r="E165" s="649"/>
      <c r="F165" s="649"/>
      <c r="G165" s="649"/>
      <c r="H165" s="649"/>
      <c r="I165" s="649"/>
      <c r="J165" s="649"/>
      <c r="K165" s="649"/>
      <c r="L165" s="649"/>
      <c r="M165" s="649"/>
      <c r="N165" s="649"/>
      <c r="O165" s="649"/>
      <c r="P165" s="649"/>
      <c r="Q165" s="649"/>
      <c r="R165" s="649"/>
      <c r="S165" s="649"/>
      <c r="T165" s="650"/>
    </row>
    <row r="166" spans="1:29" ht="15.6" x14ac:dyDescent="0.3">
      <c r="A166" s="101" t="s">
        <v>160</v>
      </c>
      <c r="B166" s="648"/>
      <c r="C166" s="649"/>
      <c r="D166" s="649"/>
      <c r="E166" s="649"/>
      <c r="F166" s="649"/>
      <c r="G166" s="649"/>
      <c r="H166" s="649"/>
      <c r="I166" s="649"/>
      <c r="J166" s="649"/>
      <c r="K166" s="649"/>
      <c r="L166" s="649"/>
      <c r="M166" s="649"/>
      <c r="N166" s="649"/>
      <c r="O166" s="649"/>
      <c r="P166" s="649"/>
      <c r="Q166" s="649"/>
      <c r="R166" s="649"/>
      <c r="S166" s="649"/>
      <c r="T166" s="650"/>
    </row>
    <row r="167" spans="1:29" ht="78" x14ac:dyDescent="0.3">
      <c r="A167" s="100" t="s">
        <v>161</v>
      </c>
      <c r="B167" s="648"/>
      <c r="C167" s="649"/>
      <c r="D167" s="649"/>
      <c r="E167" s="649"/>
      <c r="F167" s="649"/>
      <c r="G167" s="649"/>
      <c r="H167" s="649"/>
      <c r="I167" s="649"/>
      <c r="J167" s="649"/>
      <c r="K167" s="649"/>
      <c r="L167" s="649"/>
      <c r="M167" s="649"/>
      <c r="N167" s="649"/>
      <c r="O167" s="649"/>
      <c r="P167" s="649"/>
      <c r="Q167" s="649"/>
      <c r="R167" s="649"/>
      <c r="S167" s="649"/>
      <c r="T167" s="650"/>
    </row>
    <row r="168" spans="1:29" ht="15.6" x14ac:dyDescent="0.3">
      <c r="A168" s="100" t="s">
        <v>162</v>
      </c>
      <c r="B168" s="651"/>
      <c r="C168" s="652"/>
      <c r="D168" s="649"/>
      <c r="E168" s="649"/>
      <c r="F168" s="649"/>
      <c r="G168" s="649"/>
      <c r="H168" s="649"/>
      <c r="I168" s="649"/>
      <c r="J168" s="649"/>
      <c r="K168" s="649"/>
      <c r="L168" s="649"/>
      <c r="M168" s="649"/>
      <c r="N168" s="649"/>
      <c r="O168" s="649"/>
      <c r="P168" s="649"/>
      <c r="Q168" s="649"/>
      <c r="R168" s="649"/>
      <c r="S168" s="649"/>
      <c r="T168" s="650"/>
    </row>
    <row r="169" spans="1:29" ht="15.6" x14ac:dyDescent="0.3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</row>
    <row r="172" spans="1:29" x14ac:dyDescent="0.2">
      <c r="B172" s="99"/>
      <c r="C172" s="99"/>
      <c r="S172" s="98"/>
    </row>
    <row r="173" spans="1:29" x14ac:dyDescent="0.2">
      <c r="B173" s="99"/>
      <c r="C173" s="99"/>
      <c r="S173" s="98"/>
    </row>
    <row r="174" spans="1:29" x14ac:dyDescent="0.2">
      <c r="B174" s="99"/>
      <c r="C174" s="99"/>
    </row>
    <row r="175" spans="1:29" x14ac:dyDescent="0.2">
      <c r="B175" s="99"/>
      <c r="C175" s="99"/>
      <c r="S175" s="98"/>
    </row>
    <row r="176" spans="1:29" x14ac:dyDescent="0.2">
      <c r="B176" s="99"/>
      <c r="C176" s="99"/>
      <c r="S176" s="98"/>
    </row>
    <row r="177" spans="2:28" x14ac:dyDescent="0.2">
      <c r="B177" s="99"/>
      <c r="C177" s="99"/>
    </row>
    <row r="178" spans="2:28" x14ac:dyDescent="0.2">
      <c r="B178" s="99"/>
      <c r="C178" s="99"/>
      <c r="S178" s="98"/>
    </row>
    <row r="179" spans="2:28" x14ac:dyDescent="0.2">
      <c r="B179" s="99"/>
      <c r="C179" s="99"/>
      <c r="S179" s="98"/>
    </row>
    <row r="180" spans="2:28" x14ac:dyDescent="0.2">
      <c r="B180" s="99"/>
      <c r="C180" s="99"/>
      <c r="S180" s="98"/>
    </row>
    <row r="182" spans="2:28" x14ac:dyDescent="0.2">
      <c r="B182" s="97"/>
      <c r="C182" s="97"/>
    </row>
    <row r="190" spans="2:28" x14ac:dyDescent="0.2">
      <c r="B190" s="96"/>
      <c r="C190" s="96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T190" s="96"/>
      <c r="U190" s="95"/>
      <c r="V190" s="95"/>
      <c r="W190" s="95"/>
      <c r="X190" s="95"/>
      <c r="Y190" s="95"/>
      <c r="Z190" s="95"/>
      <c r="AA190" s="95"/>
      <c r="AB190" s="95"/>
    </row>
    <row r="191" spans="2:28" x14ac:dyDescent="0.2"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T191" s="95"/>
      <c r="U191" s="95"/>
      <c r="V191" s="95"/>
      <c r="W191" s="95"/>
      <c r="X191" s="95"/>
      <c r="Y191" s="95"/>
      <c r="Z191" s="95"/>
      <c r="AA191" s="95"/>
      <c r="AB191" s="95"/>
    </row>
    <row r="192" spans="2:28" x14ac:dyDescent="0.2"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T192" s="95"/>
      <c r="U192" s="95"/>
      <c r="V192" s="95"/>
      <c r="W192" s="95"/>
      <c r="X192" s="95"/>
      <c r="Y192" s="95"/>
      <c r="Z192" s="95"/>
      <c r="AA192" s="95"/>
      <c r="AB192" s="95"/>
    </row>
    <row r="193" spans="2:28" x14ac:dyDescent="0.2"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T193" s="95"/>
      <c r="U193" s="95"/>
      <c r="V193" s="95"/>
      <c r="W193" s="95"/>
      <c r="X193" s="95"/>
      <c r="Y193" s="95"/>
      <c r="Z193" s="95"/>
      <c r="AA193" s="95"/>
      <c r="AB193" s="95"/>
    </row>
    <row r="194" spans="2:28" x14ac:dyDescent="0.2"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T194" s="95"/>
      <c r="U194" s="95"/>
      <c r="V194" s="95"/>
      <c r="W194" s="95"/>
      <c r="X194" s="95"/>
      <c r="Y194" s="95"/>
      <c r="Z194" s="95"/>
      <c r="AA194" s="95"/>
      <c r="AB194" s="95"/>
    </row>
    <row r="195" spans="2:28" x14ac:dyDescent="0.2"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T195" s="95"/>
      <c r="U195" s="95"/>
      <c r="V195" s="95"/>
      <c r="W195" s="95"/>
      <c r="X195" s="95"/>
      <c r="Y195" s="95"/>
      <c r="Z195" s="95"/>
      <c r="AA195" s="95"/>
      <c r="AB195" s="95"/>
    </row>
    <row r="196" spans="2:28" x14ac:dyDescent="0.2"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T196" s="95"/>
      <c r="U196" s="95"/>
      <c r="V196" s="95"/>
      <c r="W196" s="95"/>
      <c r="X196" s="95"/>
      <c r="Y196" s="95"/>
      <c r="Z196" s="95"/>
      <c r="AA196" s="95"/>
      <c r="AB196" s="95"/>
    </row>
    <row r="197" spans="2:28" x14ac:dyDescent="0.2"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T197" s="95"/>
      <c r="U197" s="95"/>
      <c r="V197" s="95"/>
      <c r="W197" s="95"/>
      <c r="X197" s="95"/>
      <c r="Y197" s="95"/>
      <c r="Z197" s="95"/>
      <c r="AA197" s="95"/>
      <c r="AB197" s="95"/>
    </row>
    <row r="198" spans="2:28" x14ac:dyDescent="0.2"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  <c r="R198" s="95"/>
      <c r="T198" s="95"/>
      <c r="U198" s="95"/>
      <c r="V198" s="95"/>
      <c r="W198" s="95"/>
      <c r="X198" s="95"/>
      <c r="Y198" s="95"/>
      <c r="Z198" s="95"/>
      <c r="AA198" s="95"/>
      <c r="AB198" s="95"/>
    </row>
    <row r="199" spans="2:28" x14ac:dyDescent="0.2"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T199" s="95"/>
      <c r="U199" s="95"/>
      <c r="V199" s="95"/>
      <c r="W199" s="95"/>
      <c r="X199" s="95"/>
      <c r="Y199" s="95"/>
      <c r="Z199" s="95"/>
      <c r="AA199" s="95"/>
      <c r="AB199" s="95"/>
    </row>
    <row r="200" spans="2:28" x14ac:dyDescent="0.2"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T200" s="95"/>
      <c r="U200" s="95"/>
      <c r="V200" s="95"/>
      <c r="W200" s="95"/>
      <c r="X200" s="95"/>
      <c r="Y200" s="95"/>
      <c r="Z200" s="95"/>
      <c r="AA200" s="95"/>
      <c r="AB200" s="95"/>
    </row>
    <row r="201" spans="2:28" x14ac:dyDescent="0.2"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5"/>
      <c r="T201" s="95"/>
      <c r="U201" s="95"/>
      <c r="V201" s="95"/>
      <c r="W201" s="95"/>
      <c r="X201" s="95"/>
      <c r="Y201" s="95"/>
      <c r="Z201" s="95"/>
      <c r="AA201" s="95"/>
      <c r="AB201" s="95"/>
    </row>
    <row r="202" spans="2:28" x14ac:dyDescent="0.2"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T202" s="95"/>
      <c r="U202" s="95"/>
      <c r="V202" s="95"/>
      <c r="W202" s="95"/>
      <c r="X202" s="95"/>
      <c r="Y202" s="95"/>
      <c r="Z202" s="95"/>
      <c r="AA202" s="95"/>
      <c r="AB202" s="95"/>
    </row>
    <row r="203" spans="2:28" x14ac:dyDescent="0.2"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T203" s="95"/>
      <c r="U203" s="95"/>
      <c r="V203" s="95"/>
      <c r="W203" s="95"/>
      <c r="X203" s="95"/>
      <c r="Y203" s="95"/>
      <c r="Z203" s="95"/>
      <c r="AA203" s="95"/>
      <c r="AB203" s="95"/>
    </row>
    <row r="204" spans="2:28" x14ac:dyDescent="0.2"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T204" s="95"/>
      <c r="U204" s="95"/>
      <c r="V204" s="95"/>
      <c r="W204" s="95"/>
      <c r="X204" s="95"/>
      <c r="Y204" s="95"/>
      <c r="Z204" s="95"/>
      <c r="AA204" s="95"/>
      <c r="AB204" s="95"/>
    </row>
    <row r="205" spans="2:28" x14ac:dyDescent="0.2"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T205" s="95"/>
      <c r="U205" s="95"/>
      <c r="V205" s="95"/>
      <c r="W205" s="95"/>
      <c r="X205" s="95"/>
      <c r="Y205" s="95"/>
      <c r="Z205" s="95"/>
      <c r="AA205" s="95"/>
      <c r="AB205" s="95"/>
    </row>
  </sheetData>
  <mergeCells count="13">
    <mergeCell ref="B164:T164"/>
    <mergeCell ref="B165:T165"/>
    <mergeCell ref="B166:T166"/>
    <mergeCell ref="B167:T167"/>
    <mergeCell ref="B168:T168"/>
    <mergeCell ref="A156:B156"/>
    <mergeCell ref="Z1:AB1"/>
    <mergeCell ref="E126:S126"/>
    <mergeCell ref="A127:A128"/>
    <mergeCell ref="E127:M127"/>
    <mergeCell ref="N127:P127"/>
    <mergeCell ref="Q127:S127"/>
    <mergeCell ref="E139:T139"/>
  </mergeCells>
  <dataValidations count="4">
    <dataValidation type="list" allowBlank="1" showInputMessage="1" showErrorMessage="1" sqref="A59:B83 A94:B118 A26:A48 B24:B48" xr:uid="{A2B33CE7-64ED-4CC4-86C1-ECDC71B4C6AB}">
      <formula1>$A$5:$A$15</formula1>
    </dataValidation>
    <dataValidation type="list" allowBlank="1" showInputMessage="1" showErrorMessage="1" sqref="W24:W48 W59:W83 W94:W118" xr:uid="{656A7AED-FC92-43DB-A516-4F4547274FC3}">
      <formula1>"A,B,C"</formula1>
    </dataValidation>
    <dataValidation type="list" allowBlank="1" showInputMessage="1" showErrorMessage="1" sqref="A24:A25" xr:uid="{21BF43E9-A860-4E2A-8256-7E369233EC42}">
      <formula1>$A$5:$A$10</formula1>
    </dataValidation>
    <dataValidation type="list" allowBlank="1" showInputMessage="1" showErrorMessage="1" sqref="C142:C149" xr:uid="{E728D8E8-FE27-4344-97E1-BDFDE2B323C6}">
      <formula1>"1,0"</formula1>
    </dataValidation>
  </dataValidations>
  <hyperlinks>
    <hyperlink ref="A2" location="FEO!A1" display="terug" xr:uid="{35BDE170-0AD4-4E4B-947E-3BDA0398CD69}"/>
  </hyperlink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69D10-C3E9-4BDB-A65F-9914E85F8730}">
  <dimension ref="B1:I45"/>
  <sheetViews>
    <sheetView tabSelected="1" workbookViewId="0">
      <selection activeCell="E6" sqref="E6"/>
    </sheetView>
  </sheetViews>
  <sheetFormatPr defaultRowHeight="10.199999999999999" x14ac:dyDescent="0.2"/>
  <cols>
    <col min="1" max="1" width="3.375" customWidth="1"/>
    <col min="2" max="2" width="10.375" bestFit="1" customWidth="1"/>
    <col min="3" max="3" width="10.375" customWidth="1"/>
    <col min="4" max="4" width="45.125" customWidth="1"/>
    <col min="5" max="5" width="127.75" customWidth="1"/>
    <col min="6" max="6" width="4.375" customWidth="1"/>
    <col min="8" max="9" width="12.875" bestFit="1" customWidth="1"/>
  </cols>
  <sheetData>
    <row r="1" spans="2:9" ht="17.399999999999999" x14ac:dyDescent="0.3">
      <c r="B1" s="263" t="s">
        <v>213</v>
      </c>
    </row>
    <row r="3" spans="2:9" ht="16.2" x14ac:dyDescent="0.3">
      <c r="B3" s="260"/>
      <c r="C3" s="264" t="s">
        <v>514</v>
      </c>
    </row>
    <row r="4" spans="2:9" ht="16.2" x14ac:dyDescent="0.3">
      <c r="C4" s="264"/>
    </row>
    <row r="5" spans="2:9" ht="16.2" x14ac:dyDescent="0.3">
      <c r="B5" s="261"/>
      <c r="C5" s="264" t="s">
        <v>515</v>
      </c>
    </row>
    <row r="6" spans="2:9" ht="16.2" x14ac:dyDescent="0.3">
      <c r="C6" s="264"/>
    </row>
    <row r="7" spans="2:9" ht="16.2" x14ac:dyDescent="0.3">
      <c r="B7" s="262"/>
      <c r="C7" s="601" t="s">
        <v>516</v>
      </c>
    </row>
    <row r="10" spans="2:9" ht="17.399999999999999" x14ac:dyDescent="0.3">
      <c r="B10" s="263" t="s">
        <v>235</v>
      </c>
    </row>
    <row r="11" spans="2:9" x14ac:dyDescent="0.2">
      <c r="B11" s="273">
        <v>45743</v>
      </c>
      <c r="C11" s="265" t="s">
        <v>574</v>
      </c>
      <c r="D11" t="s">
        <v>580</v>
      </c>
    </row>
    <row r="13" spans="2:9" ht="17.399999999999999" x14ac:dyDescent="0.3">
      <c r="B13" s="263" t="s">
        <v>218</v>
      </c>
    </row>
    <row r="15" spans="2:9" x14ac:dyDescent="0.2">
      <c r="B15" s="2" t="s">
        <v>215</v>
      </c>
      <c r="C15" s="2" t="s">
        <v>217</v>
      </c>
      <c r="D15" s="2" t="s">
        <v>214</v>
      </c>
      <c r="E15" s="2" t="s">
        <v>216</v>
      </c>
    </row>
    <row r="16" spans="2:9" ht="9.6" customHeight="1" x14ac:dyDescent="0.2">
      <c r="B16" s="607"/>
      <c r="C16" s="608"/>
      <c r="D16" s="609"/>
      <c r="E16" s="609"/>
      <c r="H16" s="37"/>
      <c r="I16" s="37"/>
    </row>
    <row r="17" spans="2:9" ht="34.200000000000003" x14ac:dyDescent="0.2">
      <c r="B17" s="610">
        <v>1</v>
      </c>
      <c r="C17" s="611">
        <v>51</v>
      </c>
      <c r="D17" s="612" t="s">
        <v>531</v>
      </c>
      <c r="E17" s="612" t="s">
        <v>532</v>
      </c>
      <c r="H17" s="37"/>
      <c r="I17" s="37"/>
    </row>
    <row r="18" spans="2:9" ht="11.4" x14ac:dyDescent="0.2">
      <c r="B18" s="610" t="s">
        <v>526</v>
      </c>
      <c r="C18" s="611">
        <v>178</v>
      </c>
      <c r="D18" s="612" t="s">
        <v>527</v>
      </c>
      <c r="E18" s="612" t="s">
        <v>529</v>
      </c>
      <c r="H18" s="37"/>
      <c r="I18" s="37"/>
    </row>
    <row r="19" spans="2:9" ht="68.400000000000006" x14ac:dyDescent="0.2">
      <c r="B19" s="610" t="s">
        <v>526</v>
      </c>
      <c r="C19" s="611">
        <v>179</v>
      </c>
      <c r="D19" s="612" t="s">
        <v>528</v>
      </c>
      <c r="E19" s="618" t="s">
        <v>530</v>
      </c>
      <c r="H19" s="37"/>
      <c r="I19" s="37"/>
    </row>
    <row r="20" spans="2:9" ht="34.200000000000003" x14ac:dyDescent="0.2">
      <c r="B20" s="610">
        <v>3</v>
      </c>
      <c r="C20" s="611">
        <v>240</v>
      </c>
      <c r="D20" s="612" t="s">
        <v>525</v>
      </c>
      <c r="E20" s="613" t="s">
        <v>533</v>
      </c>
      <c r="I20" s="89"/>
    </row>
    <row r="21" spans="2:9" ht="102.6" x14ac:dyDescent="0.2">
      <c r="B21" s="610">
        <v>3</v>
      </c>
      <c r="C21" s="611">
        <v>239</v>
      </c>
      <c r="D21" s="612" t="s">
        <v>535</v>
      </c>
      <c r="E21" s="612" t="s">
        <v>534</v>
      </c>
    </row>
    <row r="22" spans="2:9" ht="57" x14ac:dyDescent="0.2">
      <c r="B22" s="610">
        <v>5</v>
      </c>
      <c r="C22" s="611">
        <v>320</v>
      </c>
      <c r="D22" s="612" t="s">
        <v>553</v>
      </c>
      <c r="E22" s="612" t="s">
        <v>549</v>
      </c>
    </row>
    <row r="23" spans="2:9" ht="11.4" x14ac:dyDescent="0.2">
      <c r="B23" s="610">
        <v>5</v>
      </c>
      <c r="C23" s="611">
        <v>321</v>
      </c>
      <c r="D23" s="612" t="s">
        <v>554</v>
      </c>
      <c r="E23" s="613" t="s">
        <v>550</v>
      </c>
    </row>
    <row r="24" spans="2:9" ht="182.4" x14ac:dyDescent="0.2">
      <c r="B24" s="610">
        <v>5</v>
      </c>
      <c r="C24" s="610">
        <v>322</v>
      </c>
      <c r="D24" s="612" t="s">
        <v>555</v>
      </c>
      <c r="E24" s="619" t="s">
        <v>572</v>
      </c>
    </row>
    <row r="25" spans="2:9" ht="136.80000000000001" x14ac:dyDescent="0.2">
      <c r="B25" s="610">
        <v>5</v>
      </c>
      <c r="C25" s="611">
        <v>323</v>
      </c>
      <c r="D25" s="612" t="s">
        <v>558</v>
      </c>
      <c r="E25" s="619" t="s">
        <v>571</v>
      </c>
    </row>
    <row r="26" spans="2:9" ht="136.80000000000001" x14ac:dyDescent="0.2">
      <c r="B26" s="611">
        <v>5</v>
      </c>
      <c r="C26" s="611">
        <v>324</v>
      </c>
      <c r="D26" s="612" t="s">
        <v>557</v>
      </c>
      <c r="E26" s="619" t="s">
        <v>570</v>
      </c>
    </row>
    <row r="27" spans="2:9" ht="136.80000000000001" x14ac:dyDescent="0.2">
      <c r="B27" s="611">
        <v>5</v>
      </c>
      <c r="C27" s="611">
        <v>325</v>
      </c>
      <c r="D27" s="612" t="s">
        <v>556</v>
      </c>
      <c r="E27" s="619" t="s">
        <v>569</v>
      </c>
    </row>
    <row r="28" spans="2:9" ht="57" x14ac:dyDescent="0.2">
      <c r="B28" s="611">
        <v>5</v>
      </c>
      <c r="C28" s="611">
        <v>326</v>
      </c>
      <c r="D28" s="613" t="s">
        <v>556</v>
      </c>
      <c r="E28" s="613" t="s">
        <v>551</v>
      </c>
    </row>
    <row r="29" spans="2:9" ht="22.8" x14ac:dyDescent="0.2">
      <c r="B29" s="611">
        <v>5</v>
      </c>
      <c r="C29" s="611">
        <v>327</v>
      </c>
      <c r="D29" s="613" t="s">
        <v>559</v>
      </c>
      <c r="E29" s="613" t="s">
        <v>552</v>
      </c>
    </row>
    <row r="30" spans="2:9" ht="22.8" x14ac:dyDescent="0.2">
      <c r="B30" s="611">
        <v>5</v>
      </c>
      <c r="C30" s="611">
        <v>328</v>
      </c>
      <c r="D30" s="613" t="s">
        <v>559</v>
      </c>
      <c r="E30" s="619" t="s">
        <v>568</v>
      </c>
    </row>
    <row r="31" spans="2:9" ht="22.8" x14ac:dyDescent="0.2">
      <c r="B31" s="611">
        <v>5</v>
      </c>
      <c r="C31" s="611">
        <v>329</v>
      </c>
      <c r="D31" s="613" t="s">
        <v>560</v>
      </c>
      <c r="E31" s="619" t="s">
        <v>567</v>
      </c>
    </row>
    <row r="32" spans="2:9" ht="22.8" x14ac:dyDescent="0.2">
      <c r="B32" s="611">
        <v>5</v>
      </c>
      <c r="C32" s="611">
        <v>330</v>
      </c>
      <c r="D32" s="613" t="s">
        <v>559</v>
      </c>
      <c r="E32" s="613" t="s">
        <v>563</v>
      </c>
    </row>
    <row r="33" spans="2:5" ht="34.200000000000003" x14ac:dyDescent="0.2">
      <c r="B33" s="611">
        <v>5</v>
      </c>
      <c r="C33" s="611">
        <v>331</v>
      </c>
      <c r="D33" s="613" t="s">
        <v>562</v>
      </c>
      <c r="E33" s="613" t="s">
        <v>564</v>
      </c>
    </row>
    <row r="34" spans="2:5" ht="57" x14ac:dyDescent="0.2">
      <c r="B34" s="611">
        <v>5</v>
      </c>
      <c r="C34" s="611">
        <v>332</v>
      </c>
      <c r="D34" s="613" t="s">
        <v>562</v>
      </c>
      <c r="E34" s="613" t="s">
        <v>565</v>
      </c>
    </row>
    <row r="35" spans="2:5" ht="68.400000000000006" x14ac:dyDescent="0.2">
      <c r="B35" s="611">
        <v>5</v>
      </c>
      <c r="C35" s="611">
        <v>333</v>
      </c>
      <c r="D35" s="613" t="s">
        <v>562</v>
      </c>
      <c r="E35" s="613" t="s">
        <v>566</v>
      </c>
    </row>
    <row r="36" spans="2:5" ht="11.4" x14ac:dyDescent="0.2">
      <c r="B36" s="611" t="s">
        <v>573</v>
      </c>
      <c r="C36" s="613"/>
      <c r="D36" s="613"/>
      <c r="E36" s="613"/>
    </row>
    <row r="37" spans="2:5" ht="11.4" x14ac:dyDescent="0.2">
      <c r="B37" s="613"/>
      <c r="C37" s="613"/>
      <c r="D37" s="613"/>
      <c r="E37" s="613"/>
    </row>
    <row r="38" spans="2:5" ht="11.4" x14ac:dyDescent="0.2">
      <c r="B38" s="613"/>
      <c r="C38" s="613"/>
      <c r="D38" s="613"/>
      <c r="E38" s="613"/>
    </row>
    <row r="39" spans="2:5" ht="11.4" x14ac:dyDescent="0.2">
      <c r="B39" s="613"/>
      <c r="C39" s="613"/>
      <c r="D39" s="613"/>
      <c r="E39" s="613"/>
    </row>
    <row r="40" spans="2:5" ht="11.4" x14ac:dyDescent="0.2">
      <c r="B40" s="613"/>
      <c r="C40" s="613"/>
      <c r="D40" s="613"/>
      <c r="E40" s="613"/>
    </row>
    <row r="41" spans="2:5" ht="11.4" x14ac:dyDescent="0.2">
      <c r="B41" s="613"/>
      <c r="C41" s="613"/>
      <c r="D41" s="613"/>
      <c r="E41" s="613"/>
    </row>
    <row r="42" spans="2:5" ht="11.4" x14ac:dyDescent="0.2">
      <c r="B42" s="613"/>
      <c r="C42" s="613"/>
      <c r="D42" s="613"/>
      <c r="E42" s="613"/>
    </row>
    <row r="43" spans="2:5" ht="11.4" x14ac:dyDescent="0.2">
      <c r="B43" s="613"/>
      <c r="C43" s="613"/>
      <c r="D43" s="613"/>
      <c r="E43" s="613"/>
    </row>
    <row r="44" spans="2:5" ht="11.4" x14ac:dyDescent="0.2">
      <c r="B44" s="613"/>
      <c r="C44" s="613"/>
      <c r="D44" s="613"/>
      <c r="E44" s="613"/>
    </row>
    <row r="45" spans="2:5" ht="11.4" x14ac:dyDescent="0.2">
      <c r="B45" s="614"/>
      <c r="C45" s="614"/>
      <c r="D45" s="614"/>
      <c r="E45" s="614"/>
    </row>
  </sheetData>
  <autoFilter ref="B15:E15" xr:uid="{0D169D10-C3E9-4BDB-A65F-9914E85F8730}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1715-F440-4E4A-B9F7-9416BCF9FF7A}">
  <sheetPr>
    <tabColor rgb="FF00B050"/>
  </sheetPr>
  <dimension ref="A1:J139"/>
  <sheetViews>
    <sheetView workbookViewId="0"/>
  </sheetViews>
  <sheetFormatPr defaultColWidth="9.125" defaultRowHeight="10.199999999999999" outlineLevelRow="1" x14ac:dyDescent="0.2"/>
  <cols>
    <col min="1" max="1" width="4" style="104" customWidth="1"/>
    <col min="2" max="2" width="56.125" style="104" customWidth="1"/>
    <col min="3" max="3" width="13.875" style="104" customWidth="1"/>
    <col min="4" max="4" width="35" style="104" customWidth="1"/>
    <col min="5" max="7" width="16.375" style="104" customWidth="1"/>
    <col min="8" max="8" width="9.125" style="104"/>
    <col min="9" max="9" width="12.875" style="104" bestFit="1" customWidth="1"/>
    <col min="10" max="16384" width="9.125" style="104"/>
  </cols>
  <sheetData>
    <row r="1" spans="1:10" ht="26.25" customHeight="1" x14ac:dyDescent="0.55000000000000004">
      <c r="A1" s="149" t="s">
        <v>457</v>
      </c>
      <c r="B1" s="117"/>
    </row>
    <row r="2" spans="1:10" x14ac:dyDescent="0.2">
      <c r="A2" s="143"/>
      <c r="G2" s="531" t="s">
        <v>86</v>
      </c>
    </row>
    <row r="3" spans="1:10" x14ac:dyDescent="0.2">
      <c r="A3" s="143"/>
      <c r="G3" s="532" t="str">
        <f>Legenda!D11</f>
        <v>NVI 5b</v>
      </c>
    </row>
    <row r="4" spans="1:10" x14ac:dyDescent="0.2">
      <c r="A4" s="143"/>
      <c r="G4" s="521"/>
    </row>
    <row r="5" spans="1:10" s="143" customFormat="1" x14ac:dyDescent="0.2">
      <c r="B5" s="143" t="s">
        <v>89</v>
      </c>
      <c r="C5" s="128"/>
      <c r="D5" s="148"/>
      <c r="E5" s="387">
        <f>FEO!G6</f>
        <v>47097</v>
      </c>
      <c r="F5" s="387">
        <f>FEO!H6</f>
        <v>47119</v>
      </c>
      <c r="G5" s="387">
        <f>FEO!I6</f>
        <v>47484</v>
      </c>
    </row>
    <row r="6" spans="1:10" s="143" customFormat="1" x14ac:dyDescent="0.2">
      <c r="B6" s="143" t="s">
        <v>163</v>
      </c>
      <c r="C6" s="128"/>
      <c r="D6" s="148"/>
      <c r="E6" s="387">
        <f>FEO!G7</f>
        <v>47118</v>
      </c>
      <c r="F6" s="387">
        <f>FEO!H7</f>
        <v>47483</v>
      </c>
      <c r="G6" s="387">
        <f>FEO!I7</f>
        <v>47848</v>
      </c>
    </row>
    <row r="7" spans="1:10" s="143" customFormat="1" x14ac:dyDescent="0.2">
      <c r="B7" s="143" t="s">
        <v>164</v>
      </c>
      <c r="C7" s="128"/>
      <c r="D7" s="148"/>
      <c r="E7" s="143">
        <f>E6-E5+1</f>
        <v>22</v>
      </c>
      <c r="F7" s="143">
        <f>F6-F5+1</f>
        <v>365</v>
      </c>
      <c r="G7" s="143">
        <f>G6-G5+1</f>
        <v>365</v>
      </c>
    </row>
    <row r="8" spans="1:10" s="143" customFormat="1" x14ac:dyDescent="0.2">
      <c r="C8" s="128"/>
      <c r="D8" s="148"/>
    </row>
    <row r="9" spans="1:10" s="143" customFormat="1" x14ac:dyDescent="0.2">
      <c r="B9" s="143" t="s">
        <v>165</v>
      </c>
      <c r="C9" s="148"/>
      <c r="D9" s="148"/>
      <c r="E9" s="147"/>
      <c r="F9" s="147"/>
      <c r="G9" s="147"/>
    </row>
    <row r="10" spans="1:10" s="143" customFormat="1" x14ac:dyDescent="0.2">
      <c r="B10" s="143" t="s">
        <v>166</v>
      </c>
      <c r="C10" s="148"/>
      <c r="D10" s="148"/>
      <c r="E10" s="147"/>
      <c r="F10" s="147"/>
      <c r="G10" s="147"/>
    </row>
    <row r="11" spans="1:10" s="145" customFormat="1" x14ac:dyDescent="0.2">
      <c r="C11" s="146"/>
      <c r="D11" s="146"/>
    </row>
    <row r="13" spans="1:10" ht="16.2" x14ac:dyDescent="0.3">
      <c r="A13" s="125" t="s">
        <v>167</v>
      </c>
      <c r="B13" s="125" t="s">
        <v>363</v>
      </c>
      <c r="E13" s="155"/>
    </row>
    <row r="14" spans="1:10" ht="10.8" thickBot="1" x14ac:dyDescent="0.25"/>
    <row r="15" spans="1:10" ht="10.8" thickBot="1" x14ac:dyDescent="0.25">
      <c r="E15" s="268">
        <v>2028</v>
      </c>
      <c r="F15" s="267">
        <v>2029</v>
      </c>
      <c r="G15" s="269">
        <v>2030</v>
      </c>
    </row>
    <row r="16" spans="1:10" x14ac:dyDescent="0.2">
      <c r="A16" s="122"/>
      <c r="B16" s="122"/>
      <c r="C16" s="122"/>
      <c r="D16" s="122"/>
      <c r="E16" s="122"/>
      <c r="F16" s="122"/>
      <c r="G16" s="122"/>
      <c r="H16" s="122"/>
      <c r="I16" s="122"/>
      <c r="J16" s="122"/>
    </row>
    <row r="17" spans="1:7" x14ac:dyDescent="0.2">
      <c r="A17" s="124" t="s">
        <v>168</v>
      </c>
      <c r="B17" s="124" t="s">
        <v>363</v>
      </c>
      <c r="C17" s="123"/>
      <c r="D17" s="123" t="s">
        <v>342</v>
      </c>
      <c r="E17" s="121"/>
      <c r="F17" s="121"/>
      <c r="G17" s="121"/>
    </row>
    <row r="18" spans="1:7" ht="10.5" customHeight="1" x14ac:dyDescent="0.2">
      <c r="B18" s="143"/>
    </row>
    <row r="19" spans="1:7" ht="10.5" customHeight="1" thickBot="1" x14ac:dyDescent="0.25">
      <c r="B19" s="143"/>
    </row>
    <row r="20" spans="1:7" ht="11.25" customHeight="1" x14ac:dyDescent="0.2">
      <c r="B20" s="127" t="s">
        <v>169</v>
      </c>
      <c r="E20" s="391"/>
      <c r="F20" s="403"/>
      <c r="G20" s="397"/>
    </row>
    <row r="21" spans="1:7" ht="10.5" customHeight="1" outlineLevel="1" x14ac:dyDescent="0.2">
      <c r="B21" s="117" t="s">
        <v>336</v>
      </c>
      <c r="D21" s="435"/>
      <c r="E21" s="392"/>
      <c r="F21" s="404"/>
      <c r="G21" s="398"/>
    </row>
    <row r="22" spans="1:7" ht="10.5" customHeight="1" outlineLevel="1" x14ac:dyDescent="0.2">
      <c r="B22" s="135" t="s">
        <v>454</v>
      </c>
      <c r="C22" s="130"/>
      <c r="D22" s="130"/>
      <c r="E22" s="392">
        <f>'L.01 DRK AL-HA'!E72</f>
        <v>598.40000000000009</v>
      </c>
      <c r="F22" s="404">
        <f>'L.01 DRK AL-HA'!F72</f>
        <v>9928.0000000000018</v>
      </c>
      <c r="G22" s="398">
        <f>'L.01 DRK AL-HA'!G72</f>
        <v>9928.0000000000018</v>
      </c>
    </row>
    <row r="23" spans="1:7" ht="10.5" customHeight="1" x14ac:dyDescent="0.2">
      <c r="B23" s="117" t="s">
        <v>337</v>
      </c>
      <c r="D23" s="111"/>
      <c r="E23" s="393">
        <f>SUM(E22:E22)</f>
        <v>598.40000000000009</v>
      </c>
      <c r="F23" s="405">
        <f>SUM(F22:F22)</f>
        <v>9928.0000000000018</v>
      </c>
      <c r="G23" s="399">
        <f>SUM(G22:G22)</f>
        <v>9928.0000000000018</v>
      </c>
    </row>
    <row r="24" spans="1:7" ht="10.5" customHeight="1" x14ac:dyDescent="0.2">
      <c r="B24" s="117"/>
      <c r="D24" s="130"/>
      <c r="E24" s="394"/>
      <c r="F24" s="406"/>
      <c r="G24" s="400"/>
    </row>
    <row r="25" spans="1:7" ht="10.5" customHeight="1" x14ac:dyDescent="0.2">
      <c r="B25" s="117" t="s">
        <v>453</v>
      </c>
      <c r="D25" s="435"/>
      <c r="E25" s="522">
        <f>SUM(E26:E28)</f>
        <v>3.0093422148562508</v>
      </c>
      <c r="F25" s="523">
        <f t="shared" ref="F25:G25" si="0">SUM(F26:F28)</f>
        <v>3.0062489990328616</v>
      </c>
      <c r="G25" s="524">
        <f t="shared" si="0"/>
        <v>3.0062489990328616</v>
      </c>
    </row>
    <row r="26" spans="1:7" ht="10.5" customHeight="1" x14ac:dyDescent="0.2">
      <c r="B26" s="104" t="s">
        <v>170</v>
      </c>
      <c r="D26" s="130"/>
      <c r="E26" s="395">
        <f>FEO!G96</f>
        <v>0</v>
      </c>
      <c r="F26" s="407">
        <f>FEO!H96</f>
        <v>0</v>
      </c>
      <c r="G26" s="401">
        <f>FEO!I96</f>
        <v>0</v>
      </c>
    </row>
    <row r="27" spans="1:7" ht="10.5" customHeight="1" x14ac:dyDescent="0.2">
      <c r="B27" s="104" t="s">
        <v>200</v>
      </c>
      <c r="D27" s="130"/>
      <c r="E27" s="395">
        <f>FEO!G97</f>
        <v>0</v>
      </c>
      <c r="F27" s="407">
        <f>FEO!H97</f>
        <v>0</v>
      </c>
      <c r="G27" s="401">
        <f>FEO!I97</f>
        <v>0</v>
      </c>
    </row>
    <row r="28" spans="1:7" ht="10.5" customHeight="1" thickBot="1" x14ac:dyDescent="0.25">
      <c r="B28" s="104" t="s">
        <v>172</v>
      </c>
      <c r="D28" s="130"/>
      <c r="E28" s="396">
        <f>FEO!G98</f>
        <v>3.0093422148562508</v>
      </c>
      <c r="F28" s="408">
        <f>FEO!H98</f>
        <v>3.0062489990328616</v>
      </c>
      <c r="G28" s="402">
        <f>FEO!I98</f>
        <v>3.0062489990328616</v>
      </c>
    </row>
    <row r="29" spans="1:7" x14ac:dyDescent="0.2">
      <c r="D29" s="130"/>
      <c r="E29" s="120"/>
      <c r="F29" s="120"/>
      <c r="G29" s="120"/>
    </row>
    <row r="30" spans="1:7" x14ac:dyDescent="0.2">
      <c r="B30" s="127" t="s">
        <v>333</v>
      </c>
      <c r="D30" s="436"/>
      <c r="E30" s="129"/>
      <c r="F30" s="129"/>
      <c r="G30" s="129"/>
    </row>
    <row r="31" spans="1:7" outlineLevel="1" x14ac:dyDescent="0.2">
      <c r="B31" s="104" t="s">
        <v>541</v>
      </c>
      <c r="C31" s="142" t="s">
        <v>173</v>
      </c>
      <c r="D31" s="164"/>
      <c r="E31" s="388">
        <v>1.02</v>
      </c>
      <c r="F31" s="388">
        <v>1.02</v>
      </c>
      <c r="G31" s="388">
        <v>1.02</v>
      </c>
    </row>
    <row r="32" spans="1:7" outlineLevel="1" x14ac:dyDescent="0.2">
      <c r="B32" s="104" t="s">
        <v>542</v>
      </c>
      <c r="C32" s="142"/>
      <c r="D32" s="164"/>
      <c r="E32" s="389">
        <v>1.02</v>
      </c>
      <c r="F32" s="389">
        <v>1.02</v>
      </c>
      <c r="G32" s="389">
        <v>1.02</v>
      </c>
    </row>
    <row r="33" spans="2:7" outlineLevel="1" x14ac:dyDescent="0.2">
      <c r="B33" s="104" t="s">
        <v>543</v>
      </c>
      <c r="C33" s="142"/>
      <c r="D33" s="164"/>
      <c r="E33" s="389">
        <v>1.02</v>
      </c>
      <c r="F33" s="389">
        <v>1.02</v>
      </c>
      <c r="G33" s="389">
        <v>1.02</v>
      </c>
    </row>
    <row r="34" spans="2:7" outlineLevel="1" x14ac:dyDescent="0.2">
      <c r="B34" s="104" t="s">
        <v>544</v>
      </c>
      <c r="C34" s="142"/>
      <c r="D34" s="164"/>
      <c r="E34" s="389">
        <v>1.02</v>
      </c>
      <c r="F34" s="389">
        <v>1.02</v>
      </c>
      <c r="G34" s="389">
        <v>1.02</v>
      </c>
    </row>
    <row r="35" spans="2:7" outlineLevel="1" x14ac:dyDescent="0.2">
      <c r="B35" s="104" t="s">
        <v>545</v>
      </c>
      <c r="C35" s="142"/>
      <c r="D35" s="164"/>
      <c r="E35" s="389"/>
      <c r="F35" s="389">
        <v>1.02</v>
      </c>
      <c r="G35" s="389">
        <v>1.02</v>
      </c>
    </row>
    <row r="36" spans="2:7" outlineLevel="1" x14ac:dyDescent="0.2">
      <c r="B36" s="104" t="s">
        <v>546</v>
      </c>
      <c r="C36" s="141" t="s">
        <v>174</v>
      </c>
      <c r="D36" s="164"/>
      <c r="E36" s="389"/>
      <c r="F36" s="389"/>
      <c r="G36" s="389">
        <v>1.02</v>
      </c>
    </row>
    <row r="37" spans="2:7" outlineLevel="1" x14ac:dyDescent="0.2">
      <c r="C37" s="128"/>
      <c r="D37" s="130"/>
      <c r="E37" s="390"/>
      <c r="F37" s="390"/>
      <c r="G37" s="390"/>
    </row>
    <row r="38" spans="2:7" x14ac:dyDescent="0.2">
      <c r="B38" s="104" t="s">
        <v>477</v>
      </c>
      <c r="C38" s="128"/>
      <c r="D38" s="111"/>
      <c r="E38" s="129"/>
      <c r="F38" s="129"/>
      <c r="G38" s="129"/>
    </row>
    <row r="39" spans="2:7" x14ac:dyDescent="0.2">
      <c r="B39" s="140"/>
      <c r="C39" s="139"/>
      <c r="D39" s="130"/>
      <c r="E39" s="129"/>
      <c r="F39" s="129"/>
      <c r="G39" s="129"/>
    </row>
    <row r="40" spans="2:7" ht="10.8" thickBot="1" x14ac:dyDescent="0.25">
      <c r="B40" s="117"/>
      <c r="C40" s="139"/>
      <c r="D40" s="130"/>
      <c r="E40" s="129"/>
      <c r="F40" s="129"/>
      <c r="G40" s="129"/>
    </row>
    <row r="41" spans="2:7" ht="10.5" customHeight="1" outlineLevel="1" x14ac:dyDescent="0.2">
      <c r="B41" s="117" t="s">
        <v>334</v>
      </c>
      <c r="C41" s="130"/>
      <c r="D41" s="164"/>
      <c r="E41" s="150">
        <f>SUM(E42:E44)</f>
        <v>3.0093422148562508</v>
      </c>
      <c r="F41" s="150">
        <f>SUM(F42:F44)</f>
        <v>3.0062489990328616</v>
      </c>
      <c r="G41" s="150">
        <f>SUM(G42:G44)</f>
        <v>3.0062489990328616</v>
      </c>
    </row>
    <row r="42" spans="2:7" outlineLevel="1" x14ac:dyDescent="0.2">
      <c r="B42" s="104" t="s">
        <v>170</v>
      </c>
      <c r="C42" s="130"/>
      <c r="D42" s="436"/>
      <c r="E42" s="151">
        <f t="shared" ref="E42:G43" si="1">E26*PRODUCT(E$31:E$37)</f>
        <v>0</v>
      </c>
      <c r="F42" s="151">
        <f t="shared" si="1"/>
        <v>0</v>
      </c>
      <c r="G42" s="151">
        <f t="shared" si="1"/>
        <v>0</v>
      </c>
    </row>
    <row r="43" spans="2:7" outlineLevel="1" x14ac:dyDescent="0.2">
      <c r="B43" s="104" t="s">
        <v>200</v>
      </c>
      <c r="C43" s="130"/>
      <c r="D43" s="215"/>
      <c r="E43" s="151">
        <f t="shared" si="1"/>
        <v>0</v>
      </c>
      <c r="F43" s="151">
        <f t="shared" si="1"/>
        <v>0</v>
      </c>
      <c r="G43" s="151">
        <f t="shared" si="1"/>
        <v>0</v>
      </c>
    </row>
    <row r="44" spans="2:7" ht="10.5" customHeight="1" outlineLevel="1" thickBot="1" x14ac:dyDescent="0.25">
      <c r="B44" s="104" t="s">
        <v>172</v>
      </c>
      <c r="C44" s="130"/>
      <c r="D44" s="215"/>
      <c r="E44" s="152">
        <f>E28</f>
        <v>3.0093422148562508</v>
      </c>
      <c r="F44" s="152">
        <f>F28</f>
        <v>3.0062489990328616</v>
      </c>
      <c r="G44" s="152">
        <f>G28</f>
        <v>3.0062489990328616</v>
      </c>
    </row>
    <row r="45" spans="2:7" x14ac:dyDescent="0.2">
      <c r="B45" s="163"/>
      <c r="C45" s="130"/>
      <c r="D45" s="130"/>
      <c r="E45" s="129"/>
      <c r="F45" s="129"/>
      <c r="G45" s="129"/>
    </row>
    <row r="46" spans="2:7" ht="10.8" thickBot="1" x14ac:dyDescent="0.25">
      <c r="B46" s="127" t="s">
        <v>339</v>
      </c>
      <c r="D46" s="436"/>
      <c r="E46" s="136"/>
      <c r="F46" s="136"/>
      <c r="G46" s="136"/>
    </row>
    <row r="47" spans="2:7" outlineLevel="1" x14ac:dyDescent="0.2">
      <c r="B47" s="135" t="s">
        <v>454</v>
      </c>
      <c r="C47" s="130"/>
      <c r="D47" s="130"/>
      <c r="E47" s="234">
        <f>E22</f>
        <v>598.40000000000009</v>
      </c>
      <c r="F47" s="235">
        <f>F22</f>
        <v>9928.0000000000018</v>
      </c>
      <c r="G47" s="235">
        <f>G22</f>
        <v>9928.0000000000018</v>
      </c>
    </row>
    <row r="48" spans="2:7" outlineLevel="1" x14ac:dyDescent="0.2">
      <c r="B48" s="138"/>
      <c r="C48" s="130"/>
      <c r="D48" s="130"/>
      <c r="E48" s="236"/>
      <c r="F48" s="229"/>
      <c r="G48" s="229"/>
    </row>
    <row r="49" spans="2:9" ht="10.8" thickBot="1" x14ac:dyDescent="0.25">
      <c r="B49" s="117" t="s">
        <v>175</v>
      </c>
      <c r="E49" s="233">
        <f>SUM(E47:E48)</f>
        <v>598.40000000000009</v>
      </c>
      <c r="F49" s="134">
        <f>SUM(F47:F48)</f>
        <v>9928.0000000000018</v>
      </c>
      <c r="G49" s="134">
        <f>SUM(G47:G48)</f>
        <v>9928.0000000000018</v>
      </c>
    </row>
    <row r="50" spans="2:9" x14ac:dyDescent="0.2">
      <c r="B50" s="137"/>
      <c r="E50" s="133"/>
      <c r="F50" s="133"/>
      <c r="G50" s="133"/>
    </row>
    <row r="51" spans="2:9" ht="10.8" thickBot="1" x14ac:dyDescent="0.25">
      <c r="B51" s="127" t="s">
        <v>338</v>
      </c>
      <c r="C51" s="130"/>
      <c r="D51" s="130"/>
      <c r="E51" s="136"/>
      <c r="F51" s="136"/>
      <c r="G51" s="136"/>
    </row>
    <row r="52" spans="2:9" outlineLevel="1" x14ac:dyDescent="0.2">
      <c r="B52" s="135" t="s">
        <v>454</v>
      </c>
      <c r="C52" s="130"/>
      <c r="D52" s="130"/>
      <c r="E52" s="231">
        <f>E47-E22</f>
        <v>0</v>
      </c>
      <c r="F52" s="144">
        <f>F47-F22</f>
        <v>0</v>
      </c>
      <c r="G52" s="144">
        <f>G47-G22</f>
        <v>0</v>
      </c>
    </row>
    <row r="53" spans="2:9" outlineLevel="1" x14ac:dyDescent="0.2">
      <c r="B53" s="135"/>
      <c r="C53" s="130"/>
      <c r="D53" s="130"/>
      <c r="E53" s="232"/>
      <c r="F53" s="228"/>
      <c r="G53" s="228"/>
    </row>
    <row r="54" spans="2:9" ht="10.8" thickBot="1" x14ac:dyDescent="0.25">
      <c r="B54" s="117" t="s">
        <v>340</v>
      </c>
      <c r="E54" s="233">
        <f>SUM(E52:E53)</f>
        <v>0</v>
      </c>
      <c r="F54" s="134">
        <f>SUM(F52:F53)</f>
        <v>0</v>
      </c>
      <c r="G54" s="134">
        <f>SUM(G52:G53)</f>
        <v>0</v>
      </c>
    </row>
    <row r="55" spans="2:9" x14ac:dyDescent="0.2">
      <c r="B55" s="117"/>
    </row>
    <row r="56" spans="2:9" x14ac:dyDescent="0.2">
      <c r="B56" s="131" t="s">
        <v>176</v>
      </c>
      <c r="C56" s="130"/>
      <c r="D56" s="130"/>
      <c r="E56" s="154">
        <f>SUM(E57:E58)</f>
        <v>1800.7903813699807</v>
      </c>
      <c r="F56" s="154">
        <f>SUM(F57:F58)</f>
        <v>29846.040062398257</v>
      </c>
      <c r="G56" s="154">
        <f>SUM(G57:G58)</f>
        <v>29846.040062398257</v>
      </c>
    </row>
    <row r="57" spans="2:9" x14ac:dyDescent="0.2">
      <c r="B57" s="104" t="s">
        <v>170</v>
      </c>
      <c r="D57" s="132"/>
      <c r="E57" s="154">
        <f>E49*E42</f>
        <v>0</v>
      </c>
      <c r="F57" s="154">
        <f>F49*F42</f>
        <v>0</v>
      </c>
      <c r="G57" s="154">
        <f>G49*G42</f>
        <v>0</v>
      </c>
      <c r="I57" s="162"/>
    </row>
    <row r="58" spans="2:9" x14ac:dyDescent="0.2">
      <c r="B58" s="104" t="s">
        <v>171</v>
      </c>
      <c r="C58" s="130"/>
      <c r="D58" s="130"/>
      <c r="E58" s="154">
        <f>SUM(E43:E44)*E23</f>
        <v>1800.7903813699807</v>
      </c>
      <c r="F58" s="154">
        <f>SUM(F43:F44)*F23</f>
        <v>29846.040062398257</v>
      </c>
      <c r="G58" s="154">
        <f>SUM(G43:G44)*G23</f>
        <v>29846.040062398257</v>
      </c>
    </row>
    <row r="59" spans="2:9" x14ac:dyDescent="0.2">
      <c r="C59" s="130"/>
      <c r="D59" s="130"/>
      <c r="E59" s="130"/>
      <c r="F59" s="130"/>
      <c r="G59" s="130"/>
    </row>
    <row r="60" spans="2:9" x14ac:dyDescent="0.2">
      <c r="B60" s="117" t="s">
        <v>461</v>
      </c>
      <c r="E60" s="154">
        <f>E54*E26</f>
        <v>0</v>
      </c>
      <c r="F60" s="154">
        <f>F54*F26</f>
        <v>0</v>
      </c>
      <c r="G60" s="154">
        <f>G54*G26</f>
        <v>0</v>
      </c>
      <c r="I60" s="126"/>
    </row>
    <row r="61" spans="2:9" x14ac:dyDescent="0.2">
      <c r="B61" s="117" t="s">
        <v>177</v>
      </c>
      <c r="E61" s="154">
        <f>(E42-E26)*E49+(E43-E27)*E23+(E44-E28)*E23</f>
        <v>0</v>
      </c>
      <c r="F61" s="154">
        <f>(F42-F26)*F49+(F43-F27)*F23+(F44-F28)*F23</f>
        <v>0</v>
      </c>
      <c r="G61" s="154">
        <f>(G42-G26)*G49+(G43-G27)*G23+(G44-G28)*G23</f>
        <v>0</v>
      </c>
    </row>
    <row r="62" spans="2:9" x14ac:dyDescent="0.2">
      <c r="B62" s="117" t="s">
        <v>85</v>
      </c>
    </row>
    <row r="63" spans="2:9" ht="10.8" thickBot="1" x14ac:dyDescent="0.25">
      <c r="B63" s="117"/>
      <c r="C63" s="117"/>
      <c r="D63" s="117"/>
      <c r="E63" s="117"/>
      <c r="F63" s="117"/>
      <c r="G63" s="117"/>
    </row>
    <row r="64" spans="2:9" ht="10.8" thickBot="1" x14ac:dyDescent="0.25">
      <c r="E64" s="268">
        <f>E$15</f>
        <v>2028</v>
      </c>
      <c r="F64" s="267">
        <f t="shared" ref="F64:G64" si="2">F$15</f>
        <v>2029</v>
      </c>
      <c r="G64" s="269">
        <f t="shared" si="2"/>
        <v>2030</v>
      </c>
    </row>
    <row r="65" spans="1:7" x14ac:dyDescent="0.2">
      <c r="A65" s="122"/>
      <c r="B65" s="122"/>
      <c r="C65" s="123"/>
      <c r="D65" s="123"/>
      <c r="E65" s="230"/>
      <c r="F65" s="121"/>
      <c r="G65" s="121"/>
    </row>
    <row r="66" spans="1:7" x14ac:dyDescent="0.2">
      <c r="A66" s="124" t="s">
        <v>178</v>
      </c>
      <c r="B66" s="124" t="s">
        <v>343</v>
      </c>
      <c r="C66" s="123"/>
      <c r="D66" s="123" t="s">
        <v>179</v>
      </c>
      <c r="E66" s="230"/>
      <c r="F66" s="121"/>
      <c r="G66" s="121"/>
    </row>
    <row r="67" spans="1:7" x14ac:dyDescent="0.2">
      <c r="A67" s="122"/>
      <c r="B67" s="104" t="s">
        <v>181</v>
      </c>
      <c r="E67" s="412"/>
      <c r="F67" s="413"/>
      <c r="G67" s="414"/>
    </row>
    <row r="68" spans="1:7" x14ac:dyDescent="0.2">
      <c r="B68" s="104" t="s">
        <v>458</v>
      </c>
      <c r="C68" s="117"/>
      <c r="D68" s="117"/>
      <c r="E68" s="409"/>
      <c r="F68" s="410"/>
      <c r="G68" s="411"/>
    </row>
    <row r="69" spans="1:7" x14ac:dyDescent="0.2">
      <c r="C69" s="117"/>
      <c r="D69" s="117"/>
      <c r="E69" s="409"/>
      <c r="F69" s="410"/>
      <c r="G69" s="411"/>
    </row>
    <row r="70" spans="1:7" x14ac:dyDescent="0.2">
      <c r="B70" s="104" t="s">
        <v>228</v>
      </c>
      <c r="C70" s="117"/>
      <c r="D70" s="435"/>
      <c r="E70" s="421">
        <f>D.01!C137</f>
        <v>0</v>
      </c>
      <c r="F70" s="422">
        <f>D.01!D137</f>
        <v>0</v>
      </c>
      <c r="G70" s="423">
        <f>D.01!E137</f>
        <v>0</v>
      </c>
    </row>
    <row r="71" spans="1:7" x14ac:dyDescent="0.2">
      <c r="B71" s="104" t="s">
        <v>256</v>
      </c>
      <c r="C71" s="117"/>
      <c r="D71" s="435"/>
      <c r="E71" s="421">
        <f>D.01!C138</f>
        <v>15.84</v>
      </c>
      <c r="F71" s="422">
        <f>D.01!D138</f>
        <v>262.8</v>
      </c>
      <c r="G71" s="423">
        <f>D.01!E138</f>
        <v>262.8</v>
      </c>
    </row>
    <row r="72" spans="1:7" x14ac:dyDescent="0.2">
      <c r="B72" s="104" t="s">
        <v>229</v>
      </c>
      <c r="C72" s="117"/>
      <c r="D72" s="435"/>
      <c r="E72" s="421">
        <f>D.01!C139</f>
        <v>0</v>
      </c>
      <c r="F72" s="422">
        <f>D.01!D139</f>
        <v>0</v>
      </c>
      <c r="G72" s="423">
        <f>D.01!E139</f>
        <v>0</v>
      </c>
    </row>
    <row r="73" spans="1:7" x14ac:dyDescent="0.2">
      <c r="B73" s="104" t="s">
        <v>279</v>
      </c>
      <c r="C73" s="117"/>
      <c r="D73" s="435"/>
      <c r="E73" s="421">
        <f>D.01!C140</f>
        <v>0</v>
      </c>
      <c r="F73" s="422">
        <f>D.01!D140</f>
        <v>0</v>
      </c>
      <c r="G73" s="423">
        <f>D.01!E140</f>
        <v>0</v>
      </c>
    </row>
    <row r="74" spans="1:7" x14ac:dyDescent="0.2">
      <c r="B74" s="104" t="s">
        <v>285</v>
      </c>
      <c r="C74" s="117"/>
      <c r="D74" s="435"/>
      <c r="E74" s="421">
        <f>D.01!C141</f>
        <v>340.12</v>
      </c>
      <c r="F74" s="422">
        <f>D.01!D141</f>
        <v>5642.9</v>
      </c>
      <c r="G74" s="423">
        <f>D.01!E141</f>
        <v>5642.9</v>
      </c>
    </row>
    <row r="75" spans="1:7" x14ac:dyDescent="0.2">
      <c r="C75" s="117"/>
      <c r="D75" s="117"/>
      <c r="E75" s="415"/>
      <c r="F75" s="416"/>
      <c r="G75" s="417"/>
    </row>
    <row r="76" spans="1:7" ht="10.8" thickBot="1" x14ac:dyDescent="0.25">
      <c r="B76" s="117" t="s">
        <v>344</v>
      </c>
      <c r="C76" s="117"/>
      <c r="D76" s="117"/>
      <c r="E76" s="418">
        <f>SUM(E67:E75)</f>
        <v>355.96</v>
      </c>
      <c r="F76" s="419">
        <f>SUM(F67:F75)</f>
        <v>5905.7</v>
      </c>
      <c r="G76" s="420">
        <f>SUM(G67:G75)</f>
        <v>5905.7</v>
      </c>
    </row>
    <row r="77" spans="1:7" ht="10.8" thickBot="1" x14ac:dyDescent="0.25">
      <c r="B77" s="115"/>
      <c r="C77" s="117"/>
      <c r="D77" s="117"/>
      <c r="E77" s="117"/>
      <c r="F77" s="117"/>
      <c r="G77" s="117"/>
    </row>
    <row r="78" spans="1:7" ht="10.8" thickBot="1" x14ac:dyDescent="0.25">
      <c r="E78" s="268">
        <f>E$15</f>
        <v>2028</v>
      </c>
      <c r="F78" s="267">
        <f t="shared" ref="F78:G78" si="3">F$15</f>
        <v>2029</v>
      </c>
      <c r="G78" s="269">
        <f t="shared" si="3"/>
        <v>2030</v>
      </c>
    </row>
    <row r="79" spans="1:7" x14ac:dyDescent="0.2">
      <c r="A79" s="122"/>
      <c r="B79" s="122"/>
      <c r="C79" s="123"/>
      <c r="D79" s="123"/>
      <c r="E79" s="230"/>
      <c r="F79" s="121"/>
      <c r="G79" s="121"/>
    </row>
    <row r="80" spans="1:7" x14ac:dyDescent="0.2">
      <c r="A80" s="124" t="s">
        <v>180</v>
      </c>
      <c r="B80" s="124" t="s">
        <v>538</v>
      </c>
      <c r="C80" s="123"/>
      <c r="D80" s="123" t="s">
        <v>341</v>
      </c>
      <c r="E80" s="230"/>
      <c r="F80" s="121"/>
      <c r="G80" s="121"/>
    </row>
    <row r="81" spans="1:7" x14ac:dyDescent="0.2">
      <c r="A81" s="122"/>
      <c r="B81" s="104" t="s">
        <v>181</v>
      </c>
      <c r="D81" s="435"/>
      <c r="E81" s="412"/>
      <c r="F81" s="413"/>
      <c r="G81" s="414"/>
    </row>
    <row r="82" spans="1:7" x14ac:dyDescent="0.2">
      <c r="B82" s="104" t="s">
        <v>458</v>
      </c>
      <c r="C82" s="117"/>
      <c r="D82" s="117"/>
      <c r="E82" s="409"/>
      <c r="F82" s="410"/>
      <c r="G82" s="411"/>
    </row>
    <row r="83" spans="1:7" x14ac:dyDescent="0.2">
      <c r="C83" s="117"/>
      <c r="D83" s="117"/>
      <c r="E83" s="409"/>
      <c r="F83" s="410"/>
      <c r="G83" s="411"/>
    </row>
    <row r="84" spans="1:7" x14ac:dyDescent="0.2">
      <c r="B84" s="104" t="s">
        <v>418</v>
      </c>
      <c r="C84" s="117"/>
      <c r="D84" s="117"/>
      <c r="E84" s="421"/>
      <c r="F84" s="422"/>
      <c r="G84" s="423"/>
    </row>
    <row r="85" spans="1:7" x14ac:dyDescent="0.2">
      <c r="B85" s="104" t="s">
        <v>419</v>
      </c>
      <c r="C85" s="117"/>
      <c r="D85" s="117"/>
      <c r="E85" s="421"/>
      <c r="F85" s="422"/>
      <c r="G85" s="423"/>
    </row>
    <row r="86" spans="1:7" x14ac:dyDescent="0.2">
      <c r="B86" s="104" t="s">
        <v>420</v>
      </c>
      <c r="C86" s="117"/>
      <c r="D86" s="117"/>
      <c r="E86" s="421"/>
      <c r="F86" s="422"/>
      <c r="G86" s="423"/>
    </row>
    <row r="87" spans="1:7" x14ac:dyDescent="0.2">
      <c r="B87" s="104" t="s">
        <v>421</v>
      </c>
      <c r="C87" s="117"/>
      <c r="D87" s="117"/>
      <c r="E87" s="421"/>
      <c r="F87" s="422"/>
      <c r="G87" s="423"/>
    </row>
    <row r="88" spans="1:7" x14ac:dyDescent="0.2">
      <c r="B88" s="104" t="s">
        <v>422</v>
      </c>
      <c r="C88" s="117"/>
      <c r="D88" s="117"/>
      <c r="E88" s="421"/>
      <c r="F88" s="422"/>
      <c r="G88" s="423"/>
    </row>
    <row r="89" spans="1:7" x14ac:dyDescent="0.2">
      <c r="B89" s="104" t="s">
        <v>423</v>
      </c>
      <c r="C89" s="117"/>
      <c r="D89" s="117"/>
      <c r="E89" s="421"/>
      <c r="F89" s="422"/>
      <c r="G89" s="423"/>
    </row>
    <row r="90" spans="1:7" x14ac:dyDescent="0.2">
      <c r="B90" s="104" t="s">
        <v>424</v>
      </c>
      <c r="C90" s="117"/>
      <c r="D90" s="117"/>
      <c r="E90" s="421"/>
      <c r="F90" s="422"/>
      <c r="G90" s="423"/>
    </row>
    <row r="91" spans="1:7" x14ac:dyDescent="0.2">
      <c r="B91" s="104" t="s">
        <v>239</v>
      </c>
      <c r="C91" s="117"/>
      <c r="D91" s="117"/>
      <c r="E91" s="421"/>
      <c r="F91" s="422"/>
      <c r="G91" s="423"/>
    </row>
    <row r="92" spans="1:7" x14ac:dyDescent="0.2">
      <c r="B92" s="104" t="s">
        <v>547</v>
      </c>
      <c r="C92" s="117"/>
      <c r="D92" s="117"/>
      <c r="E92" s="421"/>
      <c r="F92" s="422"/>
      <c r="G92" s="423"/>
    </row>
    <row r="93" spans="1:7" x14ac:dyDescent="0.2">
      <c r="B93" s="104" t="s">
        <v>238</v>
      </c>
      <c r="C93" s="117"/>
      <c r="D93" s="117"/>
      <c r="E93" s="421"/>
      <c r="F93" s="422"/>
      <c r="G93" s="423"/>
    </row>
    <row r="94" spans="1:7" x14ac:dyDescent="0.2">
      <c r="C94" s="117"/>
      <c r="D94" s="117"/>
      <c r="E94" s="415"/>
      <c r="F94" s="416"/>
      <c r="G94" s="417"/>
    </row>
    <row r="95" spans="1:7" ht="10.8" thickBot="1" x14ac:dyDescent="0.25">
      <c r="B95" s="117" t="s">
        <v>182</v>
      </c>
      <c r="C95" s="117"/>
      <c r="D95" s="117"/>
      <c r="E95" s="418">
        <f>SUM(E81:E94)</f>
        <v>0</v>
      </c>
      <c r="F95" s="419">
        <f>SUM(F81:F94)</f>
        <v>0</v>
      </c>
      <c r="G95" s="420">
        <f>SUM(G81:G94)</f>
        <v>0</v>
      </c>
    </row>
    <row r="96" spans="1:7" ht="10.8" thickBot="1" x14ac:dyDescent="0.25">
      <c r="B96" s="117"/>
      <c r="C96" s="117"/>
      <c r="D96" s="117"/>
      <c r="E96" s="117"/>
      <c r="F96" s="117"/>
      <c r="G96" s="117"/>
    </row>
    <row r="97" spans="1:7" ht="10.8" thickBot="1" x14ac:dyDescent="0.25">
      <c r="E97" s="268">
        <f>E$15</f>
        <v>2028</v>
      </c>
      <c r="F97" s="267">
        <f t="shared" ref="F97:G97" si="4">F$15</f>
        <v>2029</v>
      </c>
      <c r="G97" s="269">
        <f t="shared" si="4"/>
        <v>2030</v>
      </c>
    </row>
    <row r="98" spans="1:7" x14ac:dyDescent="0.2">
      <c r="A98" s="122"/>
      <c r="B98" s="122"/>
      <c r="C98" s="123"/>
      <c r="D98" s="123"/>
      <c r="E98" s="230"/>
      <c r="F98" s="121"/>
      <c r="G98" s="121"/>
    </row>
    <row r="99" spans="1:7" x14ac:dyDescent="0.2">
      <c r="A99" s="124" t="s">
        <v>183</v>
      </c>
      <c r="B99" s="124" t="s">
        <v>561</v>
      </c>
      <c r="C99" s="123"/>
      <c r="D99" s="123" t="s">
        <v>508</v>
      </c>
      <c r="E99" s="230"/>
      <c r="F99" s="121"/>
      <c r="G99" s="121"/>
    </row>
    <row r="100" spans="1:7" x14ac:dyDescent="0.2">
      <c r="A100" s="122"/>
      <c r="B100" s="104" t="s">
        <v>181</v>
      </c>
      <c r="D100" s="435"/>
      <c r="E100" s="412"/>
      <c r="F100" s="413"/>
      <c r="G100" s="414"/>
    </row>
    <row r="101" spans="1:7" x14ac:dyDescent="0.2">
      <c r="B101" s="104" t="s">
        <v>458</v>
      </c>
      <c r="C101" s="117"/>
      <c r="D101" s="117"/>
      <c r="E101" s="409"/>
      <c r="F101" s="410"/>
      <c r="G101" s="411"/>
    </row>
    <row r="102" spans="1:7" x14ac:dyDescent="0.2">
      <c r="C102" s="117"/>
      <c r="D102" s="117"/>
      <c r="E102" s="409"/>
      <c r="F102" s="410"/>
      <c r="G102" s="411"/>
    </row>
    <row r="103" spans="1:7" x14ac:dyDescent="0.2">
      <c r="C103" s="117"/>
      <c r="D103" s="117"/>
      <c r="E103" s="421"/>
      <c r="F103" s="422"/>
      <c r="G103" s="423"/>
    </row>
    <row r="104" spans="1:7" x14ac:dyDescent="0.2">
      <c r="C104" s="117"/>
      <c r="D104" s="117"/>
      <c r="E104" s="421"/>
      <c r="F104" s="422"/>
      <c r="G104" s="423"/>
    </row>
    <row r="105" spans="1:7" x14ac:dyDescent="0.2">
      <c r="C105" s="117"/>
      <c r="D105" s="117"/>
      <c r="E105" s="421"/>
      <c r="F105" s="422"/>
      <c r="G105" s="423"/>
    </row>
    <row r="106" spans="1:7" x14ac:dyDescent="0.2">
      <c r="C106" s="117"/>
      <c r="D106" s="117"/>
      <c r="E106" s="415"/>
      <c r="F106" s="416"/>
      <c r="G106" s="417"/>
    </row>
    <row r="107" spans="1:7" ht="10.8" thickBot="1" x14ac:dyDescent="0.25">
      <c r="B107" s="117" t="s">
        <v>182</v>
      </c>
      <c r="C107" s="117"/>
      <c r="D107" s="117"/>
      <c r="E107" s="418">
        <f>SUM(E100:E106)</f>
        <v>0</v>
      </c>
      <c r="F107" s="419">
        <f>SUM(F100:F106)</f>
        <v>0</v>
      </c>
      <c r="G107" s="420">
        <f>SUM(G100:G106)</f>
        <v>0</v>
      </c>
    </row>
    <row r="108" spans="1:7" x14ac:dyDescent="0.2">
      <c r="B108" s="117"/>
      <c r="C108" s="117"/>
      <c r="D108" s="117"/>
      <c r="E108" s="117"/>
      <c r="F108" s="117"/>
      <c r="G108" s="117"/>
    </row>
    <row r="109" spans="1:7" ht="16.8" thickBot="1" x14ac:dyDescent="0.35">
      <c r="A109" s="125">
        <v>2</v>
      </c>
      <c r="B109" s="125" t="s">
        <v>455</v>
      </c>
      <c r="C109" s="117"/>
      <c r="D109" s="117"/>
      <c r="E109" s="153"/>
      <c r="F109" s="153"/>
      <c r="G109" s="153"/>
    </row>
    <row r="110" spans="1:7" ht="10.8" thickBot="1" x14ac:dyDescent="0.25">
      <c r="E110" s="268">
        <f>E$15</f>
        <v>2028</v>
      </c>
      <c r="F110" s="267">
        <f t="shared" ref="F110:G110" si="5">F$15</f>
        <v>2029</v>
      </c>
      <c r="G110" s="269">
        <f t="shared" si="5"/>
        <v>2030</v>
      </c>
    </row>
    <row r="111" spans="1:7" x14ac:dyDescent="0.2">
      <c r="A111" s="124"/>
      <c r="B111" s="124"/>
      <c r="C111" s="123"/>
      <c r="D111" s="123" t="s">
        <v>341</v>
      </c>
      <c r="E111" s="230"/>
      <c r="F111" s="121"/>
      <c r="G111" s="121"/>
    </row>
    <row r="112" spans="1:7" x14ac:dyDescent="0.2">
      <c r="A112" s="104" t="str">
        <f>A17</f>
        <v>a</v>
      </c>
      <c r="B112" s="104" t="str">
        <f>B17</f>
        <v>Exploitatiebijdrage</v>
      </c>
      <c r="E112" s="409">
        <f>E56</f>
        <v>1800.7903813699807</v>
      </c>
      <c r="F112" s="410">
        <f>F56</f>
        <v>29846.040062398257</v>
      </c>
      <c r="G112" s="411">
        <f>G56</f>
        <v>29846.040062398257</v>
      </c>
    </row>
    <row r="113" spans="1:7" x14ac:dyDescent="0.2">
      <c r="A113" s="104" t="str">
        <f>A66</f>
        <v>b</v>
      </c>
      <c r="B113" s="104" t="str">
        <f>B66</f>
        <v>Bijdrage Gebruiksvergoeding spoor</v>
      </c>
      <c r="E113" s="409">
        <f>E76</f>
        <v>355.96</v>
      </c>
      <c r="F113" s="410">
        <f>F76</f>
        <v>5905.7</v>
      </c>
      <c r="G113" s="411">
        <f>G76</f>
        <v>5905.7</v>
      </c>
    </row>
    <row r="114" spans="1:7" x14ac:dyDescent="0.2">
      <c r="A114" s="104" t="str">
        <f>A80</f>
        <v>c</v>
      </c>
      <c r="B114" s="104" t="str">
        <f>B80</f>
        <v>Reizigersopbrengsten incl. SOV concessiedeel Al-Ha (Trein)</v>
      </c>
      <c r="E114" s="409">
        <f>E95</f>
        <v>0</v>
      </c>
      <c r="F114" s="410">
        <f>F95</f>
        <v>0</v>
      </c>
      <c r="G114" s="411">
        <f>G95</f>
        <v>0</v>
      </c>
    </row>
    <row r="115" spans="1:7" x14ac:dyDescent="0.2">
      <c r="A115" s="104" t="str">
        <f>A99</f>
        <v>d</v>
      </c>
      <c r="B115" s="104" t="str">
        <f>B99</f>
        <v xml:space="preserve">Bonus-/malus-/boeteregeling </v>
      </c>
      <c r="E115" s="409">
        <f>E107</f>
        <v>0</v>
      </c>
      <c r="F115" s="410">
        <f t="shared" ref="F115:G115" si="6">F107</f>
        <v>0</v>
      </c>
      <c r="G115" s="411">
        <f t="shared" si="6"/>
        <v>0</v>
      </c>
    </row>
    <row r="116" spans="1:7" x14ac:dyDescent="0.2">
      <c r="E116" s="525"/>
      <c r="F116" s="526"/>
      <c r="G116" s="527"/>
    </row>
    <row r="117" spans="1:7" ht="10.8" thickBot="1" x14ac:dyDescent="0.25">
      <c r="B117" s="104" t="s">
        <v>456</v>
      </c>
      <c r="E117" s="528">
        <f>SUM(E112:E116)</f>
        <v>2156.7503813699805</v>
      </c>
      <c r="F117" s="529">
        <f>SUM(F112:F116)</f>
        <v>35751.740062398254</v>
      </c>
      <c r="G117" s="530">
        <f>SUM(G112:G116)</f>
        <v>35751.740062398254</v>
      </c>
    </row>
    <row r="119" spans="1:7" ht="16.2" x14ac:dyDescent="0.3">
      <c r="A119" s="125" t="s">
        <v>184</v>
      </c>
      <c r="B119" s="125" t="s">
        <v>434</v>
      </c>
    </row>
    <row r="120" spans="1:7" ht="16.8" thickBot="1" x14ac:dyDescent="0.35">
      <c r="A120" s="125"/>
      <c r="B120" s="125"/>
    </row>
    <row r="121" spans="1:7" ht="11.25" customHeight="1" thickBot="1" x14ac:dyDescent="0.35">
      <c r="A121" s="125"/>
      <c r="B121" s="125"/>
      <c r="E121" s="268">
        <f>E$15</f>
        <v>2028</v>
      </c>
      <c r="F121" s="267">
        <f t="shared" ref="F121:G121" si="7">F$15</f>
        <v>2029</v>
      </c>
      <c r="G121" s="269">
        <f t="shared" si="7"/>
        <v>2030</v>
      </c>
    </row>
    <row r="122" spans="1:7" x14ac:dyDescent="0.2">
      <c r="A122" s="123"/>
      <c r="B122" s="123"/>
      <c r="C122" s="123"/>
      <c r="D122" s="123"/>
      <c r="E122" s="121"/>
      <c r="F122" s="121"/>
      <c r="G122" s="121"/>
    </row>
    <row r="123" spans="1:7" x14ac:dyDescent="0.2">
      <c r="E123" s="119"/>
      <c r="F123" s="119"/>
      <c r="G123" s="119"/>
    </row>
    <row r="124" spans="1:7" x14ac:dyDescent="0.2">
      <c r="A124" s="117" t="s">
        <v>91</v>
      </c>
      <c r="B124" s="117" t="s">
        <v>185</v>
      </c>
      <c r="E124" s="119"/>
      <c r="F124" s="119"/>
      <c r="G124" s="119"/>
    </row>
    <row r="125" spans="1:7" x14ac:dyDescent="0.2">
      <c r="A125" s="117" t="s">
        <v>98</v>
      </c>
      <c r="B125" s="117" t="s">
        <v>186</v>
      </c>
      <c r="E125" s="119"/>
      <c r="F125" s="119"/>
      <c r="G125" s="119"/>
    </row>
    <row r="126" spans="1:7" x14ac:dyDescent="0.2">
      <c r="A126" s="104" t="s">
        <v>100</v>
      </c>
      <c r="B126" s="104" t="s">
        <v>187</v>
      </c>
      <c r="E126" s="119"/>
      <c r="F126" s="119"/>
      <c r="G126" s="119"/>
    </row>
    <row r="127" spans="1:7" x14ac:dyDescent="0.2">
      <c r="A127" s="104" t="s">
        <v>103</v>
      </c>
      <c r="B127" s="104" t="s">
        <v>188</v>
      </c>
      <c r="D127" s="117"/>
      <c r="E127" s="119"/>
      <c r="F127" s="119"/>
      <c r="G127" s="119"/>
    </row>
    <row r="128" spans="1:7" s="117" customFormat="1" x14ac:dyDescent="0.2">
      <c r="A128" s="117" t="s">
        <v>106</v>
      </c>
      <c r="B128" s="117" t="str">
        <f>"Betaald in termijnen tot deze periode ("&amp;A126&amp;" t/m "&amp;A127&amp;")"</f>
        <v>Betaald in termijnen tot deze periode (C t/m D)</v>
      </c>
      <c r="E128" s="118"/>
      <c r="F128" s="118"/>
      <c r="G128" s="118"/>
    </row>
    <row r="129" spans="1:7" s="117" customFormat="1" x14ac:dyDescent="0.2">
      <c r="A129" s="117" t="s">
        <v>189</v>
      </c>
      <c r="B129" s="117" t="str">
        <f>"Nog te betalen in termijnen ("&amp;A125&amp;" -/- "&amp;A128&amp;")"</f>
        <v>Nog te betalen in termijnen (B -/- E)</v>
      </c>
      <c r="E129" s="118"/>
      <c r="F129" s="118"/>
      <c r="G129" s="118"/>
    </row>
    <row r="130" spans="1:7" s="117" customFormat="1" x14ac:dyDescent="0.2">
      <c r="A130" s="104" t="s">
        <v>115</v>
      </c>
      <c r="B130" s="104" t="s">
        <v>190</v>
      </c>
      <c r="E130" s="118"/>
      <c r="F130" s="118"/>
      <c r="G130" s="118"/>
    </row>
    <row r="131" spans="1:7" s="117" customFormat="1" x14ac:dyDescent="0.2">
      <c r="A131" s="104" t="s">
        <v>117</v>
      </c>
      <c r="B131" s="104" t="s">
        <v>191</v>
      </c>
      <c r="E131" s="118"/>
      <c r="F131" s="118"/>
      <c r="G131" s="118"/>
    </row>
    <row r="132" spans="1:7" s="117" customFormat="1" x14ac:dyDescent="0.2">
      <c r="A132" s="104" t="s">
        <v>119</v>
      </c>
      <c r="B132" s="104" t="s">
        <v>192</v>
      </c>
      <c r="E132" s="118"/>
      <c r="F132" s="118"/>
      <c r="G132" s="118"/>
    </row>
    <row r="133" spans="1:7" s="117" customFormat="1" x14ac:dyDescent="0.2">
      <c r="A133" s="117" t="s">
        <v>193</v>
      </c>
      <c r="B133" s="117" t="str">
        <f>"Subtotaal betaald in termijnen na deze periode ("&amp;A130&amp;" X "&amp;A132&amp;" + "&amp;A128&amp;")"</f>
        <v>Subtotaal betaald in termijnen na deze periode (G X I + E)</v>
      </c>
      <c r="E133" s="118"/>
      <c r="F133" s="118"/>
      <c r="G133" s="118"/>
    </row>
    <row r="134" spans="1:7" s="117" customFormat="1" x14ac:dyDescent="0.2">
      <c r="A134" s="117" t="s">
        <v>120</v>
      </c>
      <c r="B134" s="117" t="str">
        <f>"Nog te betalen overige ("&amp;A124&amp;" -/- "&amp;A133&amp;")"</f>
        <v>Nog te betalen overige (A -/- J)</v>
      </c>
      <c r="E134" s="118"/>
      <c r="F134" s="118"/>
      <c r="G134" s="118"/>
    </row>
    <row r="135" spans="1:7" x14ac:dyDescent="0.2">
      <c r="A135" s="104" t="s">
        <v>124</v>
      </c>
      <c r="B135" s="104" t="s">
        <v>146</v>
      </c>
      <c r="E135" s="119"/>
      <c r="F135" s="119"/>
      <c r="G135" s="119"/>
    </row>
    <row r="136" spans="1:7" x14ac:dyDescent="0.2">
      <c r="A136" s="104" t="s">
        <v>194</v>
      </c>
      <c r="B136" s="104" t="s">
        <v>146</v>
      </c>
      <c r="E136" s="119"/>
      <c r="F136" s="119"/>
      <c r="G136" s="119"/>
    </row>
    <row r="137" spans="1:7" x14ac:dyDescent="0.2">
      <c r="A137" s="117" t="s">
        <v>195</v>
      </c>
      <c r="B137" s="117" t="str">
        <f>"Subtotaal overige betalingen ("&amp;A135&amp;" t/m "&amp;A136&amp;")"</f>
        <v>Subtotaal overige betalingen (L t/m M)</v>
      </c>
      <c r="E137" s="119"/>
      <c r="F137" s="119"/>
      <c r="G137" s="119"/>
    </row>
    <row r="138" spans="1:7" x14ac:dyDescent="0.2">
      <c r="A138" s="117" t="s">
        <v>196</v>
      </c>
      <c r="B138" s="117" t="str">
        <f>"Totaal betaald ("&amp;A133&amp;" + "&amp;A137&amp;")"</f>
        <v>Totaal betaald (J + N)</v>
      </c>
      <c r="C138" s="117"/>
      <c r="D138" s="117"/>
      <c r="E138" s="118"/>
      <c r="F138" s="118"/>
      <c r="G138" s="118"/>
    </row>
    <row r="139" spans="1:7" x14ac:dyDescent="0.2">
      <c r="B139" s="117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3F4D1-4F82-449F-95D8-67BDE4B7CF8D}">
  <sheetPr>
    <tabColor rgb="FF00B050"/>
  </sheetPr>
  <dimension ref="A1:J161"/>
  <sheetViews>
    <sheetView workbookViewId="0"/>
  </sheetViews>
  <sheetFormatPr defaultColWidth="9.125" defaultRowHeight="10.199999999999999" outlineLevelRow="1" x14ac:dyDescent="0.2"/>
  <cols>
    <col min="1" max="1" width="4" style="104" customWidth="1"/>
    <col min="2" max="2" width="56.125" style="104" customWidth="1"/>
    <col min="3" max="3" width="13.875" style="104" customWidth="1"/>
    <col min="4" max="4" width="35" style="104" customWidth="1"/>
    <col min="5" max="7" width="16.375" style="104" customWidth="1"/>
    <col min="8" max="8" width="9.125" style="104"/>
    <col min="9" max="9" width="12.875" style="104" bestFit="1" customWidth="1"/>
    <col min="10" max="16384" width="9.125" style="104"/>
  </cols>
  <sheetData>
    <row r="1" spans="1:10" ht="26.25" customHeight="1" x14ac:dyDescent="0.55000000000000004">
      <c r="A1" s="149" t="s">
        <v>459</v>
      </c>
      <c r="B1" s="117"/>
    </row>
    <row r="2" spans="1:10" x14ac:dyDescent="0.2">
      <c r="A2" s="143"/>
      <c r="G2" s="531" t="s">
        <v>86</v>
      </c>
    </row>
    <row r="3" spans="1:10" x14ac:dyDescent="0.2">
      <c r="A3" s="143"/>
      <c r="G3" s="532" t="str">
        <f>Legenda!D11</f>
        <v>NVI 5b</v>
      </c>
    </row>
    <row r="4" spans="1:10" x14ac:dyDescent="0.2">
      <c r="A4" s="143"/>
      <c r="G4" s="521"/>
    </row>
    <row r="5" spans="1:10" s="143" customFormat="1" x14ac:dyDescent="0.2">
      <c r="B5" s="143" t="s">
        <v>89</v>
      </c>
      <c r="C5" s="128"/>
      <c r="D5" s="148"/>
      <c r="E5" s="387">
        <f>FEO!G6</f>
        <v>47097</v>
      </c>
      <c r="F5" s="387">
        <f>FEO!H6</f>
        <v>47119</v>
      </c>
      <c r="G5" s="387">
        <f>FEO!I6</f>
        <v>47484</v>
      </c>
    </row>
    <row r="6" spans="1:10" s="143" customFormat="1" x14ac:dyDescent="0.2">
      <c r="B6" s="143" t="s">
        <v>163</v>
      </c>
      <c r="C6" s="128"/>
      <c r="D6" s="148"/>
      <c r="E6" s="387">
        <f>FEO!G7</f>
        <v>47118</v>
      </c>
      <c r="F6" s="387">
        <f>FEO!H7</f>
        <v>47483</v>
      </c>
      <c r="G6" s="387">
        <f>FEO!I7</f>
        <v>47848</v>
      </c>
    </row>
    <row r="7" spans="1:10" s="143" customFormat="1" x14ac:dyDescent="0.2">
      <c r="B7" s="143" t="s">
        <v>164</v>
      </c>
      <c r="C7" s="128"/>
      <c r="D7" s="148"/>
      <c r="E7" s="143">
        <f>E6-E5+1</f>
        <v>22</v>
      </c>
      <c r="F7" s="143">
        <f>F6-F5+1</f>
        <v>365</v>
      </c>
      <c r="G7" s="143">
        <f>G6-G5+1</f>
        <v>365</v>
      </c>
    </row>
    <row r="8" spans="1:10" s="143" customFormat="1" x14ac:dyDescent="0.2">
      <c r="C8" s="128"/>
      <c r="D8" s="148"/>
    </row>
    <row r="9" spans="1:10" s="143" customFormat="1" x14ac:dyDescent="0.2">
      <c r="B9" s="143" t="s">
        <v>165</v>
      </c>
      <c r="C9" s="148"/>
      <c r="D9" s="148"/>
      <c r="E9" s="147"/>
      <c r="F9" s="147"/>
      <c r="G9" s="147"/>
    </row>
    <row r="10" spans="1:10" s="143" customFormat="1" x14ac:dyDescent="0.2">
      <c r="B10" s="143" t="s">
        <v>166</v>
      </c>
      <c r="C10" s="148"/>
      <c r="D10" s="148"/>
      <c r="E10" s="147"/>
      <c r="F10" s="147"/>
      <c r="G10" s="147"/>
    </row>
    <row r="11" spans="1:10" s="145" customFormat="1" x14ac:dyDescent="0.2">
      <c r="C11" s="146"/>
      <c r="D11" s="146"/>
    </row>
    <row r="13" spans="1:10" ht="16.2" x14ac:dyDescent="0.3">
      <c r="A13" s="125" t="s">
        <v>167</v>
      </c>
      <c r="B13" s="125" t="s">
        <v>363</v>
      </c>
      <c r="E13" s="155"/>
    </row>
    <row r="14" spans="1:10" ht="10.8" thickBot="1" x14ac:dyDescent="0.25"/>
    <row r="15" spans="1:10" ht="10.8" thickBot="1" x14ac:dyDescent="0.25">
      <c r="E15" s="268">
        <v>2028</v>
      </c>
      <c r="F15" s="267">
        <v>2029</v>
      </c>
      <c r="G15" s="269">
        <v>2030</v>
      </c>
    </row>
    <row r="16" spans="1:10" x14ac:dyDescent="0.2">
      <c r="A16" s="122"/>
      <c r="B16" s="122"/>
      <c r="C16" s="122"/>
      <c r="D16" s="122"/>
      <c r="E16" s="122"/>
      <c r="F16" s="122"/>
      <c r="G16" s="122"/>
      <c r="H16" s="122"/>
      <c r="I16" s="122"/>
      <c r="J16" s="122"/>
    </row>
    <row r="17" spans="1:7" x14ac:dyDescent="0.2">
      <c r="A17" s="124" t="s">
        <v>168</v>
      </c>
      <c r="B17" s="124" t="s">
        <v>363</v>
      </c>
      <c r="C17" s="123"/>
      <c r="D17" s="123" t="s">
        <v>342</v>
      </c>
      <c r="E17" s="121"/>
      <c r="F17" s="121"/>
      <c r="G17" s="121"/>
    </row>
    <row r="18" spans="1:7" ht="10.5" customHeight="1" x14ac:dyDescent="0.2">
      <c r="B18" s="143"/>
    </row>
    <row r="19" spans="1:7" ht="10.5" customHeight="1" thickBot="1" x14ac:dyDescent="0.25">
      <c r="B19" s="143"/>
    </row>
    <row r="20" spans="1:7" ht="11.25" customHeight="1" x14ac:dyDescent="0.2">
      <c r="B20" s="127" t="s">
        <v>169</v>
      </c>
      <c r="E20" s="391"/>
      <c r="F20" s="403"/>
      <c r="G20" s="397"/>
    </row>
    <row r="21" spans="1:7" ht="10.5" customHeight="1" outlineLevel="1" x14ac:dyDescent="0.2">
      <c r="B21" s="117" t="s">
        <v>336</v>
      </c>
      <c r="D21" s="435"/>
      <c r="E21" s="392"/>
      <c r="F21" s="404"/>
      <c r="G21" s="398"/>
    </row>
    <row r="22" spans="1:7" ht="10.5" customHeight="1" outlineLevel="1" x14ac:dyDescent="0.2">
      <c r="B22" s="104" t="s">
        <v>465</v>
      </c>
      <c r="D22" s="435"/>
      <c r="E22" s="392">
        <f>'L.02 DRK ZW-EM'!E157</f>
        <v>17643.600000000002</v>
      </c>
      <c r="F22" s="404">
        <f>'L.02 DRK ZW-EM'!F157</f>
        <v>346086</v>
      </c>
      <c r="G22" s="398">
        <f>'L.02 DRK ZW-EM'!G157</f>
        <v>346086</v>
      </c>
    </row>
    <row r="23" spans="1:7" ht="10.5" customHeight="1" outlineLevel="1" x14ac:dyDescent="0.2">
      <c r="B23" s="104" t="s">
        <v>466</v>
      </c>
      <c r="D23" s="435"/>
      <c r="E23" s="392">
        <f>'L.02 DRK ZW-EM'!E158</f>
        <v>0</v>
      </c>
      <c r="F23" s="404">
        <f>'L.02 DRK ZW-EM'!F158</f>
        <v>0</v>
      </c>
      <c r="G23" s="398">
        <f>'L.02 DRK ZW-EM'!G158</f>
        <v>0</v>
      </c>
    </row>
    <row r="24" spans="1:7" ht="10.5" customHeight="1" outlineLevel="1" x14ac:dyDescent="0.2">
      <c r="B24" s="104" t="s">
        <v>467</v>
      </c>
      <c r="C24" s="130"/>
      <c r="D24" s="130"/>
      <c r="E24" s="392">
        <f>'L.02 DRK ZW-EM'!E159</f>
        <v>0</v>
      </c>
      <c r="F24" s="404">
        <f>'L.02 DRK ZW-EM'!F159</f>
        <v>0</v>
      </c>
      <c r="G24" s="398">
        <f>'L.02 DRK ZW-EM'!G159</f>
        <v>0</v>
      </c>
    </row>
    <row r="25" spans="1:7" ht="10.5" customHeight="1" x14ac:dyDescent="0.2">
      <c r="B25" s="117" t="s">
        <v>337</v>
      </c>
      <c r="D25" s="111"/>
      <c r="E25" s="393">
        <f>SUM(E22:E24)</f>
        <v>17643.600000000002</v>
      </c>
      <c r="F25" s="405">
        <f t="shared" ref="F25:G25" si="0">SUM(F22:F24)</f>
        <v>346086</v>
      </c>
      <c r="G25" s="399">
        <f t="shared" si="0"/>
        <v>346086</v>
      </c>
    </row>
    <row r="26" spans="1:7" ht="10.5" customHeight="1" x14ac:dyDescent="0.2">
      <c r="B26" s="117"/>
      <c r="D26" s="130"/>
      <c r="E26" s="394"/>
      <c r="F26" s="406"/>
      <c r="G26" s="400"/>
    </row>
    <row r="27" spans="1:7" ht="10.5" customHeight="1" x14ac:dyDescent="0.2">
      <c r="B27" s="117" t="s">
        <v>453</v>
      </c>
      <c r="D27" s="435"/>
      <c r="E27" s="522">
        <f>SUM(E28:E30)</f>
        <v>7.0877127689204134</v>
      </c>
      <c r="F27" s="523">
        <f t="shared" ref="F27:G27" si="1">SUM(F28:F30)</f>
        <v>5.9949545247524689</v>
      </c>
      <c r="G27" s="524">
        <f t="shared" si="1"/>
        <v>5.9949545247524689</v>
      </c>
    </row>
    <row r="28" spans="1:7" ht="10.5" customHeight="1" x14ac:dyDescent="0.2">
      <c r="B28" s="104" t="s">
        <v>170</v>
      </c>
      <c r="D28" s="130"/>
      <c r="E28" s="395">
        <f>FEO!G106</f>
        <v>0</v>
      </c>
      <c r="F28" s="407">
        <f>FEO!H106</f>
        <v>0</v>
      </c>
      <c r="G28" s="401">
        <f>FEO!I106</f>
        <v>0</v>
      </c>
    </row>
    <row r="29" spans="1:7" ht="10.5" customHeight="1" x14ac:dyDescent="0.2">
      <c r="B29" s="104" t="s">
        <v>200</v>
      </c>
      <c r="D29" s="130"/>
      <c r="E29" s="395">
        <f>FEO!G107</f>
        <v>0</v>
      </c>
      <c r="F29" s="407">
        <f>FEO!H107</f>
        <v>0</v>
      </c>
      <c r="G29" s="401">
        <f>FEO!I107</f>
        <v>0</v>
      </c>
    </row>
    <row r="30" spans="1:7" ht="10.5" customHeight="1" thickBot="1" x14ac:dyDescent="0.25">
      <c r="B30" s="104" t="s">
        <v>172</v>
      </c>
      <c r="D30" s="130"/>
      <c r="E30" s="396">
        <f>FEO!G108</f>
        <v>7.0877127689204134</v>
      </c>
      <c r="F30" s="408">
        <f>FEO!H108</f>
        <v>5.9949545247524689</v>
      </c>
      <c r="G30" s="402">
        <f>FEO!I108</f>
        <v>5.9949545247524689</v>
      </c>
    </row>
    <row r="31" spans="1:7" x14ac:dyDescent="0.2">
      <c r="D31" s="130"/>
      <c r="E31" s="120"/>
      <c r="F31" s="120"/>
      <c r="G31" s="120"/>
    </row>
    <row r="32" spans="1:7" x14ac:dyDescent="0.2">
      <c r="B32" s="127" t="s">
        <v>333</v>
      </c>
      <c r="D32" s="436"/>
      <c r="E32" s="129"/>
      <c r="F32" s="129"/>
      <c r="G32" s="129"/>
    </row>
    <row r="33" spans="2:7" outlineLevel="1" x14ac:dyDescent="0.2">
      <c r="B33" s="104" t="s">
        <v>335</v>
      </c>
      <c r="C33" s="142" t="s">
        <v>173</v>
      </c>
      <c r="D33" s="164"/>
      <c r="E33" s="388">
        <v>1.02</v>
      </c>
      <c r="F33" s="388">
        <v>1.02</v>
      </c>
      <c r="G33" s="388">
        <v>1.02</v>
      </c>
    </row>
    <row r="34" spans="2:7" outlineLevel="1" x14ac:dyDescent="0.2">
      <c r="B34" s="104" t="s">
        <v>438</v>
      </c>
      <c r="C34" s="142"/>
      <c r="D34" s="164"/>
      <c r="E34" s="389">
        <v>1.02</v>
      </c>
      <c r="F34" s="389">
        <v>1.02</v>
      </c>
      <c r="G34" s="389">
        <v>1.02</v>
      </c>
    </row>
    <row r="35" spans="2:7" outlineLevel="1" x14ac:dyDescent="0.2">
      <c r="B35" s="104" t="s">
        <v>439</v>
      </c>
      <c r="C35" s="142"/>
      <c r="D35" s="164"/>
      <c r="E35" s="389">
        <v>1.02</v>
      </c>
      <c r="F35" s="389">
        <v>1.02</v>
      </c>
      <c r="G35" s="389">
        <v>1.02</v>
      </c>
    </row>
    <row r="36" spans="2:7" outlineLevel="1" x14ac:dyDescent="0.2">
      <c r="B36" s="104" t="s">
        <v>435</v>
      </c>
      <c r="C36" s="142"/>
      <c r="D36" s="164"/>
      <c r="E36" s="389">
        <v>1.02</v>
      </c>
      <c r="F36" s="389">
        <v>1.02</v>
      </c>
      <c r="G36" s="389">
        <v>1.02</v>
      </c>
    </row>
    <row r="37" spans="2:7" outlineLevel="1" x14ac:dyDescent="0.2">
      <c r="B37" s="104" t="s">
        <v>436</v>
      </c>
      <c r="C37" s="142"/>
      <c r="D37" s="164"/>
      <c r="E37" s="389"/>
      <c r="F37" s="389">
        <v>1.02</v>
      </c>
      <c r="G37" s="389">
        <v>1.02</v>
      </c>
    </row>
    <row r="38" spans="2:7" outlineLevel="1" x14ac:dyDescent="0.2">
      <c r="B38" s="104" t="s">
        <v>437</v>
      </c>
      <c r="C38" s="141" t="s">
        <v>174</v>
      </c>
      <c r="D38" s="164"/>
      <c r="E38" s="389"/>
      <c r="F38" s="389"/>
      <c r="G38" s="389">
        <v>1.02</v>
      </c>
    </row>
    <row r="39" spans="2:7" outlineLevel="1" x14ac:dyDescent="0.2">
      <c r="C39" s="128"/>
      <c r="D39" s="130"/>
      <c r="E39" s="390"/>
      <c r="F39" s="390"/>
      <c r="G39" s="390"/>
    </row>
    <row r="40" spans="2:7" x14ac:dyDescent="0.2">
      <c r="B40" s="104" t="s">
        <v>477</v>
      </c>
      <c r="C40" s="128"/>
      <c r="D40" s="111"/>
      <c r="E40" s="129"/>
      <c r="F40" s="129"/>
      <c r="G40" s="129"/>
    </row>
    <row r="41" spans="2:7" x14ac:dyDescent="0.2">
      <c r="B41" s="140"/>
      <c r="C41" s="139"/>
      <c r="D41" s="130"/>
      <c r="E41" s="129"/>
      <c r="F41" s="129"/>
      <c r="G41" s="129"/>
    </row>
    <row r="42" spans="2:7" ht="10.8" thickBot="1" x14ac:dyDescent="0.25">
      <c r="B42" s="117"/>
      <c r="C42" s="139"/>
      <c r="D42" s="130"/>
      <c r="E42" s="129"/>
      <c r="F42" s="129"/>
      <c r="G42" s="129"/>
    </row>
    <row r="43" spans="2:7" ht="10.5" customHeight="1" outlineLevel="1" x14ac:dyDescent="0.2">
      <c r="B43" s="117" t="s">
        <v>334</v>
      </c>
      <c r="C43" s="130"/>
      <c r="D43" s="164"/>
      <c r="E43" s="150">
        <f>SUM(E44:E46)</f>
        <v>7.0877127689204134</v>
      </c>
      <c r="F43" s="150">
        <f>SUM(F44:F46)</f>
        <v>5.9949545247524689</v>
      </c>
      <c r="G43" s="150">
        <f>SUM(G44:G46)</f>
        <v>5.9949545247524689</v>
      </c>
    </row>
    <row r="44" spans="2:7" outlineLevel="1" x14ac:dyDescent="0.2">
      <c r="B44" s="104" t="s">
        <v>170</v>
      </c>
      <c r="C44" s="130"/>
      <c r="D44" s="436"/>
      <c r="E44" s="151">
        <f t="shared" ref="E44:G45" si="2">E28*PRODUCT(E$33:E$39)</f>
        <v>0</v>
      </c>
      <c r="F44" s="151">
        <f t="shared" si="2"/>
        <v>0</v>
      </c>
      <c r="G44" s="151">
        <f t="shared" si="2"/>
        <v>0</v>
      </c>
    </row>
    <row r="45" spans="2:7" outlineLevel="1" x14ac:dyDescent="0.2">
      <c r="B45" s="104" t="s">
        <v>200</v>
      </c>
      <c r="C45" s="130"/>
      <c r="D45" s="215"/>
      <c r="E45" s="151">
        <f t="shared" si="2"/>
        <v>0</v>
      </c>
      <c r="F45" s="151">
        <f t="shared" si="2"/>
        <v>0</v>
      </c>
      <c r="G45" s="151">
        <f t="shared" si="2"/>
        <v>0</v>
      </c>
    </row>
    <row r="46" spans="2:7" ht="10.5" customHeight="1" outlineLevel="1" thickBot="1" x14ac:dyDescent="0.25">
      <c r="B46" s="104" t="s">
        <v>172</v>
      </c>
      <c r="C46" s="130"/>
      <c r="D46" s="215"/>
      <c r="E46" s="152">
        <f>E30</f>
        <v>7.0877127689204134</v>
      </c>
      <c r="F46" s="152">
        <f>F30</f>
        <v>5.9949545247524689</v>
      </c>
      <c r="G46" s="152">
        <f>G30</f>
        <v>5.9949545247524689</v>
      </c>
    </row>
    <row r="47" spans="2:7" x14ac:dyDescent="0.2">
      <c r="B47" s="163"/>
      <c r="C47" s="130"/>
      <c r="D47" s="130"/>
      <c r="E47" s="129"/>
      <c r="F47" s="129"/>
      <c r="G47" s="129"/>
    </row>
    <row r="48" spans="2:7" ht="10.8" thickBot="1" x14ac:dyDescent="0.25">
      <c r="B48" s="127" t="s">
        <v>339</v>
      </c>
      <c r="D48" s="436"/>
      <c r="E48" s="136"/>
      <c r="F48" s="136"/>
      <c r="G48" s="136"/>
    </row>
    <row r="49" spans="2:9" outlineLevel="1" x14ac:dyDescent="0.2">
      <c r="B49" s="104" t="s">
        <v>468</v>
      </c>
      <c r="C49" s="130"/>
      <c r="D49" s="130"/>
      <c r="E49" s="234">
        <v>70046.600000000006</v>
      </c>
      <c r="F49" s="235">
        <v>1208360.3999999999</v>
      </c>
      <c r="G49" s="235">
        <v>1204816.5999999999</v>
      </c>
    </row>
    <row r="50" spans="2:9" outlineLevel="1" x14ac:dyDescent="0.2">
      <c r="B50" s="104" t="s">
        <v>469</v>
      </c>
      <c r="C50" s="130"/>
      <c r="D50" s="130"/>
      <c r="E50" s="538">
        <v>15964</v>
      </c>
      <c r="F50" s="539">
        <v>314368</v>
      </c>
      <c r="G50" s="539">
        <v>313140</v>
      </c>
    </row>
    <row r="51" spans="2:9" outlineLevel="1" x14ac:dyDescent="0.2">
      <c r="B51" s="104" t="s">
        <v>470</v>
      </c>
      <c r="C51" s="130"/>
      <c r="D51" s="130"/>
      <c r="E51" s="542">
        <v>48783.80000000001</v>
      </c>
      <c r="F51" s="543">
        <f>812058</f>
        <v>812058</v>
      </c>
      <c r="G51" s="543">
        <v>809871.4</v>
      </c>
    </row>
    <row r="52" spans="2:9" ht="10.8" thickBot="1" x14ac:dyDescent="0.25">
      <c r="B52" s="117" t="s">
        <v>175</v>
      </c>
      <c r="E52" s="233">
        <f>SUM(E49:E51)</f>
        <v>134794.40000000002</v>
      </c>
      <c r="F52" s="134">
        <f>SUM(F49:F51)</f>
        <v>2334786.4</v>
      </c>
      <c r="G52" s="134">
        <f>SUM(G49:G51)</f>
        <v>2327828</v>
      </c>
    </row>
    <row r="53" spans="2:9" x14ac:dyDescent="0.2">
      <c r="B53" s="137"/>
      <c r="E53" s="133"/>
      <c r="F53" s="133"/>
      <c r="G53" s="133"/>
    </row>
    <row r="54" spans="2:9" ht="10.8" thickBot="1" x14ac:dyDescent="0.25">
      <c r="B54" s="127" t="s">
        <v>338</v>
      </c>
      <c r="C54" s="130"/>
      <c r="D54" s="130"/>
      <c r="E54" s="136"/>
      <c r="F54" s="136"/>
      <c r="G54" s="136"/>
    </row>
    <row r="55" spans="2:9" outlineLevel="1" x14ac:dyDescent="0.2">
      <c r="B55" s="104" t="s">
        <v>471</v>
      </c>
      <c r="C55" s="130"/>
      <c r="D55" s="130"/>
      <c r="E55" s="231">
        <f>E49-E22</f>
        <v>52403</v>
      </c>
      <c r="F55" s="144">
        <f t="shared" ref="F55:G55" si="3">F49-F22</f>
        <v>862274.39999999991</v>
      </c>
      <c r="G55" s="144">
        <f t="shared" si="3"/>
        <v>858730.59999999986</v>
      </c>
    </row>
    <row r="56" spans="2:9" outlineLevel="1" x14ac:dyDescent="0.2">
      <c r="B56" s="104" t="s">
        <v>472</v>
      </c>
      <c r="C56" s="130"/>
      <c r="D56" s="130"/>
      <c r="E56" s="540">
        <f t="shared" ref="E56:G56" si="4">E50-E23</f>
        <v>15964</v>
      </c>
      <c r="F56" s="541">
        <f t="shared" si="4"/>
        <v>314368</v>
      </c>
      <c r="G56" s="541">
        <f t="shared" si="4"/>
        <v>313140</v>
      </c>
    </row>
    <row r="57" spans="2:9" outlineLevel="1" x14ac:dyDescent="0.2">
      <c r="B57" s="104" t="s">
        <v>473</v>
      </c>
      <c r="C57" s="130"/>
      <c r="D57" s="130"/>
      <c r="E57" s="232">
        <f t="shared" ref="E57:G57" si="5">E51-E24</f>
        <v>48783.80000000001</v>
      </c>
      <c r="F57" s="228">
        <f t="shared" si="5"/>
        <v>812058</v>
      </c>
      <c r="G57" s="228">
        <f t="shared" si="5"/>
        <v>809871.4</v>
      </c>
    </row>
    <row r="58" spans="2:9" ht="10.8" thickBot="1" x14ac:dyDescent="0.25">
      <c r="B58" s="117" t="s">
        <v>340</v>
      </c>
      <c r="E58" s="233">
        <f>SUM(E55:E57)</f>
        <v>117150.80000000002</v>
      </c>
      <c r="F58" s="134">
        <f>SUM(F55:F57)</f>
        <v>1988700.4</v>
      </c>
      <c r="G58" s="134">
        <f>SUM(G55:G57)</f>
        <v>1981742</v>
      </c>
    </row>
    <row r="59" spans="2:9" x14ac:dyDescent="0.2">
      <c r="B59" s="117"/>
    </row>
    <row r="60" spans="2:9" x14ac:dyDescent="0.2">
      <c r="B60" s="131" t="s">
        <v>176</v>
      </c>
      <c r="C60" s="130"/>
      <c r="D60" s="130"/>
      <c r="E60" s="154">
        <f>SUM(E61:E62)</f>
        <v>125052.76900972422</v>
      </c>
      <c r="F60" s="154">
        <f>SUM(F61:F62)</f>
        <v>2074769.831653483</v>
      </c>
      <c r="G60" s="154">
        <f>SUM(G61:G62)</f>
        <v>2074769.831653483</v>
      </c>
    </row>
    <row r="61" spans="2:9" x14ac:dyDescent="0.2">
      <c r="B61" s="104" t="s">
        <v>170</v>
      </c>
      <c r="D61" s="132"/>
      <c r="E61" s="154">
        <f>E52*E44</f>
        <v>0</v>
      </c>
      <c r="F61" s="154">
        <f>F52*F44</f>
        <v>0</v>
      </c>
      <c r="G61" s="154">
        <f>G52*G44</f>
        <v>0</v>
      </c>
      <c r="I61" s="162"/>
    </row>
    <row r="62" spans="2:9" x14ac:dyDescent="0.2">
      <c r="B62" s="104" t="s">
        <v>171</v>
      </c>
      <c r="C62" s="130"/>
      <c r="D62" s="130"/>
      <c r="E62" s="154">
        <f>SUM(E45:E46)*E25</f>
        <v>125052.76900972422</v>
      </c>
      <c r="F62" s="154">
        <f>SUM(F45:F46)*F25</f>
        <v>2074769.831653483</v>
      </c>
      <c r="G62" s="154">
        <f>SUM(G45:G46)*G25</f>
        <v>2074769.831653483</v>
      </c>
    </row>
    <row r="63" spans="2:9" x14ac:dyDescent="0.2">
      <c r="C63" s="130"/>
      <c r="D63" s="130"/>
      <c r="E63" s="130"/>
      <c r="F63" s="130"/>
      <c r="G63" s="130"/>
    </row>
    <row r="64" spans="2:9" x14ac:dyDescent="0.2">
      <c r="B64" s="117" t="s">
        <v>461</v>
      </c>
      <c r="E64" s="154">
        <f>E58*E28</f>
        <v>0</v>
      </c>
      <c r="F64" s="154">
        <f>F58*F28</f>
        <v>0</v>
      </c>
      <c r="G64" s="154">
        <f>G58*G28</f>
        <v>0</v>
      </c>
      <c r="I64" s="126"/>
    </row>
    <row r="65" spans="1:7" x14ac:dyDescent="0.2">
      <c r="B65" s="117" t="s">
        <v>177</v>
      </c>
      <c r="E65" s="154">
        <f>(E44-E28)*E52+(E45-E29)*E25+(E46-E30)*E25</f>
        <v>0</v>
      </c>
      <c r="F65" s="154">
        <f>(F44-F28)*F52+(F45-F29)*F25+(F46-F30)*F25</f>
        <v>0</v>
      </c>
      <c r="G65" s="154">
        <f>(G44-G28)*G52+(G45-G29)*G25+(G46-G30)*G25</f>
        <v>0</v>
      </c>
    </row>
    <row r="66" spans="1:7" x14ac:dyDescent="0.2">
      <c r="B66" s="117" t="s">
        <v>85</v>
      </c>
    </row>
    <row r="67" spans="1:7" ht="10.8" thickBot="1" x14ac:dyDescent="0.25">
      <c r="B67" s="117"/>
      <c r="C67" s="117"/>
      <c r="D67" s="117"/>
      <c r="E67" s="117"/>
      <c r="F67" s="117"/>
      <c r="G67" s="117"/>
    </row>
    <row r="68" spans="1:7" ht="10.8" thickBot="1" x14ac:dyDescent="0.25">
      <c r="E68" s="268">
        <f>E$15</f>
        <v>2028</v>
      </c>
      <c r="F68" s="267">
        <f t="shared" ref="F68:G68" si="6">F$15</f>
        <v>2029</v>
      </c>
      <c r="G68" s="269">
        <f t="shared" si="6"/>
        <v>2030</v>
      </c>
    </row>
    <row r="69" spans="1:7" x14ac:dyDescent="0.2">
      <c r="A69" s="122"/>
      <c r="B69" s="122"/>
      <c r="C69" s="123"/>
      <c r="D69" s="123"/>
      <c r="E69" s="230"/>
      <c r="F69" s="121"/>
      <c r="G69" s="121"/>
    </row>
    <row r="70" spans="1:7" x14ac:dyDescent="0.2">
      <c r="A70" s="124" t="s">
        <v>178</v>
      </c>
      <c r="B70" s="124" t="s">
        <v>343</v>
      </c>
      <c r="C70" s="123"/>
      <c r="D70" s="123" t="s">
        <v>179</v>
      </c>
      <c r="E70" s="230"/>
      <c r="F70" s="121"/>
      <c r="G70" s="121"/>
    </row>
    <row r="71" spans="1:7" x14ac:dyDescent="0.2">
      <c r="A71" s="122"/>
      <c r="B71" s="104" t="s">
        <v>181</v>
      </c>
      <c r="E71" s="412"/>
      <c r="F71" s="413"/>
      <c r="G71" s="414"/>
    </row>
    <row r="72" spans="1:7" x14ac:dyDescent="0.2">
      <c r="B72" s="104" t="s">
        <v>458</v>
      </c>
      <c r="C72" s="117"/>
      <c r="D72" s="117"/>
      <c r="E72" s="409"/>
      <c r="F72" s="410"/>
      <c r="G72" s="411"/>
    </row>
    <row r="73" spans="1:7" x14ac:dyDescent="0.2">
      <c r="C73" s="117"/>
      <c r="D73" s="117"/>
      <c r="E73" s="409"/>
      <c r="F73" s="410"/>
      <c r="G73" s="411"/>
    </row>
    <row r="74" spans="1:7" x14ac:dyDescent="0.2">
      <c r="B74" s="104" t="s">
        <v>228</v>
      </c>
      <c r="C74" s="117"/>
      <c r="D74" s="435"/>
      <c r="E74" s="421">
        <f>D.02!C137</f>
        <v>0</v>
      </c>
      <c r="F74" s="422">
        <f>D.02!D137</f>
        <v>0</v>
      </c>
      <c r="G74" s="423">
        <f>D.02!E137</f>
        <v>0</v>
      </c>
    </row>
    <row r="75" spans="1:7" x14ac:dyDescent="0.2">
      <c r="B75" s="104" t="s">
        <v>256</v>
      </c>
      <c r="C75" s="117"/>
      <c r="D75" s="435"/>
      <c r="E75" s="421">
        <f>D.02!C138</f>
        <v>124.49589041095891</v>
      </c>
      <c r="F75" s="422">
        <f>D.02!D138</f>
        <v>2065.5</v>
      </c>
      <c r="G75" s="423">
        <f>D.02!E138</f>
        <v>2065.5</v>
      </c>
    </row>
    <row r="76" spans="1:7" x14ac:dyDescent="0.2">
      <c r="B76" s="104" t="s">
        <v>229</v>
      </c>
      <c r="C76" s="117"/>
      <c r="D76" s="435"/>
      <c r="E76" s="421">
        <f>D.02!C139</f>
        <v>0</v>
      </c>
      <c r="F76" s="422">
        <f>D.02!D139</f>
        <v>0</v>
      </c>
      <c r="G76" s="423">
        <f>D.02!E139</f>
        <v>0</v>
      </c>
    </row>
    <row r="77" spans="1:7" x14ac:dyDescent="0.2">
      <c r="B77" s="104" t="s">
        <v>279</v>
      </c>
      <c r="C77" s="117"/>
      <c r="D77" s="435"/>
      <c r="E77" s="421">
        <f>D.02!C140</f>
        <v>0</v>
      </c>
      <c r="F77" s="422">
        <f>D.02!D140</f>
        <v>0</v>
      </c>
      <c r="G77" s="423">
        <f>D.02!E140</f>
        <v>0</v>
      </c>
    </row>
    <row r="78" spans="1:7" x14ac:dyDescent="0.2">
      <c r="B78" s="104" t="s">
        <v>285</v>
      </c>
      <c r="C78" s="117"/>
      <c r="D78" s="435"/>
      <c r="E78" s="421">
        <f>D.02!C141</f>
        <v>9434.0219178082189</v>
      </c>
      <c r="F78" s="422">
        <f>D.02!D141</f>
        <v>156519</v>
      </c>
      <c r="G78" s="423">
        <f>D.02!E141</f>
        <v>156519</v>
      </c>
    </row>
    <row r="79" spans="1:7" x14ac:dyDescent="0.2">
      <c r="C79" s="117"/>
      <c r="D79" s="117"/>
      <c r="E79" s="415"/>
      <c r="F79" s="416"/>
      <c r="G79" s="417"/>
    </row>
    <row r="80" spans="1:7" ht="10.8" thickBot="1" x14ac:dyDescent="0.25">
      <c r="B80" s="117" t="s">
        <v>344</v>
      </c>
      <c r="C80" s="117"/>
      <c r="D80" s="117"/>
      <c r="E80" s="418">
        <f>SUM(E71:E79)</f>
        <v>9558.5178082191778</v>
      </c>
      <c r="F80" s="419">
        <f>SUM(F71:F79)</f>
        <v>158584.5</v>
      </c>
      <c r="G80" s="420">
        <f>SUM(G71:G79)</f>
        <v>158584.5</v>
      </c>
    </row>
    <row r="81" spans="1:7" ht="10.8" thickBot="1" x14ac:dyDescent="0.25">
      <c r="B81" s="115"/>
      <c r="C81" s="117"/>
      <c r="D81" s="117"/>
      <c r="E81" s="117"/>
      <c r="F81" s="117"/>
      <c r="G81" s="117"/>
    </row>
    <row r="82" spans="1:7" ht="10.8" thickBot="1" x14ac:dyDescent="0.25">
      <c r="E82" s="268">
        <f>E$15</f>
        <v>2028</v>
      </c>
      <c r="F82" s="267">
        <f t="shared" ref="F82:G82" si="7">F$15</f>
        <v>2029</v>
      </c>
      <c r="G82" s="269">
        <f t="shared" si="7"/>
        <v>2030</v>
      </c>
    </row>
    <row r="83" spans="1:7" x14ac:dyDescent="0.2">
      <c r="A83" s="122"/>
      <c r="B83" s="122"/>
      <c r="C83" s="123"/>
      <c r="D83" s="123"/>
      <c r="E83" s="230"/>
      <c r="F83" s="121"/>
      <c r="G83" s="121"/>
    </row>
    <row r="84" spans="1:7" x14ac:dyDescent="0.2">
      <c r="A84" s="124" t="s">
        <v>180</v>
      </c>
      <c r="B84" s="124" t="s">
        <v>460</v>
      </c>
      <c r="C84" s="123"/>
      <c r="D84" s="123" t="s">
        <v>341</v>
      </c>
      <c r="E84" s="230"/>
      <c r="F84" s="121"/>
      <c r="G84" s="121"/>
    </row>
    <row r="85" spans="1:7" x14ac:dyDescent="0.2">
      <c r="A85" s="122"/>
      <c r="B85" s="104" t="s">
        <v>181</v>
      </c>
      <c r="D85" s="435"/>
      <c r="E85" s="412"/>
      <c r="F85" s="413"/>
      <c r="G85" s="414"/>
    </row>
    <row r="86" spans="1:7" x14ac:dyDescent="0.2">
      <c r="B86" s="104" t="s">
        <v>458</v>
      </c>
      <c r="C86" s="117"/>
      <c r="D86" s="117"/>
      <c r="E86" s="409"/>
      <c r="F86" s="410"/>
      <c r="G86" s="411"/>
    </row>
    <row r="87" spans="1:7" x14ac:dyDescent="0.2">
      <c r="C87" s="117"/>
      <c r="D87" s="117"/>
      <c r="E87" s="409"/>
      <c r="F87" s="410"/>
      <c r="G87" s="411"/>
    </row>
    <row r="88" spans="1:7" x14ac:dyDescent="0.2">
      <c r="B88" s="104" t="s">
        <v>418</v>
      </c>
      <c r="C88" s="117"/>
      <c r="D88" s="117"/>
      <c r="E88" s="421"/>
      <c r="F88" s="422"/>
      <c r="G88" s="423"/>
    </row>
    <row r="89" spans="1:7" x14ac:dyDescent="0.2">
      <c r="B89" s="104" t="s">
        <v>419</v>
      </c>
      <c r="C89" s="117"/>
      <c r="D89" s="117"/>
      <c r="E89" s="421"/>
      <c r="F89" s="422"/>
      <c r="G89" s="423"/>
    </row>
    <row r="90" spans="1:7" x14ac:dyDescent="0.2">
      <c r="B90" s="104" t="s">
        <v>420</v>
      </c>
      <c r="C90" s="117"/>
      <c r="D90" s="117"/>
      <c r="E90" s="421"/>
      <c r="F90" s="422"/>
      <c r="G90" s="423"/>
    </row>
    <row r="91" spans="1:7" x14ac:dyDescent="0.2">
      <c r="B91" s="104" t="s">
        <v>421</v>
      </c>
      <c r="C91" s="117"/>
      <c r="D91" s="117"/>
      <c r="E91" s="421"/>
      <c r="F91" s="422"/>
      <c r="G91" s="423"/>
    </row>
    <row r="92" spans="1:7" x14ac:dyDescent="0.2">
      <c r="B92" s="104" t="s">
        <v>422</v>
      </c>
      <c r="C92" s="117"/>
      <c r="D92" s="117"/>
      <c r="E92" s="421"/>
      <c r="F92" s="422"/>
      <c r="G92" s="423"/>
    </row>
    <row r="93" spans="1:7" x14ac:dyDescent="0.2">
      <c r="B93" s="104" t="s">
        <v>423</v>
      </c>
      <c r="C93" s="117"/>
      <c r="D93" s="117"/>
      <c r="E93" s="421"/>
      <c r="F93" s="422"/>
      <c r="G93" s="423"/>
    </row>
    <row r="94" spans="1:7" x14ac:dyDescent="0.2">
      <c r="B94" s="104" t="s">
        <v>424</v>
      </c>
      <c r="C94" s="117"/>
      <c r="D94" s="117"/>
      <c r="E94" s="421"/>
      <c r="F94" s="422"/>
      <c r="G94" s="423"/>
    </row>
    <row r="95" spans="1:7" x14ac:dyDescent="0.2">
      <c r="B95" s="104" t="s">
        <v>239</v>
      </c>
      <c r="C95" s="117"/>
      <c r="D95" s="117"/>
      <c r="E95" s="421"/>
      <c r="F95" s="422"/>
      <c r="G95" s="423"/>
    </row>
    <row r="96" spans="1:7" x14ac:dyDescent="0.2">
      <c r="B96" s="104" t="s">
        <v>547</v>
      </c>
      <c r="C96" s="117"/>
      <c r="D96" s="117"/>
      <c r="E96" s="421"/>
      <c r="F96" s="422"/>
      <c r="G96" s="423"/>
    </row>
    <row r="97" spans="1:7" x14ac:dyDescent="0.2">
      <c r="B97" s="104" t="s">
        <v>238</v>
      </c>
      <c r="C97" s="117"/>
      <c r="D97" s="117"/>
      <c r="E97" s="421"/>
      <c r="F97" s="422"/>
      <c r="G97" s="423"/>
    </row>
    <row r="98" spans="1:7" x14ac:dyDescent="0.2">
      <c r="C98" s="117"/>
      <c r="D98" s="117"/>
      <c r="E98" s="415"/>
      <c r="F98" s="416"/>
      <c r="G98" s="417"/>
    </row>
    <row r="99" spans="1:7" ht="10.8" thickBot="1" x14ac:dyDescent="0.25">
      <c r="B99" s="117" t="s">
        <v>182</v>
      </c>
      <c r="C99" s="117"/>
      <c r="D99" s="117"/>
      <c r="E99" s="418">
        <f>SUM(E85:E98)</f>
        <v>0</v>
      </c>
      <c r="F99" s="419">
        <f>SUM(F85:F98)</f>
        <v>0</v>
      </c>
      <c r="G99" s="420">
        <f>SUM(G85:G98)</f>
        <v>0</v>
      </c>
    </row>
    <row r="100" spans="1:7" ht="10.8" thickBot="1" x14ac:dyDescent="0.25">
      <c r="B100" s="117"/>
      <c r="C100" s="117"/>
      <c r="D100" s="117"/>
      <c r="E100" s="117"/>
      <c r="F100" s="117"/>
      <c r="G100" s="117"/>
    </row>
    <row r="101" spans="1:7" ht="10.8" thickBot="1" x14ac:dyDescent="0.25">
      <c r="E101" s="268">
        <f>E$15</f>
        <v>2028</v>
      </c>
      <c r="F101" s="267">
        <f t="shared" ref="F101:G101" si="8">F$15</f>
        <v>2029</v>
      </c>
      <c r="G101" s="269">
        <f t="shared" si="8"/>
        <v>2030</v>
      </c>
    </row>
    <row r="102" spans="1:7" x14ac:dyDescent="0.2">
      <c r="A102" s="122"/>
      <c r="B102" s="122"/>
      <c r="C102" s="123"/>
      <c r="D102" s="123"/>
      <c r="E102" s="230"/>
      <c r="F102" s="121"/>
      <c r="G102" s="121"/>
    </row>
    <row r="103" spans="1:7" x14ac:dyDescent="0.2">
      <c r="A103" s="124" t="s">
        <v>183</v>
      </c>
      <c r="B103" s="124" t="s">
        <v>414</v>
      </c>
      <c r="C103" s="123"/>
      <c r="D103" s="123" t="s">
        <v>341</v>
      </c>
      <c r="E103" s="230"/>
      <c r="F103" s="121"/>
      <c r="G103" s="121"/>
    </row>
    <row r="104" spans="1:7" x14ac:dyDescent="0.2">
      <c r="A104" s="122"/>
      <c r="B104" s="104" t="s">
        <v>181</v>
      </c>
      <c r="D104" s="435"/>
      <c r="E104" s="412"/>
      <c r="F104" s="413"/>
      <c r="G104" s="414"/>
    </row>
    <row r="105" spans="1:7" x14ac:dyDescent="0.2">
      <c r="B105" s="104" t="s">
        <v>458</v>
      </c>
      <c r="C105" s="117"/>
      <c r="D105" s="117"/>
      <c r="E105" s="409"/>
      <c r="F105" s="410"/>
      <c r="G105" s="411"/>
    </row>
    <row r="106" spans="1:7" x14ac:dyDescent="0.2">
      <c r="C106" s="117"/>
      <c r="D106" s="117"/>
      <c r="E106" s="409"/>
      <c r="F106" s="410"/>
      <c r="G106" s="411"/>
    </row>
    <row r="107" spans="1:7" x14ac:dyDescent="0.2">
      <c r="C107" s="117"/>
      <c r="D107" s="117"/>
      <c r="E107" s="421"/>
      <c r="F107" s="422"/>
      <c r="G107" s="423"/>
    </row>
    <row r="108" spans="1:7" x14ac:dyDescent="0.2">
      <c r="C108" s="117"/>
      <c r="D108" s="117"/>
      <c r="E108" s="421"/>
      <c r="F108" s="422"/>
      <c r="G108" s="423"/>
    </row>
    <row r="109" spans="1:7" x14ac:dyDescent="0.2">
      <c r="C109" s="117"/>
      <c r="D109" s="117"/>
      <c r="E109" s="421"/>
      <c r="F109" s="422"/>
      <c r="G109" s="423"/>
    </row>
    <row r="110" spans="1:7" x14ac:dyDescent="0.2">
      <c r="C110" s="117"/>
      <c r="D110" s="117"/>
      <c r="E110" s="415"/>
      <c r="F110" s="416"/>
      <c r="G110" s="417"/>
    </row>
    <row r="111" spans="1:7" ht="10.8" thickBot="1" x14ac:dyDescent="0.25">
      <c r="B111" s="117" t="s">
        <v>182</v>
      </c>
      <c r="C111" s="117"/>
      <c r="D111" s="117"/>
      <c r="E111" s="418">
        <f>SUM(E104:E110)</f>
        <v>0</v>
      </c>
      <c r="F111" s="419">
        <f>SUM(F104:F110)</f>
        <v>0</v>
      </c>
      <c r="G111" s="420">
        <f>SUM(G104:G110)</f>
        <v>0</v>
      </c>
    </row>
    <row r="112" spans="1:7" x14ac:dyDescent="0.2">
      <c r="B112" s="117"/>
      <c r="C112" s="117"/>
      <c r="D112" s="117"/>
      <c r="E112" s="117"/>
      <c r="F112" s="117"/>
      <c r="G112" s="117"/>
    </row>
    <row r="113" spans="1:7" ht="16.8" thickBot="1" x14ac:dyDescent="0.35">
      <c r="A113" s="125">
        <v>2</v>
      </c>
      <c r="B113" s="125" t="s">
        <v>455</v>
      </c>
      <c r="C113" s="117"/>
      <c r="D113" s="117"/>
      <c r="E113" s="153"/>
      <c r="F113" s="153"/>
      <c r="G113" s="153"/>
    </row>
    <row r="114" spans="1:7" ht="10.8" thickBot="1" x14ac:dyDescent="0.25">
      <c r="E114" s="268">
        <f>E$15</f>
        <v>2028</v>
      </c>
      <c r="F114" s="267">
        <f t="shared" ref="F114:G114" si="9">F$15</f>
        <v>2029</v>
      </c>
      <c r="G114" s="269">
        <f t="shared" si="9"/>
        <v>2030</v>
      </c>
    </row>
    <row r="115" spans="1:7" x14ac:dyDescent="0.2">
      <c r="A115" s="124"/>
      <c r="B115" s="124" t="s">
        <v>474</v>
      </c>
      <c r="C115" s="123"/>
      <c r="D115" s="123" t="s">
        <v>341</v>
      </c>
      <c r="E115" s="230"/>
      <c r="F115" s="121"/>
      <c r="G115" s="121"/>
    </row>
    <row r="116" spans="1:7" x14ac:dyDescent="0.2">
      <c r="A116" s="104" t="str">
        <f>$A$17</f>
        <v>a</v>
      </c>
      <c r="B116" s="104" t="str">
        <f>$B$17</f>
        <v>Exploitatiebijdrage</v>
      </c>
      <c r="E116" s="409">
        <f>E60</f>
        <v>125052.76900972422</v>
      </c>
      <c r="F116" s="410">
        <f>F60</f>
        <v>2074769.831653483</v>
      </c>
      <c r="G116" s="411">
        <f>G60</f>
        <v>2074769.831653483</v>
      </c>
    </row>
    <row r="117" spans="1:7" x14ac:dyDescent="0.2">
      <c r="A117" s="104" t="str">
        <f>$A$70</f>
        <v>b</v>
      </c>
      <c r="B117" s="104" t="str">
        <f>$B$70</f>
        <v>Bijdrage Gebruiksvergoeding spoor</v>
      </c>
      <c r="E117" s="409">
        <f>E80</f>
        <v>9558.5178082191778</v>
      </c>
      <c r="F117" s="410">
        <f>F80</f>
        <v>158584.5</v>
      </c>
      <c r="G117" s="411">
        <f>G80</f>
        <v>158584.5</v>
      </c>
    </row>
    <row r="118" spans="1:7" x14ac:dyDescent="0.2">
      <c r="A118" s="104" t="str">
        <f>$A$84</f>
        <v>c</v>
      </c>
      <c r="B118" s="104" t="str">
        <f>$B$84</f>
        <v>Reizigersopbrengsten incl. SOV</v>
      </c>
      <c r="E118" s="409">
        <f>E99</f>
        <v>0</v>
      </c>
      <c r="F118" s="410">
        <f>F99</f>
        <v>0</v>
      </c>
      <c r="G118" s="411">
        <f>G99</f>
        <v>0</v>
      </c>
    </row>
    <row r="119" spans="1:7" x14ac:dyDescent="0.2">
      <c r="A119" s="104" t="str">
        <f>$A$103</f>
        <v>d</v>
      </c>
      <c r="B119" s="104" t="str">
        <f>$B$103</f>
        <v>Bonus opbrengstengroei</v>
      </c>
      <c r="E119" s="409">
        <f>E111</f>
        <v>0</v>
      </c>
      <c r="F119" s="410">
        <f t="shared" ref="F119:G119" si="10">F111</f>
        <v>0</v>
      </c>
      <c r="G119" s="411">
        <f t="shared" si="10"/>
        <v>0</v>
      </c>
    </row>
    <row r="120" spans="1:7" x14ac:dyDescent="0.2">
      <c r="E120" s="525"/>
      <c r="F120" s="526"/>
      <c r="G120" s="527"/>
    </row>
    <row r="121" spans="1:7" ht="10.8" thickBot="1" x14ac:dyDescent="0.25">
      <c r="B121" s="104" t="s">
        <v>456</v>
      </c>
      <c r="E121" s="528">
        <f>SUM(E116:E120)</f>
        <v>134611.28681794339</v>
      </c>
      <c r="F121" s="529">
        <f>SUM(F116:F120)</f>
        <v>2233354.3316534832</v>
      </c>
      <c r="G121" s="530">
        <f>SUM(G116:G120)</f>
        <v>2233354.3316534832</v>
      </c>
    </row>
    <row r="124" spans="1:7" x14ac:dyDescent="0.2">
      <c r="A124" s="124"/>
      <c r="B124" s="124" t="s">
        <v>475</v>
      </c>
      <c r="C124" s="544">
        <v>0.64</v>
      </c>
      <c r="D124" s="123"/>
      <c r="E124" s="230"/>
      <c r="F124" s="121"/>
      <c r="G124" s="121"/>
    </row>
    <row r="125" spans="1:7" x14ac:dyDescent="0.2">
      <c r="A125" s="104" t="str">
        <f>$A$17</f>
        <v>a</v>
      </c>
      <c r="B125" s="104" t="str">
        <f>$B$17</f>
        <v>Exploitatiebijdrage</v>
      </c>
      <c r="E125" s="409">
        <f>E116*$C$124</f>
        <v>80033.772166223498</v>
      </c>
      <c r="F125" s="410">
        <f t="shared" ref="F125:G125" si="11">F116*$C$124</f>
        <v>1327852.6922582292</v>
      </c>
      <c r="G125" s="411">
        <f t="shared" si="11"/>
        <v>1327852.6922582292</v>
      </c>
    </row>
    <row r="126" spans="1:7" x14ac:dyDescent="0.2">
      <c r="A126" s="104" t="str">
        <f>$A$70</f>
        <v>b</v>
      </c>
      <c r="B126" s="104" t="str">
        <f>$B$70</f>
        <v>Bijdrage Gebruiksvergoeding spoor</v>
      </c>
      <c r="E126" s="409">
        <f t="shared" ref="E126:G126" si="12">E117*$C$124</f>
        <v>6117.4513972602736</v>
      </c>
      <c r="F126" s="410">
        <f t="shared" si="12"/>
        <v>101494.08</v>
      </c>
      <c r="G126" s="411">
        <f t="shared" si="12"/>
        <v>101494.08</v>
      </c>
    </row>
    <row r="127" spans="1:7" x14ac:dyDescent="0.2">
      <c r="A127" s="104" t="str">
        <f>$A$84</f>
        <v>c</v>
      </c>
      <c r="B127" s="104" t="str">
        <f>$B$84</f>
        <v>Reizigersopbrengsten incl. SOV</v>
      </c>
      <c r="E127" s="409">
        <f t="shared" ref="E127:G127" si="13">E118*$C$124</f>
        <v>0</v>
      </c>
      <c r="F127" s="410">
        <f t="shared" si="13"/>
        <v>0</v>
      </c>
      <c r="G127" s="411">
        <f t="shared" si="13"/>
        <v>0</v>
      </c>
    </row>
    <row r="128" spans="1:7" x14ac:dyDescent="0.2">
      <c r="A128" s="104" t="str">
        <f>$A$103</f>
        <v>d</v>
      </c>
      <c r="B128" s="104" t="str">
        <f>$B$103</f>
        <v>Bonus opbrengstengroei</v>
      </c>
      <c r="E128" s="409">
        <f t="shared" ref="E128:G128" si="14">E119*$C$124</f>
        <v>0</v>
      </c>
      <c r="F128" s="410">
        <f t="shared" si="14"/>
        <v>0</v>
      </c>
      <c r="G128" s="411">
        <f t="shared" si="14"/>
        <v>0</v>
      </c>
    </row>
    <row r="129" spans="1:7" x14ac:dyDescent="0.2">
      <c r="E129" s="525"/>
      <c r="F129" s="526"/>
      <c r="G129" s="527"/>
    </row>
    <row r="130" spans="1:7" ht="10.8" thickBot="1" x14ac:dyDescent="0.25">
      <c r="B130" s="104" t="s">
        <v>456</v>
      </c>
      <c r="E130" s="528">
        <f>SUM(E125:E129)</f>
        <v>86151.223563483771</v>
      </c>
      <c r="F130" s="529">
        <f>SUM(F125:F129)</f>
        <v>1429346.7722582293</v>
      </c>
      <c r="G130" s="530">
        <f>SUM(G125:G129)</f>
        <v>1429346.7722582293</v>
      </c>
    </row>
    <row r="132" spans="1:7" x14ac:dyDescent="0.2">
      <c r="A132" s="124"/>
      <c r="B132" s="124" t="s">
        <v>476</v>
      </c>
      <c r="C132" s="544">
        <v>0.36</v>
      </c>
      <c r="D132" s="123"/>
      <c r="E132" s="230"/>
      <c r="F132" s="121"/>
      <c r="G132" s="121"/>
    </row>
    <row r="133" spans="1:7" x14ac:dyDescent="0.2">
      <c r="A133" s="104" t="str">
        <f>$A$17</f>
        <v>a</v>
      </c>
      <c r="B133" s="104" t="str">
        <f>$B$17</f>
        <v>Exploitatiebijdrage</v>
      </c>
      <c r="E133" s="409">
        <f>E116*$C$132</f>
        <v>45018.996843500718</v>
      </c>
      <c r="F133" s="410">
        <f t="shared" ref="F133:G133" si="15">F116*$C$132</f>
        <v>746917.13939525385</v>
      </c>
      <c r="G133" s="411">
        <f t="shared" si="15"/>
        <v>746917.13939525385</v>
      </c>
    </row>
    <row r="134" spans="1:7" x14ac:dyDescent="0.2">
      <c r="A134" s="104" t="str">
        <f>$A$70</f>
        <v>b</v>
      </c>
      <c r="B134" s="104" t="str">
        <f>$B$70</f>
        <v>Bijdrage Gebruiksvergoeding spoor</v>
      </c>
      <c r="E134" s="409">
        <f t="shared" ref="E134:G134" si="16">E117*$C$132</f>
        <v>3441.0664109589038</v>
      </c>
      <c r="F134" s="410">
        <f t="shared" si="16"/>
        <v>57090.42</v>
      </c>
      <c r="G134" s="411">
        <f t="shared" si="16"/>
        <v>57090.42</v>
      </c>
    </row>
    <row r="135" spans="1:7" x14ac:dyDescent="0.2">
      <c r="A135" s="104" t="str">
        <f>$A$84</f>
        <v>c</v>
      </c>
      <c r="B135" s="104" t="str">
        <f>$B$84</f>
        <v>Reizigersopbrengsten incl. SOV</v>
      </c>
      <c r="E135" s="409">
        <f t="shared" ref="E135:G135" si="17">E118*$C$132</f>
        <v>0</v>
      </c>
      <c r="F135" s="410">
        <f t="shared" si="17"/>
        <v>0</v>
      </c>
      <c r="G135" s="411">
        <f t="shared" si="17"/>
        <v>0</v>
      </c>
    </row>
    <row r="136" spans="1:7" x14ac:dyDescent="0.2">
      <c r="A136" s="104" t="str">
        <f>$A$103</f>
        <v>d</v>
      </c>
      <c r="B136" s="104" t="str">
        <f>$B$103</f>
        <v>Bonus opbrengstengroei</v>
      </c>
      <c r="E136" s="409">
        <f t="shared" ref="E136:G136" si="18">E119*$C$132</f>
        <v>0</v>
      </c>
      <c r="F136" s="410">
        <f t="shared" si="18"/>
        <v>0</v>
      </c>
      <c r="G136" s="411">
        <f t="shared" si="18"/>
        <v>0</v>
      </c>
    </row>
    <row r="137" spans="1:7" x14ac:dyDescent="0.2">
      <c r="E137" s="525"/>
      <c r="F137" s="526"/>
      <c r="G137" s="527"/>
    </row>
    <row r="138" spans="1:7" ht="10.8" thickBot="1" x14ac:dyDescent="0.25">
      <c r="B138" s="104" t="s">
        <v>456</v>
      </c>
      <c r="E138" s="528">
        <f>SUM(E133:E137)</f>
        <v>48460.063254459623</v>
      </c>
      <c r="F138" s="529">
        <f>SUM(F133:F137)</f>
        <v>804007.55939525389</v>
      </c>
      <c r="G138" s="530">
        <f>SUM(G133:G137)</f>
        <v>804007.55939525389</v>
      </c>
    </row>
    <row r="141" spans="1:7" ht="16.2" x14ac:dyDescent="0.3">
      <c r="A141" s="125" t="s">
        <v>184</v>
      </c>
      <c r="B141" s="125" t="s">
        <v>434</v>
      </c>
    </row>
    <row r="142" spans="1:7" ht="16.8" thickBot="1" x14ac:dyDescent="0.35">
      <c r="A142" s="125"/>
      <c r="B142" s="125"/>
    </row>
    <row r="143" spans="1:7" ht="11.25" customHeight="1" thickBot="1" x14ac:dyDescent="0.35">
      <c r="A143" s="125"/>
      <c r="B143" s="125"/>
      <c r="E143" s="268">
        <f>E$15</f>
        <v>2028</v>
      </c>
      <c r="F143" s="267">
        <f t="shared" ref="F143:G143" si="19">F$15</f>
        <v>2029</v>
      </c>
      <c r="G143" s="269">
        <f t="shared" si="19"/>
        <v>2030</v>
      </c>
    </row>
    <row r="144" spans="1:7" x14ac:dyDescent="0.2">
      <c r="A144" s="123"/>
      <c r="B144" s="123"/>
      <c r="C144" s="123"/>
      <c r="D144" s="123"/>
      <c r="E144" s="121"/>
      <c r="F144" s="121"/>
      <c r="G144" s="121"/>
    </row>
    <row r="145" spans="1:7" x14ac:dyDescent="0.2">
      <c r="E145" s="119"/>
      <c r="F145" s="119"/>
      <c r="G145" s="119"/>
    </row>
    <row r="146" spans="1:7" x14ac:dyDescent="0.2">
      <c r="A146" s="117" t="s">
        <v>91</v>
      </c>
      <c r="B146" s="117" t="s">
        <v>185</v>
      </c>
      <c r="E146" s="119"/>
      <c r="F146" s="119"/>
      <c r="G146" s="119"/>
    </row>
    <row r="147" spans="1:7" x14ac:dyDescent="0.2">
      <c r="A147" s="117" t="s">
        <v>98</v>
      </c>
      <c r="B147" s="117" t="s">
        <v>186</v>
      </c>
      <c r="E147" s="119"/>
      <c r="F147" s="119"/>
      <c r="G147" s="119"/>
    </row>
    <row r="148" spans="1:7" x14ac:dyDescent="0.2">
      <c r="A148" s="104" t="s">
        <v>100</v>
      </c>
      <c r="B148" s="104" t="s">
        <v>187</v>
      </c>
      <c r="E148" s="119"/>
      <c r="F148" s="119"/>
      <c r="G148" s="119"/>
    </row>
    <row r="149" spans="1:7" x14ac:dyDescent="0.2">
      <c r="A149" s="104" t="s">
        <v>103</v>
      </c>
      <c r="B149" s="104" t="s">
        <v>188</v>
      </c>
      <c r="D149" s="117"/>
      <c r="E149" s="119"/>
      <c r="F149" s="119"/>
      <c r="G149" s="119"/>
    </row>
    <row r="150" spans="1:7" s="117" customFormat="1" x14ac:dyDescent="0.2">
      <c r="A150" s="117" t="s">
        <v>106</v>
      </c>
      <c r="B150" s="117" t="str">
        <f>"Betaald in termijnen tot deze periode ("&amp;A148&amp;" t/m "&amp;A149&amp;")"</f>
        <v>Betaald in termijnen tot deze periode (C t/m D)</v>
      </c>
      <c r="E150" s="118"/>
      <c r="F150" s="118"/>
      <c r="G150" s="118"/>
    </row>
    <row r="151" spans="1:7" s="117" customFormat="1" x14ac:dyDescent="0.2">
      <c r="A151" s="117" t="s">
        <v>189</v>
      </c>
      <c r="B151" s="117" t="str">
        <f>"Nog te betalen in termijnen ("&amp;A147&amp;" -/- "&amp;A150&amp;")"</f>
        <v>Nog te betalen in termijnen (B -/- E)</v>
      </c>
      <c r="E151" s="118"/>
      <c r="F151" s="118"/>
      <c r="G151" s="118"/>
    </row>
    <row r="152" spans="1:7" s="117" customFormat="1" x14ac:dyDescent="0.2">
      <c r="A152" s="104" t="s">
        <v>115</v>
      </c>
      <c r="B152" s="104" t="s">
        <v>190</v>
      </c>
      <c r="E152" s="118"/>
      <c r="F152" s="118"/>
      <c r="G152" s="118"/>
    </row>
    <row r="153" spans="1:7" s="117" customFormat="1" x14ac:dyDescent="0.2">
      <c r="A153" s="104" t="s">
        <v>117</v>
      </c>
      <c r="B153" s="104" t="s">
        <v>191</v>
      </c>
      <c r="E153" s="118"/>
      <c r="F153" s="118"/>
      <c r="G153" s="118"/>
    </row>
    <row r="154" spans="1:7" s="117" customFormat="1" x14ac:dyDescent="0.2">
      <c r="A154" s="104" t="s">
        <v>119</v>
      </c>
      <c r="B154" s="104" t="s">
        <v>192</v>
      </c>
      <c r="E154" s="118"/>
      <c r="F154" s="118"/>
      <c r="G154" s="118"/>
    </row>
    <row r="155" spans="1:7" s="117" customFormat="1" x14ac:dyDescent="0.2">
      <c r="A155" s="117" t="s">
        <v>193</v>
      </c>
      <c r="B155" s="117" t="str">
        <f>"Subtotaal betaald in termijnen na deze periode ("&amp;A152&amp;" X "&amp;A154&amp;" + "&amp;A150&amp;")"</f>
        <v>Subtotaal betaald in termijnen na deze periode (G X I + E)</v>
      </c>
      <c r="E155" s="118"/>
      <c r="F155" s="118"/>
      <c r="G155" s="118"/>
    </row>
    <row r="156" spans="1:7" s="117" customFormat="1" x14ac:dyDescent="0.2">
      <c r="A156" s="117" t="s">
        <v>120</v>
      </c>
      <c r="B156" s="117" t="str">
        <f>"Nog te betalen overige ("&amp;A146&amp;" -/- "&amp;A155&amp;")"</f>
        <v>Nog te betalen overige (A -/- J)</v>
      </c>
      <c r="E156" s="118"/>
      <c r="F156" s="118"/>
      <c r="G156" s="118"/>
    </row>
    <row r="157" spans="1:7" x14ac:dyDescent="0.2">
      <c r="A157" s="104" t="s">
        <v>124</v>
      </c>
      <c r="B157" s="104" t="s">
        <v>146</v>
      </c>
      <c r="E157" s="119"/>
      <c r="F157" s="119"/>
      <c r="G157" s="119"/>
    </row>
    <row r="158" spans="1:7" x14ac:dyDescent="0.2">
      <c r="A158" s="104" t="s">
        <v>194</v>
      </c>
      <c r="B158" s="104" t="s">
        <v>146</v>
      </c>
      <c r="E158" s="119"/>
      <c r="F158" s="119"/>
      <c r="G158" s="119"/>
    </row>
    <row r="159" spans="1:7" x14ac:dyDescent="0.2">
      <c r="A159" s="117" t="s">
        <v>195</v>
      </c>
      <c r="B159" s="117" t="str">
        <f>"Subtotaal overige betalingen ("&amp;A157&amp;" t/m "&amp;A158&amp;")"</f>
        <v>Subtotaal overige betalingen (L t/m M)</v>
      </c>
      <c r="E159" s="119"/>
      <c r="F159" s="119"/>
      <c r="G159" s="119"/>
    </row>
    <row r="160" spans="1:7" x14ac:dyDescent="0.2">
      <c r="A160" s="117" t="s">
        <v>196</v>
      </c>
      <c r="B160" s="117" t="str">
        <f>"Totaal betaald ("&amp;A155&amp;" + "&amp;A159&amp;")"</f>
        <v>Totaal betaald (J + N)</v>
      </c>
      <c r="C160" s="117"/>
      <c r="D160" s="117"/>
      <c r="E160" s="118"/>
      <c r="F160" s="118"/>
      <c r="G160" s="118"/>
    </row>
    <row r="161" spans="2:2" x14ac:dyDescent="0.2">
      <c r="B161" s="1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1:AQ172"/>
  <sheetViews>
    <sheetView view="pageBreakPreview" zoomScale="90" zoomScaleNormal="100" zoomScaleSheetLayoutView="90" workbookViewId="0"/>
  </sheetViews>
  <sheetFormatPr defaultColWidth="9.125" defaultRowHeight="15.6" x14ac:dyDescent="0.3"/>
  <cols>
    <col min="1" max="1" width="1.25" style="65" customWidth="1"/>
    <col min="2" max="2" width="6" style="64" bestFit="1" customWidth="1"/>
    <col min="3" max="3" width="36.875" style="65" customWidth="1"/>
    <col min="4" max="4" width="7" style="105" customWidth="1"/>
    <col min="5" max="5" width="15.125" style="65" customWidth="1"/>
    <col min="6" max="6" width="1.25" style="65" customWidth="1"/>
    <col min="7" max="22" width="15.125" style="65" customWidth="1"/>
    <col min="23" max="26" width="1.25" style="65" customWidth="1"/>
    <col min="27" max="27" width="16" style="65" bestFit="1" customWidth="1"/>
    <col min="28" max="29" width="1.125" style="65" customWidth="1"/>
    <col min="30" max="30" width="14.375" style="65" customWidth="1"/>
    <col min="31" max="32" width="19.375" style="65" customWidth="1"/>
    <col min="33" max="33" width="10.75" style="65" customWidth="1"/>
    <col min="34" max="34" width="10.875" style="65" bestFit="1" customWidth="1"/>
    <col min="35" max="35" width="9.75" style="65" bestFit="1" customWidth="1"/>
    <col min="36" max="39" width="15.375" style="65" customWidth="1"/>
    <col min="40" max="40" width="18.875" style="65" bestFit="1" customWidth="1"/>
    <col min="41" max="41" width="15.625" style="65" bestFit="1" customWidth="1"/>
    <col min="42" max="42" width="14.375" style="65" bestFit="1" customWidth="1"/>
    <col min="43" max="45" width="15.25" style="65" customWidth="1"/>
    <col min="46" max="47" width="13.125" style="65" customWidth="1"/>
    <col min="48" max="16384" width="9.125" style="65"/>
  </cols>
  <sheetData>
    <row r="1" spans="2:43" ht="28.8" x14ac:dyDescent="0.3">
      <c r="B1" s="427" t="s">
        <v>501</v>
      </c>
      <c r="D1" s="210"/>
      <c r="E1" s="64"/>
      <c r="F1" s="64"/>
      <c r="G1" s="64"/>
      <c r="H1" s="64"/>
      <c r="I1" s="64"/>
      <c r="J1" s="64"/>
      <c r="U1" s="636" t="s">
        <v>236</v>
      </c>
      <c r="V1" s="637"/>
      <c r="W1" s="64"/>
      <c r="X1" s="64"/>
      <c r="Y1" s="64"/>
      <c r="Z1" s="64"/>
      <c r="AA1" s="277" t="s">
        <v>86</v>
      </c>
      <c r="AB1" s="277"/>
      <c r="AC1" s="64"/>
    </row>
    <row r="2" spans="2:43" x14ac:dyDescent="0.3">
      <c r="B2" s="555" t="s">
        <v>345</v>
      </c>
      <c r="C2" s="19"/>
      <c r="D2" s="210"/>
      <c r="E2" s="64"/>
      <c r="F2" s="64"/>
      <c r="U2" s="634" t="s">
        <v>84</v>
      </c>
      <c r="V2" s="635"/>
      <c r="W2" s="64"/>
      <c r="X2" s="64"/>
      <c r="Y2" s="64"/>
      <c r="Z2" s="64"/>
      <c r="AA2" s="278" t="str">
        <f>Legenda!D11</f>
        <v>NVI 5b</v>
      </c>
      <c r="AB2" s="278"/>
      <c r="AC2" s="64"/>
      <c r="AE2" s="109"/>
    </row>
    <row r="3" spans="2:43" ht="7.5" customHeight="1" x14ac:dyDescent="0.3">
      <c r="B3" s="21"/>
      <c r="C3" s="19"/>
      <c r="G3" s="275"/>
      <c r="H3" s="276"/>
    </row>
    <row r="4" spans="2:43" x14ac:dyDescent="0.3">
      <c r="B4" s="279"/>
      <c r="C4" s="225"/>
      <c r="D4" s="203"/>
      <c r="E4" s="225"/>
      <c r="F4" s="225"/>
      <c r="G4" s="280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6"/>
      <c r="Z4" s="224"/>
      <c r="AA4" s="225"/>
      <c r="AB4" s="226"/>
    </row>
    <row r="5" spans="2:43" x14ac:dyDescent="0.3">
      <c r="B5" s="175"/>
      <c r="C5" s="188" t="s">
        <v>87</v>
      </c>
      <c r="E5" s="105"/>
      <c r="F5" s="105"/>
      <c r="G5" s="189">
        <v>2028</v>
      </c>
      <c r="H5" s="189">
        <v>2029</v>
      </c>
      <c r="I5" s="189">
        <v>2030</v>
      </c>
      <c r="J5" s="189">
        <v>2031</v>
      </c>
      <c r="K5" s="189">
        <v>2032</v>
      </c>
      <c r="L5" s="189">
        <v>2033</v>
      </c>
      <c r="M5" s="189">
        <v>2034</v>
      </c>
      <c r="N5" s="189">
        <v>2035</v>
      </c>
      <c r="O5" s="189">
        <v>2036</v>
      </c>
      <c r="P5" s="189">
        <v>2037</v>
      </c>
      <c r="Q5" s="189">
        <v>2038</v>
      </c>
      <c r="R5" s="189">
        <v>2039</v>
      </c>
      <c r="S5" s="189">
        <v>2040</v>
      </c>
      <c r="T5" s="189">
        <v>2041</v>
      </c>
      <c r="U5" s="189">
        <v>2042</v>
      </c>
      <c r="V5" s="189">
        <v>2043</v>
      </c>
      <c r="W5" s="176"/>
      <c r="X5" s="105"/>
      <c r="Y5" s="105"/>
      <c r="Z5" s="222"/>
      <c r="AA5" s="189" t="s">
        <v>88</v>
      </c>
      <c r="AB5" s="579"/>
      <c r="AC5" s="105"/>
      <c r="AD5" s="189" t="s">
        <v>85</v>
      </c>
      <c r="AF5" s="69"/>
      <c r="AG5" s="69"/>
    </row>
    <row r="6" spans="2:43" x14ac:dyDescent="0.3">
      <c r="B6" s="66"/>
      <c r="C6" s="68"/>
      <c r="E6" s="556" t="s">
        <v>89</v>
      </c>
      <c r="F6" s="556"/>
      <c r="G6" s="556">
        <v>47097</v>
      </c>
      <c r="H6" s="556">
        <v>47119</v>
      </c>
      <c r="I6" s="556">
        <v>47484</v>
      </c>
      <c r="J6" s="556">
        <v>47849</v>
      </c>
      <c r="K6" s="556">
        <v>48214</v>
      </c>
      <c r="L6" s="556">
        <v>48580</v>
      </c>
      <c r="M6" s="556">
        <v>48945</v>
      </c>
      <c r="N6" s="556">
        <v>49310</v>
      </c>
      <c r="O6" s="556">
        <v>49675</v>
      </c>
      <c r="P6" s="556">
        <v>50041</v>
      </c>
      <c r="Q6" s="556">
        <v>50406</v>
      </c>
      <c r="R6" s="556">
        <v>50771</v>
      </c>
      <c r="S6" s="556">
        <v>51136</v>
      </c>
      <c r="T6" s="556">
        <v>51502</v>
      </c>
      <c r="U6" s="556">
        <v>51867</v>
      </c>
      <c r="V6" s="556">
        <v>52232</v>
      </c>
      <c r="W6" s="67"/>
      <c r="Z6" s="227"/>
      <c r="AA6" s="556">
        <f>SMALL(G6:W6,1)</f>
        <v>47097</v>
      </c>
      <c r="AB6" s="580"/>
      <c r="AF6" s="69"/>
      <c r="AG6" s="69"/>
    </row>
    <row r="7" spans="2:43" ht="15.6" customHeight="1" x14ac:dyDescent="0.3">
      <c r="B7" s="66"/>
      <c r="C7" s="68"/>
      <c r="E7" s="556" t="s">
        <v>163</v>
      </c>
      <c r="F7" s="556"/>
      <c r="G7" s="556">
        <v>47118</v>
      </c>
      <c r="H7" s="556">
        <v>47483</v>
      </c>
      <c r="I7" s="556">
        <v>47848</v>
      </c>
      <c r="J7" s="556">
        <v>48213</v>
      </c>
      <c r="K7" s="556">
        <v>48579</v>
      </c>
      <c r="L7" s="556">
        <v>48944</v>
      </c>
      <c r="M7" s="556">
        <v>49309</v>
      </c>
      <c r="N7" s="556">
        <v>49674</v>
      </c>
      <c r="O7" s="556">
        <v>50040</v>
      </c>
      <c r="P7" s="556">
        <v>50405</v>
      </c>
      <c r="Q7" s="556">
        <v>50770</v>
      </c>
      <c r="R7" s="556">
        <v>51135</v>
      </c>
      <c r="S7" s="556">
        <v>51501</v>
      </c>
      <c r="T7" s="556">
        <v>51866</v>
      </c>
      <c r="U7" s="556">
        <v>52231</v>
      </c>
      <c r="V7" s="556">
        <v>52577</v>
      </c>
      <c r="W7" s="67"/>
      <c r="Z7" s="227"/>
      <c r="AA7" s="556">
        <f>LARGE(G7:W7,1)</f>
        <v>52577</v>
      </c>
      <c r="AB7" s="580"/>
      <c r="AD7" s="216"/>
      <c r="AF7" s="69"/>
      <c r="AG7" s="69"/>
    </row>
    <row r="8" spans="2:43" x14ac:dyDescent="0.3">
      <c r="B8" s="66"/>
      <c r="C8" s="68"/>
      <c r="E8" s="557" t="s">
        <v>90</v>
      </c>
      <c r="F8" s="557"/>
      <c r="G8" s="558">
        <f t="shared" ref="G8:L8" si="0">G7-G6+1</f>
        <v>22</v>
      </c>
      <c r="H8" s="558">
        <f t="shared" si="0"/>
        <v>365</v>
      </c>
      <c r="I8" s="558">
        <f t="shared" si="0"/>
        <v>365</v>
      </c>
      <c r="J8" s="558">
        <f t="shared" si="0"/>
        <v>365</v>
      </c>
      <c r="K8" s="558">
        <f t="shared" si="0"/>
        <v>366</v>
      </c>
      <c r="L8" s="558">
        <f t="shared" si="0"/>
        <v>365</v>
      </c>
      <c r="M8" s="558">
        <f t="shared" ref="M8:V8" si="1">M7-M6+1</f>
        <v>365</v>
      </c>
      <c r="N8" s="558">
        <f t="shared" si="1"/>
        <v>365</v>
      </c>
      <c r="O8" s="558">
        <f t="shared" si="1"/>
        <v>366</v>
      </c>
      <c r="P8" s="558">
        <f t="shared" si="1"/>
        <v>365</v>
      </c>
      <c r="Q8" s="558">
        <f t="shared" si="1"/>
        <v>365</v>
      </c>
      <c r="R8" s="558">
        <f t="shared" si="1"/>
        <v>365</v>
      </c>
      <c r="S8" s="558">
        <f t="shared" si="1"/>
        <v>366</v>
      </c>
      <c r="T8" s="558">
        <f t="shared" si="1"/>
        <v>365</v>
      </c>
      <c r="U8" s="558">
        <f t="shared" si="1"/>
        <v>365</v>
      </c>
      <c r="V8" s="558">
        <f t="shared" si="1"/>
        <v>346</v>
      </c>
      <c r="W8" s="67"/>
      <c r="Z8" s="227"/>
      <c r="AA8" s="558">
        <f>SUM(G8:W8)</f>
        <v>5481</v>
      </c>
      <c r="AB8" s="581"/>
      <c r="AE8" s="88"/>
      <c r="AF8" s="69"/>
      <c r="AG8" s="69"/>
    </row>
    <row r="9" spans="2:43" ht="15.6" customHeight="1" x14ac:dyDescent="0.3">
      <c r="B9" s="66"/>
      <c r="C9" s="19"/>
      <c r="W9" s="67"/>
      <c r="Z9" s="227"/>
      <c r="AB9" s="67"/>
      <c r="AF9" s="69"/>
      <c r="AG9" s="69"/>
    </row>
    <row r="10" spans="2:43" ht="17.399999999999999" customHeight="1" x14ac:dyDescent="0.45">
      <c r="B10" s="172" t="s">
        <v>91</v>
      </c>
      <c r="C10" s="173" t="s">
        <v>92</v>
      </c>
      <c r="D10" s="173"/>
      <c r="E10" s="173"/>
      <c r="F10" s="173"/>
      <c r="G10" s="559">
        <f>SUM(G12:G16)</f>
        <v>0</v>
      </c>
      <c r="H10" s="559">
        <f>SUM(H12:H16)</f>
        <v>0</v>
      </c>
      <c r="I10" s="559">
        <f>SUM(I12:I16)</f>
        <v>0</v>
      </c>
      <c r="J10" s="559">
        <f>SUM(J12:J16)</f>
        <v>0</v>
      </c>
      <c r="K10" s="559">
        <f>SUM(K12:K16)</f>
        <v>0</v>
      </c>
      <c r="L10" s="559">
        <f t="shared" ref="L10:V10" si="2">SUM(L12:L16)</f>
        <v>0</v>
      </c>
      <c r="M10" s="559">
        <f t="shared" si="2"/>
        <v>0</v>
      </c>
      <c r="N10" s="559">
        <f t="shared" si="2"/>
        <v>0</v>
      </c>
      <c r="O10" s="559">
        <f t="shared" si="2"/>
        <v>0</v>
      </c>
      <c r="P10" s="559">
        <f t="shared" si="2"/>
        <v>0</v>
      </c>
      <c r="Q10" s="559">
        <f t="shared" si="2"/>
        <v>0</v>
      </c>
      <c r="R10" s="559">
        <f t="shared" si="2"/>
        <v>0</v>
      </c>
      <c r="S10" s="559">
        <f t="shared" si="2"/>
        <v>0</v>
      </c>
      <c r="T10" s="559">
        <f t="shared" si="2"/>
        <v>0</v>
      </c>
      <c r="U10" s="559">
        <f t="shared" si="2"/>
        <v>0</v>
      </c>
      <c r="V10" s="559">
        <f t="shared" si="2"/>
        <v>0</v>
      </c>
      <c r="W10" s="174"/>
      <c r="X10" s="105"/>
      <c r="Y10" s="105"/>
      <c r="Z10" s="222"/>
      <c r="AA10" s="574">
        <f>SUM(G10:V10)</f>
        <v>0</v>
      </c>
      <c r="AB10" s="582"/>
      <c r="AC10" s="105"/>
      <c r="AF10" s="69"/>
      <c r="AG10" s="69"/>
      <c r="AI10" s="70"/>
      <c r="AJ10" s="70"/>
      <c r="AK10" s="70"/>
      <c r="AL10" s="70"/>
      <c r="AM10" s="70"/>
      <c r="AN10" s="70"/>
      <c r="AO10" s="70"/>
      <c r="AP10" s="70"/>
      <c r="AQ10" s="70"/>
    </row>
    <row r="11" spans="2:43" ht="6" customHeight="1" x14ac:dyDescent="0.3">
      <c r="B11" s="175"/>
      <c r="C11" s="173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76"/>
      <c r="X11" s="105"/>
      <c r="Y11" s="105"/>
      <c r="Z11" s="222"/>
      <c r="AA11" s="105"/>
      <c r="AB11" s="176"/>
      <c r="AC11" s="105"/>
      <c r="AI11" s="70"/>
      <c r="AJ11" s="70"/>
      <c r="AK11" s="70"/>
      <c r="AL11" s="70"/>
      <c r="AM11" s="70"/>
      <c r="AN11" s="70"/>
      <c r="AO11" s="70"/>
      <c r="AP11" s="70"/>
      <c r="AQ11" s="70"/>
    </row>
    <row r="12" spans="2:43" x14ac:dyDescent="0.3">
      <c r="B12" s="175" t="str">
        <f>MID($B$10,1,1)&amp;".01"</f>
        <v>A.01</v>
      </c>
      <c r="C12" s="105" t="s">
        <v>352</v>
      </c>
      <c r="D12" s="177" t="s">
        <v>93</v>
      </c>
      <c r="E12" s="178" t="s">
        <v>94</v>
      </c>
      <c r="F12" s="178"/>
      <c r="G12" s="179">
        <f>A.01!B11</f>
        <v>0</v>
      </c>
      <c r="H12" s="179">
        <f>A.01!C11</f>
        <v>0</v>
      </c>
      <c r="I12" s="179">
        <f>A.01!D11</f>
        <v>0</v>
      </c>
      <c r="J12" s="179">
        <f>A.01!E11</f>
        <v>0</v>
      </c>
      <c r="K12" s="179">
        <f>A.01!F11</f>
        <v>0</v>
      </c>
      <c r="L12" s="179">
        <f>A.01!G11</f>
        <v>0</v>
      </c>
      <c r="M12" s="179">
        <f>A.01!H11</f>
        <v>0</v>
      </c>
      <c r="N12" s="179">
        <f>A.01!I11</f>
        <v>0</v>
      </c>
      <c r="O12" s="179">
        <f>A.01!J11</f>
        <v>0</v>
      </c>
      <c r="P12" s="179">
        <f>A.01!K11</f>
        <v>0</v>
      </c>
      <c r="Q12" s="179">
        <f>A.01!L11</f>
        <v>0</v>
      </c>
      <c r="R12" s="179">
        <f>A.01!M11</f>
        <v>0</v>
      </c>
      <c r="S12" s="179">
        <f>A.01!N11</f>
        <v>0</v>
      </c>
      <c r="T12" s="179">
        <f>A.01!O11</f>
        <v>0</v>
      </c>
      <c r="U12" s="179">
        <f>A.01!P11</f>
        <v>0</v>
      </c>
      <c r="V12" s="179">
        <f>A.01!Q11</f>
        <v>0</v>
      </c>
      <c r="W12" s="180"/>
      <c r="X12" s="105"/>
      <c r="Y12" s="105"/>
      <c r="Z12" s="222"/>
      <c r="AA12" s="181">
        <f t="shared" ref="AA12:AA16" si="3">SUM(G12:V12)</f>
        <v>0</v>
      </c>
      <c r="AB12" s="583"/>
      <c r="AC12" s="105"/>
      <c r="AD12" s="71">
        <f>SUM(G12:V12)-SUM(A.01!B11:Q11)</f>
        <v>0</v>
      </c>
      <c r="AE12" s="72"/>
      <c r="AF12" s="72"/>
      <c r="AG12" s="73"/>
      <c r="AH12" s="72"/>
      <c r="AJ12" s="71"/>
      <c r="AK12" s="69"/>
      <c r="AL12" s="74"/>
      <c r="AM12" s="74"/>
      <c r="AN12" s="74"/>
      <c r="AO12" s="69"/>
      <c r="AP12" s="71"/>
      <c r="AQ12" s="75"/>
    </row>
    <row r="13" spans="2:43" x14ac:dyDescent="0.3">
      <c r="B13" s="175" t="str">
        <f>MID($B$10,1,1)&amp;".02"</f>
        <v>A.02</v>
      </c>
      <c r="C13" s="560" t="s">
        <v>502</v>
      </c>
      <c r="D13" s="177" t="s">
        <v>95</v>
      </c>
      <c r="E13" s="178" t="s">
        <v>94</v>
      </c>
      <c r="F13" s="178"/>
      <c r="G13" s="179">
        <f>A.02!B11</f>
        <v>0</v>
      </c>
      <c r="H13" s="179">
        <f>A.02!C11</f>
        <v>0</v>
      </c>
      <c r="I13" s="179">
        <f>A.02!D11</f>
        <v>0</v>
      </c>
      <c r="J13" s="179">
        <f>A.02!E11</f>
        <v>0</v>
      </c>
      <c r="K13" s="179">
        <f>A.02!F11</f>
        <v>0</v>
      </c>
      <c r="L13" s="179">
        <f>A.02!G11</f>
        <v>0</v>
      </c>
      <c r="M13" s="179">
        <f>A.02!H11</f>
        <v>0</v>
      </c>
      <c r="N13" s="179">
        <f>A.02!I11</f>
        <v>0</v>
      </c>
      <c r="O13" s="179">
        <f>A.02!J11</f>
        <v>0</v>
      </c>
      <c r="P13" s="179">
        <f>A.02!K11</f>
        <v>0</v>
      </c>
      <c r="Q13" s="179">
        <f>A.02!L11</f>
        <v>0</v>
      </c>
      <c r="R13" s="179">
        <f>A.02!M11</f>
        <v>0</v>
      </c>
      <c r="S13" s="179">
        <f>A.02!N11</f>
        <v>0</v>
      </c>
      <c r="T13" s="179">
        <f>A.02!O11</f>
        <v>0</v>
      </c>
      <c r="U13" s="179">
        <f>A.02!P11</f>
        <v>0</v>
      </c>
      <c r="V13" s="179">
        <f>A.02!Q11</f>
        <v>0</v>
      </c>
      <c r="W13" s="180"/>
      <c r="X13" s="105"/>
      <c r="Y13" s="105"/>
      <c r="Z13" s="222"/>
      <c r="AA13" s="181">
        <f t="shared" si="3"/>
        <v>0</v>
      </c>
      <c r="AB13" s="583"/>
      <c r="AC13" s="105"/>
      <c r="AD13" s="71">
        <f>SUM(G13:V13)-SUM(A.02!B11:Q11)</f>
        <v>0</v>
      </c>
      <c r="AE13" s="72"/>
      <c r="AF13" s="72"/>
      <c r="AG13" s="73"/>
      <c r="AH13" s="72"/>
      <c r="AJ13" s="71"/>
      <c r="AK13" s="69"/>
      <c r="AL13" s="74"/>
      <c r="AM13" s="74"/>
      <c r="AN13" s="74"/>
      <c r="AO13" s="69"/>
      <c r="AP13" s="71"/>
      <c r="AQ13" s="75"/>
    </row>
    <row r="14" spans="2:43" x14ac:dyDescent="0.3">
      <c r="B14" s="175" t="str">
        <f>MID($B$10,1,1)&amp;".03"</f>
        <v>A.03</v>
      </c>
      <c r="C14" s="603" t="s">
        <v>519</v>
      </c>
      <c r="D14" s="177" t="s">
        <v>449</v>
      </c>
      <c r="E14" s="178" t="s">
        <v>97</v>
      </c>
      <c r="F14" s="178"/>
      <c r="G14" s="179">
        <f>A.03!B11</f>
        <v>0</v>
      </c>
      <c r="H14" s="179">
        <f>A.03!C11</f>
        <v>0</v>
      </c>
      <c r="I14" s="179">
        <f>A.03!D11</f>
        <v>0</v>
      </c>
      <c r="J14" s="179">
        <f>A.03!E11</f>
        <v>0</v>
      </c>
      <c r="K14" s="179">
        <f>A.03!F11</f>
        <v>0</v>
      </c>
      <c r="L14" s="179">
        <f>A.03!G11</f>
        <v>0</v>
      </c>
      <c r="M14" s="179">
        <f>A.03!H11</f>
        <v>0</v>
      </c>
      <c r="N14" s="179">
        <f>A.03!I11</f>
        <v>0</v>
      </c>
      <c r="O14" s="179">
        <f>A.03!J11</f>
        <v>0</v>
      </c>
      <c r="P14" s="179">
        <f>A.03!K11</f>
        <v>0</v>
      </c>
      <c r="Q14" s="179">
        <f>A.03!L11</f>
        <v>0</v>
      </c>
      <c r="R14" s="179">
        <f>A.03!M11</f>
        <v>0</v>
      </c>
      <c r="S14" s="179">
        <f>A.03!N11</f>
        <v>0</v>
      </c>
      <c r="T14" s="179">
        <f>A.03!O11</f>
        <v>0</v>
      </c>
      <c r="U14" s="179">
        <f>A.03!P11</f>
        <v>0</v>
      </c>
      <c r="V14" s="179">
        <f>A.03!Q11</f>
        <v>0</v>
      </c>
      <c r="W14" s="180"/>
      <c r="X14" s="105"/>
      <c r="Y14" s="105"/>
      <c r="Z14" s="222"/>
      <c r="AA14" s="181">
        <f t="shared" si="3"/>
        <v>0</v>
      </c>
      <c r="AB14" s="583"/>
      <c r="AC14" s="105"/>
      <c r="AD14" s="71">
        <f>SUM(G14:V14)-SUM(A.03!B11:Q11)</f>
        <v>0</v>
      </c>
      <c r="AE14" s="72"/>
      <c r="AF14" s="72"/>
      <c r="AG14" s="73"/>
      <c r="AH14" s="72"/>
      <c r="AJ14" s="71"/>
      <c r="AK14" s="69"/>
      <c r="AL14" s="74"/>
      <c r="AM14" s="74"/>
      <c r="AN14" s="74"/>
      <c r="AO14" s="69"/>
      <c r="AP14" s="71"/>
      <c r="AQ14" s="75"/>
    </row>
    <row r="15" spans="2:43" x14ac:dyDescent="0.3">
      <c r="B15" s="175" t="str">
        <f>MID($B$10,1,1)&amp;".04"</f>
        <v>A.04</v>
      </c>
      <c r="C15" s="105" t="s">
        <v>96</v>
      </c>
      <c r="D15" s="177" t="s">
        <v>425</v>
      </c>
      <c r="E15" s="617" t="s">
        <v>97</v>
      </c>
      <c r="F15" s="178"/>
      <c r="G15" s="179">
        <f>A.04!B11</f>
        <v>0</v>
      </c>
      <c r="H15" s="179">
        <f>A.04!C11</f>
        <v>0</v>
      </c>
      <c r="I15" s="179">
        <f>A.04!D11</f>
        <v>0</v>
      </c>
      <c r="J15" s="179">
        <f>A.04!E11</f>
        <v>0</v>
      </c>
      <c r="K15" s="179">
        <f>A.04!F11</f>
        <v>0</v>
      </c>
      <c r="L15" s="179">
        <f>A.04!G11</f>
        <v>0</v>
      </c>
      <c r="M15" s="179">
        <f>A.04!H11</f>
        <v>0</v>
      </c>
      <c r="N15" s="179">
        <f>A.04!I11</f>
        <v>0</v>
      </c>
      <c r="O15" s="179">
        <f>A.04!J11</f>
        <v>0</v>
      </c>
      <c r="P15" s="179">
        <f>A.04!K11</f>
        <v>0</v>
      </c>
      <c r="Q15" s="179">
        <f>A.04!L11</f>
        <v>0</v>
      </c>
      <c r="R15" s="179">
        <f>A.04!M11</f>
        <v>0</v>
      </c>
      <c r="S15" s="179">
        <f>A.04!N11</f>
        <v>0</v>
      </c>
      <c r="T15" s="179">
        <f>A.04!O11</f>
        <v>0</v>
      </c>
      <c r="U15" s="179">
        <f>A.04!P11</f>
        <v>0</v>
      </c>
      <c r="V15" s="179">
        <f>A.04!Q11</f>
        <v>0</v>
      </c>
      <c r="W15" s="180"/>
      <c r="X15" s="105"/>
      <c r="Y15" s="105"/>
      <c r="Z15" s="222"/>
      <c r="AA15" s="181">
        <f t="shared" si="3"/>
        <v>0</v>
      </c>
      <c r="AB15" s="583"/>
      <c r="AC15" s="105"/>
      <c r="AD15" s="71">
        <f>SUM(G15:V15)-SUM(A.04!B11:Q11)</f>
        <v>0</v>
      </c>
      <c r="AE15" s="72"/>
      <c r="AF15" s="72"/>
      <c r="AG15" s="73"/>
      <c r="AH15" s="72"/>
      <c r="AJ15" s="71"/>
      <c r="AK15" s="69"/>
      <c r="AL15" s="74"/>
      <c r="AM15" s="74"/>
      <c r="AN15" s="74"/>
      <c r="AO15" s="69"/>
      <c r="AP15" s="71"/>
      <c r="AQ15" s="75"/>
    </row>
    <row r="16" spans="2:43" x14ac:dyDescent="0.3">
      <c r="B16" s="461" t="s">
        <v>426</v>
      </c>
      <c r="C16" s="105" t="s">
        <v>202</v>
      </c>
      <c r="D16" s="571"/>
      <c r="E16" s="617" t="s">
        <v>97</v>
      </c>
      <c r="F16" s="178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0"/>
      <c r="X16" s="105"/>
      <c r="Y16" s="105"/>
      <c r="Z16" s="222"/>
      <c r="AA16" s="575">
        <f t="shared" si="3"/>
        <v>0</v>
      </c>
      <c r="AB16" s="584"/>
      <c r="AC16" s="105"/>
      <c r="AD16" s="71"/>
      <c r="AE16" s="283"/>
      <c r="AF16" s="72"/>
      <c r="AG16" s="73"/>
      <c r="AH16" s="72"/>
      <c r="AJ16" s="71"/>
      <c r="AK16" s="69"/>
      <c r="AL16" s="74"/>
      <c r="AM16" s="74"/>
      <c r="AN16" s="74"/>
      <c r="AO16" s="69"/>
      <c r="AP16" s="71"/>
      <c r="AQ16" s="75"/>
    </row>
    <row r="17" spans="2:43" ht="6" customHeight="1" x14ac:dyDescent="0.45">
      <c r="B17" s="175"/>
      <c r="C17" s="105"/>
      <c r="D17" s="561"/>
      <c r="E17" s="178"/>
      <c r="F17" s="178"/>
      <c r="G17" s="561"/>
      <c r="H17" s="561"/>
      <c r="I17" s="561"/>
      <c r="J17" s="561"/>
      <c r="K17" s="561"/>
      <c r="L17" s="561"/>
      <c r="M17" s="559"/>
      <c r="N17" s="559"/>
      <c r="O17" s="559"/>
      <c r="P17" s="559"/>
      <c r="Q17" s="559"/>
      <c r="R17" s="559"/>
      <c r="S17" s="559"/>
      <c r="T17" s="559"/>
      <c r="U17" s="559"/>
      <c r="V17" s="559"/>
      <c r="W17" s="180"/>
      <c r="X17" s="105"/>
      <c r="Y17" s="105"/>
      <c r="Z17" s="222"/>
      <c r="AA17" s="105"/>
      <c r="AB17" s="176"/>
      <c r="AC17" s="105"/>
      <c r="AD17" s="71"/>
      <c r="AE17" s="72"/>
      <c r="AF17" s="72"/>
      <c r="AG17" s="73"/>
      <c r="AH17" s="72"/>
      <c r="AJ17" s="71"/>
      <c r="AK17" s="69"/>
      <c r="AL17" s="74"/>
      <c r="AM17" s="74"/>
      <c r="AN17" s="74"/>
      <c r="AO17" s="69"/>
      <c r="AP17" s="71"/>
      <c r="AQ17" s="75"/>
    </row>
    <row r="18" spans="2:43" x14ac:dyDescent="0.3">
      <c r="B18" s="172" t="s">
        <v>98</v>
      </c>
      <c r="C18" s="173" t="s">
        <v>500</v>
      </c>
      <c r="D18" s="173"/>
      <c r="E18" s="562"/>
      <c r="F18" s="562"/>
      <c r="G18" s="563">
        <f t="shared" ref="G18:K18" si="4">SUM(G20:G30)</f>
        <v>126477.10490786353</v>
      </c>
      <c r="H18" s="563">
        <f t="shared" si="4"/>
        <v>2098370.1496077362</v>
      </c>
      <c r="I18" s="563">
        <f t="shared" si="4"/>
        <v>2098370.1496077362</v>
      </c>
      <c r="J18" s="563">
        <f t="shared" si="4"/>
        <v>2098370.1496077362</v>
      </c>
      <c r="K18" s="563">
        <f t="shared" si="4"/>
        <v>2104119.108921729</v>
      </c>
      <c r="L18" s="563">
        <f>SUM(L20:L30)</f>
        <v>2098370.1496077362</v>
      </c>
      <c r="M18" s="563">
        <f t="shared" ref="M18:V18" si="5">SUM(M20:M30)</f>
        <v>2098370.1496077362</v>
      </c>
      <c r="N18" s="563">
        <f t="shared" si="5"/>
        <v>2098370.1496077362</v>
      </c>
      <c r="O18" s="563">
        <f t="shared" si="5"/>
        <v>2104119.108921729</v>
      </c>
      <c r="P18" s="563">
        <f t="shared" si="5"/>
        <v>2098370.1496077362</v>
      </c>
      <c r="Q18" s="563">
        <f t="shared" si="5"/>
        <v>2098370.1496077362</v>
      </c>
      <c r="R18" s="563">
        <f t="shared" si="5"/>
        <v>2098370.1496077362</v>
      </c>
      <c r="S18" s="563">
        <f t="shared" si="5"/>
        <v>2104119.108921729</v>
      </c>
      <c r="T18" s="563">
        <f t="shared" si="5"/>
        <v>2098370.1496077362</v>
      </c>
      <c r="U18" s="563">
        <f t="shared" si="5"/>
        <v>2098370.1496077362</v>
      </c>
      <c r="V18" s="563">
        <f t="shared" si="5"/>
        <v>1989139.9226418538</v>
      </c>
      <c r="W18" s="180"/>
      <c r="X18" s="105"/>
      <c r="Y18" s="105"/>
      <c r="Z18" s="222"/>
      <c r="AA18" s="574">
        <f>SUM(G18:V18)</f>
        <v>31510046.000000007</v>
      </c>
      <c r="AB18" s="582"/>
      <c r="AC18" s="105"/>
      <c r="AD18" s="71"/>
      <c r="AE18" s="72"/>
      <c r="AF18" s="72"/>
      <c r="AG18" s="73"/>
      <c r="AH18" s="72"/>
      <c r="AJ18" s="71"/>
      <c r="AK18" s="69"/>
      <c r="AL18" s="74"/>
      <c r="AM18" s="74"/>
      <c r="AN18" s="74"/>
      <c r="AO18" s="69"/>
      <c r="AP18" s="71"/>
      <c r="AQ18" s="75"/>
    </row>
    <row r="19" spans="2:43" ht="6" customHeight="1" x14ac:dyDescent="0.45">
      <c r="B19" s="175"/>
      <c r="C19" s="173"/>
      <c r="D19" s="173"/>
      <c r="E19" s="562"/>
      <c r="F19" s="562"/>
      <c r="G19" s="173"/>
      <c r="H19" s="173"/>
      <c r="I19" s="173"/>
      <c r="J19" s="173"/>
      <c r="K19" s="173"/>
      <c r="L19" s="173"/>
      <c r="M19" s="559"/>
      <c r="N19" s="559"/>
      <c r="O19" s="559"/>
      <c r="P19" s="559"/>
      <c r="Q19" s="559"/>
      <c r="R19" s="559"/>
      <c r="S19" s="559"/>
      <c r="T19" s="559"/>
      <c r="U19" s="559"/>
      <c r="V19" s="559"/>
      <c r="W19" s="180"/>
      <c r="X19" s="105"/>
      <c r="Y19" s="105"/>
      <c r="Z19" s="222"/>
      <c r="AA19" s="574"/>
      <c r="AB19" s="582"/>
      <c r="AC19" s="105"/>
      <c r="AD19" s="71"/>
      <c r="AE19" s="72"/>
      <c r="AF19" s="72"/>
      <c r="AG19" s="73"/>
      <c r="AH19" s="72"/>
      <c r="AJ19" s="71"/>
      <c r="AK19" s="69"/>
      <c r="AL19" s="74"/>
      <c r="AM19" s="74"/>
      <c r="AN19" s="74"/>
      <c r="AO19" s="69"/>
      <c r="AP19" s="71"/>
      <c r="AQ19" s="75"/>
    </row>
    <row r="20" spans="2:43" x14ac:dyDescent="0.3">
      <c r="B20" s="175" t="str">
        <f>MID($B$18,1,1)&amp;".01"</f>
        <v>B.01</v>
      </c>
      <c r="C20" s="564" t="s">
        <v>489</v>
      </c>
      <c r="D20" s="281" t="s">
        <v>99</v>
      </c>
      <c r="E20" s="178" t="s">
        <v>417</v>
      </c>
      <c r="F20" s="178"/>
      <c r="G20" s="179">
        <f>SUM(B.01!$B36:$AO36)</f>
        <v>126477.10490786353</v>
      </c>
      <c r="H20" s="179">
        <f>SUM(B.01!$B37:$AO37)</f>
        <v>2098370.1496077362</v>
      </c>
      <c r="I20" s="179">
        <f>SUM(B.01!$B38:$AO38)</f>
        <v>2098370.1496077362</v>
      </c>
      <c r="J20" s="179">
        <f>SUM(B.01!$B39:$AO39)</f>
        <v>2098370.1496077362</v>
      </c>
      <c r="K20" s="179">
        <f>SUM(B.01!$B40:$AO40)</f>
        <v>2104119.108921729</v>
      </c>
      <c r="L20" s="179">
        <f>SUM(B.01!$B41:$AO41)</f>
        <v>2098370.1496077362</v>
      </c>
      <c r="M20" s="179">
        <f>SUM(B.01!$B42:$AO42)</f>
        <v>2098370.1496077362</v>
      </c>
      <c r="N20" s="179">
        <f>SUM(B.01!$B43:$AO43)</f>
        <v>2098370.1496077362</v>
      </c>
      <c r="O20" s="179">
        <f>SUM(B.01!$B44:$AO44)</f>
        <v>2104119.108921729</v>
      </c>
      <c r="P20" s="179">
        <f>SUM(B.01!$B45:$AO45)</f>
        <v>2098370.1496077362</v>
      </c>
      <c r="Q20" s="179">
        <f>SUM(B.01!$B46:$AO46)</f>
        <v>2098370.1496077362</v>
      </c>
      <c r="R20" s="179">
        <f>SUM(B.01!$B47:$AO47)</f>
        <v>2098370.1496077362</v>
      </c>
      <c r="S20" s="179">
        <f>SUM(B.01!$B48:$AO48)</f>
        <v>2104119.108921729</v>
      </c>
      <c r="T20" s="179">
        <f>SUM(B.01!$B49:$AO49)</f>
        <v>2098370.1496077362</v>
      </c>
      <c r="U20" s="179">
        <f>SUM(B.01!$B50:$AO50)</f>
        <v>2098370.1496077362</v>
      </c>
      <c r="V20" s="179">
        <f>SUM(B.01!$B51:$AO51)</f>
        <v>1989139.9226418538</v>
      </c>
      <c r="W20" s="180"/>
      <c r="X20" s="105"/>
      <c r="Y20" s="105"/>
      <c r="Z20" s="222"/>
      <c r="AA20" s="181">
        <f t="shared" ref="AA20:AA29" si="6">SUM(G20:V20)</f>
        <v>31510046.000000007</v>
      </c>
      <c r="AB20" s="583"/>
      <c r="AC20" s="105"/>
      <c r="AD20" s="71">
        <f>SUM(G20:L20)-SUM(B.01!B36:AO41)</f>
        <v>0</v>
      </c>
      <c r="AE20" s="72"/>
      <c r="AF20" s="72"/>
      <c r="AG20" s="73"/>
      <c r="AH20" s="72"/>
      <c r="AJ20" s="71"/>
      <c r="AK20" s="69"/>
      <c r="AL20" s="74"/>
      <c r="AM20" s="74"/>
      <c r="AN20" s="74"/>
      <c r="AO20" s="69"/>
      <c r="AP20" s="71"/>
      <c r="AQ20" s="75"/>
    </row>
    <row r="21" spans="2:43" x14ac:dyDescent="0.3">
      <c r="B21" s="175" t="str">
        <f>MID($B$18,1,1)&amp;".02"</f>
        <v>B.02</v>
      </c>
      <c r="C21" s="564" t="s">
        <v>488</v>
      </c>
      <c r="D21" s="571"/>
      <c r="E21" s="178" t="s">
        <v>417</v>
      </c>
      <c r="F21" s="178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0"/>
      <c r="X21" s="105"/>
      <c r="Y21" s="105"/>
      <c r="Z21" s="222"/>
      <c r="AA21" s="181">
        <f t="shared" si="6"/>
        <v>0</v>
      </c>
      <c r="AB21" s="583"/>
      <c r="AC21" s="105"/>
      <c r="AD21" s="71"/>
      <c r="AE21" s="72"/>
      <c r="AF21" s="72"/>
      <c r="AG21" s="73"/>
      <c r="AH21" s="72"/>
      <c r="AJ21" s="71"/>
      <c r="AK21" s="69"/>
      <c r="AL21" s="74"/>
      <c r="AM21" s="74"/>
      <c r="AN21" s="74"/>
      <c r="AO21" s="69"/>
      <c r="AP21" s="71"/>
      <c r="AQ21" s="75"/>
    </row>
    <row r="22" spans="2:43" x14ac:dyDescent="0.3">
      <c r="B22" s="175" t="str">
        <f>MID($B$18,1,1)&amp;".03"</f>
        <v>B.03</v>
      </c>
      <c r="C22" s="564" t="s">
        <v>492</v>
      </c>
      <c r="D22" s="281" t="s">
        <v>536</v>
      </c>
      <c r="E22" s="178" t="s">
        <v>417</v>
      </c>
      <c r="F22" s="178"/>
      <c r="G22" s="179">
        <f>SUM(B.03!$B$17:$O$17)</f>
        <v>0</v>
      </c>
      <c r="H22" s="179">
        <f>SUM(B.03!$B$18:$O$18)</f>
        <v>0</v>
      </c>
      <c r="I22" s="179">
        <f>SUM(B.03!$B$19:$O$19)</f>
        <v>0</v>
      </c>
      <c r="J22" s="179">
        <f>SUM(B.03!$B$20:$O$20)</f>
        <v>0</v>
      </c>
      <c r="K22" s="179">
        <f>SUM(B.03!$B$21:$O$21)</f>
        <v>0</v>
      </c>
      <c r="L22" s="179">
        <f>SUM(B.03!$B$22:$O$22)</f>
        <v>0</v>
      </c>
      <c r="M22" s="179">
        <f>SUM(B.03!$B$23:$O$23)</f>
        <v>0</v>
      </c>
      <c r="N22" s="179">
        <f>SUM(B.03!$B$24:$O$24)</f>
        <v>0</v>
      </c>
      <c r="O22" s="179">
        <f>SUM(B.03!$B$25:$O$25)</f>
        <v>0</v>
      </c>
      <c r="P22" s="179">
        <f>SUM(B.03!$B$26:$O$26)</f>
        <v>0</v>
      </c>
      <c r="Q22" s="179">
        <f>SUM(B.03!$B$27:$O$27)</f>
        <v>0</v>
      </c>
      <c r="R22" s="179">
        <f>SUM(B.03!$B$28:$O$28)</f>
        <v>0</v>
      </c>
      <c r="S22" s="179">
        <f>SUM(B.03!$B$29:$O$29)</f>
        <v>0</v>
      </c>
      <c r="T22" s="179">
        <f>SUM(B.03!$B$30:$O$30)</f>
        <v>0</v>
      </c>
      <c r="U22" s="179">
        <f>SUM(B.03!$B$31:$O$31)</f>
        <v>0</v>
      </c>
      <c r="V22" s="179">
        <f>SUM(B.03!$B$32:$O$32)</f>
        <v>0</v>
      </c>
      <c r="W22" s="180"/>
      <c r="X22" s="105"/>
      <c r="Y22" s="105"/>
      <c r="Z22" s="222"/>
      <c r="AA22" s="181">
        <f t="shared" si="6"/>
        <v>0</v>
      </c>
      <c r="AB22" s="583"/>
      <c r="AC22" s="105"/>
      <c r="AD22" s="71"/>
      <c r="AE22" s="72"/>
      <c r="AF22" s="72"/>
      <c r="AG22" s="73"/>
      <c r="AH22" s="72"/>
      <c r="AJ22" s="71"/>
      <c r="AK22" s="69"/>
      <c r="AL22" s="74"/>
      <c r="AM22" s="74"/>
      <c r="AN22" s="74"/>
      <c r="AO22" s="69"/>
      <c r="AP22" s="71"/>
      <c r="AQ22" s="75"/>
    </row>
    <row r="23" spans="2:43" x14ac:dyDescent="0.3">
      <c r="B23" s="175" t="str">
        <f>MID($B$18,1,1)&amp;".04"</f>
        <v>B.04</v>
      </c>
      <c r="C23" s="564" t="s">
        <v>493</v>
      </c>
      <c r="D23" s="571"/>
      <c r="E23" s="317" t="s">
        <v>94</v>
      </c>
      <c r="F23" s="317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0"/>
      <c r="X23" s="105"/>
      <c r="Y23" s="105"/>
      <c r="Z23" s="222"/>
      <c r="AA23" s="181">
        <f t="shared" si="6"/>
        <v>0</v>
      </c>
      <c r="AB23" s="583"/>
      <c r="AC23" s="105"/>
      <c r="AD23" s="71"/>
      <c r="AE23" s="72"/>
      <c r="AF23" s="72"/>
      <c r="AG23" s="73"/>
      <c r="AH23" s="72"/>
      <c r="AJ23" s="71"/>
      <c r="AK23" s="69"/>
      <c r="AL23" s="74"/>
      <c r="AM23" s="74"/>
      <c r="AN23" s="74"/>
      <c r="AO23" s="69"/>
      <c r="AP23" s="71"/>
      <c r="AQ23" s="75"/>
    </row>
    <row r="24" spans="2:43" x14ac:dyDescent="0.3">
      <c r="B24" s="175" t="str">
        <f>MID($B$18,1,1)&amp;".05"</f>
        <v>B.05</v>
      </c>
      <c r="C24" s="564" t="s">
        <v>494</v>
      </c>
      <c r="D24" s="571"/>
      <c r="E24" s="317" t="s">
        <v>94</v>
      </c>
      <c r="F24" s="317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0"/>
      <c r="X24" s="105"/>
      <c r="Y24" s="105"/>
      <c r="Z24" s="222"/>
      <c r="AA24" s="181">
        <f t="shared" si="6"/>
        <v>0</v>
      </c>
      <c r="AB24" s="583"/>
      <c r="AC24" s="105"/>
      <c r="AD24" s="71"/>
      <c r="AE24" s="72"/>
      <c r="AF24" s="72"/>
      <c r="AG24" s="73"/>
      <c r="AH24" s="72"/>
      <c r="AJ24" s="71"/>
      <c r="AK24" s="69"/>
      <c r="AL24" s="74"/>
      <c r="AM24" s="74"/>
      <c r="AN24" s="74"/>
      <c r="AO24" s="69"/>
      <c r="AP24" s="71"/>
      <c r="AQ24" s="75"/>
    </row>
    <row r="25" spans="2:43" x14ac:dyDescent="0.3">
      <c r="B25" s="175" t="str">
        <f>MID($B$18,1,1)&amp;".06"</f>
        <v>B.06</v>
      </c>
      <c r="C25" s="564" t="s">
        <v>495</v>
      </c>
      <c r="D25" s="571"/>
      <c r="E25" s="317" t="s">
        <v>94</v>
      </c>
      <c r="F25" s="317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0"/>
      <c r="X25" s="105"/>
      <c r="Y25" s="105"/>
      <c r="Z25" s="222"/>
      <c r="AA25" s="181">
        <f t="shared" si="6"/>
        <v>0</v>
      </c>
      <c r="AB25" s="583"/>
      <c r="AC25" s="105"/>
      <c r="AD25" s="71"/>
      <c r="AE25" s="72"/>
      <c r="AF25" s="72"/>
      <c r="AG25" s="73"/>
      <c r="AH25" s="72"/>
      <c r="AJ25" s="71"/>
      <c r="AK25" s="69"/>
      <c r="AL25" s="74"/>
      <c r="AM25" s="74"/>
      <c r="AN25" s="74"/>
      <c r="AO25" s="69"/>
      <c r="AP25" s="71"/>
      <c r="AQ25" s="75"/>
    </row>
    <row r="26" spans="2:43" x14ac:dyDescent="0.3">
      <c r="B26" s="175" t="str">
        <f>MID($B$18,1,1)&amp;".07"</f>
        <v>B.07</v>
      </c>
      <c r="C26" s="564" t="s">
        <v>496</v>
      </c>
      <c r="D26" s="571"/>
      <c r="E26" s="617" t="s">
        <v>94</v>
      </c>
      <c r="F26" s="317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0"/>
      <c r="X26" s="105"/>
      <c r="Y26" s="105"/>
      <c r="Z26" s="222"/>
      <c r="AA26" s="181">
        <f t="shared" si="6"/>
        <v>0</v>
      </c>
      <c r="AB26" s="583"/>
      <c r="AC26" s="105"/>
      <c r="AD26" s="71"/>
      <c r="AE26" s="72"/>
      <c r="AF26" s="72"/>
      <c r="AG26" s="73"/>
      <c r="AH26" s="72"/>
      <c r="AJ26" s="71"/>
      <c r="AK26" s="69"/>
      <c r="AL26" s="74"/>
      <c r="AM26" s="74"/>
      <c r="AN26" s="74"/>
      <c r="AO26" s="69"/>
      <c r="AP26" s="71"/>
      <c r="AQ26" s="75"/>
    </row>
    <row r="27" spans="2:43" x14ac:dyDescent="0.3">
      <c r="B27" s="175" t="str">
        <f>MID($B$18,1,1)&amp;".08"</f>
        <v>B.08</v>
      </c>
      <c r="C27" s="564" t="s">
        <v>497</v>
      </c>
      <c r="D27" s="185"/>
      <c r="E27" s="317" t="s">
        <v>94</v>
      </c>
      <c r="F27" s="317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0"/>
      <c r="X27" s="105"/>
      <c r="Y27" s="105"/>
      <c r="Z27" s="222"/>
      <c r="AA27" s="181">
        <f t="shared" si="6"/>
        <v>0</v>
      </c>
      <c r="AB27" s="583"/>
      <c r="AC27" s="105"/>
      <c r="AD27" s="71"/>
      <c r="AE27" s="72"/>
      <c r="AF27" s="72"/>
      <c r="AG27" s="73"/>
      <c r="AH27" s="72"/>
      <c r="AJ27" s="71"/>
      <c r="AK27" s="69"/>
      <c r="AL27" s="74"/>
      <c r="AM27" s="74"/>
      <c r="AN27" s="74"/>
      <c r="AO27" s="69"/>
      <c r="AP27" s="71"/>
      <c r="AQ27" s="75"/>
    </row>
    <row r="28" spans="2:43" x14ac:dyDescent="0.3">
      <c r="B28" s="175" t="str">
        <f>MID($B$18,1,1)&amp;".09"</f>
        <v>B.09</v>
      </c>
      <c r="C28" s="564" t="s">
        <v>498</v>
      </c>
      <c r="D28" s="571"/>
      <c r="E28" s="317" t="s">
        <v>94</v>
      </c>
      <c r="F28" s="317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0"/>
      <c r="X28" s="105"/>
      <c r="Y28" s="105"/>
      <c r="Z28" s="222"/>
      <c r="AA28" s="181">
        <f t="shared" si="6"/>
        <v>0</v>
      </c>
      <c r="AB28" s="583"/>
      <c r="AC28" s="105"/>
      <c r="AD28" s="71"/>
      <c r="AE28" s="72"/>
      <c r="AF28" s="72"/>
      <c r="AG28" s="73"/>
      <c r="AH28" s="72"/>
      <c r="AJ28" s="71"/>
      <c r="AK28" s="69"/>
      <c r="AL28" s="74"/>
      <c r="AM28" s="74"/>
      <c r="AN28" s="74"/>
      <c r="AO28" s="69"/>
      <c r="AP28" s="71"/>
      <c r="AQ28" s="75"/>
    </row>
    <row r="29" spans="2:43" x14ac:dyDescent="0.3">
      <c r="B29" s="175" t="str">
        <f>MID($B$18,1,1)&amp;".10"</f>
        <v>B.10</v>
      </c>
      <c r="C29" s="564" t="s">
        <v>499</v>
      </c>
      <c r="D29" s="185"/>
      <c r="E29" s="317" t="s">
        <v>94</v>
      </c>
      <c r="F29" s="317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0"/>
      <c r="X29" s="105"/>
      <c r="Y29" s="105"/>
      <c r="Z29" s="222"/>
      <c r="AA29" s="181">
        <f t="shared" si="6"/>
        <v>0</v>
      </c>
      <c r="AB29" s="583"/>
      <c r="AC29" s="105"/>
      <c r="AD29" s="71"/>
      <c r="AE29" s="72"/>
      <c r="AF29" s="72"/>
      <c r="AG29" s="73"/>
      <c r="AH29" s="72"/>
      <c r="AJ29" s="71"/>
      <c r="AK29" s="69"/>
      <c r="AL29" s="74"/>
      <c r="AM29" s="74"/>
      <c r="AN29" s="74"/>
      <c r="AO29" s="69"/>
      <c r="AP29" s="71"/>
      <c r="AQ29" s="75"/>
    </row>
    <row r="30" spans="2:43" ht="6" customHeight="1" x14ac:dyDescent="0.45">
      <c r="B30" s="175"/>
      <c r="C30" s="173"/>
      <c r="D30" s="173"/>
      <c r="E30" s="562"/>
      <c r="F30" s="562"/>
      <c r="G30" s="173"/>
      <c r="H30" s="173"/>
      <c r="I30" s="173"/>
      <c r="J30" s="173"/>
      <c r="K30" s="173"/>
      <c r="L30" s="173"/>
      <c r="M30" s="559"/>
      <c r="N30" s="559"/>
      <c r="O30" s="559"/>
      <c r="P30" s="559"/>
      <c r="Q30" s="559"/>
      <c r="R30" s="559"/>
      <c r="S30" s="559"/>
      <c r="T30" s="559"/>
      <c r="U30" s="559"/>
      <c r="V30" s="559"/>
      <c r="W30" s="180"/>
      <c r="X30" s="105"/>
      <c r="Y30" s="105"/>
      <c r="Z30" s="222"/>
      <c r="AA30" s="105"/>
      <c r="AB30" s="176"/>
      <c r="AC30" s="105"/>
      <c r="AD30" s="71"/>
      <c r="AE30" s="72"/>
      <c r="AF30" s="72"/>
      <c r="AG30" s="73"/>
      <c r="AH30" s="72"/>
      <c r="AJ30" s="71"/>
      <c r="AK30" s="69"/>
      <c r="AL30" s="74"/>
      <c r="AM30" s="74"/>
      <c r="AN30" s="74"/>
      <c r="AO30" s="69"/>
      <c r="AP30" s="71"/>
      <c r="AQ30" s="75"/>
    </row>
    <row r="31" spans="2:43" ht="17.399999999999999" x14ac:dyDescent="0.45">
      <c r="B31" s="172" t="s">
        <v>100</v>
      </c>
      <c r="C31" s="565" t="s">
        <v>101</v>
      </c>
      <c r="D31" s="185"/>
      <c r="E31" s="318"/>
      <c r="F31" s="318"/>
      <c r="G31" s="559">
        <f>SUM(G32:G34)</f>
        <v>0</v>
      </c>
      <c r="H31" s="559">
        <f t="shared" ref="H31:K31" si="7">SUM(H32:H34)</f>
        <v>0</v>
      </c>
      <c r="I31" s="559">
        <f t="shared" si="7"/>
        <v>0</v>
      </c>
      <c r="J31" s="559">
        <f t="shared" si="7"/>
        <v>0</v>
      </c>
      <c r="K31" s="559">
        <f t="shared" si="7"/>
        <v>0</v>
      </c>
      <c r="L31" s="559">
        <f t="shared" ref="L31" si="8">SUM(L32:L34)</f>
        <v>0</v>
      </c>
      <c r="M31" s="559">
        <f t="shared" ref="M31" si="9">SUM(M32:M34)</f>
        <v>0</v>
      </c>
      <c r="N31" s="559">
        <f t="shared" ref="N31" si="10">SUM(N32:N34)</f>
        <v>0</v>
      </c>
      <c r="O31" s="559">
        <f t="shared" ref="O31" si="11">SUM(O32:O34)</f>
        <v>0</v>
      </c>
      <c r="P31" s="559">
        <f t="shared" ref="P31" si="12">SUM(P32:P34)</f>
        <v>0</v>
      </c>
      <c r="Q31" s="559">
        <f t="shared" ref="Q31" si="13">SUM(Q32:Q34)</f>
        <v>0</v>
      </c>
      <c r="R31" s="559">
        <f t="shared" ref="R31" si="14">SUM(R32:R34)</f>
        <v>0</v>
      </c>
      <c r="S31" s="559">
        <f t="shared" ref="S31" si="15">SUM(S32:S34)</f>
        <v>0</v>
      </c>
      <c r="T31" s="559">
        <f t="shared" ref="T31" si="16">SUM(T32:T34)</f>
        <v>0</v>
      </c>
      <c r="U31" s="559">
        <f t="shared" ref="U31" si="17">SUM(U32:U34)</f>
        <v>0</v>
      </c>
      <c r="V31" s="559">
        <f t="shared" ref="V31" si="18">SUM(V32:V34)</f>
        <v>0</v>
      </c>
      <c r="W31" s="180"/>
      <c r="X31" s="105"/>
      <c r="Y31" s="105"/>
      <c r="Z31" s="222"/>
      <c r="AA31" s="574">
        <f>SUM(G31:V31)</f>
        <v>0</v>
      </c>
      <c r="AB31" s="582"/>
      <c r="AC31" s="105"/>
      <c r="AD31" s="90"/>
    </row>
    <row r="32" spans="2:43" ht="6" customHeight="1" x14ac:dyDescent="0.3">
      <c r="B32" s="175"/>
      <c r="C32" s="566"/>
      <c r="D32" s="185"/>
      <c r="E32" s="318"/>
      <c r="F32" s="318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0"/>
      <c r="X32" s="105"/>
      <c r="Y32" s="105"/>
      <c r="Z32" s="222"/>
      <c r="AA32" s="105"/>
      <c r="AB32" s="176"/>
      <c r="AC32" s="105"/>
    </row>
    <row r="33" spans="2:43" x14ac:dyDescent="0.3">
      <c r="B33" s="175" t="str">
        <f>MID($B$31,1,1)&amp;".01"</f>
        <v>C.01</v>
      </c>
      <c r="C33" s="604" t="s">
        <v>520</v>
      </c>
      <c r="D33" s="571"/>
      <c r="E33" s="317" t="s">
        <v>94</v>
      </c>
      <c r="F33" s="317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4"/>
      <c r="X33" s="105"/>
      <c r="Y33" s="105"/>
      <c r="Z33" s="222"/>
      <c r="AA33" s="181">
        <f>SUM(G33:V33)</f>
        <v>0</v>
      </c>
      <c r="AB33" s="583"/>
      <c r="AC33" s="105"/>
      <c r="AD33" s="91"/>
    </row>
    <row r="34" spans="2:43" ht="6" customHeight="1" x14ac:dyDescent="0.45">
      <c r="B34" s="175"/>
      <c r="C34" s="566"/>
      <c r="D34" s="571"/>
      <c r="E34" s="317"/>
      <c r="F34" s="317"/>
      <c r="G34" s="317"/>
      <c r="H34" s="317"/>
      <c r="I34" s="317"/>
      <c r="J34" s="317"/>
      <c r="K34" s="317"/>
      <c r="L34" s="317"/>
      <c r="M34" s="317"/>
      <c r="N34" s="317"/>
      <c r="O34" s="317"/>
      <c r="P34" s="559"/>
      <c r="Q34" s="559"/>
      <c r="R34" s="559"/>
      <c r="S34" s="559"/>
      <c r="T34" s="559"/>
      <c r="U34" s="559"/>
      <c r="V34" s="559"/>
      <c r="W34" s="184"/>
      <c r="X34" s="105"/>
      <c r="Y34" s="105"/>
      <c r="Z34" s="222"/>
      <c r="AA34" s="181"/>
      <c r="AB34" s="583"/>
      <c r="AC34" s="105"/>
      <c r="AD34" s="91"/>
    </row>
    <row r="35" spans="2:43" ht="17.399999999999999" x14ac:dyDescent="0.45">
      <c r="B35" s="172" t="s">
        <v>103</v>
      </c>
      <c r="C35" s="565" t="s">
        <v>224</v>
      </c>
      <c r="E35" s="317"/>
      <c r="F35" s="317"/>
      <c r="G35" s="440">
        <f t="shared" ref="G35:V35" si="19">SUM(G36:G39)</f>
        <v>0</v>
      </c>
      <c r="H35" s="440">
        <f t="shared" si="19"/>
        <v>0</v>
      </c>
      <c r="I35" s="440">
        <f t="shared" si="19"/>
        <v>0</v>
      </c>
      <c r="J35" s="440">
        <f t="shared" si="19"/>
        <v>0</v>
      </c>
      <c r="K35" s="440">
        <f t="shared" si="19"/>
        <v>0</v>
      </c>
      <c r="L35" s="440">
        <f t="shared" si="19"/>
        <v>0</v>
      </c>
      <c r="M35" s="440">
        <f t="shared" si="19"/>
        <v>0</v>
      </c>
      <c r="N35" s="440">
        <f t="shared" si="19"/>
        <v>0</v>
      </c>
      <c r="O35" s="440">
        <f t="shared" si="19"/>
        <v>0</v>
      </c>
      <c r="P35" s="440">
        <f t="shared" si="19"/>
        <v>0</v>
      </c>
      <c r="Q35" s="440">
        <f t="shared" si="19"/>
        <v>0</v>
      </c>
      <c r="R35" s="440">
        <f t="shared" si="19"/>
        <v>0</v>
      </c>
      <c r="S35" s="440">
        <f t="shared" si="19"/>
        <v>0</v>
      </c>
      <c r="T35" s="440">
        <f t="shared" si="19"/>
        <v>0</v>
      </c>
      <c r="U35" s="440">
        <f t="shared" si="19"/>
        <v>0</v>
      </c>
      <c r="V35" s="440">
        <f t="shared" si="19"/>
        <v>0</v>
      </c>
      <c r="W35" s="184"/>
      <c r="X35" s="105"/>
      <c r="Y35" s="105"/>
      <c r="Z35" s="222"/>
      <c r="AA35" s="181">
        <f>SUM(G35:V35)</f>
        <v>0</v>
      </c>
      <c r="AB35" s="583"/>
      <c r="AC35" s="105"/>
      <c r="AD35" s="91"/>
    </row>
    <row r="36" spans="2:43" ht="6" customHeight="1" x14ac:dyDescent="0.3">
      <c r="B36" s="175"/>
      <c r="C36" s="566"/>
      <c r="E36" s="317"/>
      <c r="F36" s="317"/>
      <c r="G36" s="317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7"/>
      <c r="V36" s="317"/>
      <c r="W36" s="184"/>
      <c r="X36" s="105"/>
      <c r="Y36" s="105"/>
      <c r="Z36" s="222"/>
      <c r="AA36" s="181"/>
      <c r="AB36" s="583"/>
      <c r="AC36" s="105"/>
      <c r="AD36" s="91"/>
    </row>
    <row r="37" spans="2:43" x14ac:dyDescent="0.3">
      <c r="B37" s="175" t="str">
        <f>MID($B$35,1,1)&amp;".01"</f>
        <v>D.01</v>
      </c>
      <c r="C37" s="566" t="s">
        <v>364</v>
      </c>
      <c r="D37" s="281" t="s">
        <v>346</v>
      </c>
      <c r="E37" s="178" t="s">
        <v>94</v>
      </c>
      <c r="F37" s="178"/>
      <c r="G37" s="179">
        <f>D.01!C149</f>
        <v>0</v>
      </c>
      <c r="H37" s="179">
        <f>D.01!D149</f>
        <v>0</v>
      </c>
      <c r="I37" s="179">
        <f>D.01!E149</f>
        <v>0</v>
      </c>
      <c r="J37" s="179">
        <f>D.01!F149</f>
        <v>0</v>
      </c>
      <c r="K37" s="179">
        <f>D.01!G149</f>
        <v>0</v>
      </c>
      <c r="L37" s="179">
        <f>D.01!H149</f>
        <v>0</v>
      </c>
      <c r="M37" s="179">
        <f>D.01!I149</f>
        <v>0</v>
      </c>
      <c r="N37" s="179">
        <f>D.01!J149</f>
        <v>0</v>
      </c>
      <c r="O37" s="179">
        <f>D.01!K149</f>
        <v>0</v>
      </c>
      <c r="P37" s="179">
        <f>D.01!L149</f>
        <v>0</v>
      </c>
      <c r="Q37" s="179">
        <f>D.01!M149</f>
        <v>0</v>
      </c>
      <c r="R37" s="179">
        <f>D.01!N149</f>
        <v>0</v>
      </c>
      <c r="S37" s="179">
        <f>D.01!O149</f>
        <v>0</v>
      </c>
      <c r="T37" s="179">
        <f>D.01!P149</f>
        <v>0</v>
      </c>
      <c r="U37" s="179">
        <f>D.01!Q149</f>
        <v>0</v>
      </c>
      <c r="V37" s="179">
        <f>D.01!R149</f>
        <v>0</v>
      </c>
      <c r="W37" s="180"/>
      <c r="X37" s="105"/>
      <c r="Y37" s="105"/>
      <c r="Z37" s="222"/>
      <c r="AA37" s="181">
        <f t="shared" ref="AA37:AA38" si="20">SUM(G37:V37)</f>
        <v>0</v>
      </c>
      <c r="AB37" s="583"/>
      <c r="AC37" s="105"/>
      <c r="AD37" s="71"/>
      <c r="AE37" s="72"/>
      <c r="AF37" s="72"/>
      <c r="AG37" s="73"/>
      <c r="AH37" s="72"/>
      <c r="AJ37" s="71"/>
      <c r="AK37" s="69"/>
      <c r="AL37" s="74"/>
      <c r="AM37" s="74"/>
      <c r="AN37" s="74"/>
      <c r="AO37" s="69"/>
      <c r="AP37" s="71"/>
      <c r="AQ37" s="75"/>
    </row>
    <row r="38" spans="2:43" x14ac:dyDescent="0.3">
      <c r="B38" s="175" t="str">
        <f>MID($B$35,1,1)&amp;".02"</f>
        <v>D.02</v>
      </c>
      <c r="C38" s="566" t="s">
        <v>365</v>
      </c>
      <c r="D38" s="567" t="s">
        <v>347</v>
      </c>
      <c r="E38" s="178" t="s">
        <v>94</v>
      </c>
      <c r="F38" s="178"/>
      <c r="G38" s="179">
        <f>D.02!C149</f>
        <v>0</v>
      </c>
      <c r="H38" s="179">
        <f>D.02!D149</f>
        <v>0</v>
      </c>
      <c r="I38" s="179">
        <f>D.02!E149</f>
        <v>0</v>
      </c>
      <c r="J38" s="179">
        <f>D.02!F149</f>
        <v>0</v>
      </c>
      <c r="K38" s="179">
        <f>D.02!G149</f>
        <v>0</v>
      </c>
      <c r="L38" s="179">
        <f>D.02!H149</f>
        <v>0</v>
      </c>
      <c r="M38" s="179">
        <f>D.02!I149</f>
        <v>0</v>
      </c>
      <c r="N38" s="179">
        <f>D.02!J149</f>
        <v>0</v>
      </c>
      <c r="O38" s="179">
        <f>D.02!K149</f>
        <v>0</v>
      </c>
      <c r="P38" s="179">
        <f>D.02!L149</f>
        <v>0</v>
      </c>
      <c r="Q38" s="179">
        <f>D.02!M149</f>
        <v>0</v>
      </c>
      <c r="R38" s="179">
        <f>D.02!N149</f>
        <v>0</v>
      </c>
      <c r="S38" s="179">
        <f>D.02!O149</f>
        <v>0</v>
      </c>
      <c r="T38" s="179">
        <f>D.02!P149</f>
        <v>0</v>
      </c>
      <c r="U38" s="179">
        <f>D.02!Q149</f>
        <v>0</v>
      </c>
      <c r="V38" s="179">
        <f>D.02!R149</f>
        <v>0</v>
      </c>
      <c r="W38" s="184"/>
      <c r="X38" s="105"/>
      <c r="Y38" s="105"/>
      <c r="Z38" s="222"/>
      <c r="AA38" s="181">
        <f t="shared" si="20"/>
        <v>0</v>
      </c>
      <c r="AB38" s="583"/>
      <c r="AC38" s="105"/>
      <c r="AD38" s="91"/>
    </row>
    <row r="39" spans="2:43" ht="6" customHeight="1" x14ac:dyDescent="0.45">
      <c r="B39" s="175"/>
      <c r="C39" s="566"/>
      <c r="D39" s="185"/>
      <c r="E39" s="318"/>
      <c r="F39" s="318"/>
      <c r="G39" s="185"/>
      <c r="H39" s="185"/>
      <c r="I39" s="185"/>
      <c r="J39" s="185"/>
      <c r="K39" s="185"/>
      <c r="L39" s="185"/>
      <c r="M39" s="559"/>
      <c r="N39" s="559"/>
      <c r="O39" s="559"/>
      <c r="P39" s="559"/>
      <c r="Q39" s="559"/>
      <c r="R39" s="559"/>
      <c r="S39" s="559"/>
      <c r="T39" s="559"/>
      <c r="U39" s="559"/>
      <c r="V39" s="559"/>
      <c r="W39" s="180"/>
      <c r="X39" s="105"/>
      <c r="Y39" s="105"/>
      <c r="Z39" s="222"/>
      <c r="AA39" s="105"/>
      <c r="AB39" s="176"/>
      <c r="AC39" s="105"/>
    </row>
    <row r="40" spans="2:43" x14ac:dyDescent="0.3">
      <c r="B40" s="175"/>
      <c r="C40" s="188" t="s">
        <v>102</v>
      </c>
      <c r="E40" s="210"/>
      <c r="F40" s="210"/>
      <c r="G40" s="189">
        <f>G$5</f>
        <v>2028</v>
      </c>
      <c r="H40" s="189">
        <f t="shared" ref="H40:V40" si="21">H$5</f>
        <v>2029</v>
      </c>
      <c r="I40" s="189">
        <f t="shared" si="21"/>
        <v>2030</v>
      </c>
      <c r="J40" s="189">
        <f t="shared" si="21"/>
        <v>2031</v>
      </c>
      <c r="K40" s="189">
        <f t="shared" si="21"/>
        <v>2032</v>
      </c>
      <c r="L40" s="189">
        <f t="shared" si="21"/>
        <v>2033</v>
      </c>
      <c r="M40" s="189">
        <f t="shared" si="21"/>
        <v>2034</v>
      </c>
      <c r="N40" s="189">
        <f t="shared" si="21"/>
        <v>2035</v>
      </c>
      <c r="O40" s="189">
        <f t="shared" si="21"/>
        <v>2036</v>
      </c>
      <c r="P40" s="189">
        <f t="shared" si="21"/>
        <v>2037</v>
      </c>
      <c r="Q40" s="189">
        <f t="shared" si="21"/>
        <v>2038</v>
      </c>
      <c r="R40" s="189">
        <f t="shared" si="21"/>
        <v>2039</v>
      </c>
      <c r="S40" s="189">
        <f t="shared" si="21"/>
        <v>2040</v>
      </c>
      <c r="T40" s="189">
        <f t="shared" si="21"/>
        <v>2041</v>
      </c>
      <c r="U40" s="189">
        <f t="shared" si="21"/>
        <v>2042</v>
      </c>
      <c r="V40" s="189">
        <f t="shared" si="21"/>
        <v>2043</v>
      </c>
      <c r="W40" s="182"/>
      <c r="X40" s="105"/>
      <c r="Y40" s="105"/>
      <c r="Z40" s="222"/>
      <c r="AA40" s="189" t="s">
        <v>88</v>
      </c>
      <c r="AB40" s="579"/>
      <c r="AC40" s="105"/>
    </row>
    <row r="41" spans="2:43" ht="6" customHeight="1" x14ac:dyDescent="0.45">
      <c r="B41" s="175"/>
      <c r="C41" s="188"/>
      <c r="D41" s="173"/>
      <c r="E41" s="562"/>
      <c r="F41" s="562"/>
      <c r="G41" s="105"/>
      <c r="H41" s="105"/>
      <c r="I41" s="105"/>
      <c r="J41" s="105"/>
      <c r="K41" s="105"/>
      <c r="L41" s="105"/>
      <c r="M41" s="559"/>
      <c r="N41" s="559"/>
      <c r="O41" s="559"/>
      <c r="P41" s="559"/>
      <c r="Q41" s="559"/>
      <c r="R41" s="559"/>
      <c r="S41" s="559"/>
      <c r="T41" s="559"/>
      <c r="U41" s="559"/>
      <c r="V41" s="559"/>
      <c r="W41" s="180"/>
      <c r="X41" s="105"/>
      <c r="Y41" s="105"/>
      <c r="Z41" s="222"/>
      <c r="AA41" s="105"/>
      <c r="AB41" s="176"/>
      <c r="AC41" s="105"/>
    </row>
    <row r="42" spans="2:43" ht="17.399999999999999" x14ac:dyDescent="0.45">
      <c r="B42" s="172" t="s">
        <v>106</v>
      </c>
      <c r="C42" s="173" t="s">
        <v>104</v>
      </c>
      <c r="D42" s="173"/>
      <c r="E42" s="562"/>
      <c r="F42" s="562"/>
      <c r="G42" s="559">
        <f t="shared" ref="G42:L42" si="22">SUM(G44:G46)</f>
        <v>0</v>
      </c>
      <c r="H42" s="559">
        <f t="shared" si="22"/>
        <v>0</v>
      </c>
      <c r="I42" s="559">
        <f t="shared" si="22"/>
        <v>0</v>
      </c>
      <c r="J42" s="559">
        <f t="shared" si="22"/>
        <v>0</v>
      </c>
      <c r="K42" s="559">
        <f t="shared" si="22"/>
        <v>0</v>
      </c>
      <c r="L42" s="559">
        <f t="shared" si="22"/>
        <v>0</v>
      </c>
      <c r="M42" s="559">
        <f t="shared" ref="M42:V42" si="23">SUM(M44:M46)</f>
        <v>0</v>
      </c>
      <c r="N42" s="559">
        <f t="shared" si="23"/>
        <v>0</v>
      </c>
      <c r="O42" s="559">
        <f t="shared" si="23"/>
        <v>0</v>
      </c>
      <c r="P42" s="559">
        <f t="shared" si="23"/>
        <v>0</v>
      </c>
      <c r="Q42" s="559">
        <f t="shared" si="23"/>
        <v>0</v>
      </c>
      <c r="R42" s="559">
        <f t="shared" si="23"/>
        <v>0</v>
      </c>
      <c r="S42" s="559">
        <f t="shared" si="23"/>
        <v>0</v>
      </c>
      <c r="T42" s="559">
        <f t="shared" si="23"/>
        <v>0</v>
      </c>
      <c r="U42" s="559">
        <f t="shared" si="23"/>
        <v>0</v>
      </c>
      <c r="V42" s="559">
        <f t="shared" si="23"/>
        <v>0</v>
      </c>
      <c r="W42" s="180"/>
      <c r="X42" s="105"/>
      <c r="Y42" s="105"/>
      <c r="Z42" s="222"/>
      <c r="AA42" s="574">
        <f>SUM(G42:V42)</f>
        <v>0</v>
      </c>
      <c r="AB42" s="582"/>
      <c r="AC42" s="105"/>
    </row>
    <row r="43" spans="2:43" ht="6" customHeight="1" x14ac:dyDescent="0.3">
      <c r="B43" s="175"/>
      <c r="C43" s="188"/>
      <c r="D43" s="173"/>
      <c r="E43" s="562"/>
      <c r="F43" s="562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80"/>
      <c r="X43" s="105"/>
      <c r="Y43" s="105"/>
      <c r="Z43" s="222"/>
      <c r="AA43" s="105"/>
      <c r="AB43" s="176"/>
      <c r="AC43" s="105"/>
    </row>
    <row r="44" spans="2:43" x14ac:dyDescent="0.3">
      <c r="B44" s="175" t="str">
        <f>MID($B$42,1,1)&amp;".01"</f>
        <v>E.01</v>
      </c>
      <c r="C44" s="105" t="s">
        <v>373</v>
      </c>
      <c r="D44" s="190" t="s">
        <v>212</v>
      </c>
      <c r="E44" s="317" t="s">
        <v>97</v>
      </c>
      <c r="F44" s="317"/>
      <c r="G44" s="179">
        <f>E.01!B7</f>
        <v>0</v>
      </c>
      <c r="H44" s="179">
        <f>E.01!C7</f>
        <v>0</v>
      </c>
      <c r="I44" s="179">
        <f>E.01!D7</f>
        <v>0</v>
      </c>
      <c r="J44" s="179">
        <f>E.01!E7</f>
        <v>0</v>
      </c>
      <c r="K44" s="179">
        <f>E.01!F7</f>
        <v>0</v>
      </c>
      <c r="L44" s="179">
        <f>E.01!G7</f>
        <v>0</v>
      </c>
      <c r="M44" s="179">
        <f>E.01!H7</f>
        <v>0</v>
      </c>
      <c r="N44" s="179">
        <f>E.01!I7</f>
        <v>0</v>
      </c>
      <c r="O44" s="179">
        <f>E.01!J7</f>
        <v>0</v>
      </c>
      <c r="P44" s="179">
        <f>E.01!K7</f>
        <v>0</v>
      </c>
      <c r="Q44" s="179">
        <f>E.01!L7</f>
        <v>0</v>
      </c>
      <c r="R44" s="179">
        <f>E.01!M7</f>
        <v>0</v>
      </c>
      <c r="S44" s="179">
        <f>E.01!N7</f>
        <v>0</v>
      </c>
      <c r="T44" s="179">
        <f>E.01!O7</f>
        <v>0</v>
      </c>
      <c r="U44" s="179">
        <f>E.01!P7</f>
        <v>0</v>
      </c>
      <c r="V44" s="179">
        <f>E.01!Q7</f>
        <v>0</v>
      </c>
      <c r="W44" s="180"/>
      <c r="X44" s="105"/>
      <c r="Y44" s="105"/>
      <c r="Z44" s="222"/>
      <c r="AA44" s="181">
        <f t="shared" ref="AA44:AA46" si="24">SUM(G44:V44)</f>
        <v>0</v>
      </c>
      <c r="AB44" s="583"/>
      <c r="AC44" s="105"/>
      <c r="AD44" s="75">
        <f>SUM(G44:L44)-SUM(E.01!B7:G7)</f>
        <v>0</v>
      </c>
    </row>
    <row r="45" spans="2:43" x14ac:dyDescent="0.3">
      <c r="B45" s="175" t="str">
        <f>MID($B$42,1,1)&amp;".02"</f>
        <v>E.02</v>
      </c>
      <c r="C45" s="105" t="s">
        <v>105</v>
      </c>
      <c r="D45" s="191" t="s">
        <v>109</v>
      </c>
      <c r="E45" s="317" t="s">
        <v>97</v>
      </c>
      <c r="F45" s="317"/>
      <c r="G45" s="179">
        <f>E.02!B7</f>
        <v>0</v>
      </c>
      <c r="H45" s="179">
        <f>E.02!C7</f>
        <v>0</v>
      </c>
      <c r="I45" s="179">
        <f>E.02!D7</f>
        <v>0</v>
      </c>
      <c r="J45" s="179">
        <f>E.02!E7</f>
        <v>0</v>
      </c>
      <c r="K45" s="179">
        <f>E.02!F7</f>
        <v>0</v>
      </c>
      <c r="L45" s="179">
        <f>E.02!G7</f>
        <v>0</v>
      </c>
      <c r="M45" s="179">
        <f>E.02!H7</f>
        <v>0</v>
      </c>
      <c r="N45" s="179">
        <f>E.02!I7</f>
        <v>0</v>
      </c>
      <c r="O45" s="179">
        <f>E.02!J7</f>
        <v>0</v>
      </c>
      <c r="P45" s="179">
        <f>E.02!K7</f>
        <v>0</v>
      </c>
      <c r="Q45" s="179">
        <f>E.02!L7</f>
        <v>0</v>
      </c>
      <c r="R45" s="179">
        <f>E.02!M7</f>
        <v>0</v>
      </c>
      <c r="S45" s="179">
        <f>E.02!N7</f>
        <v>0</v>
      </c>
      <c r="T45" s="179">
        <f>E.02!O7</f>
        <v>0</v>
      </c>
      <c r="U45" s="179">
        <f>E.02!P7</f>
        <v>0</v>
      </c>
      <c r="V45" s="179">
        <f>E.02!Q7</f>
        <v>0</v>
      </c>
      <c r="W45" s="184"/>
      <c r="X45" s="105"/>
      <c r="Y45" s="105"/>
      <c r="Z45" s="222"/>
      <c r="AA45" s="181">
        <f t="shared" si="24"/>
        <v>0</v>
      </c>
      <c r="AB45" s="583"/>
      <c r="AC45" s="105"/>
      <c r="AD45" s="75">
        <f>SUM(G45:V45)-SUM(E.02!B7:Q7)</f>
        <v>0</v>
      </c>
      <c r="AE45" s="283"/>
    </row>
    <row r="46" spans="2:43" x14ac:dyDescent="0.3">
      <c r="B46" s="175" t="str">
        <f>MID($B$42,1,1)&amp;".03"</f>
        <v>E.03</v>
      </c>
      <c r="C46" s="568" t="s">
        <v>511</v>
      </c>
      <c r="D46" s="571"/>
      <c r="E46" s="317" t="s">
        <v>97</v>
      </c>
      <c r="F46" s="317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4"/>
      <c r="X46" s="105"/>
      <c r="Y46" s="105"/>
      <c r="Z46" s="222"/>
      <c r="AA46" s="181">
        <f t="shared" si="24"/>
        <v>0</v>
      </c>
      <c r="AB46" s="583"/>
      <c r="AC46" s="105"/>
      <c r="AD46" s="75"/>
    </row>
    <row r="47" spans="2:43" ht="6" customHeight="1" x14ac:dyDescent="0.45">
      <c r="B47" s="175"/>
      <c r="C47" s="105"/>
      <c r="E47" s="210"/>
      <c r="F47" s="210"/>
      <c r="G47" s="105"/>
      <c r="H47" s="181"/>
      <c r="I47" s="105"/>
      <c r="J47" s="105"/>
      <c r="K47" s="105"/>
      <c r="L47" s="105"/>
      <c r="M47" s="559"/>
      <c r="N47" s="559"/>
      <c r="O47" s="559"/>
      <c r="P47" s="559"/>
      <c r="Q47" s="559"/>
      <c r="R47" s="559"/>
      <c r="S47" s="559"/>
      <c r="T47" s="559"/>
      <c r="U47" s="559"/>
      <c r="V47" s="559"/>
      <c r="W47" s="184"/>
      <c r="X47" s="105"/>
      <c r="Y47" s="105"/>
      <c r="Z47" s="222"/>
      <c r="AA47" s="105"/>
      <c r="AB47" s="176"/>
      <c r="AC47" s="105"/>
    </row>
    <row r="48" spans="2:43" ht="17.399999999999999" x14ac:dyDescent="0.45">
      <c r="B48" s="172" t="s">
        <v>189</v>
      </c>
      <c r="C48" s="173" t="s">
        <v>107</v>
      </c>
      <c r="E48" s="210"/>
      <c r="F48" s="210"/>
      <c r="G48" s="559">
        <f t="shared" ref="G48:L48" si="25">SUM(G50:G60)</f>
        <v>376.45448323066393</v>
      </c>
      <c r="H48" s="559">
        <f t="shared" si="25"/>
        <v>6245.7221081451053</v>
      </c>
      <c r="I48" s="559">
        <f t="shared" si="25"/>
        <v>6245.7221081451053</v>
      </c>
      <c r="J48" s="559">
        <f t="shared" si="25"/>
        <v>6245.7221081451053</v>
      </c>
      <c r="K48" s="559">
        <f t="shared" si="25"/>
        <v>6262.8336755646815</v>
      </c>
      <c r="L48" s="559">
        <f t="shared" si="25"/>
        <v>6245.7221081451053</v>
      </c>
      <c r="M48" s="559">
        <f t="shared" ref="M48:V48" si="26">SUM(M50:M60)</f>
        <v>6245.7221081451053</v>
      </c>
      <c r="N48" s="559">
        <f t="shared" si="26"/>
        <v>6245.7221081451053</v>
      </c>
      <c r="O48" s="559">
        <f t="shared" si="26"/>
        <v>6262.8336755646815</v>
      </c>
      <c r="P48" s="559">
        <f t="shared" si="26"/>
        <v>6245.7221081451053</v>
      </c>
      <c r="Q48" s="559">
        <f t="shared" si="26"/>
        <v>6245.7221081451053</v>
      </c>
      <c r="R48" s="559">
        <f t="shared" si="26"/>
        <v>6245.7221081451053</v>
      </c>
      <c r="S48" s="559">
        <f t="shared" si="26"/>
        <v>6262.8336755646815</v>
      </c>
      <c r="T48" s="559">
        <f t="shared" si="26"/>
        <v>6245.7221081451053</v>
      </c>
      <c r="U48" s="559">
        <f t="shared" si="26"/>
        <v>6245.7221081451053</v>
      </c>
      <c r="V48" s="559">
        <f t="shared" si="26"/>
        <v>5920.6023271731683</v>
      </c>
      <c r="W48" s="184"/>
      <c r="X48" s="105"/>
      <c r="Y48" s="105"/>
      <c r="Z48" s="222"/>
      <c r="AA48" s="574">
        <f>SUM(G48:V48)</f>
        <v>93788.501026694023</v>
      </c>
      <c r="AB48" s="582"/>
      <c r="AC48" s="105"/>
    </row>
    <row r="49" spans="2:39" ht="6" customHeight="1" x14ac:dyDescent="0.45">
      <c r="B49" s="175"/>
      <c r="C49" s="105"/>
      <c r="E49" s="210"/>
      <c r="F49" s="210"/>
      <c r="G49" s="105"/>
      <c r="H49" s="105"/>
      <c r="I49" s="105"/>
      <c r="J49" s="105"/>
      <c r="K49" s="105"/>
      <c r="L49" s="105"/>
      <c r="M49" s="559"/>
      <c r="N49" s="559"/>
      <c r="O49" s="559"/>
      <c r="P49" s="559"/>
      <c r="Q49" s="559"/>
      <c r="R49" s="559"/>
      <c r="S49" s="559"/>
      <c r="T49" s="559"/>
      <c r="U49" s="559"/>
      <c r="V49" s="559"/>
      <c r="W49" s="184"/>
      <c r="X49" s="105"/>
      <c r="Y49" s="105"/>
      <c r="Z49" s="222"/>
      <c r="AA49" s="105"/>
      <c r="AB49" s="176"/>
      <c r="AC49" s="105"/>
    </row>
    <row r="50" spans="2:39" x14ac:dyDescent="0.3">
      <c r="B50" s="175" t="str">
        <f>MID($B$48,1,1)&amp;".01"</f>
        <v>F.01</v>
      </c>
      <c r="C50" s="566" t="s">
        <v>108</v>
      </c>
      <c r="D50" s="191" t="s">
        <v>233</v>
      </c>
      <c r="E50" s="210" t="s">
        <v>97</v>
      </c>
      <c r="F50" s="210"/>
      <c r="G50" s="179" cm="1">
        <f t="array" ref="G50">SUM(IF((F.01!$A$62:$A$77=FEO!G$5),F.01!$B$62:$O$77))</f>
        <v>0</v>
      </c>
      <c r="H50" s="179" cm="1">
        <f t="array" ref="H50">SUM(IF((F.01!$A$62:$A$77=FEO!H$5),F.01!$B$62:$O$77))</f>
        <v>0</v>
      </c>
      <c r="I50" s="179" cm="1">
        <f t="array" ref="I50">SUM(IF((F.01!$A$62:$A$77=FEO!I$5),F.01!$B$62:$O$77))</f>
        <v>0</v>
      </c>
      <c r="J50" s="179" cm="1">
        <f t="array" ref="J50">SUM(IF((F.01!$A$62:$A$77=FEO!J$5),F.01!$B$62:$O$77))</f>
        <v>0</v>
      </c>
      <c r="K50" s="179" cm="1">
        <f t="array" ref="K50">SUM(IF((F.01!$A$62:$A$77=FEO!K$5),F.01!$B$62:$O$77))</f>
        <v>0</v>
      </c>
      <c r="L50" s="179" cm="1">
        <f t="array" ref="L50">SUM(IF((F.01!$A$62:$A$77=FEO!L$5),F.01!$B$62:$O$77))</f>
        <v>0</v>
      </c>
      <c r="M50" s="179" cm="1">
        <f t="array" ref="M50">SUM(IF((F.01!$A$62:$A$77=FEO!M$5),F.01!$B$62:$O$77))</f>
        <v>0</v>
      </c>
      <c r="N50" s="179" cm="1">
        <f t="array" ref="N50">SUM(IF((F.01!$A$62:$A$77=FEO!N$5),F.01!$B$62:$O$77))</f>
        <v>0</v>
      </c>
      <c r="O50" s="179" cm="1">
        <f t="array" ref="O50">SUM(IF((F.01!$A$62:$A$77=FEO!O$5),F.01!$B$62:$O$77))</f>
        <v>0</v>
      </c>
      <c r="P50" s="179" cm="1">
        <f t="array" ref="P50">SUM(IF((F.01!$A$62:$A$77=FEO!P$5),F.01!$B$62:$O$77))</f>
        <v>0</v>
      </c>
      <c r="Q50" s="179" cm="1">
        <f t="array" ref="Q50">SUM(IF((F.01!$A$62:$A$77=FEO!Q$5),F.01!$B$62:$O$77))</f>
        <v>0</v>
      </c>
      <c r="R50" s="179" cm="1">
        <f t="array" ref="R50">SUM(IF((F.01!$A$62:$A$77=FEO!R$5),F.01!$B$62:$O$77))</f>
        <v>0</v>
      </c>
      <c r="S50" s="179" cm="1">
        <f t="array" ref="S50">SUM(IF((F.01!$A$62:$A$77=FEO!S$5),F.01!$B$62:$O$77))</f>
        <v>0</v>
      </c>
      <c r="T50" s="179" cm="1">
        <f t="array" ref="T50">SUM(IF((F.01!$A$62:$A$77=FEO!T$5),F.01!$B$62:$O$77))</f>
        <v>0</v>
      </c>
      <c r="U50" s="179" cm="1">
        <f t="array" ref="U50">SUM(IF((F.01!$A$62:$A$77=FEO!U$5),F.01!$B$62:$O$77))</f>
        <v>0</v>
      </c>
      <c r="V50" s="179" cm="1">
        <f t="array" ref="V50">SUM(IF((F.01!$A$62:$A$77=FEO!V$5),F.01!$B$62:$O$77))</f>
        <v>0</v>
      </c>
      <c r="W50" s="184"/>
      <c r="X50" s="105"/>
      <c r="Y50" s="105"/>
      <c r="Z50" s="222"/>
      <c r="AA50" s="181">
        <f t="shared" ref="AA50:AA64" si="27">SUM(G50:V50)</f>
        <v>0</v>
      </c>
      <c r="AB50" s="583"/>
      <c r="AC50" s="105"/>
      <c r="AD50" s="75">
        <f>AA50-SUM(F.01!B79:O79)</f>
        <v>0</v>
      </c>
    </row>
    <row r="51" spans="2:39" x14ac:dyDescent="0.3">
      <c r="B51" s="175" t="str">
        <f>MID($B$48,1,1)&amp;".02"</f>
        <v>F.02</v>
      </c>
      <c r="C51" s="569" t="s">
        <v>509</v>
      </c>
      <c r="D51" s="191" t="s">
        <v>234</v>
      </c>
      <c r="E51" s="317" t="s">
        <v>417</v>
      </c>
      <c r="F51" s="570"/>
      <c r="G51" s="179" cm="1">
        <f t="array" ref="G51">SUM(IF((F.02!$A$39:$A$54=FEO!G$5),F.02!$B$39:$O$54))</f>
        <v>376.45448323066393</v>
      </c>
      <c r="H51" s="179" cm="1">
        <f t="array" ref="H51">SUM(IF((F.02!$A$39:$A$54=FEO!H$5),F.02!$B$39:$O$54))</f>
        <v>6245.7221081451053</v>
      </c>
      <c r="I51" s="179" cm="1">
        <f t="array" ref="I51">SUM(IF((F.02!$A$39:$A$54=FEO!I$5),F.02!$B$39:$O$54))</f>
        <v>6245.7221081451053</v>
      </c>
      <c r="J51" s="179" cm="1">
        <f t="array" ref="J51">SUM(IF((F.02!$A$39:$A$54=FEO!J$5),F.02!$B$39:$O$54))</f>
        <v>6245.7221081451053</v>
      </c>
      <c r="K51" s="179" cm="1">
        <f t="array" ref="K51">SUM(IF((F.02!$A$39:$A$54=FEO!K$5),F.02!$B$39:$O$54))</f>
        <v>6262.8336755646815</v>
      </c>
      <c r="L51" s="179" cm="1">
        <f t="array" ref="L51">SUM(IF((F.02!$A$39:$A$54=FEO!L$5),F.02!$B$39:$O$54))</f>
        <v>6245.7221081451053</v>
      </c>
      <c r="M51" s="179" cm="1">
        <f t="array" ref="M51">SUM(IF((F.02!$A$39:$A$54=FEO!M$5),F.02!$B$39:$O$54))</f>
        <v>6245.7221081451053</v>
      </c>
      <c r="N51" s="179" cm="1">
        <f t="array" ref="N51">SUM(IF((F.02!$A$39:$A$54=FEO!N$5),F.02!$B$39:$O$54))</f>
        <v>6245.7221081451053</v>
      </c>
      <c r="O51" s="179" cm="1">
        <f t="array" ref="O51">SUM(IF((F.02!$A$39:$A$54=FEO!O$5),F.02!$B$39:$O$54))</f>
        <v>6262.8336755646815</v>
      </c>
      <c r="P51" s="179" cm="1">
        <f t="array" ref="P51">SUM(IF((F.02!$A$39:$A$54=FEO!P$5),F.02!$B$39:$O$54))</f>
        <v>6245.7221081451053</v>
      </c>
      <c r="Q51" s="179" cm="1">
        <f t="array" ref="Q51">SUM(IF((F.02!$A$39:$A$54=FEO!Q$5),F.02!$B$39:$O$54))</f>
        <v>6245.7221081451053</v>
      </c>
      <c r="R51" s="179" cm="1">
        <f t="array" ref="R51">SUM(IF((F.02!$A$39:$A$54=FEO!R$5),F.02!$B$39:$O$54))</f>
        <v>6245.7221081451053</v>
      </c>
      <c r="S51" s="179" cm="1">
        <f t="array" ref="S51">SUM(IF((F.02!$A$39:$A$54=FEO!S$5),F.02!$B$39:$O$54))</f>
        <v>6262.8336755646815</v>
      </c>
      <c r="T51" s="179" cm="1">
        <f t="array" ref="T51">SUM(IF((F.02!$A$39:$A$54=FEO!T$5),F.02!$B$39:$O$54))</f>
        <v>6245.7221081451053</v>
      </c>
      <c r="U51" s="179" cm="1">
        <f t="array" ref="U51">SUM(IF((F.02!$A$39:$A$54=FEO!U$5),F.02!$B$39:$O$54))</f>
        <v>6245.7221081451053</v>
      </c>
      <c r="V51" s="179" cm="1">
        <f t="array" ref="V51">SUM(IF((F.02!$A$39:$A$54=FEO!V$5),F.02!$B$39:$O$54))</f>
        <v>5920.6023271731683</v>
      </c>
      <c r="W51" s="184"/>
      <c r="X51" s="105"/>
      <c r="Y51" s="105"/>
      <c r="Z51" s="222"/>
      <c r="AA51" s="181">
        <f t="shared" si="27"/>
        <v>93788.501026694023</v>
      </c>
      <c r="AB51" s="583"/>
      <c r="AC51" s="105"/>
      <c r="AD51" s="75">
        <f>AA51-SUM(F.02!B56:O56)</f>
        <v>0</v>
      </c>
    </row>
    <row r="52" spans="2:39" x14ac:dyDescent="0.3">
      <c r="B52" s="175" t="str">
        <f>MID($B$48,1,1)&amp;".03"</f>
        <v>F.03</v>
      </c>
      <c r="C52" s="569" t="s">
        <v>510</v>
      </c>
      <c r="D52" s="191" t="s">
        <v>329</v>
      </c>
      <c r="E52" s="317" t="s">
        <v>417</v>
      </c>
      <c r="F52" s="570"/>
      <c r="G52" s="179" cm="1">
        <f t="array" ref="G52">SUM(IF((F.03!$A$39:$A$54=FEO!G$5),F.03!$B$39:$O$54))</f>
        <v>0</v>
      </c>
      <c r="H52" s="179" cm="1">
        <f t="array" ref="H52">SUM(IF((F.03!$A$39:$A$54=FEO!H$5),F.03!$B$39:$O$54))</f>
        <v>0</v>
      </c>
      <c r="I52" s="179" cm="1">
        <f t="array" ref="I52">SUM(IF((F.03!$A$39:$A$54=FEO!I$5),F.03!$B$39:$O$54))</f>
        <v>0</v>
      </c>
      <c r="J52" s="179" cm="1">
        <f t="array" ref="J52">SUM(IF((F.03!$A$39:$A$54=FEO!J$5),F.03!$B$39:$O$54))</f>
        <v>0</v>
      </c>
      <c r="K52" s="179" cm="1">
        <f t="array" ref="K52">SUM(IF((F.03!$A$39:$A$54=FEO!K$5),F.03!$B$39:$O$54))</f>
        <v>0</v>
      </c>
      <c r="L52" s="179" cm="1">
        <f t="array" ref="L52">SUM(IF((F.03!$A$39:$A$54=FEO!L$5),F.03!$B$39:$O$54))</f>
        <v>0</v>
      </c>
      <c r="M52" s="179" cm="1">
        <f t="array" ref="M52">SUM(IF((F.03!$A$39:$A$54=FEO!M$5),F.03!$B$39:$O$54))</f>
        <v>0</v>
      </c>
      <c r="N52" s="179" cm="1">
        <f t="array" ref="N52">SUM(IF((F.03!$A$39:$A$54=FEO!N$5),F.03!$B$39:$O$54))</f>
        <v>0</v>
      </c>
      <c r="O52" s="179" cm="1">
        <f t="array" ref="O52">SUM(IF((F.03!$A$39:$A$54=FEO!O$5),F.03!$B$39:$O$54))</f>
        <v>0</v>
      </c>
      <c r="P52" s="179" cm="1">
        <f t="array" ref="P52">SUM(IF((F.03!$A$39:$A$54=FEO!P$5),F.03!$B$39:$O$54))</f>
        <v>0</v>
      </c>
      <c r="Q52" s="179" cm="1">
        <f t="array" ref="Q52">SUM(IF((F.03!$A$39:$A$54=FEO!Q$5),F.03!$B$39:$O$54))</f>
        <v>0</v>
      </c>
      <c r="R52" s="179" cm="1">
        <f t="array" ref="R52">SUM(IF((F.03!$A$39:$A$54=FEO!R$5),F.03!$B$39:$O$54))</f>
        <v>0</v>
      </c>
      <c r="S52" s="179" cm="1">
        <f t="array" ref="S52">SUM(IF((F.03!$A$39:$A$54=FEO!S$5),F.03!$B$39:$O$54))</f>
        <v>0</v>
      </c>
      <c r="T52" s="179" cm="1">
        <f t="array" ref="T52">SUM(IF((F.03!$A$39:$A$54=FEO!T$5),F.03!$B$39:$O$54))</f>
        <v>0</v>
      </c>
      <c r="U52" s="179" cm="1">
        <f t="array" ref="U52">SUM(IF((F.03!$A$39:$A$54=FEO!U$5),F.03!$B$39:$O$54))</f>
        <v>0</v>
      </c>
      <c r="V52" s="179" cm="1">
        <f t="array" ref="V52">SUM(IF((F.03!$A$39:$A$54=FEO!V$5),F.03!$B$39:$O$54))</f>
        <v>0</v>
      </c>
      <c r="W52" s="184"/>
      <c r="X52" s="105"/>
      <c r="Y52" s="105"/>
      <c r="Z52" s="222"/>
      <c r="AA52" s="181">
        <f>SUM(G52:V52)</f>
        <v>0</v>
      </c>
      <c r="AB52" s="583"/>
      <c r="AC52" s="105"/>
      <c r="AD52" s="75">
        <f>AA52-SUM(F.03!B56:O56)</f>
        <v>0</v>
      </c>
    </row>
    <row r="53" spans="2:39" x14ac:dyDescent="0.3">
      <c r="B53" s="175" t="str">
        <f>MID($B$48,1,1)&amp;".04"</f>
        <v>F.04</v>
      </c>
      <c r="C53" s="564" t="s">
        <v>487</v>
      </c>
      <c r="D53" s="571"/>
      <c r="E53" s="317" t="s">
        <v>417</v>
      </c>
      <c r="F53" s="570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4"/>
      <c r="X53" s="105"/>
      <c r="Y53" s="105"/>
      <c r="Z53" s="222"/>
      <c r="AA53" s="181">
        <f t="shared" si="27"/>
        <v>0</v>
      </c>
      <c r="AB53" s="583"/>
      <c r="AC53" s="105"/>
      <c r="AD53" s="75"/>
    </row>
    <row r="54" spans="2:39" x14ac:dyDescent="0.3">
      <c r="B54" s="175" t="str">
        <f>MID($B$48,1,1)&amp;".05"</f>
        <v>F.05</v>
      </c>
      <c r="C54" s="566" t="s">
        <v>110</v>
      </c>
      <c r="D54" s="571"/>
      <c r="E54" s="570" t="s">
        <v>97</v>
      </c>
      <c r="F54" s="570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4"/>
      <c r="X54" s="105"/>
      <c r="Y54" s="105"/>
      <c r="Z54" s="222"/>
      <c r="AA54" s="181">
        <f t="shared" si="27"/>
        <v>0</v>
      </c>
      <c r="AB54" s="583"/>
      <c r="AC54" s="105"/>
      <c r="AE54" s="68"/>
    </row>
    <row r="55" spans="2:39" x14ac:dyDescent="0.3">
      <c r="B55" s="175" t="str">
        <f>MID($B$48,1,1)&amp;".06"</f>
        <v>F.06</v>
      </c>
      <c r="C55" s="566" t="s">
        <v>111</v>
      </c>
      <c r="D55" s="571"/>
      <c r="E55" s="210" t="s">
        <v>97</v>
      </c>
      <c r="F55" s="210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4"/>
      <c r="X55" s="105"/>
      <c r="Y55" s="105"/>
      <c r="Z55" s="222"/>
      <c r="AA55" s="181">
        <f t="shared" si="27"/>
        <v>0</v>
      </c>
      <c r="AB55" s="583"/>
      <c r="AC55" s="105"/>
      <c r="AE55" s="68"/>
    </row>
    <row r="56" spans="2:39" x14ac:dyDescent="0.3">
      <c r="B56" s="175" t="str">
        <f>MID($B$48,1,1)&amp;".07"</f>
        <v>F.07</v>
      </c>
      <c r="C56" s="566" t="s">
        <v>112</v>
      </c>
      <c r="D56" s="571"/>
      <c r="E56" s="210" t="s">
        <v>97</v>
      </c>
      <c r="F56" s="210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4"/>
      <c r="X56" s="105"/>
      <c r="Y56" s="105"/>
      <c r="Z56" s="222"/>
      <c r="AA56" s="181">
        <f t="shared" si="27"/>
        <v>0</v>
      </c>
      <c r="AB56" s="583"/>
      <c r="AC56" s="105"/>
      <c r="AE56" s="68"/>
    </row>
    <row r="57" spans="2:39" x14ac:dyDescent="0.3">
      <c r="B57" s="175" t="str">
        <f>MID($B$48,1,1)&amp;".08"</f>
        <v>F.08</v>
      </c>
      <c r="C57" s="566" t="s">
        <v>201</v>
      </c>
      <c r="D57" s="571"/>
      <c r="E57" s="210" t="s">
        <v>97</v>
      </c>
      <c r="F57" s="210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4"/>
      <c r="X57" s="105"/>
      <c r="Y57" s="105"/>
      <c r="Z57" s="222"/>
      <c r="AA57" s="181">
        <f t="shared" si="27"/>
        <v>0</v>
      </c>
      <c r="AB57" s="583"/>
      <c r="AC57" s="105"/>
      <c r="AE57" s="283"/>
    </row>
    <row r="58" spans="2:39" x14ac:dyDescent="0.3">
      <c r="B58" s="175" t="str">
        <f>MID($B$48,1,1)&amp;".09"</f>
        <v>F.09</v>
      </c>
      <c r="C58" s="566" t="s">
        <v>203</v>
      </c>
      <c r="D58" s="571"/>
      <c r="E58" s="210" t="s">
        <v>97</v>
      </c>
      <c r="F58" s="210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4"/>
      <c r="X58" s="105"/>
      <c r="Y58" s="105"/>
      <c r="Z58" s="222"/>
      <c r="AA58" s="181">
        <f t="shared" si="27"/>
        <v>0</v>
      </c>
      <c r="AB58" s="583"/>
      <c r="AC58" s="105"/>
    </row>
    <row r="59" spans="2:39" x14ac:dyDescent="0.3">
      <c r="B59" s="175" t="str">
        <f>MID($B$48,1,1)&amp;".10"</f>
        <v>F.10</v>
      </c>
      <c r="C59" s="566" t="s">
        <v>204</v>
      </c>
      <c r="D59" s="191" t="s">
        <v>539</v>
      </c>
      <c r="E59" s="320" t="s">
        <v>97</v>
      </c>
      <c r="F59" s="319"/>
      <c r="G59" s="179" cm="1">
        <f t="array" ref="G59">SUM(IF((F.10!$A$38:$A$53=FEO!G$5),F.10!$B$38:$O$53))</f>
        <v>0</v>
      </c>
      <c r="H59" s="179" cm="1">
        <f t="array" ref="H59">SUM(IF((F.10!$A$38:$A$53=FEO!H$5),F.10!$B$38:$O$53))</f>
        <v>0</v>
      </c>
      <c r="I59" s="179" cm="1">
        <f t="array" ref="I59">SUM(IF((F.10!$A$38:$A$53=FEO!I$5),F.10!$B$38:$O$53))</f>
        <v>0</v>
      </c>
      <c r="J59" s="179" cm="1">
        <f t="array" ref="J59">SUM(IF((F.10!$A$38:$A$53=FEO!J$5),F.10!$B$38:$O$53))</f>
        <v>0</v>
      </c>
      <c r="K59" s="179" cm="1">
        <f t="array" ref="K59">SUM(IF((F.10!$A$38:$A$53=FEO!K$5),F.10!$B$38:$O$53))</f>
        <v>0</v>
      </c>
      <c r="L59" s="179" cm="1">
        <f t="array" ref="L59">SUM(IF((F.10!$A$38:$A$53=FEO!L$5),F.10!$B$38:$O$53))</f>
        <v>0</v>
      </c>
      <c r="M59" s="179" cm="1">
        <f t="array" ref="M59">SUM(IF((F.10!$A$38:$A$53=FEO!M$5),F.10!$B$38:$O$53))</f>
        <v>0</v>
      </c>
      <c r="N59" s="179" cm="1">
        <f t="array" ref="N59">SUM(IF((F.10!$A$38:$A$53=FEO!N$5),F.10!$B$38:$O$53))</f>
        <v>0</v>
      </c>
      <c r="O59" s="179" cm="1">
        <f t="array" ref="O59">SUM(IF((F.10!$A$38:$A$53=FEO!O$5),F.10!$B$38:$O$53))</f>
        <v>0</v>
      </c>
      <c r="P59" s="179" cm="1">
        <f t="array" ref="P59">SUM(IF((F.10!$A$38:$A$53=FEO!P$5),F.10!$B$38:$O$53))</f>
        <v>0</v>
      </c>
      <c r="Q59" s="179" cm="1">
        <f t="array" ref="Q59">SUM(IF((F.10!$A$38:$A$53=FEO!Q$5),F.10!$B$38:$O$53))</f>
        <v>0</v>
      </c>
      <c r="R59" s="179" cm="1">
        <f t="array" ref="R59">SUM(IF((F.10!$A$38:$A$53=FEO!R$5),F.10!$B$38:$O$53))</f>
        <v>0</v>
      </c>
      <c r="S59" s="179" cm="1">
        <f t="array" ref="S59">SUM(IF((F.10!$A$38:$A$53=FEO!S$5),F.10!$B$38:$O$53))</f>
        <v>0</v>
      </c>
      <c r="T59" s="179" cm="1">
        <f t="array" ref="T59">SUM(IF((F.10!$A$38:$A$53=FEO!T$5),F.10!$B$38:$O$53))</f>
        <v>0</v>
      </c>
      <c r="U59" s="179" cm="1">
        <f t="array" ref="U59">SUM(IF((F.10!$A$38:$A$53=FEO!U$5),F.10!$B$38:$O$53))</f>
        <v>0</v>
      </c>
      <c r="V59" s="179" cm="1">
        <f t="array" ref="V59">SUM(IF((F.10!$A$38:$A$53=FEO!V$5),F.10!$B$38:$O$53))</f>
        <v>0</v>
      </c>
      <c r="W59" s="184"/>
      <c r="X59" s="105"/>
      <c r="Y59" s="105"/>
      <c r="Z59" s="222"/>
      <c r="AA59" s="181">
        <f t="shared" si="27"/>
        <v>0</v>
      </c>
      <c r="AB59" s="583"/>
      <c r="AC59" s="105"/>
      <c r="AD59" s="75">
        <f>SUM(G59:V59)-SUM(F.10!B55:O55)</f>
        <v>0</v>
      </c>
    </row>
    <row r="60" spans="2:39" x14ac:dyDescent="0.3">
      <c r="B60" s="175" t="str">
        <f>MID($B$48,1,1)&amp;".11"</f>
        <v>F.11</v>
      </c>
      <c r="C60" s="566" t="s">
        <v>113</v>
      </c>
      <c r="E60" s="210"/>
      <c r="F60" s="210"/>
      <c r="G60" s="179">
        <f t="shared" ref="G60:K60" si="28">SUM(G61:G64)</f>
        <v>0</v>
      </c>
      <c r="H60" s="179">
        <f t="shared" si="28"/>
        <v>0</v>
      </c>
      <c r="I60" s="179">
        <f t="shared" si="28"/>
        <v>0</v>
      </c>
      <c r="J60" s="179">
        <f t="shared" si="28"/>
        <v>0</v>
      </c>
      <c r="K60" s="179">
        <f t="shared" si="28"/>
        <v>0</v>
      </c>
      <c r="L60" s="179">
        <f t="shared" ref="L60:V60" si="29">SUM(L61:L64)</f>
        <v>0</v>
      </c>
      <c r="M60" s="179">
        <f t="shared" si="29"/>
        <v>0</v>
      </c>
      <c r="N60" s="179">
        <f t="shared" si="29"/>
        <v>0</v>
      </c>
      <c r="O60" s="179">
        <f t="shared" si="29"/>
        <v>0</v>
      </c>
      <c r="P60" s="179">
        <f t="shared" si="29"/>
        <v>0</v>
      </c>
      <c r="Q60" s="179">
        <f t="shared" si="29"/>
        <v>0</v>
      </c>
      <c r="R60" s="179">
        <f t="shared" si="29"/>
        <v>0</v>
      </c>
      <c r="S60" s="179">
        <f t="shared" si="29"/>
        <v>0</v>
      </c>
      <c r="T60" s="179">
        <f t="shared" si="29"/>
        <v>0</v>
      </c>
      <c r="U60" s="179">
        <f t="shared" si="29"/>
        <v>0</v>
      </c>
      <c r="V60" s="179">
        <f t="shared" si="29"/>
        <v>0</v>
      </c>
      <c r="W60" s="184"/>
      <c r="X60" s="105"/>
      <c r="Y60" s="105"/>
      <c r="Z60" s="222"/>
      <c r="AA60" s="181">
        <f t="shared" si="27"/>
        <v>0</v>
      </c>
      <c r="AB60" s="583"/>
      <c r="AC60" s="105"/>
    </row>
    <row r="61" spans="2:39" x14ac:dyDescent="0.3">
      <c r="B61" s="175"/>
      <c r="C61" s="192" t="s">
        <v>114</v>
      </c>
      <c r="E61" s="210" t="s">
        <v>97</v>
      </c>
      <c r="F61" s="210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4"/>
      <c r="X61" s="105"/>
      <c r="Y61" s="105"/>
      <c r="Z61" s="222"/>
      <c r="AA61" s="181">
        <f t="shared" si="27"/>
        <v>0</v>
      </c>
      <c r="AB61" s="583"/>
      <c r="AC61" s="105"/>
    </row>
    <row r="62" spans="2:39" x14ac:dyDescent="0.3">
      <c r="B62" s="175"/>
      <c r="C62" s="192" t="s">
        <v>114</v>
      </c>
      <c r="E62" s="210" t="s">
        <v>97</v>
      </c>
      <c r="F62" s="210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4"/>
      <c r="X62" s="105"/>
      <c r="Y62" s="105"/>
      <c r="Z62" s="222"/>
      <c r="AA62" s="181">
        <f t="shared" si="27"/>
        <v>0</v>
      </c>
      <c r="AB62" s="583"/>
      <c r="AC62" s="105"/>
    </row>
    <row r="63" spans="2:39" x14ac:dyDescent="0.3">
      <c r="B63" s="175"/>
      <c r="C63" s="192" t="s">
        <v>114</v>
      </c>
      <c r="E63" s="210" t="s">
        <v>97</v>
      </c>
      <c r="F63" s="210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4"/>
      <c r="X63" s="105"/>
      <c r="Y63" s="105"/>
      <c r="Z63" s="222"/>
      <c r="AA63" s="181">
        <f t="shared" si="27"/>
        <v>0</v>
      </c>
      <c r="AB63" s="583"/>
      <c r="AC63" s="105"/>
    </row>
    <row r="64" spans="2:39" x14ac:dyDescent="0.3">
      <c r="B64" s="175"/>
      <c r="C64" s="192" t="s">
        <v>114</v>
      </c>
      <c r="E64" s="210" t="s">
        <v>97</v>
      </c>
      <c r="F64" s="210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4"/>
      <c r="X64" s="105"/>
      <c r="Y64" s="105"/>
      <c r="Z64" s="222"/>
      <c r="AA64" s="181">
        <f t="shared" si="27"/>
        <v>0</v>
      </c>
      <c r="AB64" s="583"/>
      <c r="AC64" s="105"/>
    </row>
    <row r="65" spans="2:31" ht="6" customHeight="1" x14ac:dyDescent="0.3">
      <c r="B65" s="175"/>
      <c r="C65" s="566"/>
      <c r="D65" s="566"/>
      <c r="E65" s="572"/>
      <c r="F65" s="572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76"/>
      <c r="X65" s="105"/>
      <c r="Y65" s="105"/>
      <c r="Z65" s="222"/>
      <c r="AA65" s="105"/>
      <c r="AB65" s="176"/>
      <c r="AC65" s="105"/>
    </row>
    <row r="66" spans="2:31" x14ac:dyDescent="0.3">
      <c r="B66" s="172" t="s">
        <v>115</v>
      </c>
      <c r="C66" s="173" t="s">
        <v>380</v>
      </c>
      <c r="D66" s="571"/>
      <c r="E66" s="320" t="s">
        <v>94</v>
      </c>
      <c r="F66" s="320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76"/>
      <c r="X66" s="105"/>
      <c r="Y66" s="105"/>
      <c r="Z66" s="222"/>
      <c r="AA66" s="574">
        <f>SUM(G66:V66)</f>
        <v>0</v>
      </c>
      <c r="AB66" s="582"/>
      <c r="AC66" s="105"/>
      <c r="AD66" s="109"/>
    </row>
    <row r="67" spans="2:31" ht="6" customHeight="1" thickBot="1" x14ac:dyDescent="0.35">
      <c r="B67" s="175"/>
      <c r="C67" s="566"/>
      <c r="E67" s="210"/>
      <c r="F67" s="210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80"/>
      <c r="X67" s="105"/>
      <c r="Y67" s="105"/>
      <c r="Z67" s="222"/>
      <c r="AA67" s="195"/>
      <c r="AB67" s="176"/>
      <c r="AC67" s="105"/>
    </row>
    <row r="68" spans="2:31" ht="18" thickTop="1" x14ac:dyDescent="0.45">
      <c r="B68" s="196" t="s">
        <v>117</v>
      </c>
      <c r="C68" s="573" t="s">
        <v>518</v>
      </c>
      <c r="D68" s="197"/>
      <c r="E68" s="321"/>
      <c r="F68" s="321"/>
      <c r="G68" s="197">
        <f t="shared" ref="G68:V68" si="30">G10+G18+G31+G35+G42+G48+G66</f>
        <v>126853.5593910942</v>
      </c>
      <c r="H68" s="197">
        <f t="shared" si="30"/>
        <v>2104615.8717158814</v>
      </c>
      <c r="I68" s="197">
        <f t="shared" si="30"/>
        <v>2104615.8717158814</v>
      </c>
      <c r="J68" s="197">
        <f t="shared" si="30"/>
        <v>2104615.8717158814</v>
      </c>
      <c r="K68" s="197">
        <f t="shared" si="30"/>
        <v>2110381.9425972938</v>
      </c>
      <c r="L68" s="197">
        <f t="shared" si="30"/>
        <v>2104615.8717158814</v>
      </c>
      <c r="M68" s="197">
        <f t="shared" si="30"/>
        <v>2104615.8717158814</v>
      </c>
      <c r="N68" s="197">
        <f t="shared" si="30"/>
        <v>2104615.8717158814</v>
      </c>
      <c r="O68" s="197">
        <f t="shared" si="30"/>
        <v>2110381.9425972938</v>
      </c>
      <c r="P68" s="197">
        <f t="shared" si="30"/>
        <v>2104615.8717158814</v>
      </c>
      <c r="Q68" s="197">
        <f t="shared" si="30"/>
        <v>2104615.8717158814</v>
      </c>
      <c r="R68" s="197">
        <f t="shared" si="30"/>
        <v>2104615.8717158814</v>
      </c>
      <c r="S68" s="197">
        <f t="shared" si="30"/>
        <v>2110381.9425972938</v>
      </c>
      <c r="T68" s="197">
        <f t="shared" si="30"/>
        <v>2104615.8717158814</v>
      </c>
      <c r="U68" s="197">
        <f t="shared" si="30"/>
        <v>2104615.8717158814</v>
      </c>
      <c r="V68" s="197">
        <f t="shared" si="30"/>
        <v>1995060.5249690269</v>
      </c>
      <c r="W68" s="198"/>
      <c r="X68" s="105"/>
      <c r="Y68" s="105"/>
      <c r="Z68" s="222"/>
      <c r="AA68" s="574">
        <f t="shared" ref="AA68:AA76" si="31">SUM(G68:V68)</f>
        <v>31603834.501026694</v>
      </c>
      <c r="AB68" s="582"/>
      <c r="AC68" s="105"/>
      <c r="AD68" s="68"/>
      <c r="AE68" s="68"/>
    </row>
    <row r="69" spans="2:31" ht="17.399999999999999" x14ac:dyDescent="0.45">
      <c r="B69" s="175" t="str">
        <f>MID($B$68,1,1)&amp;".01"</f>
        <v>H.01</v>
      </c>
      <c r="C69" s="566" t="s">
        <v>242</v>
      </c>
      <c r="D69" s="197"/>
      <c r="E69" s="322"/>
      <c r="F69" s="322"/>
      <c r="G69" s="187">
        <f t="shared" ref="G69:V69" si="32">G10+G18+G31+G35</f>
        <v>126477.10490786353</v>
      </c>
      <c r="H69" s="187">
        <f t="shared" si="32"/>
        <v>2098370.1496077362</v>
      </c>
      <c r="I69" s="187">
        <f t="shared" si="32"/>
        <v>2098370.1496077362</v>
      </c>
      <c r="J69" s="187">
        <f t="shared" si="32"/>
        <v>2098370.1496077362</v>
      </c>
      <c r="K69" s="187">
        <f t="shared" si="32"/>
        <v>2104119.108921729</v>
      </c>
      <c r="L69" s="187">
        <f t="shared" si="32"/>
        <v>2098370.1496077362</v>
      </c>
      <c r="M69" s="187">
        <f t="shared" si="32"/>
        <v>2098370.1496077362</v>
      </c>
      <c r="N69" s="187">
        <f t="shared" si="32"/>
        <v>2098370.1496077362</v>
      </c>
      <c r="O69" s="187">
        <f t="shared" si="32"/>
        <v>2104119.108921729</v>
      </c>
      <c r="P69" s="187">
        <f t="shared" si="32"/>
        <v>2098370.1496077362</v>
      </c>
      <c r="Q69" s="187">
        <f t="shared" si="32"/>
        <v>2098370.1496077362</v>
      </c>
      <c r="R69" s="187">
        <f t="shared" si="32"/>
        <v>2098370.1496077362</v>
      </c>
      <c r="S69" s="187">
        <f t="shared" si="32"/>
        <v>2104119.108921729</v>
      </c>
      <c r="T69" s="187">
        <f t="shared" si="32"/>
        <v>2098370.1496077362</v>
      </c>
      <c r="U69" s="187">
        <f t="shared" si="32"/>
        <v>2098370.1496077362</v>
      </c>
      <c r="V69" s="187">
        <f t="shared" si="32"/>
        <v>1989139.9226418538</v>
      </c>
      <c r="W69" s="184"/>
      <c r="X69" s="105"/>
      <c r="Y69" s="105"/>
      <c r="Z69" s="222"/>
      <c r="AA69" s="187">
        <f t="shared" si="31"/>
        <v>31510046.000000007</v>
      </c>
      <c r="AB69" s="585"/>
      <c r="AC69" s="105"/>
      <c r="AD69" s="157"/>
      <c r="AE69" s="158"/>
    </row>
    <row r="70" spans="2:31" ht="17.399999999999999" x14ac:dyDescent="0.45">
      <c r="B70" s="175"/>
      <c r="C70" s="566"/>
      <c r="D70" s="197"/>
      <c r="E70" s="317" t="s">
        <v>94</v>
      </c>
      <c r="F70" s="322"/>
      <c r="G70" s="187">
        <f>SUMIF($E$10:$E$39,$E70,G$10:G$39)</f>
        <v>0</v>
      </c>
      <c r="H70" s="187">
        <f t="shared" ref="H70:V72" si="33">SUMIF($E$10:$E$39,$E70,H$10:H$39)</f>
        <v>0</v>
      </c>
      <c r="I70" s="187">
        <f t="shared" si="33"/>
        <v>0</v>
      </c>
      <c r="J70" s="187">
        <f t="shared" si="33"/>
        <v>0</v>
      </c>
      <c r="K70" s="187">
        <f t="shared" si="33"/>
        <v>0</v>
      </c>
      <c r="L70" s="187">
        <f t="shared" si="33"/>
        <v>0</v>
      </c>
      <c r="M70" s="187">
        <f t="shared" si="33"/>
        <v>0</v>
      </c>
      <c r="N70" s="187">
        <f t="shared" si="33"/>
        <v>0</v>
      </c>
      <c r="O70" s="187">
        <f t="shared" si="33"/>
        <v>0</v>
      </c>
      <c r="P70" s="187">
        <f t="shared" si="33"/>
        <v>0</v>
      </c>
      <c r="Q70" s="187">
        <f t="shared" si="33"/>
        <v>0</v>
      </c>
      <c r="R70" s="187">
        <f t="shared" si="33"/>
        <v>0</v>
      </c>
      <c r="S70" s="187">
        <f t="shared" si="33"/>
        <v>0</v>
      </c>
      <c r="T70" s="187">
        <f t="shared" si="33"/>
        <v>0</v>
      </c>
      <c r="U70" s="187">
        <f t="shared" si="33"/>
        <v>0</v>
      </c>
      <c r="V70" s="187">
        <f t="shared" si="33"/>
        <v>0</v>
      </c>
      <c r="W70" s="184"/>
      <c r="X70" s="105"/>
      <c r="Y70" s="105"/>
      <c r="Z70" s="222"/>
      <c r="AA70" s="187">
        <f t="shared" si="31"/>
        <v>0</v>
      </c>
      <c r="AB70" s="585"/>
      <c r="AC70" s="105"/>
      <c r="AD70" s="157"/>
      <c r="AE70" s="158"/>
    </row>
    <row r="71" spans="2:31" ht="17.399999999999999" x14ac:dyDescent="0.45">
      <c r="B71" s="175"/>
      <c r="C71" s="566"/>
      <c r="D71" s="197"/>
      <c r="E71" s="317" t="s">
        <v>97</v>
      </c>
      <c r="F71" s="322"/>
      <c r="G71" s="187">
        <f>SUMIF($E$10:$E$39,$E71,G$10:G$39)</f>
        <v>0</v>
      </c>
      <c r="H71" s="187">
        <f t="shared" si="33"/>
        <v>0</v>
      </c>
      <c r="I71" s="187">
        <f t="shared" si="33"/>
        <v>0</v>
      </c>
      <c r="J71" s="187">
        <f t="shared" si="33"/>
        <v>0</v>
      </c>
      <c r="K71" s="187">
        <f t="shared" si="33"/>
        <v>0</v>
      </c>
      <c r="L71" s="187">
        <f t="shared" si="33"/>
        <v>0</v>
      </c>
      <c r="M71" s="187">
        <f t="shared" si="33"/>
        <v>0</v>
      </c>
      <c r="N71" s="187">
        <f t="shared" si="33"/>
        <v>0</v>
      </c>
      <c r="O71" s="187">
        <f t="shared" si="33"/>
        <v>0</v>
      </c>
      <c r="P71" s="187">
        <f t="shared" si="33"/>
        <v>0</v>
      </c>
      <c r="Q71" s="187">
        <f t="shared" si="33"/>
        <v>0</v>
      </c>
      <c r="R71" s="187">
        <f t="shared" si="33"/>
        <v>0</v>
      </c>
      <c r="S71" s="187">
        <f t="shared" si="33"/>
        <v>0</v>
      </c>
      <c r="T71" s="187">
        <f t="shared" si="33"/>
        <v>0</v>
      </c>
      <c r="U71" s="187">
        <f t="shared" si="33"/>
        <v>0</v>
      </c>
      <c r="V71" s="187">
        <f t="shared" si="33"/>
        <v>0</v>
      </c>
      <c r="W71" s="184"/>
      <c r="X71" s="105"/>
      <c r="Y71" s="105"/>
      <c r="Z71" s="222"/>
      <c r="AA71" s="187">
        <f t="shared" si="31"/>
        <v>0</v>
      </c>
      <c r="AB71" s="585"/>
      <c r="AC71" s="105"/>
      <c r="AD71" s="157"/>
      <c r="AE71" s="158"/>
    </row>
    <row r="72" spans="2:31" ht="17.399999999999999" x14ac:dyDescent="0.45">
      <c r="B72" s="175"/>
      <c r="C72" s="566"/>
      <c r="D72" s="197"/>
      <c r="E72" s="317" t="s">
        <v>417</v>
      </c>
      <c r="F72" s="322"/>
      <c r="G72" s="187">
        <f>SUMIF($E$10:$E$39,$E72,G$10:G$39)</f>
        <v>126477.10490786353</v>
      </c>
      <c r="H72" s="187">
        <f t="shared" si="33"/>
        <v>2098370.1496077362</v>
      </c>
      <c r="I72" s="187">
        <f t="shared" si="33"/>
        <v>2098370.1496077362</v>
      </c>
      <c r="J72" s="187">
        <f t="shared" si="33"/>
        <v>2098370.1496077362</v>
      </c>
      <c r="K72" s="187">
        <f t="shared" si="33"/>
        <v>2104119.108921729</v>
      </c>
      <c r="L72" s="187">
        <f t="shared" si="33"/>
        <v>2098370.1496077362</v>
      </c>
      <c r="M72" s="187">
        <f t="shared" si="33"/>
        <v>2098370.1496077362</v>
      </c>
      <c r="N72" s="187">
        <f t="shared" si="33"/>
        <v>2098370.1496077362</v>
      </c>
      <c r="O72" s="187">
        <f t="shared" si="33"/>
        <v>2104119.108921729</v>
      </c>
      <c r="P72" s="187">
        <f t="shared" si="33"/>
        <v>2098370.1496077362</v>
      </c>
      <c r="Q72" s="187">
        <f t="shared" si="33"/>
        <v>2098370.1496077362</v>
      </c>
      <c r="R72" s="187">
        <f t="shared" si="33"/>
        <v>2098370.1496077362</v>
      </c>
      <c r="S72" s="187">
        <f t="shared" si="33"/>
        <v>2104119.108921729</v>
      </c>
      <c r="T72" s="187">
        <f t="shared" si="33"/>
        <v>2098370.1496077362</v>
      </c>
      <c r="U72" s="187">
        <f t="shared" si="33"/>
        <v>2098370.1496077362</v>
      </c>
      <c r="V72" s="187">
        <f t="shared" si="33"/>
        <v>1989139.9226418538</v>
      </c>
      <c r="W72" s="184"/>
      <c r="X72" s="105"/>
      <c r="Y72" s="105"/>
      <c r="Z72" s="222"/>
      <c r="AA72" s="187">
        <f t="shared" si="31"/>
        <v>31510046.000000007</v>
      </c>
      <c r="AB72" s="585"/>
      <c r="AC72" s="105"/>
      <c r="AD72" s="157"/>
      <c r="AE72" s="158"/>
    </row>
    <row r="73" spans="2:31" ht="17.399999999999999" x14ac:dyDescent="0.45">
      <c r="B73" s="175" t="str">
        <f>MID($B$68,1,1)&amp;".02"</f>
        <v>H.02</v>
      </c>
      <c r="C73" s="566" t="s">
        <v>243</v>
      </c>
      <c r="D73" s="197"/>
      <c r="E73" s="317"/>
      <c r="F73" s="322"/>
      <c r="G73" s="187">
        <f t="shared" ref="G73:L73" si="34">G42+G48+G66</f>
        <v>376.45448323066393</v>
      </c>
      <c r="H73" s="187">
        <f t="shared" si="34"/>
        <v>6245.7221081451053</v>
      </c>
      <c r="I73" s="187">
        <f t="shared" si="34"/>
        <v>6245.7221081451053</v>
      </c>
      <c r="J73" s="187">
        <f t="shared" si="34"/>
        <v>6245.7221081451053</v>
      </c>
      <c r="K73" s="187">
        <f t="shared" si="34"/>
        <v>6262.8336755646815</v>
      </c>
      <c r="L73" s="187">
        <f t="shared" si="34"/>
        <v>6245.7221081451053</v>
      </c>
      <c r="M73" s="187">
        <f t="shared" ref="M73:V73" si="35">M42+M48+M66</f>
        <v>6245.7221081451053</v>
      </c>
      <c r="N73" s="187">
        <f t="shared" si="35"/>
        <v>6245.7221081451053</v>
      </c>
      <c r="O73" s="187">
        <f t="shared" si="35"/>
        <v>6262.8336755646815</v>
      </c>
      <c r="P73" s="187">
        <f t="shared" si="35"/>
        <v>6245.7221081451053</v>
      </c>
      <c r="Q73" s="187">
        <f t="shared" si="35"/>
        <v>6245.7221081451053</v>
      </c>
      <c r="R73" s="187">
        <f t="shared" si="35"/>
        <v>6245.7221081451053</v>
      </c>
      <c r="S73" s="187">
        <f t="shared" si="35"/>
        <v>6262.8336755646815</v>
      </c>
      <c r="T73" s="187">
        <f t="shared" si="35"/>
        <v>6245.7221081451053</v>
      </c>
      <c r="U73" s="187">
        <f t="shared" si="35"/>
        <v>6245.7221081451053</v>
      </c>
      <c r="V73" s="187">
        <f t="shared" si="35"/>
        <v>5920.6023271731683</v>
      </c>
      <c r="W73" s="184"/>
      <c r="X73" s="105"/>
      <c r="Y73" s="105"/>
      <c r="Z73" s="222"/>
      <c r="AA73" s="187">
        <f t="shared" si="31"/>
        <v>93788.501026694023</v>
      </c>
      <c r="AB73" s="585"/>
      <c r="AC73" s="105"/>
      <c r="AD73" s="157"/>
      <c r="AE73" s="158"/>
    </row>
    <row r="74" spans="2:31" ht="17.399999999999999" x14ac:dyDescent="0.45">
      <c r="B74" s="175"/>
      <c r="C74" s="566"/>
      <c r="D74" s="197"/>
      <c r="E74" s="317" t="s">
        <v>94</v>
      </c>
      <c r="F74" s="322"/>
      <c r="G74" s="187">
        <f t="shared" ref="G74:V76" si="36">SUMIF($E$41:$E$67,$E74,G$41:G$67)</f>
        <v>0</v>
      </c>
      <c r="H74" s="187">
        <f t="shared" si="36"/>
        <v>0</v>
      </c>
      <c r="I74" s="187">
        <f t="shared" si="36"/>
        <v>0</v>
      </c>
      <c r="J74" s="187">
        <f t="shared" si="36"/>
        <v>0</v>
      </c>
      <c r="K74" s="187">
        <f t="shared" si="36"/>
        <v>0</v>
      </c>
      <c r="L74" s="187">
        <f t="shared" si="36"/>
        <v>0</v>
      </c>
      <c r="M74" s="187">
        <f t="shared" si="36"/>
        <v>0</v>
      </c>
      <c r="N74" s="187">
        <f t="shared" si="36"/>
        <v>0</v>
      </c>
      <c r="O74" s="187">
        <f t="shared" si="36"/>
        <v>0</v>
      </c>
      <c r="P74" s="187">
        <f t="shared" si="36"/>
        <v>0</v>
      </c>
      <c r="Q74" s="187">
        <f t="shared" si="36"/>
        <v>0</v>
      </c>
      <c r="R74" s="187">
        <f t="shared" si="36"/>
        <v>0</v>
      </c>
      <c r="S74" s="187">
        <f t="shared" si="36"/>
        <v>0</v>
      </c>
      <c r="T74" s="187">
        <f t="shared" si="36"/>
        <v>0</v>
      </c>
      <c r="U74" s="187">
        <f t="shared" si="36"/>
        <v>0</v>
      </c>
      <c r="V74" s="187">
        <f t="shared" si="36"/>
        <v>0</v>
      </c>
      <c r="W74" s="184"/>
      <c r="X74" s="105"/>
      <c r="Y74" s="105"/>
      <c r="Z74" s="222"/>
      <c r="AA74" s="187">
        <f t="shared" si="31"/>
        <v>0</v>
      </c>
      <c r="AB74" s="585"/>
      <c r="AC74" s="105"/>
      <c r="AD74" s="157"/>
      <c r="AE74" s="158"/>
    </row>
    <row r="75" spans="2:31" ht="17.399999999999999" x14ac:dyDescent="0.45">
      <c r="B75" s="175"/>
      <c r="C75" s="566"/>
      <c r="D75" s="197"/>
      <c r="E75" s="317" t="s">
        <v>97</v>
      </c>
      <c r="F75" s="322"/>
      <c r="G75" s="187">
        <f t="shared" si="36"/>
        <v>0</v>
      </c>
      <c r="H75" s="187">
        <f t="shared" si="36"/>
        <v>0</v>
      </c>
      <c r="I75" s="187">
        <f t="shared" si="36"/>
        <v>0</v>
      </c>
      <c r="J75" s="187">
        <f t="shared" si="36"/>
        <v>0</v>
      </c>
      <c r="K75" s="187">
        <f t="shared" si="36"/>
        <v>0</v>
      </c>
      <c r="L75" s="187">
        <f t="shared" si="36"/>
        <v>0</v>
      </c>
      <c r="M75" s="187">
        <f t="shared" si="36"/>
        <v>0</v>
      </c>
      <c r="N75" s="187">
        <f t="shared" si="36"/>
        <v>0</v>
      </c>
      <c r="O75" s="187">
        <f t="shared" si="36"/>
        <v>0</v>
      </c>
      <c r="P75" s="187">
        <f t="shared" si="36"/>
        <v>0</v>
      </c>
      <c r="Q75" s="187">
        <f t="shared" si="36"/>
        <v>0</v>
      </c>
      <c r="R75" s="187">
        <f t="shared" si="36"/>
        <v>0</v>
      </c>
      <c r="S75" s="187">
        <f t="shared" si="36"/>
        <v>0</v>
      </c>
      <c r="T75" s="187">
        <f t="shared" si="36"/>
        <v>0</v>
      </c>
      <c r="U75" s="187">
        <f t="shared" si="36"/>
        <v>0</v>
      </c>
      <c r="V75" s="187">
        <f t="shared" si="36"/>
        <v>0</v>
      </c>
      <c r="W75" s="184"/>
      <c r="X75" s="105"/>
      <c r="Y75" s="105"/>
      <c r="Z75" s="222"/>
      <c r="AA75" s="187">
        <f t="shared" si="31"/>
        <v>0</v>
      </c>
      <c r="AB75" s="585"/>
      <c r="AC75" s="105"/>
      <c r="AD75" s="157"/>
      <c r="AE75" s="158"/>
    </row>
    <row r="76" spans="2:31" ht="17.399999999999999" x14ac:dyDescent="0.45">
      <c r="B76" s="175"/>
      <c r="C76" s="566"/>
      <c r="D76" s="197"/>
      <c r="E76" s="317" t="s">
        <v>417</v>
      </c>
      <c r="F76" s="322"/>
      <c r="G76" s="187">
        <f t="shared" si="36"/>
        <v>376.45448323066393</v>
      </c>
      <c r="H76" s="187">
        <f t="shared" si="36"/>
        <v>6245.7221081451053</v>
      </c>
      <c r="I76" s="187">
        <f t="shared" si="36"/>
        <v>6245.7221081451053</v>
      </c>
      <c r="J76" s="187">
        <f t="shared" si="36"/>
        <v>6245.7221081451053</v>
      </c>
      <c r="K76" s="187">
        <f t="shared" si="36"/>
        <v>6262.8336755646815</v>
      </c>
      <c r="L76" s="187">
        <f t="shared" si="36"/>
        <v>6245.7221081451053</v>
      </c>
      <c r="M76" s="187">
        <f t="shared" si="36"/>
        <v>6245.7221081451053</v>
      </c>
      <c r="N76" s="187">
        <f t="shared" si="36"/>
        <v>6245.7221081451053</v>
      </c>
      <c r="O76" s="187">
        <f t="shared" si="36"/>
        <v>6262.8336755646815</v>
      </c>
      <c r="P76" s="187">
        <f t="shared" si="36"/>
        <v>6245.7221081451053</v>
      </c>
      <c r="Q76" s="187">
        <f t="shared" si="36"/>
        <v>6245.7221081451053</v>
      </c>
      <c r="R76" s="187">
        <f t="shared" si="36"/>
        <v>6245.7221081451053</v>
      </c>
      <c r="S76" s="187">
        <f t="shared" si="36"/>
        <v>6262.8336755646815</v>
      </c>
      <c r="T76" s="187">
        <f t="shared" si="36"/>
        <v>6245.7221081451053</v>
      </c>
      <c r="U76" s="187">
        <f t="shared" si="36"/>
        <v>6245.7221081451053</v>
      </c>
      <c r="V76" s="187">
        <f t="shared" si="36"/>
        <v>5920.6023271731683</v>
      </c>
      <c r="W76" s="184"/>
      <c r="X76" s="105"/>
      <c r="Y76" s="105"/>
      <c r="Z76" s="222"/>
      <c r="AA76" s="187">
        <f t="shared" si="31"/>
        <v>93788.501026694023</v>
      </c>
      <c r="AB76" s="585"/>
      <c r="AC76" s="105"/>
      <c r="AD76" s="157"/>
      <c r="AE76" s="158"/>
    </row>
    <row r="77" spans="2:31" x14ac:dyDescent="0.3">
      <c r="B77" s="199"/>
      <c r="C77" s="284" t="s">
        <v>244</v>
      </c>
      <c r="D77" s="284"/>
      <c r="E77" s="284"/>
      <c r="F77" s="284"/>
      <c r="G77" s="285">
        <f>G68-G69-G73</f>
        <v>7.1054273576010019E-12</v>
      </c>
      <c r="H77" s="285">
        <f t="shared" ref="H77:L77" si="37">H68-H69-H73</f>
        <v>1.3915268937125802E-10</v>
      </c>
      <c r="I77" s="285">
        <f t="shared" si="37"/>
        <v>1.3915268937125802E-10</v>
      </c>
      <c r="J77" s="285">
        <f t="shared" si="37"/>
        <v>1.3915268937125802E-10</v>
      </c>
      <c r="K77" s="285">
        <f t="shared" si="37"/>
        <v>5.0931703299283981E-11</v>
      </c>
      <c r="L77" s="285">
        <f t="shared" si="37"/>
        <v>1.3915268937125802E-10</v>
      </c>
      <c r="M77" s="285">
        <f t="shared" ref="M77:V77" si="38">M68-M69-M73</f>
        <v>1.3915268937125802E-10</v>
      </c>
      <c r="N77" s="285">
        <f t="shared" si="38"/>
        <v>1.3915268937125802E-10</v>
      </c>
      <c r="O77" s="285">
        <f t="shared" si="38"/>
        <v>5.0931703299283981E-11</v>
      </c>
      <c r="P77" s="285">
        <f t="shared" si="38"/>
        <v>1.3915268937125802E-10</v>
      </c>
      <c r="Q77" s="285">
        <f t="shared" si="38"/>
        <v>1.3915268937125802E-10</v>
      </c>
      <c r="R77" s="285">
        <f t="shared" si="38"/>
        <v>1.3915268937125802E-10</v>
      </c>
      <c r="S77" s="285">
        <f t="shared" si="38"/>
        <v>5.0931703299283981E-11</v>
      </c>
      <c r="T77" s="285">
        <f t="shared" si="38"/>
        <v>1.3915268937125802E-10</v>
      </c>
      <c r="U77" s="285">
        <f t="shared" si="38"/>
        <v>1.3915268937125802E-10</v>
      </c>
      <c r="V77" s="285">
        <f t="shared" si="38"/>
        <v>-5.8207660913467407E-11</v>
      </c>
      <c r="W77" s="286"/>
      <c r="X77" s="287"/>
      <c r="Y77" s="287"/>
      <c r="Z77" s="288"/>
      <c r="AA77" s="285">
        <f>AA68-AA69-AA73</f>
        <v>-7.7416189014911652E-9</v>
      </c>
      <c r="AB77" s="286"/>
      <c r="AC77" s="105"/>
    </row>
    <row r="78" spans="2:31" ht="6.75" customHeight="1" x14ac:dyDescent="0.3">
      <c r="B78" s="441"/>
      <c r="C78" s="105"/>
      <c r="E78" s="105"/>
      <c r="F78" s="105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</row>
    <row r="79" spans="2:31" ht="6.75" customHeight="1" x14ac:dyDescent="0.3">
      <c r="B79" s="210"/>
      <c r="C79" s="161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</row>
    <row r="80" spans="2:31" ht="7.5" customHeight="1" x14ac:dyDescent="0.3">
      <c r="B80" s="202"/>
      <c r="C80" s="203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4"/>
      <c r="X80" s="105"/>
      <c r="Y80" s="105"/>
      <c r="Z80" s="439"/>
      <c r="AA80" s="203"/>
      <c r="AB80" s="204"/>
      <c r="AC80" s="105"/>
    </row>
    <row r="81" spans="2:31" x14ac:dyDescent="0.3">
      <c r="B81" s="175" t="s">
        <v>124</v>
      </c>
      <c r="C81" s="206" t="s">
        <v>446</v>
      </c>
      <c r="E81" s="105"/>
      <c r="F81" s="105"/>
      <c r="G81" s="189">
        <f>G$5</f>
        <v>2028</v>
      </c>
      <c r="H81" s="189">
        <f t="shared" ref="H81:V81" si="39">H$5</f>
        <v>2029</v>
      </c>
      <c r="I81" s="189">
        <f t="shared" si="39"/>
        <v>2030</v>
      </c>
      <c r="J81" s="189">
        <f t="shared" si="39"/>
        <v>2031</v>
      </c>
      <c r="K81" s="189">
        <f t="shared" si="39"/>
        <v>2032</v>
      </c>
      <c r="L81" s="189">
        <f t="shared" si="39"/>
        <v>2033</v>
      </c>
      <c r="M81" s="189">
        <f t="shared" si="39"/>
        <v>2034</v>
      </c>
      <c r="N81" s="189">
        <f t="shared" si="39"/>
        <v>2035</v>
      </c>
      <c r="O81" s="189">
        <f t="shared" si="39"/>
        <v>2036</v>
      </c>
      <c r="P81" s="189">
        <f t="shared" si="39"/>
        <v>2037</v>
      </c>
      <c r="Q81" s="189">
        <f t="shared" si="39"/>
        <v>2038</v>
      </c>
      <c r="R81" s="189">
        <f t="shared" si="39"/>
        <v>2039</v>
      </c>
      <c r="S81" s="189">
        <f t="shared" si="39"/>
        <v>2040</v>
      </c>
      <c r="T81" s="189">
        <f t="shared" si="39"/>
        <v>2041</v>
      </c>
      <c r="U81" s="189">
        <f t="shared" si="39"/>
        <v>2042</v>
      </c>
      <c r="V81" s="189">
        <f t="shared" si="39"/>
        <v>2043</v>
      </c>
      <c r="W81" s="176"/>
      <c r="X81" s="105"/>
      <c r="Y81" s="105"/>
      <c r="Z81" s="222"/>
      <c r="AA81" s="105"/>
      <c r="AB81" s="176"/>
      <c r="AC81" s="105"/>
      <c r="AD81" s="94"/>
    </row>
    <row r="82" spans="2:31" ht="7.5" customHeight="1" x14ac:dyDescent="0.3">
      <c r="B82" s="175"/>
      <c r="C82" s="206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76"/>
      <c r="X82" s="105"/>
      <c r="Y82" s="105"/>
      <c r="Z82" s="222"/>
      <c r="AA82" s="105"/>
      <c r="AB82" s="176"/>
      <c r="AC82" s="105"/>
      <c r="AD82" s="94"/>
    </row>
    <row r="83" spans="2:31" x14ac:dyDescent="0.3">
      <c r="B83" s="175" t="str">
        <f>MID($B$81,1,1)&amp;".01"</f>
        <v>L.01</v>
      </c>
      <c r="C83" s="207" t="s">
        <v>367</v>
      </c>
      <c r="D83" s="190" t="s">
        <v>381</v>
      </c>
      <c r="E83" s="105"/>
      <c r="F83" s="105"/>
      <c r="G83" s="289">
        <f>'L.01 DRK AL-HA'!E72</f>
        <v>598.40000000000009</v>
      </c>
      <c r="H83" s="289">
        <f>'L.01 DRK AL-HA'!F72</f>
        <v>9928.0000000000018</v>
      </c>
      <c r="I83" s="289">
        <f>'L.01 DRK AL-HA'!G72</f>
        <v>9928.0000000000018</v>
      </c>
      <c r="J83" s="289">
        <f>'L.01 DRK AL-HA'!H72</f>
        <v>9928.0000000000018</v>
      </c>
      <c r="K83" s="289">
        <f>'L.01 DRK AL-HA'!I72</f>
        <v>9955.2000000000007</v>
      </c>
      <c r="L83" s="289">
        <f>'L.01 DRK AL-HA'!J72</f>
        <v>9928.0000000000018</v>
      </c>
      <c r="M83" s="289">
        <f>'L.01 DRK AL-HA'!K72</f>
        <v>9928.0000000000018</v>
      </c>
      <c r="N83" s="289">
        <f>'L.01 DRK AL-HA'!L72</f>
        <v>9928.0000000000018</v>
      </c>
      <c r="O83" s="289">
        <f>'L.01 DRK AL-HA'!M72</f>
        <v>9955.2000000000007</v>
      </c>
      <c r="P83" s="289">
        <f>'L.01 DRK AL-HA'!N72</f>
        <v>9928.0000000000018</v>
      </c>
      <c r="Q83" s="289">
        <f>'L.01 DRK AL-HA'!O72</f>
        <v>9928.0000000000018</v>
      </c>
      <c r="R83" s="289">
        <f>'L.01 DRK AL-HA'!P72</f>
        <v>9928.0000000000018</v>
      </c>
      <c r="S83" s="289">
        <f>'L.01 DRK AL-HA'!Q72</f>
        <v>9955.2000000000007</v>
      </c>
      <c r="T83" s="289">
        <f>'L.01 DRK AL-HA'!R72</f>
        <v>9928.0000000000018</v>
      </c>
      <c r="U83" s="289">
        <f>'L.01 DRK AL-HA'!S72</f>
        <v>9928.0000000000018</v>
      </c>
      <c r="V83" s="289">
        <f>'L.01 DRK AL-HA'!T72</f>
        <v>9411.2000000000007</v>
      </c>
      <c r="W83" s="290"/>
      <c r="X83" s="291"/>
      <c r="Y83" s="291"/>
      <c r="Z83" s="508"/>
      <c r="AA83" s="291">
        <f t="shared" ref="AA83:AA88" si="40">SUM(G83:V83)</f>
        <v>149083.20000000001</v>
      </c>
      <c r="AB83" s="290"/>
      <c r="AC83" s="105"/>
      <c r="AD83" s="94"/>
    </row>
    <row r="84" spans="2:31" x14ac:dyDescent="0.3">
      <c r="B84" s="175" t="str">
        <f>MID($B$81,1,1)&amp;".02"</f>
        <v>L.02</v>
      </c>
      <c r="C84" s="207" t="s">
        <v>368</v>
      </c>
      <c r="D84" s="190" t="s">
        <v>382</v>
      </c>
      <c r="E84" s="105"/>
      <c r="F84" s="105"/>
      <c r="G84" s="289">
        <f>'L.02 DRK ZW-EM'!E156</f>
        <v>17643.600000000002</v>
      </c>
      <c r="H84" s="289">
        <f>'L.02 DRK ZW-EM'!F156</f>
        <v>346086</v>
      </c>
      <c r="I84" s="289">
        <f>'L.02 DRK ZW-EM'!G156</f>
        <v>346086</v>
      </c>
      <c r="J84" s="289">
        <f>'L.02 DRK ZW-EM'!H156</f>
        <v>346086</v>
      </c>
      <c r="K84" s="289">
        <f>'L.02 DRK ZW-EM'!I156</f>
        <v>347443.20000000001</v>
      </c>
      <c r="L84" s="289">
        <f>'L.02 DRK ZW-EM'!J156</f>
        <v>346086</v>
      </c>
      <c r="M84" s="289">
        <f>'L.02 DRK ZW-EM'!K156</f>
        <v>346086</v>
      </c>
      <c r="N84" s="289">
        <f>'L.02 DRK ZW-EM'!L156</f>
        <v>346086</v>
      </c>
      <c r="O84" s="289">
        <f>'L.02 DRK ZW-EM'!M156</f>
        <v>347443.20000000001</v>
      </c>
      <c r="P84" s="289">
        <f>'L.02 DRK ZW-EM'!N156</f>
        <v>346086</v>
      </c>
      <c r="Q84" s="289">
        <f>'L.02 DRK ZW-EM'!O156</f>
        <v>346086</v>
      </c>
      <c r="R84" s="289">
        <f>'L.02 DRK ZW-EM'!P156</f>
        <v>346086</v>
      </c>
      <c r="S84" s="289">
        <f>'L.02 DRK ZW-EM'!Q156</f>
        <v>347443.20000000001</v>
      </c>
      <c r="T84" s="289">
        <f>'L.02 DRK ZW-EM'!R156</f>
        <v>346086</v>
      </c>
      <c r="U84" s="289">
        <f>'L.02 DRK ZW-EM'!S156</f>
        <v>346086</v>
      </c>
      <c r="V84" s="289">
        <f>'L.02 DRK ZW-EM'!T156</f>
        <v>328442.40000000002</v>
      </c>
      <c r="W84" s="290"/>
      <c r="X84" s="291"/>
      <c r="Y84" s="291"/>
      <c r="Z84" s="508"/>
      <c r="AA84" s="291">
        <f t="shared" si="40"/>
        <v>5195361.6000000006</v>
      </c>
      <c r="AB84" s="290"/>
      <c r="AC84" s="105"/>
      <c r="AD84" s="94"/>
    </row>
    <row r="85" spans="2:31" x14ac:dyDescent="0.3">
      <c r="B85" s="227"/>
      <c r="C85" s="207" t="s">
        <v>369</v>
      </c>
      <c r="D85" s="190"/>
      <c r="E85" s="105"/>
      <c r="F85" s="105"/>
      <c r="G85" s="289">
        <f t="shared" ref="G85:V85" si="41">SUM(G83:G84)</f>
        <v>18242.000000000004</v>
      </c>
      <c r="H85" s="289">
        <f t="shared" si="41"/>
        <v>356014</v>
      </c>
      <c r="I85" s="289">
        <f t="shared" si="41"/>
        <v>356014</v>
      </c>
      <c r="J85" s="289">
        <f t="shared" si="41"/>
        <v>356014</v>
      </c>
      <c r="K85" s="289">
        <f t="shared" si="41"/>
        <v>357398.4</v>
      </c>
      <c r="L85" s="289">
        <f t="shared" si="41"/>
        <v>356014</v>
      </c>
      <c r="M85" s="289">
        <f t="shared" si="41"/>
        <v>356014</v>
      </c>
      <c r="N85" s="289">
        <f t="shared" si="41"/>
        <v>356014</v>
      </c>
      <c r="O85" s="289">
        <f t="shared" si="41"/>
        <v>357398.4</v>
      </c>
      <c r="P85" s="289">
        <f t="shared" si="41"/>
        <v>356014</v>
      </c>
      <c r="Q85" s="289">
        <f t="shared" si="41"/>
        <v>356014</v>
      </c>
      <c r="R85" s="289">
        <f t="shared" si="41"/>
        <v>356014</v>
      </c>
      <c r="S85" s="289">
        <f t="shared" si="41"/>
        <v>357398.4</v>
      </c>
      <c r="T85" s="289">
        <f t="shared" si="41"/>
        <v>356014</v>
      </c>
      <c r="U85" s="289">
        <f t="shared" si="41"/>
        <v>356014</v>
      </c>
      <c r="V85" s="289">
        <f t="shared" si="41"/>
        <v>337853.60000000003</v>
      </c>
      <c r="W85" s="290"/>
      <c r="X85" s="291"/>
      <c r="Y85" s="291"/>
      <c r="Z85" s="508"/>
      <c r="AA85" s="291">
        <f t="shared" si="40"/>
        <v>5344444.8</v>
      </c>
      <c r="AB85" s="290"/>
      <c r="AC85" s="105"/>
      <c r="AD85" s="94"/>
    </row>
    <row r="86" spans="2:31" x14ac:dyDescent="0.3">
      <c r="B86" s="175" t="str">
        <f>MID($B$81,1,1)&amp;".03"</f>
        <v>L.03</v>
      </c>
      <c r="C86" s="207" t="s">
        <v>579</v>
      </c>
      <c r="D86" s="190" t="s">
        <v>381</v>
      </c>
      <c r="E86" s="105"/>
      <c r="F86" s="105"/>
      <c r="G86" s="518">
        <f>'L.01 DRK AL-HA'!$AA$54/365*FEO!G8</f>
        <v>1196.8000000000002</v>
      </c>
      <c r="H86" s="518">
        <f>'L.01 DRK AL-HA'!$AA$54/365*FEO!H8</f>
        <v>19856.000000000004</v>
      </c>
      <c r="I86" s="518">
        <f>'L.01 DRK AL-HA'!$AA$54/365*FEO!I8</f>
        <v>19856.000000000004</v>
      </c>
      <c r="J86" s="518">
        <f>'L.01 DRK AL-HA'!$AA$54/365*FEO!J8</f>
        <v>19856.000000000004</v>
      </c>
      <c r="K86" s="518">
        <f>'L.01 DRK AL-HA'!$AA$54/365*FEO!K8</f>
        <v>19910.400000000005</v>
      </c>
      <c r="L86" s="518">
        <f>'L.01 DRK AL-HA'!$AA$54/365*FEO!L8</f>
        <v>19856.000000000004</v>
      </c>
      <c r="M86" s="518">
        <f>'L.01 DRK AL-HA'!$AA$54/365*FEO!M8</f>
        <v>19856.000000000004</v>
      </c>
      <c r="N86" s="518">
        <f>'L.01 DRK AL-HA'!$AA$54/365*FEO!N8</f>
        <v>19856.000000000004</v>
      </c>
      <c r="O86" s="518">
        <f>'L.01 DRK AL-HA'!$AA$54/365*FEO!O8</f>
        <v>19910.400000000005</v>
      </c>
      <c r="P86" s="518">
        <f>'L.01 DRK AL-HA'!$AA$54/365*FEO!P8</f>
        <v>19856.000000000004</v>
      </c>
      <c r="Q86" s="518">
        <f>'L.01 DRK AL-HA'!$AA$54/365*FEO!Q8</f>
        <v>19856.000000000004</v>
      </c>
      <c r="R86" s="518">
        <f>'L.01 DRK AL-HA'!$AA$54/365*FEO!R8</f>
        <v>19856.000000000004</v>
      </c>
      <c r="S86" s="518">
        <f>'L.01 DRK AL-HA'!$AA$54/365*FEO!S8</f>
        <v>19910.400000000005</v>
      </c>
      <c r="T86" s="518">
        <f>'L.01 DRK AL-HA'!$AA$54/365*FEO!T8</f>
        <v>19856.000000000004</v>
      </c>
      <c r="U86" s="518">
        <f>'L.01 DRK AL-HA'!$AA$54/365*FEO!U8</f>
        <v>19856.000000000004</v>
      </c>
      <c r="V86" s="518">
        <f>'L.01 DRK AL-HA'!$AA$54/365*FEO!V8</f>
        <v>18822.400000000005</v>
      </c>
      <c r="W86" s="290"/>
      <c r="X86" s="291"/>
      <c r="Y86" s="291"/>
      <c r="Z86" s="508"/>
      <c r="AA86" s="576">
        <f t="shared" si="40"/>
        <v>298166.40000000002</v>
      </c>
      <c r="AB86" s="586"/>
      <c r="AC86" s="105"/>
      <c r="AD86" s="94"/>
    </row>
    <row r="87" spans="2:31" x14ac:dyDescent="0.3">
      <c r="B87" s="175" t="str">
        <f>MID($B$81,1,1)&amp;".04"</f>
        <v>L.04</v>
      </c>
      <c r="C87" s="207" t="s">
        <v>447</v>
      </c>
      <c r="D87" s="190" t="s">
        <v>382</v>
      </c>
      <c r="E87" s="105"/>
      <c r="F87" s="105"/>
      <c r="G87" s="518">
        <f>'L.02 DRK ZW-EM'!$AE$133/365*FEO!G8</f>
        <v>83439.912328767125</v>
      </c>
      <c r="H87" s="518">
        <f>'L.02 DRK ZW-EM'!$AE$133/365*FEO!H8</f>
        <v>1384344</v>
      </c>
      <c r="I87" s="518">
        <f>'L.02 DRK ZW-EM'!$AE$133/365*FEO!I8</f>
        <v>1384344</v>
      </c>
      <c r="J87" s="518">
        <f>'L.02 DRK ZW-EM'!$AE$133/365*FEO!J8</f>
        <v>1384344</v>
      </c>
      <c r="K87" s="518">
        <f>'L.02 DRK ZW-EM'!$AE$133/365*FEO!K8</f>
        <v>1388136.7232876711</v>
      </c>
      <c r="L87" s="518">
        <f>'L.02 DRK ZW-EM'!$AE$133/365*FEO!L8</f>
        <v>1384344</v>
      </c>
      <c r="M87" s="518">
        <f>'L.02 DRK ZW-EM'!$AE$133/365*FEO!M8</f>
        <v>1384344</v>
      </c>
      <c r="N87" s="518">
        <f>'L.02 DRK ZW-EM'!$AE$133/365*FEO!N8</f>
        <v>1384344</v>
      </c>
      <c r="O87" s="518">
        <f>'L.02 DRK ZW-EM'!$AE$133/365*FEO!O8</f>
        <v>1388136.7232876711</v>
      </c>
      <c r="P87" s="518">
        <f>'L.02 DRK ZW-EM'!$AE$133/365*FEO!P8</f>
        <v>1384344</v>
      </c>
      <c r="Q87" s="518">
        <f>'L.02 DRK ZW-EM'!$AE$133/365*FEO!Q8</f>
        <v>1384344</v>
      </c>
      <c r="R87" s="518">
        <f>'L.02 DRK ZW-EM'!$AE$133/365*FEO!R8</f>
        <v>1384344</v>
      </c>
      <c r="S87" s="518">
        <f>'L.02 DRK ZW-EM'!$AE$133/365*FEO!S8</f>
        <v>1388136.7232876711</v>
      </c>
      <c r="T87" s="518">
        <f>'L.02 DRK ZW-EM'!$AE$133/365*FEO!T8</f>
        <v>1384344</v>
      </c>
      <c r="U87" s="518">
        <f>'L.02 DRK ZW-EM'!$AE$133/365*FEO!U8</f>
        <v>1384344</v>
      </c>
      <c r="V87" s="518">
        <f>'L.02 DRK ZW-EM'!$AE$133/365*FEO!V8</f>
        <v>1312282.2575342467</v>
      </c>
      <c r="W87" s="290"/>
      <c r="X87" s="291"/>
      <c r="Y87" s="291"/>
      <c r="Z87" s="508"/>
      <c r="AA87" s="576">
        <f t="shared" si="40"/>
        <v>20787916.339726027</v>
      </c>
      <c r="AB87" s="586"/>
      <c r="AC87" s="105"/>
      <c r="AD87" s="94"/>
    </row>
    <row r="88" spans="2:31" x14ac:dyDescent="0.3">
      <c r="B88" s="227"/>
      <c r="C88" s="207" t="s">
        <v>448</v>
      </c>
      <c r="D88" s="190"/>
      <c r="E88" s="105"/>
      <c r="F88" s="105"/>
      <c r="G88" s="518">
        <f>G86+G87</f>
        <v>84636.712328767127</v>
      </c>
      <c r="H88" s="518">
        <f t="shared" ref="H88:V88" si="42">H86+H87</f>
        <v>1404200</v>
      </c>
      <c r="I88" s="518">
        <f t="shared" si="42"/>
        <v>1404200</v>
      </c>
      <c r="J88" s="518">
        <f t="shared" si="42"/>
        <v>1404200</v>
      </c>
      <c r="K88" s="518">
        <f t="shared" si="42"/>
        <v>1408047.123287671</v>
      </c>
      <c r="L88" s="518">
        <f t="shared" si="42"/>
        <v>1404200</v>
      </c>
      <c r="M88" s="518">
        <f t="shared" si="42"/>
        <v>1404200</v>
      </c>
      <c r="N88" s="518">
        <f t="shared" si="42"/>
        <v>1404200</v>
      </c>
      <c r="O88" s="518">
        <f t="shared" si="42"/>
        <v>1408047.123287671</v>
      </c>
      <c r="P88" s="518">
        <f t="shared" si="42"/>
        <v>1404200</v>
      </c>
      <c r="Q88" s="518">
        <f t="shared" si="42"/>
        <v>1404200</v>
      </c>
      <c r="R88" s="518">
        <f t="shared" si="42"/>
        <v>1404200</v>
      </c>
      <c r="S88" s="518">
        <f t="shared" si="42"/>
        <v>1408047.123287671</v>
      </c>
      <c r="T88" s="518">
        <f t="shared" si="42"/>
        <v>1404200</v>
      </c>
      <c r="U88" s="518">
        <f t="shared" si="42"/>
        <v>1404200</v>
      </c>
      <c r="V88" s="518">
        <f t="shared" si="42"/>
        <v>1331104.6575342466</v>
      </c>
      <c r="W88" s="290"/>
      <c r="X88" s="291"/>
      <c r="Y88" s="291"/>
      <c r="Z88" s="508"/>
      <c r="AA88" s="576">
        <f t="shared" si="40"/>
        <v>21086082.739726026</v>
      </c>
      <c r="AB88" s="586"/>
      <c r="AC88" s="105"/>
      <c r="AD88" s="94"/>
    </row>
    <row r="89" spans="2:31" ht="7.5" customHeight="1" x14ac:dyDescent="0.3">
      <c r="B89" s="512"/>
      <c r="C89" s="513"/>
      <c r="D89" s="514"/>
      <c r="E89" s="200"/>
      <c r="F89" s="200"/>
      <c r="G89" s="515"/>
      <c r="H89" s="515"/>
      <c r="I89" s="515"/>
      <c r="J89" s="515"/>
      <c r="K89" s="515"/>
      <c r="L89" s="515"/>
      <c r="M89" s="515"/>
      <c r="N89" s="515"/>
      <c r="O89" s="515"/>
      <c r="P89" s="515"/>
      <c r="Q89" s="515"/>
      <c r="R89" s="515"/>
      <c r="S89" s="515"/>
      <c r="T89" s="515"/>
      <c r="U89" s="515"/>
      <c r="V89" s="515"/>
      <c r="W89" s="516"/>
      <c r="X89" s="291"/>
      <c r="Y89" s="291"/>
      <c r="Z89" s="510"/>
      <c r="AA89" s="511"/>
      <c r="AB89" s="516"/>
      <c r="AC89" s="105"/>
      <c r="AD89" s="94"/>
    </row>
    <row r="90" spans="2:31" ht="6.75" customHeight="1" x14ac:dyDescent="0.3">
      <c r="B90" s="210"/>
      <c r="C90" s="161"/>
      <c r="E90" s="105"/>
      <c r="F90" s="105"/>
      <c r="G90" s="509"/>
      <c r="H90" s="509"/>
      <c r="I90" s="509"/>
      <c r="J90" s="509"/>
      <c r="K90" s="509"/>
      <c r="L90" s="509"/>
      <c r="M90" s="509"/>
      <c r="N90" s="509"/>
      <c r="O90" s="509"/>
      <c r="P90" s="509"/>
      <c r="Q90" s="509"/>
      <c r="R90" s="509"/>
      <c r="S90" s="509"/>
      <c r="T90" s="509"/>
      <c r="U90" s="509"/>
      <c r="V90" s="509"/>
      <c r="W90" s="105"/>
      <c r="X90" s="105"/>
      <c r="Y90" s="105"/>
      <c r="Z90" s="105"/>
      <c r="AA90" s="105"/>
      <c r="AB90" s="105"/>
      <c r="AC90" s="105"/>
    </row>
    <row r="91" spans="2:31" ht="6.75" customHeight="1" x14ac:dyDescent="0.3">
      <c r="B91" s="210"/>
      <c r="C91" s="161"/>
      <c r="E91" s="105"/>
      <c r="F91" s="105"/>
      <c r="G91" s="105"/>
      <c r="H91" s="200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</row>
    <row r="92" spans="2:31" ht="7.5" customHeight="1" x14ac:dyDescent="0.3">
      <c r="B92" s="224"/>
      <c r="C92" s="503"/>
      <c r="D92" s="504"/>
      <c r="E92" s="203"/>
      <c r="F92" s="203"/>
      <c r="G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505"/>
      <c r="X92" s="291"/>
      <c r="Y92" s="291"/>
      <c r="Z92" s="506"/>
      <c r="AA92" s="507"/>
      <c r="AB92" s="505"/>
      <c r="AC92" s="105"/>
      <c r="AD92" s="94"/>
    </row>
    <row r="93" spans="2:31" x14ac:dyDescent="0.3">
      <c r="B93" s="517" t="s">
        <v>194</v>
      </c>
      <c r="C93" s="206" t="s">
        <v>444</v>
      </c>
      <c r="D93" s="190"/>
      <c r="E93" s="105"/>
      <c r="F93" s="105"/>
      <c r="G93" s="189">
        <f>G$5</f>
        <v>2028</v>
      </c>
      <c r="H93" s="189">
        <f t="shared" ref="H93:V93" si="43">H$5</f>
        <v>2029</v>
      </c>
      <c r="I93" s="189">
        <f t="shared" si="43"/>
        <v>2030</v>
      </c>
      <c r="J93" s="189">
        <f t="shared" si="43"/>
        <v>2031</v>
      </c>
      <c r="K93" s="189">
        <f t="shared" si="43"/>
        <v>2032</v>
      </c>
      <c r="L93" s="189">
        <f t="shared" si="43"/>
        <v>2033</v>
      </c>
      <c r="M93" s="189">
        <f t="shared" si="43"/>
        <v>2034</v>
      </c>
      <c r="N93" s="189">
        <f t="shared" si="43"/>
        <v>2035</v>
      </c>
      <c r="O93" s="189">
        <f t="shared" si="43"/>
        <v>2036</v>
      </c>
      <c r="P93" s="189">
        <f t="shared" si="43"/>
        <v>2037</v>
      </c>
      <c r="Q93" s="189">
        <f t="shared" si="43"/>
        <v>2038</v>
      </c>
      <c r="R93" s="189">
        <f t="shared" si="43"/>
        <v>2039</v>
      </c>
      <c r="S93" s="189">
        <f t="shared" si="43"/>
        <v>2040</v>
      </c>
      <c r="T93" s="189">
        <f t="shared" si="43"/>
        <v>2041</v>
      </c>
      <c r="U93" s="189">
        <f t="shared" si="43"/>
        <v>2042</v>
      </c>
      <c r="V93" s="189">
        <f t="shared" si="43"/>
        <v>2043</v>
      </c>
      <c r="W93" s="290"/>
      <c r="X93" s="291"/>
      <c r="Y93" s="291"/>
      <c r="Z93" s="508"/>
      <c r="AA93" s="291"/>
      <c r="AB93" s="290"/>
      <c r="AC93" s="105"/>
      <c r="AD93" s="94"/>
    </row>
    <row r="94" spans="2:31" ht="7.5" customHeight="1" x14ac:dyDescent="0.3">
      <c r="B94" s="227"/>
      <c r="C94" s="207"/>
      <c r="D94" s="190"/>
      <c r="E94" s="105"/>
      <c r="F94" s="105"/>
      <c r="G94" s="105"/>
      <c r="H94" s="212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290"/>
      <c r="X94" s="291"/>
      <c r="Y94" s="291"/>
      <c r="Z94" s="508"/>
      <c r="AA94" s="291"/>
      <c r="AB94" s="290"/>
      <c r="AC94" s="105"/>
      <c r="AD94" s="94"/>
    </row>
    <row r="95" spans="2:31" x14ac:dyDescent="0.3">
      <c r="B95" s="175" t="str">
        <f>MID($B$93,1,1)&amp;".01"</f>
        <v>M.01</v>
      </c>
      <c r="C95" s="207" t="s">
        <v>241</v>
      </c>
      <c r="D95" s="190"/>
      <c r="E95" s="105"/>
      <c r="F95" s="105"/>
      <c r="G95" s="519">
        <f>(G10+G31+G35+G42+G48+G66)/G85+(G18/G88*G86/G83)</f>
        <v>3.0093422148562508</v>
      </c>
      <c r="H95" s="519">
        <f>(H10+H31+H35+H42+H48+H66)/H85+(H18/H88*H86/H83)</f>
        <v>3.0062489990328616</v>
      </c>
      <c r="I95" s="519">
        <f t="shared" ref="I95:V95" si="44">(I10+I31+I35+I42+I48+I66)/I85+(I18/I88*I86/I83)</f>
        <v>3.0062489990328616</v>
      </c>
      <c r="J95" s="519">
        <f t="shared" si="44"/>
        <v>3.0062489990328616</v>
      </c>
      <c r="K95" s="519">
        <f t="shared" si="44"/>
        <v>3.0062289216709175</v>
      </c>
      <c r="L95" s="519">
        <f t="shared" si="44"/>
        <v>3.0062489990328616</v>
      </c>
      <c r="M95" s="519">
        <f t="shared" si="44"/>
        <v>3.0062489990328616</v>
      </c>
      <c r="N95" s="519">
        <f t="shared" si="44"/>
        <v>3.0062489990328616</v>
      </c>
      <c r="O95" s="519">
        <f t="shared" si="44"/>
        <v>3.0062289216709175</v>
      </c>
      <c r="P95" s="519">
        <f t="shared" si="44"/>
        <v>3.0062489990328616</v>
      </c>
      <c r="Q95" s="519">
        <f t="shared" si="44"/>
        <v>3.0062489990328616</v>
      </c>
      <c r="R95" s="519">
        <f t="shared" si="44"/>
        <v>3.0062489990328616</v>
      </c>
      <c r="S95" s="519">
        <f t="shared" si="44"/>
        <v>3.0062289216709175</v>
      </c>
      <c r="T95" s="519">
        <f t="shared" si="44"/>
        <v>3.0062489990328616</v>
      </c>
      <c r="U95" s="519">
        <f t="shared" si="44"/>
        <v>3.0062489990328616</v>
      </c>
      <c r="V95" s="519">
        <f t="shared" si="44"/>
        <v>3.0062296910005846</v>
      </c>
      <c r="W95" s="290"/>
      <c r="X95" s="291"/>
      <c r="Y95" s="291"/>
      <c r="Z95" s="508"/>
      <c r="AA95" s="212">
        <f t="shared" ref="AA95" si="45">(AA10+AA31+AA35+AA42+AA48+AA66)/AA85+(AA18/AA88*AA86/AA83)</f>
        <v>3.00625430852801</v>
      </c>
      <c r="AB95" s="587"/>
      <c r="AC95" s="105"/>
      <c r="AD95" s="94"/>
    </row>
    <row r="96" spans="2:31" x14ac:dyDescent="0.3">
      <c r="B96" s="175" t="str">
        <f>MID($B$93,1,1)&amp;".02"</f>
        <v>M.02</v>
      </c>
      <c r="C96" s="207" t="s">
        <v>372</v>
      </c>
      <c r="E96" s="210" t="s">
        <v>94</v>
      </c>
      <c r="F96" s="105"/>
      <c r="G96" s="442">
        <f>(SUMIF($E$11:$E$17,$E96,G$11:G$17)+SUMIF($E$31:$E$67,$E96,G$31:G$67))/G$85+SUMIF($E$18:$E$30,$E96,G$18:G$30)/G$88*G$86/G$83</f>
        <v>0</v>
      </c>
      <c r="H96" s="442">
        <f t="shared" ref="G96:V98" si="46">(SUMIF($E$11:$E$17,$E96,H$11:H$17)+SUMIF($E$31:$E$67,$E96,H$31:H$67))/H$85+SUMIF($E$18:$E$30,$E96,H$18:H$30)/H$88*H$86/H$83</f>
        <v>0</v>
      </c>
      <c r="I96" s="442">
        <f t="shared" si="46"/>
        <v>0</v>
      </c>
      <c r="J96" s="442">
        <f t="shared" si="46"/>
        <v>0</v>
      </c>
      <c r="K96" s="442">
        <f t="shared" si="46"/>
        <v>0</v>
      </c>
      <c r="L96" s="442">
        <f t="shared" si="46"/>
        <v>0</v>
      </c>
      <c r="M96" s="442">
        <f t="shared" si="46"/>
        <v>0</v>
      </c>
      <c r="N96" s="442">
        <f t="shared" si="46"/>
        <v>0</v>
      </c>
      <c r="O96" s="442">
        <f t="shared" si="46"/>
        <v>0</v>
      </c>
      <c r="P96" s="442">
        <f t="shared" si="46"/>
        <v>0</v>
      </c>
      <c r="Q96" s="442">
        <f t="shared" si="46"/>
        <v>0</v>
      </c>
      <c r="R96" s="442">
        <f t="shared" si="46"/>
        <v>0</v>
      </c>
      <c r="S96" s="442">
        <f t="shared" si="46"/>
        <v>0</v>
      </c>
      <c r="T96" s="442">
        <f t="shared" si="46"/>
        <v>0</v>
      </c>
      <c r="U96" s="442">
        <f t="shared" si="46"/>
        <v>0</v>
      </c>
      <c r="V96" s="442">
        <f t="shared" si="46"/>
        <v>0</v>
      </c>
      <c r="W96" s="176"/>
      <c r="X96" s="105"/>
      <c r="Y96" s="105"/>
      <c r="Z96" s="222"/>
      <c r="AA96" s="212">
        <f t="shared" ref="AA96:AA98" si="47">(SUMIF($E$11:$E$17,$E96,AA$11:AA$17)+SUMIF($E$31:$E$67,$E96,AA$31:AA$67))/AA$85+SUMIF($E$18:$E$30,$E96,AA$18:AA$30)/AA$88*AA$86/AA$83</f>
        <v>0</v>
      </c>
      <c r="AB96" s="587"/>
      <c r="AC96" s="105"/>
      <c r="AD96" s="94"/>
      <c r="AE96" s="283"/>
    </row>
    <row r="97" spans="2:31" x14ac:dyDescent="0.3">
      <c r="B97" s="175" t="str">
        <f>MID($B$93,1,1)&amp;".03"</f>
        <v>M.03</v>
      </c>
      <c r="C97" s="207" t="s">
        <v>416</v>
      </c>
      <c r="D97" s="190"/>
      <c r="E97" s="210" t="s">
        <v>97</v>
      </c>
      <c r="F97" s="105"/>
      <c r="G97" s="442">
        <f t="shared" si="46"/>
        <v>0</v>
      </c>
      <c r="H97" s="442">
        <f t="shared" si="46"/>
        <v>0</v>
      </c>
      <c r="I97" s="442">
        <f t="shared" si="46"/>
        <v>0</v>
      </c>
      <c r="J97" s="442">
        <f t="shared" si="46"/>
        <v>0</v>
      </c>
      <c r="K97" s="442">
        <f t="shared" si="46"/>
        <v>0</v>
      </c>
      <c r="L97" s="442">
        <f t="shared" si="46"/>
        <v>0</v>
      </c>
      <c r="M97" s="442">
        <f t="shared" si="46"/>
        <v>0</v>
      </c>
      <c r="N97" s="442">
        <f t="shared" si="46"/>
        <v>0</v>
      </c>
      <c r="O97" s="442">
        <f t="shared" si="46"/>
        <v>0</v>
      </c>
      <c r="P97" s="442">
        <f t="shared" si="46"/>
        <v>0</v>
      </c>
      <c r="Q97" s="442">
        <f t="shared" si="46"/>
        <v>0</v>
      </c>
      <c r="R97" s="442">
        <f t="shared" si="46"/>
        <v>0</v>
      </c>
      <c r="S97" s="442">
        <f t="shared" si="46"/>
        <v>0</v>
      </c>
      <c r="T97" s="442">
        <f t="shared" si="46"/>
        <v>0</v>
      </c>
      <c r="U97" s="442">
        <f t="shared" si="46"/>
        <v>0</v>
      </c>
      <c r="V97" s="442">
        <f t="shared" si="46"/>
        <v>0</v>
      </c>
      <c r="W97" s="176"/>
      <c r="X97" s="105"/>
      <c r="Y97" s="105"/>
      <c r="Z97" s="222"/>
      <c r="AA97" s="212">
        <f t="shared" si="47"/>
        <v>0</v>
      </c>
      <c r="AB97" s="587"/>
      <c r="AC97" s="105"/>
      <c r="AD97" s="94"/>
      <c r="AE97" s="283"/>
    </row>
    <row r="98" spans="2:31" x14ac:dyDescent="0.3">
      <c r="B98" s="175" t="str">
        <f>MID($B$93,1,1)&amp;".04"</f>
        <v>M.04</v>
      </c>
      <c r="C98" s="207" t="s">
        <v>415</v>
      </c>
      <c r="E98" s="210" t="s">
        <v>417</v>
      </c>
      <c r="F98" s="105"/>
      <c r="G98" s="442">
        <f t="shared" si="46"/>
        <v>3.0093422148562508</v>
      </c>
      <c r="H98" s="442">
        <f t="shared" si="46"/>
        <v>3.0062489990328616</v>
      </c>
      <c r="I98" s="442">
        <f t="shared" si="46"/>
        <v>3.0062489990328616</v>
      </c>
      <c r="J98" s="442">
        <f t="shared" si="46"/>
        <v>3.0062489990328616</v>
      </c>
      <c r="K98" s="442">
        <f t="shared" si="46"/>
        <v>3.0062289216709175</v>
      </c>
      <c r="L98" s="442">
        <f t="shared" si="46"/>
        <v>3.0062489990328616</v>
      </c>
      <c r="M98" s="442">
        <f t="shared" si="46"/>
        <v>3.0062489990328616</v>
      </c>
      <c r="N98" s="442">
        <f t="shared" si="46"/>
        <v>3.0062489990328616</v>
      </c>
      <c r="O98" s="442">
        <f t="shared" si="46"/>
        <v>3.0062289216709175</v>
      </c>
      <c r="P98" s="442">
        <f t="shared" si="46"/>
        <v>3.0062489990328616</v>
      </c>
      <c r="Q98" s="442">
        <f t="shared" si="46"/>
        <v>3.0062489990328616</v>
      </c>
      <c r="R98" s="442">
        <f t="shared" si="46"/>
        <v>3.0062489990328616</v>
      </c>
      <c r="S98" s="442">
        <f t="shared" si="46"/>
        <v>3.0062289216709175</v>
      </c>
      <c r="T98" s="442">
        <f t="shared" si="46"/>
        <v>3.0062489990328616</v>
      </c>
      <c r="U98" s="442">
        <f t="shared" si="46"/>
        <v>3.0062489990328616</v>
      </c>
      <c r="V98" s="442">
        <f t="shared" si="46"/>
        <v>3.0062296910005846</v>
      </c>
      <c r="W98" s="176"/>
      <c r="X98" s="105"/>
      <c r="Y98" s="105"/>
      <c r="Z98" s="222"/>
      <c r="AA98" s="212">
        <f t="shared" si="47"/>
        <v>3.00625430852801</v>
      </c>
      <c r="AB98" s="587"/>
      <c r="AC98" s="105"/>
      <c r="AD98" s="94"/>
      <c r="AE98" s="283"/>
    </row>
    <row r="99" spans="2:31" ht="7.5" customHeight="1" x14ac:dyDescent="0.3">
      <c r="B99" s="199"/>
      <c r="C99" s="200"/>
      <c r="D99" s="200"/>
      <c r="E99" s="593" t="s">
        <v>430</v>
      </c>
      <c r="F99" s="594"/>
      <c r="G99" s="595">
        <f>G95-SUM(G96:G98)</f>
        <v>0</v>
      </c>
      <c r="H99" s="595">
        <f>H95-SUM(H96:H98)</f>
        <v>0</v>
      </c>
      <c r="I99" s="595">
        <f t="shared" ref="I99:V99" si="48">I95-SUM(I96:I98)</f>
        <v>0</v>
      </c>
      <c r="J99" s="595">
        <f t="shared" si="48"/>
        <v>0</v>
      </c>
      <c r="K99" s="595">
        <f t="shared" si="48"/>
        <v>0</v>
      </c>
      <c r="L99" s="595">
        <f t="shared" si="48"/>
        <v>0</v>
      </c>
      <c r="M99" s="595">
        <f t="shared" si="48"/>
        <v>0</v>
      </c>
      <c r="N99" s="595">
        <f t="shared" si="48"/>
        <v>0</v>
      </c>
      <c r="O99" s="595">
        <f t="shared" si="48"/>
        <v>0</v>
      </c>
      <c r="P99" s="595">
        <f t="shared" si="48"/>
        <v>0</v>
      </c>
      <c r="Q99" s="595">
        <f t="shared" si="48"/>
        <v>0</v>
      </c>
      <c r="R99" s="595">
        <f t="shared" si="48"/>
        <v>0</v>
      </c>
      <c r="S99" s="595">
        <f t="shared" si="48"/>
        <v>0</v>
      </c>
      <c r="T99" s="595">
        <f t="shared" si="48"/>
        <v>0</v>
      </c>
      <c r="U99" s="595">
        <f t="shared" si="48"/>
        <v>0</v>
      </c>
      <c r="V99" s="595">
        <f t="shared" si="48"/>
        <v>0</v>
      </c>
      <c r="W99" s="552"/>
      <c r="X99" s="553"/>
      <c r="Y99" s="553"/>
      <c r="Z99" s="554"/>
      <c r="AA99" s="551">
        <f t="shared" ref="AA99" si="49">AA95-SUM(AA96:AA98)</f>
        <v>0</v>
      </c>
      <c r="AB99" s="588"/>
      <c r="AC99" s="105"/>
      <c r="AD99" s="94"/>
    </row>
    <row r="100" spans="2:31" ht="6.75" customHeight="1" x14ac:dyDescent="0.3">
      <c r="B100" s="441"/>
      <c r="C100" s="161"/>
      <c r="E100" s="105"/>
      <c r="F100" s="105"/>
      <c r="G100" s="509"/>
      <c r="H100" s="509"/>
      <c r="I100" s="509"/>
      <c r="J100" s="509"/>
      <c r="K100" s="509"/>
      <c r="L100" s="509"/>
      <c r="M100" s="509"/>
      <c r="N100" s="509"/>
      <c r="O100" s="509"/>
      <c r="P100" s="509"/>
      <c r="Q100" s="509"/>
      <c r="R100" s="509"/>
      <c r="S100" s="509"/>
      <c r="T100" s="509"/>
      <c r="U100" s="509"/>
      <c r="V100" s="509"/>
      <c r="W100" s="105"/>
      <c r="X100" s="105"/>
      <c r="Y100" s="105"/>
      <c r="Z100" s="105"/>
      <c r="AA100" s="105"/>
      <c r="AB100" s="105"/>
      <c r="AC100" s="105"/>
    </row>
    <row r="101" spans="2:31" ht="6.75" customHeight="1" x14ac:dyDescent="0.3">
      <c r="B101" s="210"/>
      <c r="C101" s="161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</row>
    <row r="102" spans="2:31" ht="7.5" customHeight="1" x14ac:dyDescent="0.3">
      <c r="B102" s="224"/>
      <c r="C102" s="503"/>
      <c r="D102" s="504"/>
      <c r="E102" s="203"/>
      <c r="F102" s="203"/>
      <c r="G102" s="203"/>
      <c r="H102" s="203"/>
      <c r="I102" s="203"/>
      <c r="J102" s="203"/>
      <c r="K102" s="203"/>
      <c r="L102" s="203"/>
      <c r="M102" s="203"/>
      <c r="N102" s="203"/>
      <c r="O102" s="203"/>
      <c r="P102" s="203"/>
      <c r="Q102" s="203"/>
      <c r="R102" s="203"/>
      <c r="S102" s="203"/>
      <c r="T102" s="203"/>
      <c r="U102" s="203"/>
      <c r="V102" s="203"/>
      <c r="W102" s="505"/>
      <c r="X102" s="291"/>
      <c r="Y102" s="291"/>
      <c r="Z102" s="506"/>
      <c r="AA102" s="507"/>
      <c r="AB102" s="505"/>
      <c r="AC102" s="105"/>
      <c r="AD102" s="94"/>
    </row>
    <row r="103" spans="2:31" x14ac:dyDescent="0.3">
      <c r="B103" s="517" t="s">
        <v>195</v>
      </c>
      <c r="C103" s="206" t="s">
        <v>445</v>
      </c>
      <c r="D103" s="190"/>
      <c r="E103" s="105"/>
      <c r="F103" s="105"/>
      <c r="G103" s="189">
        <f>G$5</f>
        <v>2028</v>
      </c>
      <c r="H103" s="189">
        <f t="shared" ref="H103:V103" si="50">H$5</f>
        <v>2029</v>
      </c>
      <c r="I103" s="189">
        <f t="shared" si="50"/>
        <v>2030</v>
      </c>
      <c r="J103" s="189">
        <f t="shared" si="50"/>
        <v>2031</v>
      </c>
      <c r="K103" s="189">
        <f t="shared" si="50"/>
        <v>2032</v>
      </c>
      <c r="L103" s="189">
        <f t="shared" si="50"/>
        <v>2033</v>
      </c>
      <c r="M103" s="189">
        <f t="shared" si="50"/>
        <v>2034</v>
      </c>
      <c r="N103" s="189">
        <f t="shared" si="50"/>
        <v>2035</v>
      </c>
      <c r="O103" s="189">
        <f t="shared" si="50"/>
        <v>2036</v>
      </c>
      <c r="P103" s="189">
        <f t="shared" si="50"/>
        <v>2037</v>
      </c>
      <c r="Q103" s="189">
        <f t="shared" si="50"/>
        <v>2038</v>
      </c>
      <c r="R103" s="189">
        <f t="shared" si="50"/>
        <v>2039</v>
      </c>
      <c r="S103" s="189">
        <f t="shared" si="50"/>
        <v>2040</v>
      </c>
      <c r="T103" s="189">
        <f t="shared" si="50"/>
        <v>2041</v>
      </c>
      <c r="U103" s="189">
        <f t="shared" si="50"/>
        <v>2042</v>
      </c>
      <c r="V103" s="189">
        <f t="shared" si="50"/>
        <v>2043</v>
      </c>
      <c r="W103" s="290"/>
      <c r="X103" s="291"/>
      <c r="Y103" s="291"/>
      <c r="Z103" s="508"/>
      <c r="AA103" s="291"/>
      <c r="AB103" s="290"/>
      <c r="AC103" s="105"/>
      <c r="AD103" s="94"/>
    </row>
    <row r="104" spans="2:31" ht="7.5" customHeight="1" x14ac:dyDescent="0.3">
      <c r="B104" s="227"/>
      <c r="C104" s="207"/>
      <c r="D104" s="190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290"/>
      <c r="X104" s="291"/>
      <c r="Y104" s="291"/>
      <c r="Z104" s="508"/>
      <c r="AA104" s="291"/>
      <c r="AB104" s="290"/>
      <c r="AC104" s="105"/>
      <c r="AD104" s="94"/>
    </row>
    <row r="105" spans="2:31" x14ac:dyDescent="0.3">
      <c r="B105" s="175" t="str">
        <f>MID($B$103,1,1)&amp;".01"</f>
        <v>N.01</v>
      </c>
      <c r="C105" s="207" t="s">
        <v>241</v>
      </c>
      <c r="D105" s="190"/>
      <c r="E105" s="105"/>
      <c r="F105" s="105"/>
      <c r="G105" s="442">
        <f>(G10+G31+G35+G42+G48+G66)/G85+(G18/G88*G87/G84)</f>
        <v>7.0877127689204134</v>
      </c>
      <c r="H105" s="442">
        <f>(H10+H31+H35+H42+H48+H66)/H85+(H18/H88*H87/H84)</f>
        <v>5.9949545247524689</v>
      </c>
      <c r="I105" s="442">
        <f t="shared" ref="I105:V105" si="51">(I10+I31+I35+I42+I48+I66)/I85+(I18/I88*I87/I84)</f>
        <v>5.9949545247524689</v>
      </c>
      <c r="J105" s="442">
        <f t="shared" si="51"/>
        <v>5.9949545247524689</v>
      </c>
      <c r="K105" s="442">
        <f t="shared" si="51"/>
        <v>5.9878976835243156</v>
      </c>
      <c r="L105" s="442">
        <f t="shared" si="51"/>
        <v>5.9949545247524689</v>
      </c>
      <c r="M105" s="442">
        <f t="shared" si="51"/>
        <v>5.9949545247524689</v>
      </c>
      <c r="N105" s="442">
        <f t="shared" si="51"/>
        <v>5.9949545247524689</v>
      </c>
      <c r="O105" s="442">
        <f t="shared" si="51"/>
        <v>5.9878976835243156</v>
      </c>
      <c r="P105" s="442">
        <f t="shared" si="51"/>
        <v>5.9949545247524689</v>
      </c>
      <c r="Q105" s="442">
        <f t="shared" si="51"/>
        <v>5.9949545247524689</v>
      </c>
      <c r="R105" s="442">
        <f t="shared" si="51"/>
        <v>5.9949545247524689</v>
      </c>
      <c r="S105" s="442">
        <f t="shared" si="51"/>
        <v>5.9878976835243156</v>
      </c>
      <c r="T105" s="442">
        <f t="shared" si="51"/>
        <v>5.9949545247524689</v>
      </c>
      <c r="U105" s="442">
        <f t="shared" si="51"/>
        <v>5.9949545247524689</v>
      </c>
      <c r="V105" s="442">
        <f t="shared" si="51"/>
        <v>5.9881680809209845</v>
      </c>
      <c r="W105" s="290"/>
      <c r="X105" s="291"/>
      <c r="Y105" s="291"/>
      <c r="Z105" s="508"/>
      <c r="AA105" s="212">
        <f t="shared" ref="AA105" si="52">(AA10+AA31+AA35+AA42+AA48+AA66)/AA85+(AA18/AA88*AA87/AA84)</f>
        <v>5.9968207965923979</v>
      </c>
      <c r="AB105" s="587"/>
      <c r="AC105" s="105"/>
      <c r="AD105" s="94"/>
    </row>
    <row r="106" spans="2:31" x14ac:dyDescent="0.3">
      <c r="B106" s="175" t="str">
        <f>MID($B$103,1,1)&amp;".02"</f>
        <v>N.02</v>
      </c>
      <c r="C106" s="207" t="s">
        <v>372</v>
      </c>
      <c r="E106" s="210" t="s">
        <v>94</v>
      </c>
      <c r="F106" s="105"/>
      <c r="G106" s="442">
        <f t="shared" ref="G106:V108" si="53">(SUMIF($E$11:$E$17,$E106,G$11:G$17)+SUMIF($E$31:$E$67,$E106,G$31:G$67))/G$85+SUMIF($E$18:$E$30,$E106,G$18:G$30)/G$88*G$87/G$84</f>
        <v>0</v>
      </c>
      <c r="H106" s="442">
        <f t="shared" si="53"/>
        <v>0</v>
      </c>
      <c r="I106" s="442">
        <f t="shared" si="53"/>
        <v>0</v>
      </c>
      <c r="J106" s="442">
        <f t="shared" si="53"/>
        <v>0</v>
      </c>
      <c r="K106" s="442">
        <f t="shared" si="53"/>
        <v>0</v>
      </c>
      <c r="L106" s="442">
        <f t="shared" si="53"/>
        <v>0</v>
      </c>
      <c r="M106" s="442">
        <f t="shared" si="53"/>
        <v>0</v>
      </c>
      <c r="N106" s="442">
        <f t="shared" si="53"/>
        <v>0</v>
      </c>
      <c r="O106" s="442">
        <f t="shared" si="53"/>
        <v>0</v>
      </c>
      <c r="P106" s="442">
        <f t="shared" si="53"/>
        <v>0</v>
      </c>
      <c r="Q106" s="442">
        <f t="shared" si="53"/>
        <v>0</v>
      </c>
      <c r="R106" s="442">
        <f t="shared" si="53"/>
        <v>0</v>
      </c>
      <c r="S106" s="442">
        <f t="shared" si="53"/>
        <v>0</v>
      </c>
      <c r="T106" s="442">
        <f t="shared" si="53"/>
        <v>0</v>
      </c>
      <c r="U106" s="442">
        <f t="shared" si="53"/>
        <v>0</v>
      </c>
      <c r="V106" s="442">
        <f t="shared" si="53"/>
        <v>0</v>
      </c>
      <c r="W106" s="176"/>
      <c r="X106" s="105"/>
      <c r="Y106" s="105"/>
      <c r="Z106" s="222"/>
      <c r="AA106" s="212">
        <f>(SUMIF($E$11:$E$17,$E106,AA$11:AA$17)+SUMIF($E$31:$E$67,$E106,AA$31:AA$67))/AA$85+SUMIF($E$18:$E$30,$E106,AA$18:AA$30)/AA$88*AA$87/AA$84</f>
        <v>0</v>
      </c>
      <c r="AB106" s="587"/>
      <c r="AC106" s="105"/>
      <c r="AD106" s="94"/>
      <c r="AE106" s="283"/>
    </row>
    <row r="107" spans="2:31" x14ac:dyDescent="0.3">
      <c r="B107" s="175" t="str">
        <f>MID($B$103,1,1)&amp;".03"</f>
        <v>N.03</v>
      </c>
      <c r="C107" s="207" t="s">
        <v>416</v>
      </c>
      <c r="D107" s="190"/>
      <c r="E107" s="210" t="s">
        <v>97</v>
      </c>
      <c r="F107" s="105"/>
      <c r="G107" s="442">
        <f t="shared" si="53"/>
        <v>0</v>
      </c>
      <c r="H107" s="442">
        <f t="shared" si="53"/>
        <v>0</v>
      </c>
      <c r="I107" s="442">
        <f t="shared" si="53"/>
        <v>0</v>
      </c>
      <c r="J107" s="442">
        <f t="shared" si="53"/>
        <v>0</v>
      </c>
      <c r="K107" s="442">
        <f t="shared" si="53"/>
        <v>0</v>
      </c>
      <c r="L107" s="442">
        <f t="shared" si="53"/>
        <v>0</v>
      </c>
      <c r="M107" s="442">
        <f t="shared" si="53"/>
        <v>0</v>
      </c>
      <c r="N107" s="442">
        <f t="shared" si="53"/>
        <v>0</v>
      </c>
      <c r="O107" s="442">
        <f t="shared" si="53"/>
        <v>0</v>
      </c>
      <c r="P107" s="442">
        <f t="shared" si="53"/>
        <v>0</v>
      </c>
      <c r="Q107" s="442">
        <f t="shared" si="53"/>
        <v>0</v>
      </c>
      <c r="R107" s="442">
        <f t="shared" si="53"/>
        <v>0</v>
      </c>
      <c r="S107" s="442">
        <f t="shared" si="53"/>
        <v>0</v>
      </c>
      <c r="T107" s="442">
        <f t="shared" si="53"/>
        <v>0</v>
      </c>
      <c r="U107" s="442">
        <f t="shared" si="53"/>
        <v>0</v>
      </c>
      <c r="V107" s="442">
        <f t="shared" si="53"/>
        <v>0</v>
      </c>
      <c r="W107" s="176"/>
      <c r="X107" s="105"/>
      <c r="Y107" s="105"/>
      <c r="Z107" s="222"/>
      <c r="AA107" s="212">
        <f>(SUMIF($E$11:$E$17,$E107,AA$11:AA$17)+SUMIF($E$31:$E$67,$E107,AA$31:AA$67))/AA$85+SUMIF($E$18:$E$30,$E107,AA$18:AA$30)/AA$88*AA$87/AA$84</f>
        <v>0</v>
      </c>
      <c r="AB107" s="587"/>
      <c r="AC107" s="105"/>
      <c r="AD107" s="94"/>
      <c r="AE107" s="283"/>
    </row>
    <row r="108" spans="2:31" x14ac:dyDescent="0.3">
      <c r="B108" s="175" t="str">
        <f>MID($B$103,1,1)&amp;".04"</f>
        <v>N.04</v>
      </c>
      <c r="C108" s="207" t="s">
        <v>415</v>
      </c>
      <c r="E108" s="210" t="s">
        <v>417</v>
      </c>
      <c r="F108" s="105"/>
      <c r="G108" s="442">
        <f t="shared" si="53"/>
        <v>7.0877127689204134</v>
      </c>
      <c r="H108" s="442">
        <f t="shared" si="53"/>
        <v>5.9949545247524689</v>
      </c>
      <c r="I108" s="442">
        <f t="shared" si="53"/>
        <v>5.9949545247524689</v>
      </c>
      <c r="J108" s="442">
        <f t="shared" si="53"/>
        <v>5.9949545247524689</v>
      </c>
      <c r="K108" s="442">
        <f t="shared" si="53"/>
        <v>5.9878976835243156</v>
      </c>
      <c r="L108" s="442">
        <f t="shared" si="53"/>
        <v>5.9949545247524689</v>
      </c>
      <c r="M108" s="442">
        <f t="shared" si="53"/>
        <v>5.9949545247524689</v>
      </c>
      <c r="N108" s="442">
        <f t="shared" si="53"/>
        <v>5.9949545247524689</v>
      </c>
      <c r="O108" s="442">
        <f t="shared" si="53"/>
        <v>5.9878976835243156</v>
      </c>
      <c r="P108" s="442">
        <f t="shared" si="53"/>
        <v>5.9949545247524689</v>
      </c>
      <c r="Q108" s="442">
        <f t="shared" si="53"/>
        <v>5.9949545247524689</v>
      </c>
      <c r="R108" s="442">
        <f t="shared" si="53"/>
        <v>5.9949545247524689</v>
      </c>
      <c r="S108" s="442">
        <f t="shared" si="53"/>
        <v>5.9878976835243156</v>
      </c>
      <c r="T108" s="442">
        <f t="shared" si="53"/>
        <v>5.9949545247524689</v>
      </c>
      <c r="U108" s="442">
        <f t="shared" si="53"/>
        <v>5.9949545247524689</v>
      </c>
      <c r="V108" s="442">
        <f t="shared" si="53"/>
        <v>5.9881680809209845</v>
      </c>
      <c r="W108" s="176"/>
      <c r="X108" s="105"/>
      <c r="Y108" s="105"/>
      <c r="Z108" s="222"/>
      <c r="AA108" s="212">
        <f>(SUMIF($E$11:$E$17,$E108,AA$11:AA$17)+SUMIF($E$31:$E$67,$E108,AA$31:AA$67))/AA$85+SUMIF($E$18:$E$30,$E108,AA$18:AA$30)/AA$88*AA$87/AA$84</f>
        <v>5.9968207965923979</v>
      </c>
      <c r="AB108" s="587"/>
      <c r="AC108" s="105"/>
      <c r="AD108" s="94"/>
      <c r="AE108" s="283"/>
    </row>
    <row r="109" spans="2:31" ht="7.5" customHeight="1" x14ac:dyDescent="0.3">
      <c r="B109" s="199"/>
      <c r="C109" s="200"/>
      <c r="D109" s="200"/>
      <c r="E109" s="593" t="s">
        <v>430</v>
      </c>
      <c r="F109" s="594"/>
      <c r="G109" s="595">
        <f>G105-SUM(G106:G108)</f>
        <v>0</v>
      </c>
      <c r="H109" s="595">
        <f>H105-SUM(H106:H108)</f>
        <v>0</v>
      </c>
      <c r="I109" s="595">
        <f t="shared" ref="I109:V109" si="54">I105-SUM(I106:I108)</f>
        <v>0</v>
      </c>
      <c r="J109" s="595">
        <f t="shared" si="54"/>
        <v>0</v>
      </c>
      <c r="K109" s="595">
        <f t="shared" si="54"/>
        <v>0</v>
      </c>
      <c r="L109" s="595">
        <f t="shared" si="54"/>
        <v>0</v>
      </c>
      <c r="M109" s="595">
        <f t="shared" si="54"/>
        <v>0</v>
      </c>
      <c r="N109" s="595">
        <f t="shared" si="54"/>
        <v>0</v>
      </c>
      <c r="O109" s="595">
        <f t="shared" si="54"/>
        <v>0</v>
      </c>
      <c r="P109" s="595">
        <f t="shared" si="54"/>
        <v>0</v>
      </c>
      <c r="Q109" s="595">
        <f t="shared" si="54"/>
        <v>0</v>
      </c>
      <c r="R109" s="595">
        <f t="shared" si="54"/>
        <v>0</v>
      </c>
      <c r="S109" s="595">
        <f t="shared" si="54"/>
        <v>0</v>
      </c>
      <c r="T109" s="595">
        <f t="shared" si="54"/>
        <v>0</v>
      </c>
      <c r="U109" s="595">
        <f t="shared" si="54"/>
        <v>0</v>
      </c>
      <c r="V109" s="595">
        <f t="shared" si="54"/>
        <v>0</v>
      </c>
      <c r="W109" s="552"/>
      <c r="X109" s="553"/>
      <c r="Y109" s="553"/>
      <c r="Z109" s="554"/>
      <c r="AA109" s="551">
        <f t="shared" ref="AA109" si="55">AA105-SUM(AA106:AA108)</f>
        <v>0</v>
      </c>
      <c r="AB109" s="588"/>
      <c r="AC109" s="105"/>
      <c r="AD109" s="94"/>
    </row>
    <row r="110" spans="2:31" ht="6.75" customHeight="1" x14ac:dyDescent="0.3">
      <c r="B110" s="441"/>
      <c r="C110" s="161"/>
      <c r="E110" s="105"/>
      <c r="F110" s="105"/>
      <c r="G110" s="211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</row>
    <row r="111" spans="2:31" ht="6.75" customHeight="1" x14ac:dyDescent="0.3">
      <c r="B111" s="210"/>
      <c r="C111" s="161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</row>
    <row r="112" spans="2:31" ht="7.5" customHeight="1" x14ac:dyDescent="0.3">
      <c r="B112" s="202"/>
      <c r="C112" s="203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4"/>
      <c r="X112" s="105"/>
      <c r="Y112" s="105"/>
      <c r="Z112" s="439"/>
      <c r="AA112" s="203"/>
      <c r="AB112" s="204"/>
      <c r="AC112" s="105"/>
    </row>
    <row r="113" spans="2:32" x14ac:dyDescent="0.3">
      <c r="B113" s="175"/>
      <c r="F113" s="189"/>
      <c r="G113" s="189">
        <f>G$5</f>
        <v>2028</v>
      </c>
      <c r="H113" s="189">
        <f t="shared" ref="H113:V113" si="56">H$5</f>
        <v>2029</v>
      </c>
      <c r="I113" s="189">
        <f t="shared" si="56"/>
        <v>2030</v>
      </c>
      <c r="J113" s="189">
        <f t="shared" si="56"/>
        <v>2031</v>
      </c>
      <c r="K113" s="189">
        <f t="shared" si="56"/>
        <v>2032</v>
      </c>
      <c r="L113" s="189">
        <f t="shared" si="56"/>
        <v>2033</v>
      </c>
      <c r="M113" s="189">
        <f t="shared" si="56"/>
        <v>2034</v>
      </c>
      <c r="N113" s="189">
        <f t="shared" si="56"/>
        <v>2035</v>
      </c>
      <c r="O113" s="189">
        <f t="shared" si="56"/>
        <v>2036</v>
      </c>
      <c r="P113" s="189">
        <f t="shared" si="56"/>
        <v>2037</v>
      </c>
      <c r="Q113" s="189">
        <f t="shared" si="56"/>
        <v>2038</v>
      </c>
      <c r="R113" s="189">
        <f t="shared" si="56"/>
        <v>2039</v>
      </c>
      <c r="S113" s="189">
        <f t="shared" si="56"/>
        <v>2040</v>
      </c>
      <c r="T113" s="189">
        <f t="shared" si="56"/>
        <v>2041</v>
      </c>
      <c r="U113" s="189">
        <f t="shared" si="56"/>
        <v>2042</v>
      </c>
      <c r="V113" s="189">
        <f t="shared" si="56"/>
        <v>2043</v>
      </c>
      <c r="W113" s="176"/>
      <c r="X113" s="105"/>
      <c r="Y113" s="105"/>
      <c r="Z113" s="222"/>
      <c r="AA113" s="189" t="s">
        <v>88</v>
      </c>
      <c r="AB113" s="579"/>
      <c r="AC113" s="105"/>
    </row>
    <row r="114" spans="2:32" ht="7.5" customHeight="1" x14ac:dyDescent="0.3">
      <c r="B114" s="175"/>
      <c r="C114" s="188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76"/>
      <c r="X114" s="105"/>
      <c r="Y114" s="105"/>
      <c r="Z114" s="222"/>
      <c r="AA114" s="105"/>
      <c r="AB114" s="176"/>
      <c r="AC114" s="105"/>
    </row>
    <row r="115" spans="2:32" ht="17.399999999999999" x14ac:dyDescent="0.45">
      <c r="B115" s="172" t="s">
        <v>196</v>
      </c>
      <c r="C115" s="206" t="s">
        <v>517</v>
      </c>
      <c r="F115" s="214"/>
      <c r="G115" s="197">
        <f t="shared" ref="G115:V115" si="57">SUM(G117:G122)</f>
        <v>136768.03719931337</v>
      </c>
      <c r="H115" s="197">
        <f t="shared" si="57"/>
        <v>2269106.0717158811</v>
      </c>
      <c r="I115" s="197">
        <f t="shared" si="57"/>
        <v>2269106.0717158811</v>
      </c>
      <c r="J115" s="197">
        <f t="shared" si="57"/>
        <v>2269106.0717158811</v>
      </c>
      <c r="K115" s="197">
        <f t="shared" si="57"/>
        <v>2275322.8006794858</v>
      </c>
      <c r="L115" s="197">
        <f t="shared" si="57"/>
        <v>2269106.0717158811</v>
      </c>
      <c r="M115" s="197">
        <f t="shared" si="57"/>
        <v>2269106.0717158811</v>
      </c>
      <c r="N115" s="197">
        <f t="shared" si="57"/>
        <v>2269106.0717158811</v>
      </c>
      <c r="O115" s="197">
        <f t="shared" si="57"/>
        <v>2275322.8006794858</v>
      </c>
      <c r="P115" s="197">
        <f t="shared" si="57"/>
        <v>2269106.0717158811</v>
      </c>
      <c r="Q115" s="197">
        <f t="shared" si="57"/>
        <v>2269106.0717158811</v>
      </c>
      <c r="R115" s="197">
        <f t="shared" si="57"/>
        <v>2269106.0717158811</v>
      </c>
      <c r="S115" s="197">
        <f t="shared" si="57"/>
        <v>2275322.8006794858</v>
      </c>
      <c r="T115" s="197">
        <f t="shared" si="57"/>
        <v>2269106.0717158811</v>
      </c>
      <c r="U115" s="197">
        <f t="shared" si="57"/>
        <v>2269106.0717158811</v>
      </c>
      <c r="V115" s="197">
        <f t="shared" si="57"/>
        <v>2150988.2214073832</v>
      </c>
      <c r="W115" s="176"/>
      <c r="X115" s="105"/>
      <c r="Y115" s="105"/>
      <c r="Z115" s="222"/>
      <c r="AA115" s="197">
        <f>SUM(AA117:AA122)</f>
        <v>34073891.449519843</v>
      </c>
      <c r="AB115" s="198"/>
      <c r="AC115" s="105"/>
      <c r="AD115" s="75"/>
      <c r="AE115" s="426"/>
    </row>
    <row r="116" spans="2:32" x14ac:dyDescent="0.3">
      <c r="B116" s="175"/>
      <c r="C116" s="438" t="s">
        <v>361</v>
      </c>
      <c r="E116" s="105"/>
      <c r="F116" s="105"/>
      <c r="G116" s="105"/>
      <c r="H116" s="105"/>
      <c r="I116" s="105"/>
      <c r="J116" s="211"/>
      <c r="K116" s="212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76"/>
      <c r="X116" s="105"/>
      <c r="Y116" s="105"/>
      <c r="Z116" s="222"/>
      <c r="AA116" s="181"/>
      <c r="AB116" s="583"/>
      <c r="AC116" s="105"/>
    </row>
    <row r="117" spans="2:32" x14ac:dyDescent="0.3">
      <c r="B117" s="175" t="str">
        <f>MID($B$115,1,1)&amp;".01"</f>
        <v>O.01</v>
      </c>
      <c r="C117" s="207" t="s">
        <v>363</v>
      </c>
      <c r="E117" s="105"/>
      <c r="F117" s="458"/>
      <c r="G117" s="208">
        <f>G95*G83</f>
        <v>1800.7903813699807</v>
      </c>
      <c r="H117" s="208">
        <f>H95*H83</f>
        <v>29846.040062398257</v>
      </c>
      <c r="I117" s="208">
        <f>I95*I83</f>
        <v>29846.040062398257</v>
      </c>
      <c r="J117" s="208">
        <f>J95*J83</f>
        <v>29846.040062398257</v>
      </c>
      <c r="K117" s="208">
        <f t="shared" ref="K117:V117" si="58">K95*K83</f>
        <v>29927.610161018321</v>
      </c>
      <c r="L117" s="208">
        <f t="shared" si="58"/>
        <v>29846.040062398257</v>
      </c>
      <c r="M117" s="208">
        <f t="shared" si="58"/>
        <v>29846.040062398257</v>
      </c>
      <c r="N117" s="208">
        <f t="shared" si="58"/>
        <v>29846.040062398257</v>
      </c>
      <c r="O117" s="208">
        <f t="shared" si="58"/>
        <v>29927.610161018321</v>
      </c>
      <c r="P117" s="208">
        <f t="shared" si="58"/>
        <v>29846.040062398257</v>
      </c>
      <c r="Q117" s="208">
        <f t="shared" si="58"/>
        <v>29846.040062398257</v>
      </c>
      <c r="R117" s="208">
        <f t="shared" si="58"/>
        <v>29846.040062398257</v>
      </c>
      <c r="S117" s="208">
        <f t="shared" si="58"/>
        <v>29927.610161018321</v>
      </c>
      <c r="T117" s="208">
        <f t="shared" si="58"/>
        <v>29846.040062398257</v>
      </c>
      <c r="U117" s="208">
        <f t="shared" si="58"/>
        <v>29846.040062398257</v>
      </c>
      <c r="V117" s="208">
        <f t="shared" si="58"/>
        <v>28292.228867944705</v>
      </c>
      <c r="W117" s="176"/>
      <c r="X117" s="105"/>
      <c r="Y117" s="105"/>
      <c r="Z117" s="222"/>
      <c r="AA117" s="211">
        <f>SUM(G117:V117)</f>
        <v>448182.29041875037</v>
      </c>
      <c r="AB117" s="589"/>
      <c r="AC117" s="105"/>
      <c r="AD117" s="92"/>
    </row>
    <row r="118" spans="2:32" x14ac:dyDescent="0.3">
      <c r="B118" s="175" t="str">
        <f>MID($B$115,1,1)&amp;".02"</f>
        <v>O.02</v>
      </c>
      <c r="C118" s="207" t="s">
        <v>548</v>
      </c>
      <c r="D118" s="281" t="s">
        <v>346</v>
      </c>
      <c r="E118" s="105"/>
      <c r="F118" s="458"/>
      <c r="G118" s="208">
        <f>D.01!C142</f>
        <v>355.96</v>
      </c>
      <c r="H118" s="208">
        <f>D.01!D142</f>
        <v>5905.7</v>
      </c>
      <c r="I118" s="208">
        <f>D.01!E142</f>
        <v>5905.7</v>
      </c>
      <c r="J118" s="208">
        <f>D.01!F142</f>
        <v>5905.7</v>
      </c>
      <c r="K118" s="208">
        <f>D.01!G142</f>
        <v>5921.8799999999992</v>
      </c>
      <c r="L118" s="208">
        <f>D.01!H142</f>
        <v>5905.7</v>
      </c>
      <c r="M118" s="208">
        <f>D.01!I142</f>
        <v>5905.7</v>
      </c>
      <c r="N118" s="208">
        <f>D.01!J142</f>
        <v>5905.7</v>
      </c>
      <c r="O118" s="208">
        <f>D.01!K142</f>
        <v>5921.8799999999992</v>
      </c>
      <c r="P118" s="208">
        <f>D.01!L142</f>
        <v>5905.7</v>
      </c>
      <c r="Q118" s="208">
        <f>D.01!M142</f>
        <v>5905.7</v>
      </c>
      <c r="R118" s="208">
        <f>D.01!N142</f>
        <v>5905.7</v>
      </c>
      <c r="S118" s="208">
        <f>D.01!O142</f>
        <v>5921.8799999999992</v>
      </c>
      <c r="T118" s="208">
        <f>D.01!P142</f>
        <v>5905.7</v>
      </c>
      <c r="U118" s="208">
        <f>D.01!Q142</f>
        <v>5905.7</v>
      </c>
      <c r="V118" s="208">
        <f>D.01!R142</f>
        <v>5598.28</v>
      </c>
      <c r="W118" s="176"/>
      <c r="X118" s="105"/>
      <c r="Y118" s="105"/>
      <c r="Z118" s="222"/>
      <c r="AA118" s="211">
        <f>SUM(G118:V118)</f>
        <v>88682.579999999987</v>
      </c>
      <c r="AB118" s="589"/>
      <c r="AC118" s="105"/>
      <c r="AD118" s="92"/>
    </row>
    <row r="119" spans="2:32" x14ac:dyDescent="0.3">
      <c r="B119" s="175"/>
      <c r="C119" s="438" t="s">
        <v>362</v>
      </c>
      <c r="D119" s="281"/>
      <c r="E119" s="105"/>
      <c r="F119" s="381"/>
      <c r="G119" s="381"/>
      <c r="H119" s="381"/>
      <c r="I119" s="381"/>
      <c r="J119" s="381"/>
      <c r="K119" s="381"/>
      <c r="L119" s="381"/>
      <c r="M119" s="381"/>
      <c r="N119" s="381"/>
      <c r="O119" s="381"/>
      <c r="P119" s="381"/>
      <c r="Q119" s="381"/>
      <c r="R119" s="381"/>
      <c r="S119" s="381"/>
      <c r="T119" s="381"/>
      <c r="U119" s="381"/>
      <c r="V119" s="381"/>
      <c r="W119" s="176"/>
      <c r="X119" s="105"/>
      <c r="Y119" s="105"/>
      <c r="Z119" s="222"/>
      <c r="AA119" s="211"/>
      <c r="AB119" s="589"/>
      <c r="AC119" s="105"/>
      <c r="AE119" s="293"/>
      <c r="AF119" s="425"/>
    </row>
    <row r="120" spans="2:32" x14ac:dyDescent="0.3">
      <c r="B120" s="175" t="str">
        <f>MID($B$115,1,1)&amp;".03"</f>
        <v>O.03</v>
      </c>
      <c r="C120" s="207" t="s">
        <v>363</v>
      </c>
      <c r="D120" s="281"/>
      <c r="E120" s="105"/>
      <c r="F120" s="459"/>
      <c r="G120" s="208">
        <f>G105*G84</f>
        <v>125052.76900972422</v>
      </c>
      <c r="H120" s="208">
        <f>H105*H84</f>
        <v>2074769.831653483</v>
      </c>
      <c r="I120" s="208">
        <f t="shared" ref="I120:V120" si="59">I105*I84</f>
        <v>2074769.831653483</v>
      </c>
      <c r="J120" s="208">
        <f t="shared" si="59"/>
        <v>2074769.831653483</v>
      </c>
      <c r="K120" s="208">
        <f t="shared" si="59"/>
        <v>2080454.3324362757</v>
      </c>
      <c r="L120" s="208">
        <f t="shared" si="59"/>
        <v>2074769.831653483</v>
      </c>
      <c r="M120" s="208">
        <f t="shared" si="59"/>
        <v>2074769.831653483</v>
      </c>
      <c r="N120" s="208">
        <f t="shared" si="59"/>
        <v>2074769.831653483</v>
      </c>
      <c r="O120" s="208">
        <f t="shared" si="59"/>
        <v>2080454.3324362757</v>
      </c>
      <c r="P120" s="208">
        <f t="shared" si="59"/>
        <v>2074769.831653483</v>
      </c>
      <c r="Q120" s="208">
        <f t="shared" si="59"/>
        <v>2074769.831653483</v>
      </c>
      <c r="R120" s="208">
        <f t="shared" si="59"/>
        <v>2074769.831653483</v>
      </c>
      <c r="S120" s="208">
        <f t="shared" si="59"/>
        <v>2080454.3324362757</v>
      </c>
      <c r="T120" s="208">
        <f t="shared" si="59"/>
        <v>2074769.831653483</v>
      </c>
      <c r="U120" s="208">
        <f t="shared" si="59"/>
        <v>2074769.831653483</v>
      </c>
      <c r="V120" s="208">
        <f t="shared" si="59"/>
        <v>1966768.2961010826</v>
      </c>
      <c r="W120" s="176"/>
      <c r="X120" s="105"/>
      <c r="Y120" s="105"/>
      <c r="Z120" s="222"/>
      <c r="AA120" s="211">
        <f>SUM(G120:V120)</f>
        <v>31155652.210607946</v>
      </c>
      <c r="AB120" s="589"/>
      <c r="AC120" s="105"/>
      <c r="AE120" s="293"/>
      <c r="AF120" s="425"/>
    </row>
    <row r="121" spans="2:32" x14ac:dyDescent="0.3">
      <c r="B121" s="175" t="str">
        <f>MID($B$115,1,1)&amp;".04"</f>
        <v>O.04</v>
      </c>
      <c r="C121" s="207" t="s">
        <v>548</v>
      </c>
      <c r="D121" s="282" t="s">
        <v>347</v>
      </c>
      <c r="E121" s="105"/>
      <c r="F121" s="458"/>
      <c r="G121" s="386">
        <f>D.02!C142</f>
        <v>9558.5178082191778</v>
      </c>
      <c r="H121" s="386">
        <f>D.02!D142</f>
        <v>158584.5</v>
      </c>
      <c r="I121" s="386">
        <f>D.02!E142</f>
        <v>158584.5</v>
      </c>
      <c r="J121" s="386">
        <f>D.02!F142</f>
        <v>158584.5</v>
      </c>
      <c r="K121" s="386">
        <f>D.02!G142</f>
        <v>159018.97808219178</v>
      </c>
      <c r="L121" s="386">
        <f>D.02!H142</f>
        <v>158584.5</v>
      </c>
      <c r="M121" s="386">
        <f>D.02!I142</f>
        <v>158584.5</v>
      </c>
      <c r="N121" s="386">
        <f>D.02!J142</f>
        <v>158584.5</v>
      </c>
      <c r="O121" s="386">
        <f>D.02!K142</f>
        <v>159018.97808219178</v>
      </c>
      <c r="P121" s="386">
        <f>D.02!L142</f>
        <v>158584.5</v>
      </c>
      <c r="Q121" s="386">
        <f>D.02!M142</f>
        <v>158584.5</v>
      </c>
      <c r="R121" s="386">
        <f>D.02!N142</f>
        <v>158584.5</v>
      </c>
      <c r="S121" s="386">
        <f>D.02!O142</f>
        <v>159018.97808219178</v>
      </c>
      <c r="T121" s="386">
        <f>D.02!P142</f>
        <v>158584.5</v>
      </c>
      <c r="U121" s="386">
        <f>D.02!Q142</f>
        <v>158584.5</v>
      </c>
      <c r="V121" s="386">
        <f>D.02!R142</f>
        <v>150329.41643835616</v>
      </c>
      <c r="W121" s="176"/>
      <c r="X121" s="105"/>
      <c r="Y121" s="105"/>
      <c r="Z121" s="222"/>
      <c r="AA121" s="211">
        <f>SUM(G121:V121)</f>
        <v>2381374.3684931505</v>
      </c>
      <c r="AB121" s="589"/>
      <c r="AC121" s="105"/>
      <c r="AE121" s="293"/>
      <c r="AF121" s="425"/>
    </row>
    <row r="122" spans="2:32" ht="7.5" customHeight="1" x14ac:dyDescent="0.3">
      <c r="B122" s="199"/>
      <c r="C122" s="209"/>
      <c r="D122" s="200"/>
      <c r="E122" s="593" t="s">
        <v>430</v>
      </c>
      <c r="F122" s="594"/>
      <c r="G122" s="596">
        <f t="shared" ref="G122:V122" si="60">G68-G117-G120</f>
        <v>0</v>
      </c>
      <c r="H122" s="596">
        <f t="shared" si="60"/>
        <v>0</v>
      </c>
      <c r="I122" s="596">
        <f t="shared" si="60"/>
        <v>0</v>
      </c>
      <c r="J122" s="596">
        <f t="shared" si="60"/>
        <v>0</v>
      </c>
      <c r="K122" s="596">
        <f t="shared" si="60"/>
        <v>0</v>
      </c>
      <c r="L122" s="596">
        <f t="shared" si="60"/>
        <v>0</v>
      </c>
      <c r="M122" s="596">
        <f t="shared" si="60"/>
        <v>0</v>
      </c>
      <c r="N122" s="596">
        <f t="shared" si="60"/>
        <v>0</v>
      </c>
      <c r="O122" s="596">
        <f t="shared" si="60"/>
        <v>0</v>
      </c>
      <c r="P122" s="596">
        <f t="shared" si="60"/>
        <v>0</v>
      </c>
      <c r="Q122" s="596">
        <f t="shared" si="60"/>
        <v>0</v>
      </c>
      <c r="R122" s="596">
        <f t="shared" si="60"/>
        <v>0</v>
      </c>
      <c r="S122" s="596">
        <f t="shared" si="60"/>
        <v>0</v>
      </c>
      <c r="T122" s="596">
        <f t="shared" si="60"/>
        <v>0</v>
      </c>
      <c r="U122" s="596">
        <f t="shared" si="60"/>
        <v>0</v>
      </c>
      <c r="V122" s="596">
        <f t="shared" si="60"/>
        <v>0</v>
      </c>
      <c r="W122" s="201"/>
      <c r="X122" s="105"/>
      <c r="Y122" s="105"/>
      <c r="Z122" s="223"/>
      <c r="AA122" s="520">
        <f>AA68-AA117-AA120</f>
        <v>0</v>
      </c>
      <c r="AB122" s="590"/>
      <c r="AC122" s="105"/>
    </row>
    <row r="123" spans="2:32" ht="6.75" customHeight="1" x14ac:dyDescent="0.3">
      <c r="B123" s="210"/>
      <c r="C123" s="161"/>
      <c r="E123" s="105"/>
      <c r="F123" s="105"/>
      <c r="G123" s="211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</row>
    <row r="124" spans="2:32" ht="6.75" customHeight="1" x14ac:dyDescent="0.3">
      <c r="B124" s="210"/>
      <c r="C124" s="161"/>
      <c r="E124" s="105"/>
      <c r="F124" s="105"/>
      <c r="G124" s="211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</row>
    <row r="125" spans="2:32" ht="7.5" customHeight="1" x14ac:dyDescent="0.3">
      <c r="B125" s="202"/>
      <c r="C125" s="203"/>
      <c r="D125" s="203"/>
      <c r="E125" s="203"/>
      <c r="F125" s="203"/>
      <c r="G125" s="203"/>
      <c r="H125" s="203"/>
      <c r="I125" s="203"/>
      <c r="J125" s="203"/>
      <c r="K125" s="203"/>
      <c r="L125" s="203"/>
      <c r="M125" s="203"/>
      <c r="N125" s="203"/>
      <c r="O125" s="203"/>
      <c r="P125" s="203"/>
      <c r="Q125" s="203"/>
      <c r="R125" s="203"/>
      <c r="S125" s="203"/>
      <c r="T125" s="203"/>
      <c r="U125" s="203"/>
      <c r="V125" s="203"/>
      <c r="W125" s="204"/>
      <c r="X125" s="205"/>
      <c r="Y125" s="205"/>
      <c r="Z125" s="217"/>
      <c r="AA125" s="218"/>
      <c r="AB125" s="219"/>
      <c r="AC125" s="205"/>
    </row>
    <row r="126" spans="2:32" x14ac:dyDescent="0.3">
      <c r="B126" s="175"/>
      <c r="C126" s="188" t="s">
        <v>116</v>
      </c>
      <c r="E126" s="189"/>
      <c r="F126" s="189"/>
      <c r="G126" s="189">
        <f>G$5</f>
        <v>2028</v>
      </c>
      <c r="H126" s="189">
        <f t="shared" ref="H126:V126" si="61">H$5</f>
        <v>2029</v>
      </c>
      <c r="I126" s="189">
        <f t="shared" si="61"/>
        <v>2030</v>
      </c>
      <c r="J126" s="189">
        <f t="shared" si="61"/>
        <v>2031</v>
      </c>
      <c r="K126" s="189">
        <f t="shared" si="61"/>
        <v>2032</v>
      </c>
      <c r="L126" s="189">
        <f t="shared" si="61"/>
        <v>2033</v>
      </c>
      <c r="M126" s="189">
        <f t="shared" si="61"/>
        <v>2034</v>
      </c>
      <c r="N126" s="189">
        <f t="shared" si="61"/>
        <v>2035</v>
      </c>
      <c r="O126" s="189">
        <f t="shared" si="61"/>
        <v>2036</v>
      </c>
      <c r="P126" s="189">
        <f t="shared" si="61"/>
        <v>2037</v>
      </c>
      <c r="Q126" s="189">
        <f t="shared" si="61"/>
        <v>2038</v>
      </c>
      <c r="R126" s="189">
        <f t="shared" si="61"/>
        <v>2039</v>
      </c>
      <c r="S126" s="189">
        <f t="shared" si="61"/>
        <v>2040</v>
      </c>
      <c r="T126" s="189">
        <f t="shared" si="61"/>
        <v>2041</v>
      </c>
      <c r="U126" s="189">
        <f t="shared" si="61"/>
        <v>2042</v>
      </c>
      <c r="V126" s="189">
        <f t="shared" si="61"/>
        <v>2043</v>
      </c>
      <c r="W126" s="176"/>
      <c r="X126" s="205"/>
      <c r="Y126" s="205"/>
      <c r="Z126" s="220"/>
      <c r="AA126" s="189" t="s">
        <v>88</v>
      </c>
      <c r="AB126" s="579"/>
      <c r="AC126" s="205"/>
      <c r="AE126" s="93"/>
    </row>
    <row r="127" spans="2:32" ht="7.5" customHeight="1" x14ac:dyDescent="0.3">
      <c r="B127" s="175"/>
      <c r="C127" s="105"/>
      <c r="E127" s="213"/>
      <c r="F127" s="213"/>
      <c r="G127" s="173"/>
      <c r="H127" s="173"/>
      <c r="I127" s="173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76"/>
      <c r="X127" s="205"/>
      <c r="Y127" s="205"/>
      <c r="Z127" s="220"/>
      <c r="AA127" s="205"/>
      <c r="AB127" s="221"/>
      <c r="AC127" s="205"/>
      <c r="AE127" s="93"/>
      <c r="AF127" s="93"/>
    </row>
    <row r="128" spans="2:32" ht="17.399999999999999" x14ac:dyDescent="0.45">
      <c r="B128" s="172" t="s">
        <v>450</v>
      </c>
      <c r="C128" s="206" t="s">
        <v>118</v>
      </c>
      <c r="E128" s="197"/>
      <c r="F128" s="197"/>
      <c r="G128" s="197">
        <f t="shared" ref="G128:V128" si="62">SUM(G130:G135)</f>
        <v>0</v>
      </c>
      <c r="H128" s="197">
        <f t="shared" si="62"/>
        <v>0</v>
      </c>
      <c r="I128" s="197">
        <f t="shared" si="62"/>
        <v>0</v>
      </c>
      <c r="J128" s="197">
        <f t="shared" si="62"/>
        <v>0</v>
      </c>
      <c r="K128" s="197">
        <f t="shared" si="62"/>
        <v>0</v>
      </c>
      <c r="L128" s="197">
        <f t="shared" si="62"/>
        <v>0</v>
      </c>
      <c r="M128" s="197">
        <f t="shared" si="62"/>
        <v>0</v>
      </c>
      <c r="N128" s="197">
        <f t="shared" si="62"/>
        <v>0</v>
      </c>
      <c r="O128" s="197">
        <f t="shared" si="62"/>
        <v>0</v>
      </c>
      <c r="P128" s="197">
        <f t="shared" si="62"/>
        <v>0</v>
      </c>
      <c r="Q128" s="197">
        <f t="shared" si="62"/>
        <v>0</v>
      </c>
      <c r="R128" s="197">
        <f t="shared" si="62"/>
        <v>0</v>
      </c>
      <c r="S128" s="197">
        <f t="shared" si="62"/>
        <v>0</v>
      </c>
      <c r="T128" s="197">
        <f t="shared" si="62"/>
        <v>0</v>
      </c>
      <c r="U128" s="197">
        <f t="shared" si="62"/>
        <v>0</v>
      </c>
      <c r="V128" s="197">
        <f t="shared" si="62"/>
        <v>0</v>
      </c>
      <c r="W128" s="176"/>
      <c r="X128" s="105"/>
      <c r="Y128" s="105"/>
      <c r="Z128" s="222"/>
      <c r="AA128" s="577">
        <f>SUM(G128:L128)</f>
        <v>0</v>
      </c>
      <c r="AB128" s="591"/>
      <c r="AC128" s="105"/>
      <c r="AD128" s="75"/>
    </row>
    <row r="129" spans="2:32" x14ac:dyDescent="0.3">
      <c r="B129" s="175"/>
      <c r="C129" s="438" t="s">
        <v>361</v>
      </c>
      <c r="E129" s="173"/>
      <c r="F129" s="173"/>
      <c r="G129" s="173"/>
      <c r="H129" s="173"/>
      <c r="I129" s="173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76"/>
      <c r="X129" s="205"/>
      <c r="Y129" s="205"/>
      <c r="Z129" s="220"/>
      <c r="AA129" s="205"/>
      <c r="AB129" s="221"/>
      <c r="AC129" s="205"/>
    </row>
    <row r="130" spans="2:32" x14ac:dyDescent="0.3">
      <c r="B130" s="175" t="str">
        <f>MID($B$128,1,1)&amp;".01"</f>
        <v>P.01</v>
      </c>
      <c r="C130" s="105" t="s">
        <v>359</v>
      </c>
      <c r="E130" s="605"/>
      <c r="F130" s="458"/>
      <c r="G130" s="186"/>
      <c r="H130" s="186"/>
      <c r="I130" s="186"/>
      <c r="J130" s="186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  <c r="W130" s="176"/>
      <c r="X130" s="105"/>
      <c r="Y130" s="105"/>
      <c r="Z130" s="222"/>
      <c r="AA130" s="181">
        <f>SUM(G130:L130)</f>
        <v>0</v>
      </c>
      <c r="AB130" s="583"/>
      <c r="AC130" s="105"/>
      <c r="AE130" s="75"/>
    </row>
    <row r="131" spans="2:32" x14ac:dyDescent="0.3">
      <c r="B131" s="175" t="str">
        <f>MID($B$128,1,1)&amp;".02"</f>
        <v>P.02</v>
      </c>
      <c r="C131" s="207" t="s">
        <v>360</v>
      </c>
      <c r="E131" s="606"/>
      <c r="F131" s="458"/>
      <c r="G131" s="186"/>
      <c r="H131" s="186"/>
      <c r="I131" s="186"/>
      <c r="J131" s="186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  <c r="W131" s="176"/>
      <c r="X131" s="105"/>
      <c r="Y131" s="105"/>
      <c r="Z131" s="222"/>
      <c r="AA131" s="181">
        <f>SUM(G131:L131)</f>
        <v>0</v>
      </c>
      <c r="AB131" s="583"/>
      <c r="AC131" s="105"/>
      <c r="AD131" s="75"/>
      <c r="AE131" s="75"/>
    </row>
    <row r="132" spans="2:32" x14ac:dyDescent="0.3">
      <c r="B132" s="175"/>
      <c r="C132" s="438" t="s">
        <v>362</v>
      </c>
      <c r="E132" s="173"/>
      <c r="F132" s="173"/>
      <c r="G132" s="173"/>
      <c r="H132" s="173"/>
      <c r="I132" s="173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76"/>
      <c r="X132" s="105"/>
      <c r="Y132" s="105"/>
      <c r="Z132" s="222"/>
      <c r="AA132" s="181"/>
      <c r="AB132" s="583"/>
      <c r="AC132" s="105"/>
      <c r="AD132" s="75"/>
    </row>
    <row r="133" spans="2:32" x14ac:dyDescent="0.3">
      <c r="B133" s="175" t="str">
        <f>MID($B$128,1,1)&amp;".03"</f>
        <v>P.03</v>
      </c>
      <c r="C133" s="207" t="s">
        <v>238</v>
      </c>
      <c r="E133" s="606"/>
      <c r="F133" s="458"/>
      <c r="G133" s="186"/>
      <c r="H133" s="186"/>
      <c r="I133" s="186"/>
      <c r="J133" s="186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76"/>
      <c r="X133" s="105"/>
      <c r="Y133" s="105"/>
      <c r="Z133" s="222"/>
      <c r="AA133" s="181">
        <f>SUM(G133:L133)</f>
        <v>0</v>
      </c>
      <c r="AB133" s="583"/>
      <c r="AC133" s="105"/>
      <c r="AD133" s="75"/>
      <c r="AE133" s="75"/>
      <c r="AF133" s="75"/>
    </row>
    <row r="134" spans="2:32" x14ac:dyDescent="0.3">
      <c r="B134" s="175" t="str">
        <f>MID($B$128,1,1)&amp;".04"</f>
        <v>P.04</v>
      </c>
      <c r="C134" s="207" t="s">
        <v>360</v>
      </c>
      <c r="E134" s="606"/>
      <c r="F134" s="458"/>
      <c r="G134" s="186"/>
      <c r="H134" s="186"/>
      <c r="I134" s="186"/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76"/>
      <c r="X134" s="105"/>
      <c r="Y134" s="105"/>
      <c r="Z134" s="222"/>
      <c r="AA134" s="181">
        <f>SUM(G134:L134)</f>
        <v>0</v>
      </c>
      <c r="AB134" s="583"/>
      <c r="AC134" s="105"/>
      <c r="AD134" s="75"/>
      <c r="AE134" s="75"/>
      <c r="AF134" s="75"/>
    </row>
    <row r="135" spans="2:32" ht="7.5" customHeight="1" x14ac:dyDescent="0.3">
      <c r="B135" s="199"/>
      <c r="C135" s="209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1"/>
      <c r="X135" s="105"/>
      <c r="Y135" s="105"/>
      <c r="Z135" s="223"/>
      <c r="AA135" s="200"/>
      <c r="AB135" s="201"/>
      <c r="AC135" s="105"/>
    </row>
    <row r="136" spans="2:32" ht="6.75" customHeight="1" x14ac:dyDescent="0.3">
      <c r="B136" s="210"/>
      <c r="C136" s="161"/>
      <c r="E136" s="105"/>
      <c r="F136" s="105"/>
      <c r="G136" s="211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</row>
    <row r="137" spans="2:32" ht="6.75" customHeight="1" x14ac:dyDescent="0.3">
      <c r="B137" s="210"/>
      <c r="C137" s="161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</row>
    <row r="138" spans="2:32" ht="7.5" customHeight="1" x14ac:dyDescent="0.3">
      <c r="B138" s="202"/>
      <c r="C138" s="203"/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3"/>
      <c r="O138" s="203"/>
      <c r="P138" s="203"/>
      <c r="Q138" s="203"/>
      <c r="R138" s="203"/>
      <c r="S138" s="203"/>
      <c r="T138" s="203"/>
      <c r="U138" s="203"/>
      <c r="V138" s="203"/>
      <c r="W138" s="204"/>
      <c r="X138" s="105"/>
      <c r="Y138" s="105"/>
      <c r="Z138" s="439"/>
      <c r="AA138" s="203"/>
      <c r="AB138" s="204"/>
      <c r="AC138" s="105"/>
      <c r="AE138" s="502"/>
      <c r="AF138" s="502"/>
    </row>
    <row r="139" spans="2:32" x14ac:dyDescent="0.3">
      <c r="B139" s="175"/>
      <c r="C139" s="188" t="s">
        <v>197</v>
      </c>
      <c r="E139" s="105"/>
      <c r="F139" s="105"/>
      <c r="G139" s="189">
        <f>G$5</f>
        <v>2028</v>
      </c>
      <c r="H139" s="189">
        <f t="shared" ref="H139:V139" si="63">H$5</f>
        <v>2029</v>
      </c>
      <c r="I139" s="189">
        <f t="shared" si="63"/>
        <v>2030</v>
      </c>
      <c r="J139" s="189">
        <f t="shared" si="63"/>
        <v>2031</v>
      </c>
      <c r="K139" s="189">
        <f t="shared" si="63"/>
        <v>2032</v>
      </c>
      <c r="L139" s="189">
        <f t="shared" si="63"/>
        <v>2033</v>
      </c>
      <c r="M139" s="189">
        <f t="shared" si="63"/>
        <v>2034</v>
      </c>
      <c r="N139" s="189">
        <f t="shared" si="63"/>
        <v>2035</v>
      </c>
      <c r="O139" s="189">
        <f t="shared" si="63"/>
        <v>2036</v>
      </c>
      <c r="P139" s="189">
        <f t="shared" si="63"/>
        <v>2037</v>
      </c>
      <c r="Q139" s="189">
        <f t="shared" si="63"/>
        <v>2038</v>
      </c>
      <c r="R139" s="189">
        <f t="shared" si="63"/>
        <v>2039</v>
      </c>
      <c r="S139" s="189">
        <f t="shared" si="63"/>
        <v>2040</v>
      </c>
      <c r="T139" s="189">
        <f t="shared" si="63"/>
        <v>2041</v>
      </c>
      <c r="U139" s="189">
        <f t="shared" si="63"/>
        <v>2042</v>
      </c>
      <c r="V139" s="189">
        <f t="shared" si="63"/>
        <v>2043</v>
      </c>
      <c r="W139" s="176"/>
      <c r="X139" s="105"/>
      <c r="Y139" s="105"/>
      <c r="Z139" s="222"/>
      <c r="AA139" s="189" t="s">
        <v>88</v>
      </c>
      <c r="AB139" s="579"/>
      <c r="AC139" s="105"/>
    </row>
    <row r="140" spans="2:32" ht="7.5" customHeight="1" x14ac:dyDescent="0.3">
      <c r="B140" s="175"/>
      <c r="C140" s="188"/>
      <c r="D140" s="210"/>
      <c r="E140" s="105"/>
      <c r="F140" s="105"/>
      <c r="G140" s="210"/>
      <c r="H140" s="210"/>
      <c r="I140" s="210"/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176"/>
      <c r="X140" s="105"/>
      <c r="Y140" s="105"/>
      <c r="Z140" s="222"/>
      <c r="AA140" s="105"/>
      <c r="AB140" s="176"/>
      <c r="AC140" s="105"/>
    </row>
    <row r="141" spans="2:32" ht="17.399999999999999" x14ac:dyDescent="0.45">
      <c r="B141" s="172" t="s">
        <v>451</v>
      </c>
      <c r="C141" s="206" t="s">
        <v>197</v>
      </c>
      <c r="D141" s="214"/>
      <c r="E141" s="105"/>
      <c r="F141" s="105"/>
      <c r="G141" s="197">
        <f t="shared" ref="G141:V141" si="64">SUM(G143:G146)</f>
        <v>0</v>
      </c>
      <c r="H141" s="197">
        <f t="shared" si="64"/>
        <v>0</v>
      </c>
      <c r="I141" s="197">
        <f t="shared" si="64"/>
        <v>0</v>
      </c>
      <c r="J141" s="197">
        <f t="shared" si="64"/>
        <v>0</v>
      </c>
      <c r="K141" s="197">
        <f t="shared" si="64"/>
        <v>0</v>
      </c>
      <c r="L141" s="197">
        <f t="shared" si="64"/>
        <v>0</v>
      </c>
      <c r="M141" s="197">
        <f t="shared" si="64"/>
        <v>0</v>
      </c>
      <c r="N141" s="197">
        <f t="shared" si="64"/>
        <v>0</v>
      </c>
      <c r="O141" s="197">
        <f t="shared" si="64"/>
        <v>0</v>
      </c>
      <c r="P141" s="197">
        <f t="shared" si="64"/>
        <v>0</v>
      </c>
      <c r="Q141" s="197">
        <f t="shared" si="64"/>
        <v>0</v>
      </c>
      <c r="R141" s="197">
        <f t="shared" si="64"/>
        <v>0</v>
      </c>
      <c r="S141" s="197">
        <f t="shared" si="64"/>
        <v>0</v>
      </c>
      <c r="T141" s="197">
        <f t="shared" si="64"/>
        <v>0</v>
      </c>
      <c r="U141" s="197">
        <f t="shared" si="64"/>
        <v>0</v>
      </c>
      <c r="V141" s="197">
        <f t="shared" si="64"/>
        <v>0</v>
      </c>
      <c r="W141" s="176"/>
      <c r="X141" s="105"/>
      <c r="Y141" s="105"/>
      <c r="Z141" s="222"/>
      <c r="AA141" s="197">
        <f>SUM(AA143:AA146)</f>
        <v>0</v>
      </c>
      <c r="AB141" s="198"/>
      <c r="AC141" s="105"/>
    </row>
    <row r="142" spans="2:32" ht="7.5" customHeight="1" x14ac:dyDescent="0.45">
      <c r="B142" s="172"/>
      <c r="C142" s="206"/>
      <c r="D142" s="214"/>
      <c r="E142" s="105"/>
      <c r="F142" s="105"/>
      <c r="G142" s="197"/>
      <c r="H142" s="197"/>
      <c r="I142" s="197"/>
      <c r="J142" s="197"/>
      <c r="K142" s="197"/>
      <c r="L142" s="197"/>
      <c r="M142" s="197"/>
      <c r="N142" s="197"/>
      <c r="O142" s="197"/>
      <c r="P142" s="197"/>
      <c r="Q142" s="197"/>
      <c r="R142" s="197"/>
      <c r="S142" s="197"/>
      <c r="T142" s="197"/>
      <c r="U142" s="197"/>
      <c r="V142" s="197"/>
      <c r="W142" s="176"/>
      <c r="X142" s="105"/>
      <c r="Y142" s="105"/>
      <c r="Z142" s="222"/>
      <c r="AA142" s="105"/>
      <c r="AB142" s="176"/>
      <c r="AC142" s="105"/>
    </row>
    <row r="143" spans="2:32" x14ac:dyDescent="0.3">
      <c r="B143" s="175" t="str">
        <f>MID($B$141,1,1)&amp;".01"</f>
        <v>Q.01</v>
      </c>
      <c r="C143" s="192" t="s">
        <v>114</v>
      </c>
      <c r="D143" s="183"/>
      <c r="E143" s="105"/>
      <c r="F143" s="105"/>
      <c r="G143" s="186"/>
      <c r="H143" s="186"/>
      <c r="I143" s="186"/>
      <c r="J143" s="186"/>
      <c r="K143" s="186"/>
      <c r="L143" s="186"/>
      <c r="M143" s="186"/>
      <c r="N143" s="186"/>
      <c r="O143" s="186"/>
      <c r="P143" s="186"/>
      <c r="Q143" s="186"/>
      <c r="R143" s="186"/>
      <c r="S143" s="186"/>
      <c r="T143" s="186"/>
      <c r="U143" s="186"/>
      <c r="V143" s="186"/>
      <c r="W143" s="184"/>
      <c r="X143" s="105"/>
      <c r="Y143" s="105"/>
      <c r="Z143" s="222"/>
      <c r="AA143" s="181">
        <f>SUM(G143:V143)</f>
        <v>0</v>
      </c>
      <c r="AB143" s="583"/>
      <c r="AC143" s="105"/>
    </row>
    <row r="144" spans="2:32" x14ac:dyDescent="0.3">
      <c r="B144" s="175" t="str">
        <f>MID($B$141,1,1)&amp;".02"</f>
        <v>Q.02</v>
      </c>
      <c r="C144" s="192" t="s">
        <v>114</v>
      </c>
      <c r="D144" s="183"/>
      <c r="E144" s="105"/>
      <c r="F144" s="105"/>
      <c r="G144" s="186"/>
      <c r="H144" s="186"/>
      <c r="I144" s="186"/>
      <c r="J144" s="186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86"/>
      <c r="V144" s="186"/>
      <c r="W144" s="184"/>
      <c r="X144" s="105"/>
      <c r="Y144" s="105"/>
      <c r="Z144" s="222"/>
      <c r="AA144" s="181">
        <f t="shared" ref="AA144:AA146" si="65">SUM(G144:V144)</f>
        <v>0</v>
      </c>
      <c r="AB144" s="583"/>
      <c r="AC144" s="105"/>
    </row>
    <row r="145" spans="2:29" x14ac:dyDescent="0.3">
      <c r="B145" s="175" t="str">
        <f>MID($B$141,1,1)&amp;".03"</f>
        <v>Q.03</v>
      </c>
      <c r="C145" s="192" t="s">
        <v>114</v>
      </c>
      <c r="D145" s="183"/>
      <c r="E145" s="105"/>
      <c r="F145" s="105"/>
      <c r="G145" s="186"/>
      <c r="H145" s="186"/>
      <c r="I145" s="186"/>
      <c r="J145" s="186"/>
      <c r="K145" s="186"/>
      <c r="L145" s="186"/>
      <c r="M145" s="186"/>
      <c r="N145" s="186"/>
      <c r="O145" s="186"/>
      <c r="P145" s="186"/>
      <c r="Q145" s="186"/>
      <c r="R145" s="186"/>
      <c r="S145" s="186"/>
      <c r="T145" s="186"/>
      <c r="U145" s="186"/>
      <c r="V145" s="186"/>
      <c r="W145" s="184"/>
      <c r="X145" s="105"/>
      <c r="Y145" s="105"/>
      <c r="Z145" s="222"/>
      <c r="AA145" s="181">
        <f t="shared" si="65"/>
        <v>0</v>
      </c>
      <c r="AB145" s="583"/>
      <c r="AC145" s="105"/>
    </row>
    <row r="146" spans="2:29" x14ac:dyDescent="0.3">
      <c r="B146" s="175" t="str">
        <f>MID($B$141,1,1)&amp;".04"</f>
        <v>Q.04</v>
      </c>
      <c r="C146" s="192" t="s">
        <v>114</v>
      </c>
      <c r="D146" s="183"/>
      <c r="E146" s="105"/>
      <c r="F146" s="105"/>
      <c r="G146" s="186"/>
      <c r="H146" s="186"/>
      <c r="I146" s="186"/>
      <c r="J146" s="186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4"/>
      <c r="X146" s="105"/>
      <c r="Y146" s="105"/>
      <c r="Z146" s="222"/>
      <c r="AA146" s="181">
        <f t="shared" si="65"/>
        <v>0</v>
      </c>
      <c r="AB146" s="583"/>
      <c r="AC146" s="105"/>
    </row>
    <row r="147" spans="2:29" ht="7.5" customHeight="1" x14ac:dyDescent="0.3">
      <c r="B147" s="199"/>
      <c r="C147" s="209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1"/>
      <c r="X147" s="105"/>
      <c r="Y147" s="105"/>
      <c r="Z147" s="223"/>
      <c r="AA147" s="200"/>
      <c r="AB147" s="201"/>
      <c r="AC147" s="105"/>
    </row>
    <row r="148" spans="2:29" ht="6.75" customHeight="1" x14ac:dyDescent="0.3">
      <c r="B148" s="210"/>
      <c r="C148" s="161"/>
      <c r="E148" s="105"/>
      <c r="F148" s="105"/>
      <c r="G148" s="211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</row>
    <row r="149" spans="2:29" ht="6.75" customHeight="1" x14ac:dyDescent="0.3">
      <c r="B149" s="210"/>
      <c r="C149" s="161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</row>
    <row r="150" spans="2:29" ht="7.5" customHeight="1" x14ac:dyDescent="0.3">
      <c r="B150" s="202"/>
      <c r="C150" s="203"/>
      <c r="D150" s="203"/>
      <c r="E150" s="203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4"/>
      <c r="X150" s="105"/>
      <c r="Y150" s="105"/>
      <c r="Z150" s="439"/>
      <c r="AA150" s="203"/>
      <c r="AB150" s="204"/>
      <c r="AC150" s="105"/>
    </row>
    <row r="151" spans="2:29" x14ac:dyDescent="0.3">
      <c r="B151" s="461" t="s">
        <v>452</v>
      </c>
      <c r="C151" s="206" t="s">
        <v>121</v>
      </c>
      <c r="E151" s="105"/>
      <c r="F151" s="105"/>
      <c r="G151" s="189">
        <f>G$5</f>
        <v>2028</v>
      </c>
      <c r="H151" s="189">
        <f t="shared" ref="H151:V151" si="66">H$5</f>
        <v>2029</v>
      </c>
      <c r="I151" s="189">
        <f t="shared" si="66"/>
        <v>2030</v>
      </c>
      <c r="J151" s="189">
        <f t="shared" si="66"/>
        <v>2031</v>
      </c>
      <c r="K151" s="189">
        <f t="shared" si="66"/>
        <v>2032</v>
      </c>
      <c r="L151" s="189">
        <f t="shared" si="66"/>
        <v>2033</v>
      </c>
      <c r="M151" s="189">
        <f t="shared" si="66"/>
        <v>2034</v>
      </c>
      <c r="N151" s="189">
        <f t="shared" si="66"/>
        <v>2035</v>
      </c>
      <c r="O151" s="189">
        <f t="shared" si="66"/>
        <v>2036</v>
      </c>
      <c r="P151" s="189">
        <f t="shared" si="66"/>
        <v>2037</v>
      </c>
      <c r="Q151" s="189">
        <f t="shared" si="66"/>
        <v>2038</v>
      </c>
      <c r="R151" s="189">
        <f t="shared" si="66"/>
        <v>2039</v>
      </c>
      <c r="S151" s="189">
        <f t="shared" si="66"/>
        <v>2040</v>
      </c>
      <c r="T151" s="189">
        <f t="shared" si="66"/>
        <v>2041</v>
      </c>
      <c r="U151" s="189">
        <f t="shared" si="66"/>
        <v>2042</v>
      </c>
      <c r="V151" s="189">
        <f t="shared" si="66"/>
        <v>2043</v>
      </c>
      <c r="W151" s="176"/>
      <c r="X151" s="105"/>
      <c r="Y151" s="105"/>
      <c r="Z151" s="222"/>
      <c r="AA151" s="105"/>
      <c r="AB151" s="176"/>
      <c r="AC151" s="105"/>
    </row>
    <row r="152" spans="2:29" ht="7.5" customHeight="1" x14ac:dyDescent="0.3">
      <c r="B152" s="175"/>
      <c r="C152" s="206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76"/>
      <c r="X152" s="105"/>
      <c r="Y152" s="105"/>
      <c r="Z152" s="222"/>
      <c r="AA152" s="105"/>
      <c r="AB152" s="176"/>
      <c r="AC152" s="105"/>
    </row>
    <row r="153" spans="2:29" x14ac:dyDescent="0.3">
      <c r="B153" s="175" t="str">
        <f>MID($B$151,1,1)&amp;".01"</f>
        <v>R.01</v>
      </c>
      <c r="C153" s="207" t="s">
        <v>485</v>
      </c>
      <c r="D153" s="281" t="s">
        <v>99</v>
      </c>
      <c r="E153" s="105"/>
      <c r="F153" s="105"/>
      <c r="G153" s="179" cm="1">
        <f t="array" ref="G153">SUM(IF((B.01!$A$61:$A$76=FEO!G$151),B.01!$B$61:$AO$76,0))</f>
        <v>31383568.895092137</v>
      </c>
      <c r="H153" s="179" cm="1">
        <f t="array" ref="H153">SUM(IF((B.01!$A$61:$A$76=FEO!H$151),B.01!$B$61:$AO$76,0))</f>
        <v>29285198.745484401</v>
      </c>
      <c r="I153" s="179" cm="1">
        <f t="array" ref="I153">SUM(IF((B.01!$A$61:$A$76=FEO!I$151),B.01!$B$61:$AO$76,0))</f>
        <v>27186828.595876656</v>
      </c>
      <c r="J153" s="179" cm="1">
        <f t="array" ref="J153">SUM(IF((B.01!$A$61:$A$76=FEO!J$151),B.01!$B$61:$AO$76,0))</f>
        <v>25088458.446268924</v>
      </c>
      <c r="K153" s="179" cm="1">
        <f t="array" ref="K153">SUM(IF((B.01!$A$61:$A$76=FEO!K$151),B.01!$B$61:$AO$76,0))</f>
        <v>22984339.337347198</v>
      </c>
      <c r="L153" s="179" cm="1">
        <f t="array" ref="L153">SUM(IF((B.01!$A$61:$A$76=FEO!L$151),B.01!$B$61:$AO$76,0))</f>
        <v>20885969.187739465</v>
      </c>
      <c r="M153" s="179" cm="1">
        <f t="array" ref="M153">SUM(IF((B.01!$A$61:$A$76=FEO!M$151),B.01!$B$61:$AO$76,0))</f>
        <v>18787599.038131718</v>
      </c>
      <c r="N153" s="179" cm="1">
        <f t="array" ref="N153">SUM(IF((B.01!$A$61:$A$76=FEO!N$151),B.01!$B$61:$AO$76,0))</f>
        <v>16689228.888523985</v>
      </c>
      <c r="O153" s="179" cm="1">
        <f t="array" ref="O153">SUM(IF((B.01!$A$61:$A$76=FEO!O$151),B.01!$B$61:$AO$76,0))</f>
        <v>14585109.779602254</v>
      </c>
      <c r="P153" s="179" cm="1">
        <f t="array" ref="P153">SUM(IF((B.01!$A$61:$A$76=FEO!P$151),B.01!$B$61:$AO$76,0))</f>
        <v>12486739.629994521</v>
      </c>
      <c r="Q153" s="179" cm="1">
        <f t="array" ref="Q153">SUM(IF((B.01!$A$61:$A$76=FEO!Q$151),B.01!$B$61:$AO$76,0))</f>
        <v>10388369.480386786</v>
      </c>
      <c r="R153" s="179" cm="1">
        <f t="array" ref="R153">SUM(IF((B.01!$A$61:$A$76=FEO!R$151),B.01!$B$61:$AO$76,0))</f>
        <v>8289999.3307790495</v>
      </c>
      <c r="S153" s="179" cm="1">
        <f t="array" ref="S153">SUM(IF((B.01!$A$61:$A$76=FEO!S$151),B.01!$B$61:$AO$76,0))</f>
        <v>6185880.2218573205</v>
      </c>
      <c r="T153" s="179" cm="1">
        <f t="array" ref="T153">SUM(IF((B.01!$A$61:$A$76=FEO!T$151),B.01!$B$61:$AO$76,0))</f>
        <v>4087510.0722495848</v>
      </c>
      <c r="U153" s="179" cm="1">
        <f t="array" ref="U153">SUM(IF((B.01!$A$61:$A$76=FEO!U$151),B.01!$B$61:$AO$76,0))</f>
        <v>1989139.9226418489</v>
      </c>
      <c r="V153" s="179" cm="1">
        <f t="array" ref="V153">SUM(IF((B.01!$A$61:$A$76=FEO!V$151),B.01!$B$61:$AO$76,0))</f>
        <v>-4.8748916015028954E-9</v>
      </c>
      <c r="W153" s="176"/>
      <c r="X153" s="105"/>
      <c r="Y153" s="105"/>
      <c r="Z153" s="222"/>
      <c r="AA153" s="105"/>
      <c r="AB153" s="176"/>
      <c r="AC153" s="105"/>
    </row>
    <row r="154" spans="2:29" x14ac:dyDescent="0.3">
      <c r="B154" s="175" t="str">
        <f>MID($B$151,1,1)&amp;".02"</f>
        <v>R.02</v>
      </c>
      <c r="C154" s="207" t="s">
        <v>481</v>
      </c>
      <c r="D154" s="191" t="s">
        <v>234</v>
      </c>
      <c r="E154" s="105"/>
      <c r="F154" s="105"/>
      <c r="G154" s="179" cm="1">
        <f t="array" ref="G154">SUM(IF((F.02!$A$67:$A$82=FEO!G$151),F.02!$B$67:$O$82,0))</f>
        <v>99623.545516769329</v>
      </c>
      <c r="H154" s="179" cm="1">
        <f t="array" ref="H154">SUM(IF((F.02!$A$67:$A$82=FEO!H$151),F.02!$B$67:$O$82,0))</f>
        <v>93377.82340862423</v>
      </c>
      <c r="I154" s="179" cm="1">
        <f t="array" ref="I154">SUM(IF((F.02!$A$67:$A$82=FEO!I$151),F.02!$B$67:$O$82,0))</f>
        <v>87132.101300479131</v>
      </c>
      <c r="J154" s="179" cm="1">
        <f t="array" ref="J154">SUM(IF((F.02!$A$67:$A$82=FEO!J$151),F.02!$B$67:$O$82,0))</f>
        <v>80886.379192334032</v>
      </c>
      <c r="K154" s="179" cm="1">
        <f t="array" ref="K154">SUM(IF((F.02!$A$67:$A$82=FEO!K$151),F.02!$B$67:$O$82,0))</f>
        <v>74623.545516769344</v>
      </c>
      <c r="L154" s="179" cm="1">
        <f t="array" ref="L154">SUM(IF((F.02!$A$67:$A$82=FEO!L$151),F.02!$B$67:$O$82,0))</f>
        <v>68377.823408624245</v>
      </c>
      <c r="M154" s="179" cm="1">
        <f t="array" ref="M154">SUM(IF((F.02!$A$67:$A$82=FEO!M$151),F.02!$B$67:$O$82,0))</f>
        <v>62132.101300479138</v>
      </c>
      <c r="N154" s="179" cm="1">
        <f t="array" ref="N154">SUM(IF((F.02!$A$67:$A$82=FEO!N$151),F.02!$B$67:$O$82,0))</f>
        <v>55886.379192334032</v>
      </c>
      <c r="O154" s="179" cm="1">
        <f t="array" ref="O154">SUM(IF((F.02!$A$67:$A$82=FEO!O$151),F.02!$B$67:$O$82,0))</f>
        <v>49623.545516769351</v>
      </c>
      <c r="P154" s="179" cm="1">
        <f t="array" ref="P154">SUM(IF((F.02!$A$67:$A$82=FEO!P$151),F.02!$B$67:$O$82,0))</f>
        <v>43377.823408624245</v>
      </c>
      <c r="Q154" s="179" cm="1">
        <f t="array" ref="Q154">SUM(IF((F.02!$A$67:$A$82=FEO!Q$151),F.02!$B$67:$O$82,0))</f>
        <v>37132.101300479138</v>
      </c>
      <c r="R154" s="179" cm="1">
        <f t="array" ref="R154">SUM(IF((F.02!$A$67:$A$82=FEO!R$151),F.02!$B$67:$O$82,0))</f>
        <v>30886.379192334032</v>
      </c>
      <c r="S154" s="179" cm="1">
        <f t="array" ref="S154">SUM(IF((F.02!$A$67:$A$82=FEO!S$151),F.02!$B$67:$O$82,0))</f>
        <v>24623.545516769351</v>
      </c>
      <c r="T154" s="179" cm="1">
        <f t="array" ref="T154">SUM(IF((F.02!$A$67:$A$82=FEO!T$151),F.02!$B$67:$O$82,0))</f>
        <v>18377.823408624245</v>
      </c>
      <c r="U154" s="179" cm="1">
        <f t="array" ref="U154">SUM(IF((F.02!$A$67:$A$82=FEO!U$151),F.02!$B$67:$O$82,0))</f>
        <v>12132.101300479138</v>
      </c>
      <c r="V154" s="179" cm="1">
        <f t="array" ref="V154">SUM(IF((F.02!$A$67:$A$82=FEO!V$151),F.02!$B$67:$O$82,0))</f>
        <v>6211.4989733059701</v>
      </c>
      <c r="W154" s="176"/>
      <c r="X154" s="105"/>
      <c r="Y154" s="105"/>
      <c r="Z154" s="222"/>
      <c r="AA154" s="105"/>
      <c r="AB154" s="176"/>
      <c r="AC154" s="105"/>
    </row>
    <row r="155" spans="2:29" x14ac:dyDescent="0.3">
      <c r="B155" s="175" t="str">
        <f>MID($B$151,1,1)&amp;".03"</f>
        <v>R.03</v>
      </c>
      <c r="C155" s="207" t="s">
        <v>482</v>
      </c>
      <c r="D155" s="191" t="s">
        <v>329</v>
      </c>
      <c r="E155" s="105"/>
      <c r="F155" s="105"/>
      <c r="G155" s="179" cm="1">
        <f t="array" ref="G155">SUM(IF((F.03!$A$67:$A$82=FEO!G$151),F.03!$B$67:$O$82,0))</f>
        <v>0</v>
      </c>
      <c r="H155" s="179" cm="1">
        <f t="array" ref="H155">SUM(IF((F.03!$A$67:$A$82=FEO!H$151),F.03!$B$67:$O$82,0))</f>
        <v>0</v>
      </c>
      <c r="I155" s="179" cm="1">
        <f t="array" ref="I155">SUM(IF((F.03!$A$67:$A$82=FEO!I$151),F.03!$B$67:$O$82,0))</f>
        <v>0</v>
      </c>
      <c r="J155" s="179" cm="1">
        <f t="array" ref="J155">SUM(IF((F.03!$A$67:$A$82=FEO!J$151),F.03!$B$67:$O$82,0))</f>
        <v>0</v>
      </c>
      <c r="K155" s="179" cm="1">
        <f t="array" ref="K155">SUM(IF((F.03!$A$67:$A$82=FEO!K$151),F.03!$B$67:$O$82,0))</f>
        <v>0</v>
      </c>
      <c r="L155" s="179" cm="1">
        <f t="array" ref="L155">SUM(IF((F.03!$A$67:$A$82=FEO!L$151),F.03!$B$67:$O$82,0))</f>
        <v>0</v>
      </c>
      <c r="M155" s="179" cm="1">
        <f t="array" ref="M155">SUM(IF((F.03!$A$67:$A$82=FEO!M$151),F.03!$B$67:$O$82,0))</f>
        <v>0</v>
      </c>
      <c r="N155" s="179" cm="1">
        <f t="array" ref="N155">SUM(IF((F.03!$A$67:$A$82=FEO!N$151),F.03!$B$67:$O$82,0))</f>
        <v>0</v>
      </c>
      <c r="O155" s="179" cm="1">
        <f t="array" ref="O155">SUM(IF((F.03!$A$67:$A$82=FEO!O$151),F.03!$B$67:$O$82,0))</f>
        <v>0</v>
      </c>
      <c r="P155" s="179" cm="1">
        <f t="array" ref="P155">SUM(IF((F.03!$A$67:$A$82=FEO!P$151),F.03!$B$67:$O$82,0))</f>
        <v>0</v>
      </c>
      <c r="Q155" s="179" cm="1">
        <f t="array" ref="Q155">SUM(IF((F.03!$A$67:$A$82=FEO!Q$151),F.03!$B$67:$O$82,0))</f>
        <v>0</v>
      </c>
      <c r="R155" s="179" cm="1">
        <f t="array" ref="R155">SUM(IF((F.03!$A$67:$A$82=FEO!R$151),F.03!$B$67:$O$82,0))</f>
        <v>0</v>
      </c>
      <c r="S155" s="179" cm="1">
        <f t="array" ref="S155">SUM(IF((F.03!$A$67:$A$82=FEO!S$151),F.03!$B$67:$O$82,0))</f>
        <v>0</v>
      </c>
      <c r="T155" s="179" cm="1">
        <f t="array" ref="T155">SUM(IF((F.03!$A$67:$A$82=FEO!T$151),F.03!$B$67:$O$82,0))</f>
        <v>0</v>
      </c>
      <c r="U155" s="179" cm="1">
        <f t="array" ref="U155">SUM(IF((F.03!$A$67:$A$82=FEO!U$151),F.03!$B$67:$O$82,0))</f>
        <v>0</v>
      </c>
      <c r="V155" s="179" cm="1">
        <f t="array" ref="V155">SUM(IF((F.03!$A$67:$A$82=FEO!V$151),F.03!$B$67:$O$82,0))</f>
        <v>0</v>
      </c>
      <c r="W155" s="176"/>
      <c r="X155" s="105"/>
      <c r="Y155" s="105"/>
      <c r="Z155" s="222"/>
      <c r="AA155" s="105"/>
      <c r="AB155" s="176"/>
      <c r="AC155" s="105"/>
    </row>
    <row r="156" spans="2:29" x14ac:dyDescent="0.3">
      <c r="B156" s="175" t="str">
        <f>MID($B$151,1,1)&amp;".04"</f>
        <v>R.04</v>
      </c>
      <c r="C156" s="207" t="s">
        <v>484</v>
      </c>
      <c r="D156" s="191" t="s">
        <v>478</v>
      </c>
      <c r="E156" s="105"/>
      <c r="F156" s="105"/>
      <c r="G156" s="179" cm="1">
        <f t="array" ref="G156">SUM(IF((F.10!$A$60:$A$75=FEO!G$151),F.10!$B$60:$O$75,0))</f>
        <v>0</v>
      </c>
      <c r="H156" s="179" cm="1">
        <f t="array" ref="H156">SUM(IF((F.10!$A$60:$A$75=FEO!H$151),F.10!$B$60:$O$75,0))</f>
        <v>0</v>
      </c>
      <c r="I156" s="179" cm="1">
        <f t="array" ref="I156">SUM(IF((F.10!$A$60:$A$75=FEO!I$151),F.10!$B$60:$O$75,0))</f>
        <v>0</v>
      </c>
      <c r="J156" s="179" cm="1">
        <f t="array" ref="J156">SUM(IF((F.10!$A$60:$A$75=FEO!J$151),F.10!$B$60:$O$75,0))</f>
        <v>0</v>
      </c>
      <c r="K156" s="179" cm="1">
        <f t="array" ref="K156">SUM(IF((F.10!$A$60:$A$75=FEO!K$151),F.10!$B$60:$O$75,0))</f>
        <v>0</v>
      </c>
      <c r="L156" s="179" cm="1">
        <f t="array" ref="L156">SUM(IF((F.10!$A$60:$A$75=FEO!L$151),F.10!$B$60:$O$75,0))</f>
        <v>0</v>
      </c>
      <c r="M156" s="179" cm="1">
        <f t="array" ref="M156">SUM(IF((F.10!$A$60:$A$75=FEO!M$151),F.10!$B$60:$O$75,0))</f>
        <v>0</v>
      </c>
      <c r="N156" s="179" cm="1">
        <f t="array" ref="N156">SUM(IF((F.10!$A$60:$A$75=FEO!N$151),F.10!$B$60:$O$75,0))</f>
        <v>0</v>
      </c>
      <c r="O156" s="179" cm="1">
        <f t="array" ref="O156">SUM(IF((F.10!$A$60:$A$75=FEO!O$151),F.10!$B$60:$O$75,0))</f>
        <v>0</v>
      </c>
      <c r="P156" s="179" cm="1">
        <f t="array" ref="P156">SUM(IF((F.10!$A$60:$A$75=FEO!P$151),F.10!$B$60:$O$75,0))</f>
        <v>0</v>
      </c>
      <c r="Q156" s="179" cm="1">
        <f t="array" ref="Q156">SUM(IF((F.10!$A$60:$A$75=FEO!Q$151),F.10!$B$60:$O$75,0))</f>
        <v>0</v>
      </c>
      <c r="R156" s="179" cm="1">
        <f t="array" ref="R156">SUM(IF((F.10!$A$60:$A$75=FEO!R$151),F.10!$B$60:$O$75,0))</f>
        <v>0</v>
      </c>
      <c r="S156" s="179" cm="1">
        <f t="array" ref="S156">SUM(IF((F.10!$A$60:$A$75=FEO!S$151),F.10!$B$60:$O$75,0))</f>
        <v>0</v>
      </c>
      <c r="T156" s="179" cm="1">
        <f t="array" ref="T156">SUM(IF((F.10!$A$60:$A$75=FEO!T$151),F.10!$B$60:$O$75,0))</f>
        <v>0</v>
      </c>
      <c r="U156" s="179" cm="1">
        <f t="array" ref="U156">SUM(IF((F.10!$A$60:$A$75=FEO!U$151),F.10!$B$60:$O$75,0))</f>
        <v>0</v>
      </c>
      <c r="V156" s="179" cm="1">
        <f t="array" ref="V156">SUM(IF((F.10!$A$60:$A$75=FEO!V$151),F.10!$B$60:$O$75,0))</f>
        <v>0</v>
      </c>
      <c r="W156" s="176"/>
      <c r="X156" s="105"/>
      <c r="Y156" s="105"/>
      <c r="Z156" s="222"/>
      <c r="AA156" s="105"/>
      <c r="AB156" s="176"/>
      <c r="AC156" s="105"/>
    </row>
    <row r="157" spans="2:29" x14ac:dyDescent="0.3">
      <c r="B157" s="175" t="str">
        <f>MID($B$151,1,1)&amp;".05"</f>
        <v>R.05</v>
      </c>
      <c r="C157" s="207" t="s">
        <v>486</v>
      </c>
      <c r="D157" s="191"/>
      <c r="E157" s="105"/>
      <c r="F157" s="105"/>
      <c r="G157" s="186">
        <v>0</v>
      </c>
      <c r="H157" s="186">
        <v>0</v>
      </c>
      <c r="I157" s="186">
        <v>0</v>
      </c>
      <c r="J157" s="186">
        <v>0</v>
      </c>
      <c r="K157" s="186">
        <v>0</v>
      </c>
      <c r="L157" s="186">
        <v>0</v>
      </c>
      <c r="M157" s="186">
        <v>0</v>
      </c>
      <c r="N157" s="186">
        <v>0</v>
      </c>
      <c r="O157" s="186">
        <v>0</v>
      </c>
      <c r="P157" s="186">
        <v>0</v>
      </c>
      <c r="Q157" s="186">
        <v>0</v>
      </c>
      <c r="R157" s="186">
        <v>0</v>
      </c>
      <c r="S157" s="186">
        <v>0</v>
      </c>
      <c r="T157" s="186">
        <v>0</v>
      </c>
      <c r="U157" s="186">
        <v>0</v>
      </c>
      <c r="V157" s="186">
        <v>0</v>
      </c>
      <c r="W157" s="176"/>
      <c r="X157" s="105"/>
      <c r="Y157" s="105"/>
      <c r="Z157" s="222"/>
      <c r="AA157" s="105"/>
      <c r="AB157" s="176"/>
      <c r="AC157" s="105"/>
    </row>
    <row r="158" spans="2:29" x14ac:dyDescent="0.3">
      <c r="B158" s="175"/>
      <c r="C158" s="207" t="s">
        <v>483</v>
      </c>
      <c r="E158" s="105"/>
      <c r="F158" s="105"/>
      <c r="G158" s="179">
        <f>SUM(G153:G157)</f>
        <v>31483192.440608907</v>
      </c>
      <c r="H158" s="179">
        <f t="shared" ref="H158:V158" si="67">SUM(H153:H157)</f>
        <v>29378576.568893027</v>
      </c>
      <c r="I158" s="179">
        <f t="shared" si="67"/>
        <v>27273960.697177134</v>
      </c>
      <c r="J158" s="179">
        <f t="shared" si="67"/>
        <v>25169344.825461257</v>
      </c>
      <c r="K158" s="179">
        <f t="shared" si="67"/>
        <v>23058962.882863969</v>
      </c>
      <c r="L158" s="179">
        <f t="shared" si="67"/>
        <v>20954347.011148091</v>
      </c>
      <c r="M158" s="179">
        <f t="shared" si="67"/>
        <v>18849731.139432196</v>
      </c>
      <c r="N158" s="179">
        <f t="shared" si="67"/>
        <v>16745115.267716318</v>
      </c>
      <c r="O158" s="179">
        <f t="shared" si="67"/>
        <v>14634733.325119022</v>
      </c>
      <c r="P158" s="179">
        <f t="shared" si="67"/>
        <v>12530117.453403145</v>
      </c>
      <c r="Q158" s="179">
        <f t="shared" si="67"/>
        <v>10425501.581687266</v>
      </c>
      <c r="R158" s="179">
        <f t="shared" si="67"/>
        <v>8320885.7099713832</v>
      </c>
      <c r="S158" s="179">
        <f t="shared" si="67"/>
        <v>6210503.7673740899</v>
      </c>
      <c r="T158" s="179">
        <f t="shared" si="67"/>
        <v>4105887.895658209</v>
      </c>
      <c r="U158" s="179">
        <f t="shared" si="67"/>
        <v>2001272.0239423281</v>
      </c>
      <c r="V158" s="179">
        <f t="shared" si="67"/>
        <v>6211.4989733010952</v>
      </c>
      <c r="W158" s="176"/>
      <c r="X158" s="105"/>
      <c r="Y158" s="105"/>
      <c r="Z158" s="222"/>
      <c r="AA158" s="105"/>
      <c r="AB158" s="176"/>
      <c r="AC158" s="105"/>
    </row>
    <row r="159" spans="2:29" x14ac:dyDescent="0.3">
      <c r="B159" s="175" t="str">
        <f>MID($B$151,1,1)&amp;".06"</f>
        <v>R.06</v>
      </c>
      <c r="C159" s="207" t="s">
        <v>122</v>
      </c>
      <c r="E159" s="105"/>
      <c r="F159" s="105"/>
      <c r="G159" s="186">
        <v>0</v>
      </c>
      <c r="H159" s="186">
        <v>0</v>
      </c>
      <c r="I159" s="186">
        <v>0</v>
      </c>
      <c r="J159" s="186">
        <v>0</v>
      </c>
      <c r="K159" s="186">
        <v>0</v>
      </c>
      <c r="L159" s="186">
        <v>0</v>
      </c>
      <c r="M159" s="186">
        <v>0</v>
      </c>
      <c r="N159" s="186">
        <v>0</v>
      </c>
      <c r="O159" s="186">
        <v>0</v>
      </c>
      <c r="P159" s="186">
        <v>0</v>
      </c>
      <c r="Q159" s="186">
        <v>0</v>
      </c>
      <c r="R159" s="186">
        <v>0</v>
      </c>
      <c r="S159" s="186">
        <v>0</v>
      </c>
      <c r="T159" s="186">
        <v>0</v>
      </c>
      <c r="U159" s="186">
        <v>0</v>
      </c>
      <c r="V159" s="186">
        <v>0</v>
      </c>
      <c r="W159" s="176"/>
      <c r="X159" s="105"/>
      <c r="Y159" s="105"/>
      <c r="Z159" s="222"/>
      <c r="AA159" s="105"/>
      <c r="AB159" s="176"/>
      <c r="AC159" s="105"/>
    </row>
    <row r="160" spans="2:29" x14ac:dyDescent="0.3">
      <c r="B160" s="175" t="str">
        <f>MID($B$151,1,1)&amp;".07"</f>
        <v>R.07</v>
      </c>
      <c r="C160" s="207" t="s">
        <v>123</v>
      </c>
      <c r="D160" s="161"/>
      <c r="E160" s="161"/>
      <c r="F160" s="161"/>
      <c r="G160" s="186">
        <v>0</v>
      </c>
      <c r="H160" s="186">
        <v>0</v>
      </c>
      <c r="I160" s="186">
        <v>0</v>
      </c>
      <c r="J160" s="186">
        <v>0</v>
      </c>
      <c r="K160" s="186">
        <v>0</v>
      </c>
      <c r="L160" s="186">
        <v>0</v>
      </c>
      <c r="M160" s="186">
        <v>0</v>
      </c>
      <c r="N160" s="186">
        <v>0</v>
      </c>
      <c r="O160" s="186">
        <v>0</v>
      </c>
      <c r="P160" s="186">
        <v>0</v>
      </c>
      <c r="Q160" s="186">
        <v>0</v>
      </c>
      <c r="R160" s="186">
        <v>0</v>
      </c>
      <c r="S160" s="186">
        <v>0</v>
      </c>
      <c r="T160" s="186">
        <v>0</v>
      </c>
      <c r="U160" s="186">
        <v>0</v>
      </c>
      <c r="V160" s="186">
        <v>0</v>
      </c>
      <c r="W160" s="176"/>
      <c r="X160" s="105"/>
      <c r="Y160" s="105"/>
      <c r="Z160" s="222"/>
      <c r="AA160" s="105"/>
      <c r="AB160" s="176"/>
      <c r="AC160" s="105"/>
    </row>
    <row r="161" spans="2:30" ht="7.5" customHeight="1" x14ac:dyDescent="0.3">
      <c r="B161" s="199"/>
      <c r="C161" s="209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1"/>
      <c r="X161" s="105"/>
      <c r="Y161" s="105"/>
      <c r="Z161" s="223"/>
      <c r="AA161" s="200"/>
      <c r="AB161" s="201"/>
      <c r="AC161" s="105"/>
    </row>
    <row r="162" spans="2:30" ht="6.75" customHeight="1" x14ac:dyDescent="0.3">
      <c r="B162" s="210"/>
      <c r="C162" s="161"/>
      <c r="E162" s="105"/>
      <c r="F162" s="105"/>
      <c r="G162" s="211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</row>
    <row r="163" spans="2:30" ht="6.75" customHeight="1" x14ac:dyDescent="0.3">
      <c r="B163" s="210"/>
      <c r="C163" s="161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</row>
    <row r="164" spans="2:30" x14ac:dyDescent="0.3">
      <c r="B164" s="202"/>
      <c r="C164" s="546" t="s">
        <v>125</v>
      </c>
      <c r="D164" s="382"/>
      <c r="E164" s="382"/>
      <c r="F164" s="382"/>
      <c r="G164" s="383"/>
      <c r="H164" s="644" t="s">
        <v>126</v>
      </c>
      <c r="I164" s="644"/>
      <c r="J164" s="644"/>
      <c r="K164" s="644"/>
      <c r="L164" s="384"/>
      <c r="M164" s="384"/>
      <c r="N164" s="384"/>
      <c r="O164" s="547"/>
      <c r="P164" s="105"/>
      <c r="Q164" s="439"/>
      <c r="R164" s="203"/>
      <c r="S164" s="203"/>
      <c r="T164" s="203"/>
      <c r="U164" s="203"/>
      <c r="V164" s="203"/>
      <c r="W164" s="203"/>
      <c r="X164" s="203"/>
      <c r="Y164" s="203"/>
      <c r="Z164" s="203"/>
      <c r="AA164" s="203"/>
      <c r="AB164" s="204"/>
      <c r="AC164" s="105"/>
      <c r="AD164" s="94"/>
    </row>
    <row r="165" spans="2:30" x14ac:dyDescent="0.3">
      <c r="B165" s="175"/>
      <c r="C165" s="639" t="s">
        <v>512</v>
      </c>
      <c r="D165" s="640"/>
      <c r="E165" s="640"/>
      <c r="F165" s="640"/>
      <c r="G165" s="640"/>
      <c r="H165" s="643" t="s">
        <v>127</v>
      </c>
      <c r="I165" s="643"/>
      <c r="J165" s="643"/>
      <c r="K165" s="643"/>
      <c r="L165" s="548"/>
      <c r="M165" s="548"/>
      <c r="N165" s="548"/>
      <c r="O165" s="549"/>
      <c r="P165" s="105"/>
      <c r="Q165" s="222"/>
      <c r="R165" s="568" t="s">
        <v>506</v>
      </c>
      <c r="S165" s="105"/>
      <c r="T165" s="105"/>
      <c r="U165" s="181"/>
      <c r="V165" s="105"/>
      <c r="W165" s="105"/>
      <c r="X165" s="105"/>
      <c r="Y165" s="105"/>
      <c r="Z165" s="105"/>
      <c r="AA165" s="181">
        <v>29225000</v>
      </c>
      <c r="AB165" s="583"/>
      <c r="AC165" s="105"/>
      <c r="AD165" s="94"/>
    </row>
    <row r="166" spans="2:30" x14ac:dyDescent="0.3">
      <c r="B166" s="175"/>
      <c r="C166" s="639"/>
      <c r="D166" s="640"/>
      <c r="E166" s="640"/>
      <c r="F166" s="640"/>
      <c r="G166" s="640"/>
      <c r="H166" s="645" t="s">
        <v>128</v>
      </c>
      <c r="I166" s="645"/>
      <c r="J166" s="645"/>
      <c r="K166" s="645"/>
      <c r="L166" s="548"/>
      <c r="M166" s="548"/>
      <c r="N166" s="548"/>
      <c r="O166" s="549"/>
      <c r="P166" s="105"/>
      <c r="Q166" s="222"/>
      <c r="R166" s="568" t="s">
        <v>505</v>
      </c>
      <c r="S166" s="105"/>
      <c r="T166" s="105"/>
      <c r="U166" s="181"/>
      <c r="V166" s="105"/>
      <c r="W166" s="105"/>
      <c r="X166" s="105"/>
      <c r="Y166" s="105"/>
      <c r="Z166" s="105"/>
      <c r="AA166" s="181">
        <f>AA68/15</f>
        <v>2106922.3000684464</v>
      </c>
      <c r="AB166" s="583"/>
      <c r="AC166" s="105"/>
      <c r="AD166" s="75"/>
    </row>
    <row r="167" spans="2:30" ht="60" customHeight="1" x14ac:dyDescent="0.3">
      <c r="B167" s="175"/>
      <c r="C167" s="639"/>
      <c r="D167" s="640"/>
      <c r="E167" s="640"/>
      <c r="F167" s="640"/>
      <c r="G167" s="640"/>
      <c r="H167" s="643" t="s">
        <v>129</v>
      </c>
      <c r="I167" s="643"/>
      <c r="J167" s="643"/>
      <c r="K167" s="643"/>
      <c r="L167" s="548"/>
      <c r="M167" s="548"/>
      <c r="N167" s="548"/>
      <c r="O167" s="549"/>
      <c r="P167" s="105"/>
      <c r="Q167" s="222"/>
      <c r="R167" s="646" t="s">
        <v>513</v>
      </c>
      <c r="S167" s="646"/>
      <c r="T167" s="646"/>
      <c r="U167" s="646"/>
      <c r="V167" s="646"/>
      <c r="W167" s="105"/>
      <c r="X167" s="105"/>
      <c r="Y167" s="105"/>
      <c r="Z167" s="105"/>
      <c r="AA167" s="578" t="str">
        <f>IF(OR(AA166&gt;AA165,G68&gt;(AA165/365*G8),LARGE(H68:U68,1)&gt;AA165,V68&gt;(AA165/365*V8)),"Uitsluiting","")</f>
        <v/>
      </c>
      <c r="AB167" s="592"/>
      <c r="AC167" s="105"/>
    </row>
    <row r="168" spans="2:30" x14ac:dyDescent="0.3">
      <c r="B168" s="199"/>
      <c r="C168" s="641"/>
      <c r="D168" s="642"/>
      <c r="E168" s="642"/>
      <c r="F168" s="642"/>
      <c r="G168" s="642"/>
      <c r="H168" s="638" t="s">
        <v>130</v>
      </c>
      <c r="I168" s="638"/>
      <c r="J168" s="638"/>
      <c r="K168" s="638"/>
      <c r="L168" s="385"/>
      <c r="M168" s="385"/>
      <c r="N168" s="385"/>
      <c r="O168" s="550"/>
      <c r="P168" s="105"/>
      <c r="Q168" s="223"/>
      <c r="R168" s="200"/>
      <c r="S168" s="200"/>
      <c r="T168" s="200"/>
      <c r="U168" s="200"/>
      <c r="V168" s="200"/>
      <c r="W168" s="200"/>
      <c r="X168" s="200"/>
      <c r="Y168" s="200"/>
      <c r="Z168" s="200"/>
      <c r="AA168" s="200"/>
      <c r="AB168" s="201"/>
      <c r="AC168" s="105"/>
    </row>
    <row r="169" spans="2:30" x14ac:dyDescent="0.3">
      <c r="P169" s="105"/>
    </row>
    <row r="171" spans="2:30" x14ac:dyDescent="0.3">
      <c r="B171" s="65"/>
      <c r="G171" s="103"/>
      <c r="H171" s="602">
        <f>29224999-H68</f>
        <v>27120383.128284119</v>
      </c>
      <c r="I171" s="602">
        <f t="shared" ref="I171:V171" si="68">29224999-I68</f>
        <v>27120383.128284119</v>
      </c>
      <c r="J171" s="602">
        <f t="shared" si="68"/>
        <v>27120383.128284119</v>
      </c>
      <c r="K171" s="602">
        <f t="shared" si="68"/>
        <v>27114617.057402708</v>
      </c>
      <c r="L171" s="602">
        <f t="shared" si="68"/>
        <v>27120383.128284119</v>
      </c>
      <c r="M171" s="602">
        <f t="shared" si="68"/>
        <v>27120383.128284119</v>
      </c>
      <c r="N171" s="602">
        <f t="shared" si="68"/>
        <v>27120383.128284119</v>
      </c>
      <c r="O171" s="602">
        <f t="shared" si="68"/>
        <v>27114617.057402708</v>
      </c>
      <c r="P171" s="602">
        <f t="shared" si="68"/>
        <v>27120383.128284119</v>
      </c>
      <c r="Q171" s="602">
        <f t="shared" si="68"/>
        <v>27120383.128284119</v>
      </c>
      <c r="R171" s="602">
        <f t="shared" si="68"/>
        <v>27120383.128284119</v>
      </c>
      <c r="S171" s="602">
        <f t="shared" si="68"/>
        <v>27114617.057402708</v>
      </c>
      <c r="T171" s="602">
        <f t="shared" si="68"/>
        <v>27120383.128284119</v>
      </c>
      <c r="U171" s="602">
        <f t="shared" si="68"/>
        <v>27120383.128284119</v>
      </c>
      <c r="V171" s="602">
        <f t="shared" si="68"/>
        <v>27229938.475030974</v>
      </c>
      <c r="W171" s="103"/>
    </row>
    <row r="172" spans="2:30" x14ac:dyDescent="0.3">
      <c r="B172" s="65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</row>
  </sheetData>
  <mergeCells count="9">
    <mergeCell ref="U2:V2"/>
    <mergeCell ref="U1:V1"/>
    <mergeCell ref="H168:K168"/>
    <mergeCell ref="C165:G168"/>
    <mergeCell ref="H165:K165"/>
    <mergeCell ref="H164:K164"/>
    <mergeCell ref="H167:K167"/>
    <mergeCell ref="H166:K166"/>
    <mergeCell ref="R167:V167"/>
  </mergeCells>
  <dataValidations disablePrompts="1" count="1">
    <dataValidation type="list" allowBlank="1" showInputMessage="1" showErrorMessage="1" sqref="E15:E16 E26" xr:uid="{DD88D217-D6EE-4572-AECB-4380A7185F98}">
      <formula1>"Vast, Variabel"</formula1>
    </dataValidation>
  </dataValidations>
  <hyperlinks>
    <hyperlink ref="D12" location="A.01!A1" display="A.01" xr:uid="{00000000-0004-0000-0100-000000000000}"/>
    <hyperlink ref="D13" location="A.02!A1" display="A.02" xr:uid="{00000000-0004-0000-0100-000001000000}"/>
    <hyperlink ref="D44" location="E.01!A1" display="E.01" xr:uid="{00000000-0004-0000-0100-000007000000}"/>
    <hyperlink ref="D45" location="E.03!A1" display="E.03" xr:uid="{00000000-0004-0000-0100-000009000000}"/>
    <hyperlink ref="D51" location="F.02!A1" display="F.02" xr:uid="{DB795C9D-BC70-4497-A3D4-135495077130}"/>
    <hyperlink ref="D59" location="F.08!A1" display="F.08" xr:uid="{F74DC172-A39B-4922-8866-2CA15A21AC13}"/>
    <hyperlink ref="D50" location="F.01!A1" display="F.01" xr:uid="{C530996F-44C2-47D5-AA46-F40325B8082B}"/>
    <hyperlink ref="D37" location="C.03!A1" display="C.03" xr:uid="{A8B71F83-98FD-454F-A756-633CB4821E84}"/>
    <hyperlink ref="D22" location="C.02!A1" display="C.02" xr:uid="{D583C7C7-6564-4E62-B5B7-51275F742FB1}"/>
    <hyperlink ref="D20" location="C.01!A1" display="C.01" xr:uid="{B7011B96-9303-4273-BCB2-24A5FF1A2C65}"/>
    <hyperlink ref="D83" location="'L.01 DRK AL-HA'!A1" display="L.01" xr:uid="{0C07749C-A2AB-45DD-8A3D-F90D4E059293}"/>
    <hyperlink ref="D52" location="F.03!A1" display="F.03" xr:uid="{F7EF211D-FF6F-4E7D-8ACB-4255C2624C11}"/>
    <hyperlink ref="D38" location="'D.03-1'!A1" display="D.03" xr:uid="{DB84BE0B-9807-49BD-83C4-9FE8AC7E080D}"/>
    <hyperlink ref="D118" location="C.03!A1" display="C.03" xr:uid="{2EA93576-B7FC-49E7-BD43-C97F9415E095}"/>
    <hyperlink ref="D121" location="'D.03-1'!A1" display="D.03" xr:uid="{E5CA838A-CB22-4516-AC5B-B714932FC225}"/>
    <hyperlink ref="D84" location="'L.02 DRK ZW-EM'!A1" display="L.02" xr:uid="{E9D95E76-F5A0-4988-B76D-17651796E5D2}"/>
    <hyperlink ref="D86" location="'L.01 DRK AL-HA'!A1" display="L.01" xr:uid="{12FD5574-5D76-4F15-8CFF-D444695F0456}"/>
    <hyperlink ref="D87" location="'L.02 DRK ZW-EM'!A1" display="L.02" xr:uid="{7C1D7CC4-A78B-4C04-BE58-218515323F52}"/>
    <hyperlink ref="D14" location="A.03!A1" display="A.03" xr:uid="{E2D8C1EB-38CF-4943-AC03-615D6EE3F2C2}"/>
    <hyperlink ref="D15" location="A.04!A1" display="A.04" xr:uid="{02BF5B6D-1DA6-4989-A327-A50B9D09835A}"/>
    <hyperlink ref="D153" location="C.01!A1" display="C.01" xr:uid="{20749E0B-FB56-4F2F-A0AD-5CA296254021}"/>
    <hyperlink ref="D154" location="F.02!A1" display="F.02" xr:uid="{E58A46F3-E037-4780-864F-C4028E9B3090}"/>
    <hyperlink ref="D155" location="F.03!A1" display="F.03" xr:uid="{D5BE2C25-C217-45F8-85B2-D0E5F2EB8D03}"/>
    <hyperlink ref="D156" location="F.08!A1" display="F.08" xr:uid="{03DD5B0D-3B48-4BDA-8CEA-5505E2F38349}"/>
  </hyperlinks>
  <printOptions horizontalCentered="1"/>
  <pageMargins left="0.23622047244094491" right="0.23622047244094491" top="0.74803149606299213" bottom="0.74803149606299213" header="0.31496062992125984" footer="0.31496062992125984"/>
  <pageSetup paperSize="8" scale="62" fitToHeight="2" orientation="landscape" r:id="rId1"/>
  <headerFooter>
    <oddFooter>Pagina &amp;P van &amp;N</oddFooter>
  </headerFooter>
  <rowBreaks count="1" manualBreakCount="1">
    <brk id="78" max="28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U44"/>
  <sheetViews>
    <sheetView workbookViewId="0"/>
  </sheetViews>
  <sheetFormatPr defaultRowHeight="10.199999999999999" x14ac:dyDescent="0.2"/>
  <cols>
    <col min="1" max="1" width="22" customWidth="1"/>
    <col min="2" max="17" width="15" customWidth="1"/>
    <col min="18" max="18" width="11.625" bestFit="1" customWidth="1"/>
    <col min="19" max="19" width="12.875" bestFit="1" customWidth="1"/>
    <col min="20" max="20" width="10" bestFit="1" customWidth="1"/>
    <col min="21" max="21" width="9.875" bestFit="1" customWidth="1"/>
  </cols>
  <sheetData>
    <row r="1" spans="1:21" ht="16.2" x14ac:dyDescent="0.3">
      <c r="A1" s="51" t="s">
        <v>351</v>
      </c>
      <c r="R1" s="156" t="s">
        <v>83</v>
      </c>
      <c r="S1" s="647" t="s">
        <v>84</v>
      </c>
      <c r="T1" s="647"/>
      <c r="U1" s="647"/>
    </row>
    <row r="2" spans="1:21" x14ac:dyDescent="0.2">
      <c r="A2" s="56" t="s">
        <v>131</v>
      </c>
      <c r="T2" s="266" t="str">
        <f>FEO!AA1</f>
        <v>Versie</v>
      </c>
      <c r="U2" s="274" t="str">
        <f>FEO!AA2</f>
        <v>NVI 5b</v>
      </c>
    </row>
    <row r="3" spans="1:21" ht="10.8" thickBot="1" x14ac:dyDescent="0.25">
      <c r="A3" s="56"/>
    </row>
    <row r="4" spans="1:21" ht="12" thickBot="1" x14ac:dyDescent="0.25">
      <c r="A4" s="47" t="s">
        <v>132</v>
      </c>
      <c r="B4" s="48">
        <f>FEO!G5</f>
        <v>2028</v>
      </c>
      <c r="C4" s="48">
        <f>FEO!H5</f>
        <v>2029</v>
      </c>
      <c r="D4" s="48">
        <f>FEO!I5</f>
        <v>2030</v>
      </c>
      <c r="E4" s="48">
        <f>FEO!J5</f>
        <v>2031</v>
      </c>
      <c r="F4" s="48">
        <f>FEO!K5</f>
        <v>2032</v>
      </c>
      <c r="G4" s="48">
        <f>FEO!L5</f>
        <v>2033</v>
      </c>
      <c r="H4" s="48">
        <f>FEO!M5</f>
        <v>2034</v>
      </c>
      <c r="I4" s="48">
        <f>FEO!N5</f>
        <v>2035</v>
      </c>
      <c r="J4" s="48">
        <f>FEO!O5</f>
        <v>2036</v>
      </c>
      <c r="K4" s="48">
        <f>FEO!P5</f>
        <v>2037</v>
      </c>
      <c r="L4" s="48">
        <f>FEO!Q5</f>
        <v>2038</v>
      </c>
      <c r="M4" s="48">
        <f>FEO!R5</f>
        <v>2039</v>
      </c>
      <c r="N4" s="48">
        <f>FEO!S5</f>
        <v>2040</v>
      </c>
      <c r="O4" s="48">
        <f>FEO!T5</f>
        <v>2041</v>
      </c>
      <c r="P4" s="48">
        <f>FEO!U5</f>
        <v>2042</v>
      </c>
      <c r="Q4" s="48">
        <f>FEO!V5</f>
        <v>2043</v>
      </c>
    </row>
    <row r="5" spans="1:21" ht="23.4" thickBot="1" x14ac:dyDescent="0.25">
      <c r="A5" s="49" t="s">
        <v>133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21" ht="12" thickBot="1" x14ac:dyDescent="0.25">
      <c r="A6" s="49" t="s">
        <v>348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</row>
    <row r="7" spans="1:21" ht="12" thickBot="1" x14ac:dyDescent="0.25">
      <c r="A7" s="49" t="s">
        <v>349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</row>
    <row r="8" spans="1:21" ht="12" thickBot="1" x14ac:dyDescent="0.25">
      <c r="A8" s="49" t="s">
        <v>350</v>
      </c>
      <c r="B8" s="437">
        <f t="shared" ref="B8:Q8" si="0">SUM(B6:B7)</f>
        <v>0</v>
      </c>
      <c r="C8" s="437">
        <f t="shared" si="0"/>
        <v>0</v>
      </c>
      <c r="D8" s="437">
        <f t="shared" si="0"/>
        <v>0</v>
      </c>
      <c r="E8" s="437">
        <f t="shared" si="0"/>
        <v>0</v>
      </c>
      <c r="F8" s="437">
        <f t="shared" si="0"/>
        <v>0</v>
      </c>
      <c r="G8" s="437">
        <f t="shared" si="0"/>
        <v>0</v>
      </c>
      <c r="H8" s="437">
        <f t="shared" si="0"/>
        <v>0</v>
      </c>
      <c r="I8" s="437">
        <f t="shared" si="0"/>
        <v>0</v>
      </c>
      <c r="J8" s="437">
        <f t="shared" si="0"/>
        <v>0</v>
      </c>
      <c r="K8" s="437">
        <f t="shared" si="0"/>
        <v>0</v>
      </c>
      <c r="L8" s="437">
        <f t="shared" si="0"/>
        <v>0</v>
      </c>
      <c r="M8" s="437">
        <f t="shared" si="0"/>
        <v>0</v>
      </c>
      <c r="N8" s="437">
        <f t="shared" si="0"/>
        <v>0</v>
      </c>
      <c r="O8" s="437">
        <f t="shared" si="0"/>
        <v>0</v>
      </c>
      <c r="P8" s="437">
        <f t="shared" si="0"/>
        <v>0</v>
      </c>
      <c r="Q8" s="437">
        <f t="shared" si="0"/>
        <v>0</v>
      </c>
    </row>
    <row r="9" spans="1:21" ht="12" thickBot="1" x14ac:dyDescent="0.25">
      <c r="A9" s="49" t="s">
        <v>353</v>
      </c>
      <c r="B9" s="437">
        <f t="shared" ref="B9:Q9" si="1">B6*B$5</f>
        <v>0</v>
      </c>
      <c r="C9" s="437">
        <f t="shared" si="1"/>
        <v>0</v>
      </c>
      <c r="D9" s="437">
        <f t="shared" si="1"/>
        <v>0</v>
      </c>
      <c r="E9" s="437">
        <f t="shared" si="1"/>
        <v>0</v>
      </c>
      <c r="F9" s="437">
        <f t="shared" si="1"/>
        <v>0</v>
      </c>
      <c r="G9" s="437">
        <f t="shared" si="1"/>
        <v>0</v>
      </c>
      <c r="H9" s="437">
        <f t="shared" si="1"/>
        <v>0</v>
      </c>
      <c r="I9" s="437">
        <f t="shared" si="1"/>
        <v>0</v>
      </c>
      <c r="J9" s="437">
        <f t="shared" si="1"/>
        <v>0</v>
      </c>
      <c r="K9" s="437">
        <f t="shared" si="1"/>
        <v>0</v>
      </c>
      <c r="L9" s="437">
        <f t="shared" si="1"/>
        <v>0</v>
      </c>
      <c r="M9" s="437">
        <f t="shared" si="1"/>
        <v>0</v>
      </c>
      <c r="N9" s="437">
        <f t="shared" si="1"/>
        <v>0</v>
      </c>
      <c r="O9" s="437">
        <f t="shared" si="1"/>
        <v>0</v>
      </c>
      <c r="P9" s="437">
        <f t="shared" si="1"/>
        <v>0</v>
      </c>
      <c r="Q9" s="437">
        <f t="shared" si="1"/>
        <v>0</v>
      </c>
    </row>
    <row r="10" spans="1:21" ht="12" thickBot="1" x14ac:dyDescent="0.25">
      <c r="A10" s="49" t="s">
        <v>354</v>
      </c>
      <c r="B10" s="424">
        <f t="shared" ref="B10:Q10" si="2">B7*B$5</f>
        <v>0</v>
      </c>
      <c r="C10" s="424">
        <f t="shared" si="2"/>
        <v>0</v>
      </c>
      <c r="D10" s="424">
        <f t="shared" si="2"/>
        <v>0</v>
      </c>
      <c r="E10" s="424">
        <f t="shared" si="2"/>
        <v>0</v>
      </c>
      <c r="F10" s="424">
        <f t="shared" si="2"/>
        <v>0</v>
      </c>
      <c r="G10" s="424">
        <f t="shared" si="2"/>
        <v>0</v>
      </c>
      <c r="H10" s="424">
        <f t="shared" si="2"/>
        <v>0</v>
      </c>
      <c r="I10" s="424">
        <f t="shared" si="2"/>
        <v>0</v>
      </c>
      <c r="J10" s="424">
        <f t="shared" si="2"/>
        <v>0</v>
      </c>
      <c r="K10" s="424">
        <f t="shared" si="2"/>
        <v>0</v>
      </c>
      <c r="L10" s="424">
        <f t="shared" si="2"/>
        <v>0</v>
      </c>
      <c r="M10" s="424">
        <f t="shared" si="2"/>
        <v>0</v>
      </c>
      <c r="N10" s="424">
        <f t="shared" si="2"/>
        <v>0</v>
      </c>
      <c r="O10" s="424">
        <f t="shared" si="2"/>
        <v>0</v>
      </c>
      <c r="P10" s="424">
        <f t="shared" si="2"/>
        <v>0</v>
      </c>
      <c r="Q10" s="424">
        <f t="shared" si="2"/>
        <v>0</v>
      </c>
    </row>
    <row r="11" spans="1:21" ht="12" thickBot="1" x14ac:dyDescent="0.25">
      <c r="A11" s="49" t="s">
        <v>135</v>
      </c>
      <c r="B11" s="50">
        <f t="shared" ref="B11:Q11" si="3">SUM(B9:B10)</f>
        <v>0</v>
      </c>
      <c r="C11" s="50">
        <f t="shared" si="3"/>
        <v>0</v>
      </c>
      <c r="D11" s="50">
        <f t="shared" si="3"/>
        <v>0</v>
      </c>
      <c r="E11" s="50">
        <f t="shared" si="3"/>
        <v>0</v>
      </c>
      <c r="F11" s="50">
        <f t="shared" si="3"/>
        <v>0</v>
      </c>
      <c r="G11" s="50">
        <f t="shared" si="3"/>
        <v>0</v>
      </c>
      <c r="H11" s="50">
        <f t="shared" si="3"/>
        <v>0</v>
      </c>
      <c r="I11" s="50">
        <f t="shared" si="3"/>
        <v>0</v>
      </c>
      <c r="J11" s="50">
        <f t="shared" si="3"/>
        <v>0</v>
      </c>
      <c r="K11" s="50">
        <f t="shared" si="3"/>
        <v>0</v>
      </c>
      <c r="L11" s="50">
        <f t="shared" si="3"/>
        <v>0</v>
      </c>
      <c r="M11" s="50">
        <f t="shared" si="3"/>
        <v>0</v>
      </c>
      <c r="N11" s="50">
        <f t="shared" si="3"/>
        <v>0</v>
      </c>
      <c r="O11" s="50">
        <f t="shared" si="3"/>
        <v>0</v>
      </c>
      <c r="P11" s="50">
        <f t="shared" si="3"/>
        <v>0</v>
      </c>
      <c r="Q11" s="50">
        <f t="shared" si="3"/>
        <v>0</v>
      </c>
      <c r="S11" s="87"/>
      <c r="U11" s="89"/>
    </row>
    <row r="13" spans="1:21" ht="11.4" x14ac:dyDescent="0.2">
      <c r="A13" s="8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21" ht="11.4" x14ac:dyDescent="0.2">
      <c r="A14" s="82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21" ht="11.4" x14ac:dyDescent="0.2">
      <c r="A15" s="82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</row>
    <row r="16" spans="1:21" ht="11.4" x14ac:dyDescent="0.2">
      <c r="A16" s="84"/>
    </row>
    <row r="17" spans="1:12" ht="11.4" x14ac:dyDescent="0.2">
      <c r="A17" s="83"/>
    </row>
    <row r="19" spans="1:12" ht="11.4" x14ac:dyDescent="0.2">
      <c r="A19" s="82"/>
    </row>
    <row r="20" spans="1:12" ht="11.4" x14ac:dyDescent="0.2">
      <c r="A20" s="84"/>
    </row>
    <row r="21" spans="1:12" ht="11.4" x14ac:dyDescent="0.2">
      <c r="A21" s="84"/>
    </row>
    <row r="22" spans="1:12" ht="11.4" x14ac:dyDescent="0.2">
      <c r="A22" s="84"/>
    </row>
    <row r="32" spans="1:12" x14ac:dyDescent="0.2">
      <c r="L32" s="462"/>
    </row>
    <row r="33" spans="11:12" x14ac:dyDescent="0.2">
      <c r="K33" s="97"/>
      <c r="L33" s="462"/>
    </row>
    <row r="34" spans="11:12" x14ac:dyDescent="0.2">
      <c r="K34" s="97"/>
      <c r="L34" s="462"/>
    </row>
    <row r="35" spans="11:12" x14ac:dyDescent="0.2">
      <c r="K35" s="97"/>
      <c r="L35" s="462"/>
    </row>
    <row r="36" spans="11:12" x14ac:dyDescent="0.2">
      <c r="K36" s="97"/>
      <c r="L36" s="462"/>
    </row>
    <row r="37" spans="11:12" x14ac:dyDescent="0.2">
      <c r="K37" s="97"/>
      <c r="L37" s="462"/>
    </row>
    <row r="38" spans="11:12" x14ac:dyDescent="0.2">
      <c r="K38" s="97"/>
      <c r="L38" s="462"/>
    </row>
    <row r="39" spans="11:12" x14ac:dyDescent="0.2">
      <c r="K39" s="97"/>
      <c r="L39" s="462"/>
    </row>
    <row r="40" spans="11:12" x14ac:dyDescent="0.2">
      <c r="K40" s="97"/>
      <c r="L40" s="462"/>
    </row>
    <row r="41" spans="11:12" x14ac:dyDescent="0.2">
      <c r="K41" s="97"/>
      <c r="L41" s="462"/>
    </row>
    <row r="42" spans="11:12" x14ac:dyDescent="0.2">
      <c r="K42" s="97"/>
      <c r="L42" s="462"/>
    </row>
    <row r="43" spans="11:12" x14ac:dyDescent="0.2">
      <c r="L43" s="462"/>
    </row>
    <row r="44" spans="11:12" x14ac:dyDescent="0.2">
      <c r="K44" s="89"/>
      <c r="L44" s="108"/>
    </row>
  </sheetData>
  <mergeCells count="1">
    <mergeCell ref="S1:U1"/>
  </mergeCells>
  <hyperlinks>
    <hyperlink ref="A2" location="FEO!A1" display="terug" xr:uid="{00000000-0004-0000-0200-000000000000}"/>
  </hyperlinks>
  <pageMargins left="0.23622047244094491" right="0.23622047244094491" top="0.7480314960629921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U18"/>
  <sheetViews>
    <sheetView workbookViewId="0"/>
  </sheetViews>
  <sheetFormatPr defaultRowHeight="10.199999999999999" x14ac:dyDescent="0.2"/>
  <cols>
    <col min="1" max="1" width="22" customWidth="1"/>
    <col min="2" max="17" width="13.75" customWidth="1"/>
    <col min="18" max="18" width="11.625" bestFit="1" customWidth="1"/>
    <col min="21" max="21" width="9.875" bestFit="1" customWidth="1"/>
  </cols>
  <sheetData>
    <row r="1" spans="1:21" ht="15.6" customHeight="1" x14ac:dyDescent="0.3">
      <c r="A1" s="51" t="s">
        <v>504</v>
      </c>
      <c r="R1" s="156" t="s">
        <v>83</v>
      </c>
      <c r="S1" s="647" t="s">
        <v>84</v>
      </c>
      <c r="T1" s="647"/>
      <c r="U1" s="647"/>
    </row>
    <row r="2" spans="1:21" x14ac:dyDescent="0.2">
      <c r="A2" s="56" t="s">
        <v>131</v>
      </c>
      <c r="T2" s="266" t="str">
        <f>FEO!AA1</f>
        <v>Versie</v>
      </c>
      <c r="U2" s="274" t="str">
        <f>FEO!AA2</f>
        <v>NVI 5b</v>
      </c>
    </row>
    <row r="3" spans="1:21" ht="10.8" thickBot="1" x14ac:dyDescent="0.25">
      <c r="A3" s="56"/>
    </row>
    <row r="4" spans="1:21" ht="12" thickBot="1" x14ac:dyDescent="0.25">
      <c r="A4" s="47" t="s">
        <v>132</v>
      </c>
      <c r="B4" s="48">
        <f>FEO!G5</f>
        <v>2028</v>
      </c>
      <c r="C4" s="48">
        <f>FEO!H5</f>
        <v>2029</v>
      </c>
      <c r="D4" s="48">
        <f>FEO!I5</f>
        <v>2030</v>
      </c>
      <c r="E4" s="48">
        <f>FEO!J5</f>
        <v>2031</v>
      </c>
      <c r="F4" s="48">
        <f>FEO!K5</f>
        <v>2032</v>
      </c>
      <c r="G4" s="48">
        <f>FEO!L5</f>
        <v>2033</v>
      </c>
      <c r="H4" s="48">
        <f>FEO!M5</f>
        <v>2034</v>
      </c>
      <c r="I4" s="48">
        <f>FEO!N5</f>
        <v>2035</v>
      </c>
      <c r="J4" s="48">
        <f>FEO!O5</f>
        <v>2036</v>
      </c>
      <c r="K4" s="48">
        <f>FEO!P5</f>
        <v>2037</v>
      </c>
      <c r="L4" s="48">
        <f>FEO!Q5</f>
        <v>2038</v>
      </c>
      <c r="M4" s="48">
        <f>FEO!R5</f>
        <v>2039</v>
      </c>
      <c r="N4" s="48">
        <f>FEO!S5</f>
        <v>2040</v>
      </c>
      <c r="O4" s="48">
        <f>FEO!T5</f>
        <v>2041</v>
      </c>
      <c r="P4" s="48">
        <f>FEO!U5</f>
        <v>2042</v>
      </c>
      <c r="Q4" s="48">
        <f>FEO!V5</f>
        <v>2043</v>
      </c>
    </row>
    <row r="5" spans="1:21" ht="23.4" thickBot="1" x14ac:dyDescent="0.25">
      <c r="A5" s="49" t="s">
        <v>133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21" ht="12" thickBot="1" x14ac:dyDescent="0.25">
      <c r="A6" s="49" t="s">
        <v>348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</row>
    <row r="7" spans="1:21" ht="12" thickBot="1" x14ac:dyDescent="0.25">
      <c r="A7" s="49" t="s">
        <v>349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</row>
    <row r="8" spans="1:21" ht="12" thickBot="1" x14ac:dyDescent="0.25">
      <c r="A8" s="49" t="s">
        <v>350</v>
      </c>
      <c r="B8" s="437">
        <f t="shared" ref="B8:Q8" si="0">SUM(B6:B7)</f>
        <v>0</v>
      </c>
      <c r="C8" s="437">
        <f t="shared" si="0"/>
        <v>0</v>
      </c>
      <c r="D8" s="437">
        <f t="shared" si="0"/>
        <v>0</v>
      </c>
      <c r="E8" s="437">
        <f t="shared" si="0"/>
        <v>0</v>
      </c>
      <c r="F8" s="437">
        <f t="shared" si="0"/>
        <v>0</v>
      </c>
      <c r="G8" s="437">
        <f t="shared" si="0"/>
        <v>0</v>
      </c>
      <c r="H8" s="437">
        <f t="shared" si="0"/>
        <v>0</v>
      </c>
      <c r="I8" s="437">
        <f t="shared" si="0"/>
        <v>0</v>
      </c>
      <c r="J8" s="437">
        <f t="shared" si="0"/>
        <v>0</v>
      </c>
      <c r="K8" s="437">
        <f t="shared" si="0"/>
        <v>0</v>
      </c>
      <c r="L8" s="437">
        <f t="shared" si="0"/>
        <v>0</v>
      </c>
      <c r="M8" s="437">
        <f t="shared" si="0"/>
        <v>0</v>
      </c>
      <c r="N8" s="437">
        <f t="shared" si="0"/>
        <v>0</v>
      </c>
      <c r="O8" s="437">
        <f t="shared" si="0"/>
        <v>0</v>
      </c>
      <c r="P8" s="437">
        <f t="shared" si="0"/>
        <v>0</v>
      </c>
      <c r="Q8" s="437">
        <f t="shared" si="0"/>
        <v>0</v>
      </c>
    </row>
    <row r="9" spans="1:21" ht="12" thickBot="1" x14ac:dyDescent="0.25">
      <c r="A9" s="49" t="s">
        <v>353</v>
      </c>
      <c r="B9" s="437">
        <f t="shared" ref="B9:Q9" si="1">B6*B$5</f>
        <v>0</v>
      </c>
      <c r="C9" s="437">
        <f t="shared" si="1"/>
        <v>0</v>
      </c>
      <c r="D9" s="437">
        <f t="shared" si="1"/>
        <v>0</v>
      </c>
      <c r="E9" s="437">
        <f t="shared" si="1"/>
        <v>0</v>
      </c>
      <c r="F9" s="437">
        <f t="shared" si="1"/>
        <v>0</v>
      </c>
      <c r="G9" s="437">
        <f t="shared" si="1"/>
        <v>0</v>
      </c>
      <c r="H9" s="437">
        <f t="shared" si="1"/>
        <v>0</v>
      </c>
      <c r="I9" s="437">
        <f t="shared" si="1"/>
        <v>0</v>
      </c>
      <c r="J9" s="437">
        <f t="shared" si="1"/>
        <v>0</v>
      </c>
      <c r="K9" s="437">
        <f t="shared" si="1"/>
        <v>0</v>
      </c>
      <c r="L9" s="437">
        <f t="shared" si="1"/>
        <v>0</v>
      </c>
      <c r="M9" s="437">
        <f t="shared" si="1"/>
        <v>0</v>
      </c>
      <c r="N9" s="437">
        <f t="shared" si="1"/>
        <v>0</v>
      </c>
      <c r="O9" s="437">
        <f t="shared" si="1"/>
        <v>0</v>
      </c>
      <c r="P9" s="437">
        <f t="shared" si="1"/>
        <v>0</v>
      </c>
      <c r="Q9" s="437">
        <f t="shared" si="1"/>
        <v>0</v>
      </c>
    </row>
    <row r="10" spans="1:21" ht="12" thickBot="1" x14ac:dyDescent="0.25">
      <c r="A10" s="49" t="s">
        <v>354</v>
      </c>
      <c r="B10" s="424">
        <f t="shared" ref="B10:Q10" si="2">B7*B$5</f>
        <v>0</v>
      </c>
      <c r="C10" s="424">
        <f t="shared" si="2"/>
        <v>0</v>
      </c>
      <c r="D10" s="424">
        <f t="shared" si="2"/>
        <v>0</v>
      </c>
      <c r="E10" s="424">
        <f t="shared" si="2"/>
        <v>0</v>
      </c>
      <c r="F10" s="424">
        <f t="shared" si="2"/>
        <v>0</v>
      </c>
      <c r="G10" s="424">
        <f t="shared" si="2"/>
        <v>0</v>
      </c>
      <c r="H10" s="424">
        <f t="shared" si="2"/>
        <v>0</v>
      </c>
      <c r="I10" s="424">
        <f t="shared" si="2"/>
        <v>0</v>
      </c>
      <c r="J10" s="424">
        <f t="shared" si="2"/>
        <v>0</v>
      </c>
      <c r="K10" s="424">
        <f t="shared" si="2"/>
        <v>0</v>
      </c>
      <c r="L10" s="424">
        <f t="shared" si="2"/>
        <v>0</v>
      </c>
      <c r="M10" s="424">
        <f t="shared" si="2"/>
        <v>0</v>
      </c>
      <c r="N10" s="424">
        <f t="shared" si="2"/>
        <v>0</v>
      </c>
      <c r="O10" s="424">
        <f t="shared" si="2"/>
        <v>0</v>
      </c>
      <c r="P10" s="424">
        <f t="shared" si="2"/>
        <v>0</v>
      </c>
      <c r="Q10" s="424">
        <f t="shared" si="2"/>
        <v>0</v>
      </c>
    </row>
    <row r="11" spans="1:21" ht="12" thickBot="1" x14ac:dyDescent="0.25">
      <c r="A11" s="49" t="s">
        <v>135</v>
      </c>
      <c r="B11" s="50">
        <f t="shared" ref="B11:Q11" si="3">SUM(B9:B10)</f>
        <v>0</v>
      </c>
      <c r="C11" s="50">
        <f t="shared" si="3"/>
        <v>0</v>
      </c>
      <c r="D11" s="50">
        <f t="shared" si="3"/>
        <v>0</v>
      </c>
      <c r="E11" s="50">
        <f t="shared" si="3"/>
        <v>0</v>
      </c>
      <c r="F11" s="50">
        <f t="shared" si="3"/>
        <v>0</v>
      </c>
      <c r="G11" s="50">
        <f t="shared" si="3"/>
        <v>0</v>
      </c>
      <c r="H11" s="50">
        <f t="shared" si="3"/>
        <v>0</v>
      </c>
      <c r="I11" s="50">
        <f t="shared" si="3"/>
        <v>0</v>
      </c>
      <c r="J11" s="50">
        <f t="shared" si="3"/>
        <v>0</v>
      </c>
      <c r="K11" s="50">
        <f t="shared" si="3"/>
        <v>0</v>
      </c>
      <c r="L11" s="50">
        <f t="shared" si="3"/>
        <v>0</v>
      </c>
      <c r="M11" s="50">
        <f t="shared" si="3"/>
        <v>0</v>
      </c>
      <c r="N11" s="50">
        <f t="shared" si="3"/>
        <v>0</v>
      </c>
      <c r="O11" s="50">
        <f t="shared" si="3"/>
        <v>0</v>
      </c>
      <c r="P11" s="50">
        <f t="shared" si="3"/>
        <v>0</v>
      </c>
      <c r="Q11" s="50">
        <f t="shared" si="3"/>
        <v>0</v>
      </c>
    </row>
    <row r="13" spans="1:21" ht="11.4" x14ac:dyDescent="0.2">
      <c r="A13" s="8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21" ht="11.4" x14ac:dyDescent="0.2">
      <c r="A14" s="82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21" ht="11.4" x14ac:dyDescent="0.2">
      <c r="A15" s="82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</row>
    <row r="16" spans="1:21" ht="11.4" x14ac:dyDescent="0.2">
      <c r="A16" s="82"/>
      <c r="E16" s="86"/>
    </row>
    <row r="18" spans="1:1" ht="11.4" x14ac:dyDescent="0.2">
      <c r="A18" s="82"/>
    </row>
  </sheetData>
  <mergeCells count="1">
    <mergeCell ref="S1:U1"/>
  </mergeCells>
  <hyperlinks>
    <hyperlink ref="A2" location="FEO!A1" display="terug" xr:uid="{00000000-0004-0000-0300-000000000000}"/>
  </hyperlinks>
  <pageMargins left="0.23622047244094491" right="0.23622047244094491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031C-F40C-4177-B332-E33F359608DB}">
  <sheetPr>
    <tabColor rgb="FFFFC000"/>
  </sheetPr>
  <dimension ref="A1:U18"/>
  <sheetViews>
    <sheetView workbookViewId="0"/>
  </sheetViews>
  <sheetFormatPr defaultRowHeight="10.199999999999999" x14ac:dyDescent="0.2"/>
  <cols>
    <col min="1" max="1" width="22" customWidth="1"/>
    <col min="2" max="17" width="13.75" customWidth="1"/>
    <col min="18" max="18" width="11.625" bestFit="1" customWidth="1"/>
    <col min="21" max="21" width="9.875" bestFit="1" customWidth="1"/>
  </cols>
  <sheetData>
    <row r="1" spans="1:21" ht="15.6" customHeight="1" x14ac:dyDescent="0.3">
      <c r="A1" s="51" t="s">
        <v>503</v>
      </c>
      <c r="R1" s="156" t="s">
        <v>83</v>
      </c>
      <c r="S1" s="647" t="s">
        <v>84</v>
      </c>
      <c r="T1" s="647"/>
      <c r="U1" s="647"/>
    </row>
    <row r="2" spans="1:21" x14ac:dyDescent="0.2">
      <c r="A2" s="56" t="s">
        <v>131</v>
      </c>
      <c r="T2" s="266" t="str">
        <f>FEO!AA1</f>
        <v>Versie</v>
      </c>
      <c r="U2" s="274" t="str">
        <f>FEO!AA2</f>
        <v>NVI 5b</v>
      </c>
    </row>
    <row r="3" spans="1:21" ht="10.8" thickBot="1" x14ac:dyDescent="0.25">
      <c r="A3" s="56"/>
    </row>
    <row r="4" spans="1:21" ht="12" thickBot="1" x14ac:dyDescent="0.25">
      <c r="A4" s="47" t="s">
        <v>132</v>
      </c>
      <c r="B4" s="48">
        <f>FEO!G5</f>
        <v>2028</v>
      </c>
      <c r="C4" s="48">
        <f>FEO!H5</f>
        <v>2029</v>
      </c>
      <c r="D4" s="48">
        <f>FEO!I5</f>
        <v>2030</v>
      </c>
      <c r="E4" s="48">
        <f>FEO!J5</f>
        <v>2031</v>
      </c>
      <c r="F4" s="48">
        <f>FEO!K5</f>
        <v>2032</v>
      </c>
      <c r="G4" s="48">
        <f>FEO!L5</f>
        <v>2033</v>
      </c>
      <c r="H4" s="48">
        <f>FEO!M5</f>
        <v>2034</v>
      </c>
      <c r="I4" s="48">
        <f>FEO!N5</f>
        <v>2035</v>
      </c>
      <c r="J4" s="48">
        <f>FEO!O5</f>
        <v>2036</v>
      </c>
      <c r="K4" s="48">
        <f>FEO!P5</f>
        <v>2037</v>
      </c>
      <c r="L4" s="48">
        <f>FEO!Q5</f>
        <v>2038</v>
      </c>
      <c r="M4" s="48">
        <f>FEO!R5</f>
        <v>2039</v>
      </c>
      <c r="N4" s="48">
        <f>FEO!S5</f>
        <v>2040</v>
      </c>
      <c r="O4" s="48">
        <f>FEO!T5</f>
        <v>2041</v>
      </c>
      <c r="P4" s="48">
        <f>FEO!U5</f>
        <v>2042</v>
      </c>
      <c r="Q4" s="48">
        <f>FEO!V5</f>
        <v>2043</v>
      </c>
    </row>
    <row r="5" spans="1:21" ht="23.4" thickBot="1" x14ac:dyDescent="0.25">
      <c r="A5" s="49" t="s">
        <v>133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21" ht="12" thickBot="1" x14ac:dyDescent="0.25">
      <c r="A6" s="49" t="s">
        <v>348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</row>
    <row r="7" spans="1:21" ht="12" thickBot="1" x14ac:dyDescent="0.25">
      <c r="A7" s="49" t="s">
        <v>349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</row>
    <row r="8" spans="1:21" ht="12" thickBot="1" x14ac:dyDescent="0.25">
      <c r="A8" s="49" t="s">
        <v>350</v>
      </c>
      <c r="B8" s="437">
        <f t="shared" ref="B8:Q8" si="0">SUM(B6:B7)</f>
        <v>0</v>
      </c>
      <c r="C8" s="437">
        <f t="shared" si="0"/>
        <v>0</v>
      </c>
      <c r="D8" s="437">
        <f t="shared" si="0"/>
        <v>0</v>
      </c>
      <c r="E8" s="437">
        <f t="shared" si="0"/>
        <v>0</v>
      </c>
      <c r="F8" s="437">
        <f t="shared" si="0"/>
        <v>0</v>
      </c>
      <c r="G8" s="437">
        <f t="shared" si="0"/>
        <v>0</v>
      </c>
      <c r="H8" s="437">
        <f t="shared" si="0"/>
        <v>0</v>
      </c>
      <c r="I8" s="437">
        <f t="shared" si="0"/>
        <v>0</v>
      </c>
      <c r="J8" s="437">
        <f t="shared" si="0"/>
        <v>0</v>
      </c>
      <c r="K8" s="437">
        <f t="shared" si="0"/>
        <v>0</v>
      </c>
      <c r="L8" s="437">
        <f t="shared" si="0"/>
        <v>0</v>
      </c>
      <c r="M8" s="437">
        <f t="shared" si="0"/>
        <v>0</v>
      </c>
      <c r="N8" s="437">
        <f t="shared" si="0"/>
        <v>0</v>
      </c>
      <c r="O8" s="437">
        <f t="shared" si="0"/>
        <v>0</v>
      </c>
      <c r="P8" s="437">
        <f t="shared" si="0"/>
        <v>0</v>
      </c>
      <c r="Q8" s="437">
        <f t="shared" si="0"/>
        <v>0</v>
      </c>
    </row>
    <row r="9" spans="1:21" ht="12" thickBot="1" x14ac:dyDescent="0.25">
      <c r="A9" s="49" t="s">
        <v>353</v>
      </c>
      <c r="B9" s="437">
        <f t="shared" ref="B9:Q9" si="1">B6*B$5</f>
        <v>0</v>
      </c>
      <c r="C9" s="437">
        <f t="shared" si="1"/>
        <v>0</v>
      </c>
      <c r="D9" s="437">
        <f t="shared" si="1"/>
        <v>0</v>
      </c>
      <c r="E9" s="437">
        <f t="shared" si="1"/>
        <v>0</v>
      </c>
      <c r="F9" s="437">
        <f t="shared" si="1"/>
        <v>0</v>
      </c>
      <c r="G9" s="437">
        <f t="shared" si="1"/>
        <v>0</v>
      </c>
      <c r="H9" s="437">
        <f t="shared" si="1"/>
        <v>0</v>
      </c>
      <c r="I9" s="437">
        <f t="shared" si="1"/>
        <v>0</v>
      </c>
      <c r="J9" s="437">
        <f t="shared" si="1"/>
        <v>0</v>
      </c>
      <c r="K9" s="437">
        <f t="shared" si="1"/>
        <v>0</v>
      </c>
      <c r="L9" s="437">
        <f t="shared" si="1"/>
        <v>0</v>
      </c>
      <c r="M9" s="437">
        <f t="shared" si="1"/>
        <v>0</v>
      </c>
      <c r="N9" s="437">
        <f t="shared" si="1"/>
        <v>0</v>
      </c>
      <c r="O9" s="437">
        <f t="shared" si="1"/>
        <v>0</v>
      </c>
      <c r="P9" s="437">
        <f t="shared" si="1"/>
        <v>0</v>
      </c>
      <c r="Q9" s="437">
        <f t="shared" si="1"/>
        <v>0</v>
      </c>
    </row>
    <row r="10" spans="1:21" ht="12" thickBot="1" x14ac:dyDescent="0.25">
      <c r="A10" s="49" t="s">
        <v>354</v>
      </c>
      <c r="B10" s="424">
        <f t="shared" ref="B10:Q10" si="2">B7*B$5</f>
        <v>0</v>
      </c>
      <c r="C10" s="424">
        <f t="shared" si="2"/>
        <v>0</v>
      </c>
      <c r="D10" s="424">
        <f t="shared" si="2"/>
        <v>0</v>
      </c>
      <c r="E10" s="424">
        <f t="shared" si="2"/>
        <v>0</v>
      </c>
      <c r="F10" s="424">
        <f t="shared" si="2"/>
        <v>0</v>
      </c>
      <c r="G10" s="424">
        <f t="shared" si="2"/>
        <v>0</v>
      </c>
      <c r="H10" s="424">
        <f t="shared" si="2"/>
        <v>0</v>
      </c>
      <c r="I10" s="424">
        <f t="shared" si="2"/>
        <v>0</v>
      </c>
      <c r="J10" s="424">
        <f t="shared" si="2"/>
        <v>0</v>
      </c>
      <c r="K10" s="424">
        <f t="shared" si="2"/>
        <v>0</v>
      </c>
      <c r="L10" s="424">
        <f t="shared" si="2"/>
        <v>0</v>
      </c>
      <c r="M10" s="424">
        <f t="shared" si="2"/>
        <v>0</v>
      </c>
      <c r="N10" s="424">
        <f t="shared" si="2"/>
        <v>0</v>
      </c>
      <c r="O10" s="424">
        <f t="shared" si="2"/>
        <v>0</v>
      </c>
      <c r="P10" s="424">
        <f t="shared" si="2"/>
        <v>0</v>
      </c>
      <c r="Q10" s="424">
        <f t="shared" si="2"/>
        <v>0</v>
      </c>
    </row>
    <row r="11" spans="1:21" ht="12" thickBot="1" x14ac:dyDescent="0.25">
      <c r="A11" s="49" t="s">
        <v>135</v>
      </c>
      <c r="B11" s="50">
        <f t="shared" ref="B11:Q11" si="3">SUM(B9:B10)</f>
        <v>0</v>
      </c>
      <c r="C11" s="50">
        <f t="shared" si="3"/>
        <v>0</v>
      </c>
      <c r="D11" s="50">
        <f t="shared" si="3"/>
        <v>0</v>
      </c>
      <c r="E11" s="50">
        <f t="shared" si="3"/>
        <v>0</v>
      </c>
      <c r="F11" s="50">
        <f t="shared" si="3"/>
        <v>0</v>
      </c>
      <c r="G11" s="50">
        <f t="shared" si="3"/>
        <v>0</v>
      </c>
      <c r="H11" s="50">
        <f t="shared" si="3"/>
        <v>0</v>
      </c>
      <c r="I11" s="50">
        <f t="shared" si="3"/>
        <v>0</v>
      </c>
      <c r="J11" s="50">
        <f t="shared" si="3"/>
        <v>0</v>
      </c>
      <c r="K11" s="50">
        <f t="shared" si="3"/>
        <v>0</v>
      </c>
      <c r="L11" s="50">
        <f t="shared" si="3"/>
        <v>0</v>
      </c>
      <c r="M11" s="50">
        <f t="shared" si="3"/>
        <v>0</v>
      </c>
      <c r="N11" s="50">
        <f t="shared" si="3"/>
        <v>0</v>
      </c>
      <c r="O11" s="50">
        <f t="shared" si="3"/>
        <v>0</v>
      </c>
      <c r="P11" s="50">
        <f t="shared" si="3"/>
        <v>0</v>
      </c>
      <c r="Q11" s="50">
        <f t="shared" si="3"/>
        <v>0</v>
      </c>
    </row>
    <row r="13" spans="1:21" ht="11.4" x14ac:dyDescent="0.2">
      <c r="A13" s="8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21" ht="11.4" x14ac:dyDescent="0.2">
      <c r="A14" s="82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21" ht="11.4" x14ac:dyDescent="0.2">
      <c r="A15" s="82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</row>
    <row r="16" spans="1:21" ht="11.4" x14ac:dyDescent="0.2">
      <c r="A16" s="82"/>
      <c r="E16" s="86"/>
    </row>
    <row r="18" spans="1:1" ht="11.4" x14ac:dyDescent="0.2">
      <c r="A18" s="82"/>
    </row>
  </sheetData>
  <mergeCells count="1">
    <mergeCell ref="S1:U1"/>
  </mergeCells>
  <hyperlinks>
    <hyperlink ref="A2" location="FEO!A1" display="terug" xr:uid="{F0C0F0DB-EBC9-4881-AC2E-3F230E683FFA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70C9-4FA1-4200-ACC4-7AB6826BF347}">
  <sheetPr>
    <tabColor rgb="FFFFC000"/>
  </sheetPr>
  <dimension ref="A1:U18"/>
  <sheetViews>
    <sheetView workbookViewId="0"/>
  </sheetViews>
  <sheetFormatPr defaultRowHeight="10.199999999999999" x14ac:dyDescent="0.2"/>
  <cols>
    <col min="1" max="1" width="22" customWidth="1"/>
    <col min="2" max="17" width="13.75" customWidth="1"/>
    <col min="18" max="18" width="11.625" bestFit="1" customWidth="1"/>
    <col min="20" max="20" width="6.375" bestFit="1" customWidth="1"/>
    <col min="21" max="21" width="9.875" bestFit="1" customWidth="1"/>
  </cols>
  <sheetData>
    <row r="1" spans="1:21" ht="16.2" x14ac:dyDescent="0.3">
      <c r="A1" s="51" t="s">
        <v>355</v>
      </c>
      <c r="R1" s="156" t="s">
        <v>83</v>
      </c>
      <c r="S1" s="647" t="s">
        <v>84</v>
      </c>
      <c r="T1" s="647"/>
      <c r="U1" s="647"/>
    </row>
    <row r="2" spans="1:21" x14ac:dyDescent="0.2">
      <c r="A2" s="56" t="s">
        <v>131</v>
      </c>
      <c r="T2" s="266" t="str">
        <f>FEO!AA1</f>
        <v>Versie</v>
      </c>
      <c r="U2" s="274" t="str">
        <f>FEO!AA2</f>
        <v>NVI 5b</v>
      </c>
    </row>
    <row r="3" spans="1:21" ht="10.8" thickBot="1" x14ac:dyDescent="0.25">
      <c r="A3" s="56"/>
    </row>
    <row r="4" spans="1:21" ht="12" thickBot="1" x14ac:dyDescent="0.25">
      <c r="A4" s="47" t="s">
        <v>132</v>
      </c>
      <c r="B4" s="48">
        <f>FEO!G5</f>
        <v>2028</v>
      </c>
      <c r="C4" s="48">
        <f>FEO!H5</f>
        <v>2029</v>
      </c>
      <c r="D4" s="48">
        <f>FEO!I5</f>
        <v>2030</v>
      </c>
      <c r="E4" s="48">
        <f>FEO!J5</f>
        <v>2031</v>
      </c>
      <c r="F4" s="48">
        <f>FEO!K5</f>
        <v>2032</v>
      </c>
      <c r="G4" s="48">
        <f>FEO!L5</f>
        <v>2033</v>
      </c>
      <c r="H4" s="48">
        <f>FEO!M5</f>
        <v>2034</v>
      </c>
      <c r="I4" s="48">
        <f>FEO!N5</f>
        <v>2035</v>
      </c>
      <c r="J4" s="48">
        <f>FEO!O5</f>
        <v>2036</v>
      </c>
      <c r="K4" s="48">
        <f>FEO!P5</f>
        <v>2037</v>
      </c>
      <c r="L4" s="48">
        <f>FEO!Q5</f>
        <v>2038</v>
      </c>
      <c r="M4" s="48">
        <f>FEO!R5</f>
        <v>2039</v>
      </c>
      <c r="N4" s="48">
        <f>FEO!S5</f>
        <v>2040</v>
      </c>
      <c r="O4" s="48">
        <f>FEO!T5</f>
        <v>2041</v>
      </c>
      <c r="P4" s="48">
        <f>FEO!U5</f>
        <v>2042</v>
      </c>
      <c r="Q4" s="48">
        <f>FEO!V5</f>
        <v>2043</v>
      </c>
    </row>
    <row r="5" spans="1:21" ht="23.4" thickBot="1" x14ac:dyDescent="0.25">
      <c r="A5" s="49" t="s">
        <v>133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21" ht="12" thickBot="1" x14ac:dyDescent="0.25">
      <c r="A6" s="49" t="s">
        <v>348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</row>
    <row r="7" spans="1:21" ht="12" thickBot="1" x14ac:dyDescent="0.25">
      <c r="A7" s="49" t="s">
        <v>349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</row>
    <row r="8" spans="1:21" ht="12" thickBot="1" x14ac:dyDescent="0.25">
      <c r="A8" s="49" t="s">
        <v>350</v>
      </c>
      <c r="B8" s="437">
        <f t="shared" ref="B8:Q8" si="0">SUM(B6:B7)</f>
        <v>0</v>
      </c>
      <c r="C8" s="437">
        <f t="shared" si="0"/>
        <v>0</v>
      </c>
      <c r="D8" s="437">
        <f t="shared" si="0"/>
        <v>0</v>
      </c>
      <c r="E8" s="437">
        <f t="shared" si="0"/>
        <v>0</v>
      </c>
      <c r="F8" s="437">
        <f t="shared" si="0"/>
        <v>0</v>
      </c>
      <c r="G8" s="437">
        <f t="shared" si="0"/>
        <v>0</v>
      </c>
      <c r="H8" s="437">
        <f t="shared" si="0"/>
        <v>0</v>
      </c>
      <c r="I8" s="437">
        <f t="shared" si="0"/>
        <v>0</v>
      </c>
      <c r="J8" s="437">
        <f t="shared" si="0"/>
        <v>0</v>
      </c>
      <c r="K8" s="437">
        <f t="shared" si="0"/>
        <v>0</v>
      </c>
      <c r="L8" s="437">
        <f t="shared" si="0"/>
        <v>0</v>
      </c>
      <c r="M8" s="437">
        <f t="shared" si="0"/>
        <v>0</v>
      </c>
      <c r="N8" s="437">
        <f t="shared" si="0"/>
        <v>0</v>
      </c>
      <c r="O8" s="437">
        <f t="shared" si="0"/>
        <v>0</v>
      </c>
      <c r="P8" s="437">
        <f t="shared" si="0"/>
        <v>0</v>
      </c>
      <c r="Q8" s="437">
        <f t="shared" si="0"/>
        <v>0</v>
      </c>
    </row>
    <row r="9" spans="1:21" ht="12" thickBot="1" x14ac:dyDescent="0.25">
      <c r="A9" s="49" t="s">
        <v>353</v>
      </c>
      <c r="B9" s="437">
        <f t="shared" ref="B9:Q9" si="1">B6*B$5</f>
        <v>0</v>
      </c>
      <c r="C9" s="437">
        <f t="shared" si="1"/>
        <v>0</v>
      </c>
      <c r="D9" s="437">
        <f t="shared" si="1"/>
        <v>0</v>
      </c>
      <c r="E9" s="437">
        <f t="shared" si="1"/>
        <v>0</v>
      </c>
      <c r="F9" s="437">
        <f t="shared" si="1"/>
        <v>0</v>
      </c>
      <c r="G9" s="437">
        <f t="shared" si="1"/>
        <v>0</v>
      </c>
      <c r="H9" s="437">
        <f t="shared" si="1"/>
        <v>0</v>
      </c>
      <c r="I9" s="437">
        <f t="shared" si="1"/>
        <v>0</v>
      </c>
      <c r="J9" s="437">
        <f t="shared" si="1"/>
        <v>0</v>
      </c>
      <c r="K9" s="437">
        <f t="shared" si="1"/>
        <v>0</v>
      </c>
      <c r="L9" s="437">
        <f t="shared" si="1"/>
        <v>0</v>
      </c>
      <c r="M9" s="437">
        <f t="shared" si="1"/>
        <v>0</v>
      </c>
      <c r="N9" s="437">
        <f t="shared" si="1"/>
        <v>0</v>
      </c>
      <c r="O9" s="437">
        <f t="shared" si="1"/>
        <v>0</v>
      </c>
      <c r="P9" s="437">
        <f t="shared" si="1"/>
        <v>0</v>
      </c>
      <c r="Q9" s="437">
        <f t="shared" si="1"/>
        <v>0</v>
      </c>
    </row>
    <row r="10" spans="1:21" ht="12" thickBot="1" x14ac:dyDescent="0.25">
      <c r="A10" s="49" t="s">
        <v>354</v>
      </c>
      <c r="B10" s="424">
        <f t="shared" ref="B10:Q10" si="2">B7*B$5</f>
        <v>0</v>
      </c>
      <c r="C10" s="424">
        <f t="shared" si="2"/>
        <v>0</v>
      </c>
      <c r="D10" s="424">
        <f t="shared" si="2"/>
        <v>0</v>
      </c>
      <c r="E10" s="424">
        <f t="shared" si="2"/>
        <v>0</v>
      </c>
      <c r="F10" s="424">
        <f t="shared" si="2"/>
        <v>0</v>
      </c>
      <c r="G10" s="424">
        <f t="shared" si="2"/>
        <v>0</v>
      </c>
      <c r="H10" s="424">
        <f t="shared" si="2"/>
        <v>0</v>
      </c>
      <c r="I10" s="424">
        <f t="shared" si="2"/>
        <v>0</v>
      </c>
      <c r="J10" s="424">
        <f t="shared" si="2"/>
        <v>0</v>
      </c>
      <c r="K10" s="424">
        <f t="shared" si="2"/>
        <v>0</v>
      </c>
      <c r="L10" s="424">
        <f t="shared" si="2"/>
        <v>0</v>
      </c>
      <c r="M10" s="424">
        <f t="shared" si="2"/>
        <v>0</v>
      </c>
      <c r="N10" s="424">
        <f t="shared" si="2"/>
        <v>0</v>
      </c>
      <c r="O10" s="424">
        <f t="shared" si="2"/>
        <v>0</v>
      </c>
      <c r="P10" s="424">
        <f t="shared" si="2"/>
        <v>0</v>
      </c>
      <c r="Q10" s="424">
        <f t="shared" si="2"/>
        <v>0</v>
      </c>
    </row>
    <row r="11" spans="1:21" ht="12" thickBot="1" x14ac:dyDescent="0.25">
      <c r="A11" s="49" t="s">
        <v>135</v>
      </c>
      <c r="B11" s="50">
        <f t="shared" ref="B11:Q11" si="3">SUM(B9:B10)</f>
        <v>0</v>
      </c>
      <c r="C11" s="50">
        <f t="shared" si="3"/>
        <v>0</v>
      </c>
      <c r="D11" s="50">
        <f t="shared" si="3"/>
        <v>0</v>
      </c>
      <c r="E11" s="50">
        <f t="shared" si="3"/>
        <v>0</v>
      </c>
      <c r="F11" s="50">
        <f t="shared" si="3"/>
        <v>0</v>
      </c>
      <c r="G11" s="50">
        <f t="shared" si="3"/>
        <v>0</v>
      </c>
      <c r="H11" s="50">
        <f t="shared" si="3"/>
        <v>0</v>
      </c>
      <c r="I11" s="50">
        <f t="shared" si="3"/>
        <v>0</v>
      </c>
      <c r="J11" s="50">
        <f t="shared" si="3"/>
        <v>0</v>
      </c>
      <c r="K11" s="50">
        <f t="shared" si="3"/>
        <v>0</v>
      </c>
      <c r="L11" s="50">
        <f t="shared" si="3"/>
        <v>0</v>
      </c>
      <c r="M11" s="50">
        <f t="shared" si="3"/>
        <v>0</v>
      </c>
      <c r="N11" s="50">
        <f t="shared" si="3"/>
        <v>0</v>
      </c>
      <c r="O11" s="50">
        <f t="shared" si="3"/>
        <v>0</v>
      </c>
      <c r="P11" s="50">
        <f t="shared" si="3"/>
        <v>0</v>
      </c>
      <c r="Q11" s="50">
        <f t="shared" si="3"/>
        <v>0</v>
      </c>
    </row>
    <row r="16" spans="1:21" ht="11.4" x14ac:dyDescent="0.2">
      <c r="A16" s="82"/>
      <c r="E16" s="86"/>
    </row>
    <row r="18" spans="1:1" ht="11.4" x14ac:dyDescent="0.2">
      <c r="A18" s="82"/>
    </row>
  </sheetData>
  <mergeCells count="1">
    <mergeCell ref="S1:U1"/>
  </mergeCells>
  <hyperlinks>
    <hyperlink ref="A2" location="FEO!A1" display="terug" xr:uid="{6E2E248E-D7AD-487D-8536-4C2C9336F4C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8C411-F313-43B9-B66C-C191A8DC8883}">
  <sheetPr>
    <tabColor rgb="FFFFC000"/>
  </sheetPr>
  <dimension ref="A1:AT422"/>
  <sheetViews>
    <sheetView workbookViewId="0"/>
  </sheetViews>
  <sheetFormatPr defaultRowHeight="10.199999999999999" outlineLevelCol="1" x14ac:dyDescent="0.2"/>
  <cols>
    <col min="1" max="1" width="33.125" customWidth="1"/>
    <col min="2" max="2" width="17.125" customWidth="1"/>
    <col min="3" max="5" width="17.125" customWidth="1" outlineLevel="1"/>
    <col min="6" max="7" width="17.125" customWidth="1"/>
    <col min="8" max="9" width="17" customWidth="1" outlineLevel="1"/>
    <col min="10" max="10" width="17.125" customWidth="1" outlineLevel="1"/>
    <col min="11" max="12" width="17.125" customWidth="1"/>
    <col min="13" max="15" width="17.125" customWidth="1" outlineLevel="1"/>
    <col min="16" max="17" width="17.125" customWidth="1"/>
    <col min="18" max="20" width="17.125" customWidth="1" outlineLevel="1"/>
    <col min="21" max="22" width="17.125" customWidth="1"/>
    <col min="23" max="25" width="17.125" customWidth="1" outlineLevel="1"/>
    <col min="26" max="27" width="17.125" customWidth="1"/>
    <col min="28" max="30" width="17.125" customWidth="1" outlineLevel="1"/>
    <col min="31" max="32" width="17.125" customWidth="1"/>
    <col min="33" max="35" width="17.125" customWidth="1" outlineLevel="1"/>
    <col min="36" max="37" width="17.125" customWidth="1"/>
    <col min="38" max="40" width="17.125" customWidth="1" outlineLevel="1"/>
    <col min="41" max="41" width="17.125" customWidth="1"/>
    <col min="43" max="43" width="16.375" customWidth="1"/>
    <col min="44" max="44" width="16.625" bestFit="1" customWidth="1"/>
    <col min="45" max="45" width="16.25" customWidth="1"/>
  </cols>
  <sheetData>
    <row r="1" spans="1:41" ht="16.2" x14ac:dyDescent="0.3">
      <c r="A1" s="51" t="s">
        <v>490</v>
      </c>
      <c r="AL1" s="156" t="s">
        <v>83</v>
      </c>
      <c r="AM1" s="647" t="s">
        <v>84</v>
      </c>
      <c r="AN1" s="647"/>
      <c r="AO1" s="647"/>
    </row>
    <row r="2" spans="1:41" x14ac:dyDescent="0.2">
      <c r="A2" s="56" t="s">
        <v>131</v>
      </c>
      <c r="AN2" s="266" t="str">
        <f>FEO!AA1</f>
        <v>Versie</v>
      </c>
      <c r="AO2" s="274" t="str">
        <f>FEO!AA2</f>
        <v>NVI 5b</v>
      </c>
    </row>
    <row r="3" spans="1:41" ht="10.8" thickBot="1" x14ac:dyDescent="0.25">
      <c r="A3" s="56"/>
    </row>
    <row r="4" spans="1:41" ht="12" thickBot="1" x14ac:dyDescent="0.25">
      <c r="A4" s="47" t="s">
        <v>491</v>
      </c>
      <c r="B4" s="58" t="s">
        <v>356</v>
      </c>
      <c r="C4" s="58"/>
      <c r="D4" s="58"/>
      <c r="E4" s="58"/>
      <c r="F4" s="58"/>
      <c r="G4" s="58" t="s">
        <v>357</v>
      </c>
      <c r="H4" s="58"/>
      <c r="I4" s="58"/>
      <c r="J4" s="58"/>
      <c r="K4" s="58"/>
      <c r="L4" s="58" t="s">
        <v>357</v>
      </c>
      <c r="M4" s="58"/>
      <c r="N4" s="58"/>
      <c r="O4" s="58"/>
      <c r="P4" s="58"/>
      <c r="Q4" s="58" t="s">
        <v>357</v>
      </c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</row>
    <row r="5" spans="1:41" ht="12" thickBot="1" x14ac:dyDescent="0.25">
      <c r="A5" s="49" t="s">
        <v>358</v>
      </c>
      <c r="B5" s="59" t="s">
        <v>522</v>
      </c>
      <c r="C5" s="253"/>
      <c r="D5" s="253"/>
      <c r="E5" s="253"/>
      <c r="F5" s="254"/>
      <c r="G5" s="59" t="s">
        <v>522</v>
      </c>
      <c r="H5" s="253"/>
      <c r="I5" s="253"/>
      <c r="J5" s="253"/>
      <c r="K5" s="254"/>
      <c r="L5" s="59" t="s">
        <v>522</v>
      </c>
      <c r="M5" s="253"/>
      <c r="N5" s="253"/>
      <c r="O5" s="253"/>
      <c r="P5" s="254"/>
      <c r="Q5" s="59" t="s">
        <v>522</v>
      </c>
      <c r="R5" s="253"/>
      <c r="S5" s="253"/>
      <c r="T5" s="253"/>
      <c r="U5" s="254"/>
      <c r="V5" s="59"/>
      <c r="W5" s="253"/>
      <c r="X5" s="253"/>
      <c r="Y5" s="253"/>
      <c r="Z5" s="254"/>
      <c r="AA5" s="59"/>
      <c r="AB5" s="253"/>
      <c r="AC5" s="253"/>
      <c r="AD5" s="253"/>
      <c r="AE5" s="254"/>
      <c r="AF5" s="59"/>
      <c r="AG5" s="253"/>
      <c r="AH5" s="253"/>
      <c r="AI5" s="253"/>
      <c r="AJ5" s="254"/>
      <c r="AK5" s="59"/>
      <c r="AL5" s="253"/>
      <c r="AM5" s="253"/>
      <c r="AN5" s="253"/>
      <c r="AO5" s="254"/>
    </row>
    <row r="6" spans="1:41" ht="12" thickBot="1" x14ac:dyDescent="0.25">
      <c r="A6" s="49" t="s">
        <v>136</v>
      </c>
      <c r="B6" s="59">
        <v>2012</v>
      </c>
      <c r="C6" s="253"/>
      <c r="D6" s="253"/>
      <c r="E6" s="253"/>
      <c r="F6" s="254"/>
      <c r="G6" s="59">
        <v>2012</v>
      </c>
      <c r="H6" s="253"/>
      <c r="I6" s="253"/>
      <c r="J6" s="253"/>
      <c r="K6" s="254"/>
      <c r="L6" s="59">
        <v>2012</v>
      </c>
      <c r="M6" s="253"/>
      <c r="N6" s="253"/>
      <c r="O6" s="253"/>
      <c r="P6" s="254"/>
      <c r="Q6" s="59">
        <v>2012</v>
      </c>
      <c r="R6" s="253"/>
      <c r="S6" s="253"/>
      <c r="T6" s="253"/>
      <c r="U6" s="254"/>
      <c r="V6" s="59"/>
      <c r="W6" s="253"/>
      <c r="X6" s="253"/>
      <c r="Y6" s="253"/>
      <c r="Z6" s="254"/>
      <c r="AA6" s="59"/>
      <c r="AB6" s="253"/>
      <c r="AC6" s="253"/>
      <c r="AD6" s="253"/>
      <c r="AE6" s="254"/>
      <c r="AF6" s="59"/>
      <c r="AG6" s="253"/>
      <c r="AH6" s="253"/>
      <c r="AI6" s="253"/>
      <c r="AJ6" s="254"/>
      <c r="AK6" s="59"/>
      <c r="AL6" s="253"/>
      <c r="AM6" s="253"/>
      <c r="AN6" s="253"/>
      <c r="AO6" s="254"/>
    </row>
    <row r="7" spans="1:41" ht="12" thickBot="1" x14ac:dyDescent="0.25">
      <c r="A7" s="49" t="s">
        <v>16</v>
      </c>
      <c r="B7" s="270" t="s">
        <v>71</v>
      </c>
      <c r="C7" s="255"/>
      <c r="D7" s="255"/>
      <c r="E7" s="255"/>
      <c r="F7" s="256"/>
      <c r="G7" s="270" t="s">
        <v>71</v>
      </c>
      <c r="H7" s="255"/>
      <c r="I7" s="255"/>
      <c r="J7" s="255"/>
      <c r="K7" s="256"/>
      <c r="L7" s="270" t="s">
        <v>71</v>
      </c>
      <c r="M7" s="255"/>
      <c r="N7" s="255"/>
      <c r="O7" s="255"/>
      <c r="P7" s="256"/>
      <c r="Q7" s="270" t="s">
        <v>71</v>
      </c>
      <c r="R7" s="255"/>
      <c r="S7" s="255"/>
      <c r="T7" s="255"/>
      <c r="U7" s="256"/>
      <c r="V7" s="270"/>
      <c r="W7" s="255"/>
      <c r="X7" s="255"/>
      <c r="Y7" s="255"/>
      <c r="Z7" s="256"/>
      <c r="AA7" s="270"/>
      <c r="AB7" s="255"/>
      <c r="AC7" s="255"/>
      <c r="AD7" s="255"/>
      <c r="AE7" s="256"/>
      <c r="AF7" s="270"/>
      <c r="AG7" s="255"/>
      <c r="AH7" s="255"/>
      <c r="AI7" s="255"/>
      <c r="AJ7" s="256"/>
      <c r="AK7" s="270"/>
      <c r="AL7" s="255"/>
      <c r="AM7" s="255"/>
      <c r="AN7" s="255"/>
      <c r="AO7" s="256"/>
    </row>
    <row r="8" spans="1:41" ht="12" thickBot="1" x14ac:dyDescent="0.25">
      <c r="A8" s="49" t="s">
        <v>220</v>
      </c>
      <c r="B8" s="107">
        <v>6</v>
      </c>
      <c r="C8" s="271">
        <v>3</v>
      </c>
      <c r="D8" s="271">
        <v>6</v>
      </c>
      <c r="E8" s="271">
        <v>6</v>
      </c>
      <c r="F8" s="271">
        <v>6</v>
      </c>
      <c r="G8" s="271">
        <v>7</v>
      </c>
      <c r="H8" s="271">
        <v>7</v>
      </c>
      <c r="I8" s="271">
        <v>7</v>
      </c>
      <c r="J8" s="271">
        <v>7</v>
      </c>
      <c r="K8" s="271">
        <v>7</v>
      </c>
      <c r="L8" s="271">
        <v>1</v>
      </c>
      <c r="M8" s="271">
        <v>1</v>
      </c>
      <c r="N8" s="271">
        <v>1</v>
      </c>
      <c r="O8" s="271">
        <v>1</v>
      </c>
      <c r="P8" s="271">
        <v>1</v>
      </c>
      <c r="Q8" s="271">
        <v>1</v>
      </c>
      <c r="R8" s="271">
        <v>1</v>
      </c>
      <c r="S8" s="271">
        <v>1</v>
      </c>
      <c r="T8" s="271">
        <v>1</v>
      </c>
      <c r="U8" s="271">
        <v>1</v>
      </c>
      <c r="V8" s="271">
        <v>0</v>
      </c>
      <c r="W8" s="271"/>
      <c r="X8" s="271"/>
      <c r="Y8" s="271"/>
      <c r="Z8" s="271"/>
      <c r="AA8" s="271">
        <v>0</v>
      </c>
      <c r="AB8" s="271"/>
      <c r="AC8" s="271"/>
      <c r="AD8" s="271"/>
      <c r="AE8" s="271"/>
      <c r="AF8" s="271">
        <v>0</v>
      </c>
      <c r="AG8" s="271"/>
      <c r="AH8" s="271"/>
      <c r="AI8" s="271"/>
      <c r="AJ8" s="271"/>
      <c r="AK8" s="271"/>
      <c r="AL8" s="271"/>
      <c r="AM8" s="271"/>
      <c r="AN8" s="271"/>
      <c r="AO8" s="271"/>
    </row>
    <row r="9" spans="1:41" ht="12" thickBot="1" x14ac:dyDescent="0.25">
      <c r="A9" s="375" t="s">
        <v>309</v>
      </c>
      <c r="B9" s="379">
        <f>B30/365.25</f>
        <v>15.006160164271048</v>
      </c>
      <c r="C9" s="379">
        <f t="shared" ref="C9:AO9" si="0">C30/365.25</f>
        <v>15.006160164271048</v>
      </c>
      <c r="D9" s="379">
        <f t="shared" si="0"/>
        <v>15.006160164271048</v>
      </c>
      <c r="E9" s="379">
        <f>E30/365.25</f>
        <v>0</v>
      </c>
      <c r="F9" s="379">
        <f t="shared" si="0"/>
        <v>0</v>
      </c>
      <c r="G9" s="379">
        <f t="shared" si="0"/>
        <v>15.006160164271048</v>
      </c>
      <c r="H9" s="379">
        <f t="shared" si="0"/>
        <v>15.006160164271048</v>
      </c>
      <c r="I9" s="379">
        <f t="shared" si="0"/>
        <v>0</v>
      </c>
      <c r="J9" s="379">
        <f t="shared" si="0"/>
        <v>0</v>
      </c>
      <c r="K9" s="379">
        <f t="shared" si="0"/>
        <v>0</v>
      </c>
      <c r="L9" s="379">
        <f t="shared" si="0"/>
        <v>15.006160164271048</v>
      </c>
      <c r="M9" s="379">
        <f t="shared" si="0"/>
        <v>15.006160164271048</v>
      </c>
      <c r="N9" s="379">
        <f t="shared" si="0"/>
        <v>0</v>
      </c>
      <c r="O9" s="379">
        <f t="shared" si="0"/>
        <v>0</v>
      </c>
      <c r="P9" s="379">
        <f t="shared" si="0"/>
        <v>0</v>
      </c>
      <c r="Q9" s="379">
        <v>15</v>
      </c>
      <c r="R9" s="379">
        <f t="shared" si="0"/>
        <v>15.006160164271048</v>
      </c>
      <c r="S9" s="379">
        <f t="shared" si="0"/>
        <v>0</v>
      </c>
      <c r="T9" s="379">
        <f t="shared" si="0"/>
        <v>0</v>
      </c>
      <c r="U9" s="379">
        <f t="shared" si="0"/>
        <v>0</v>
      </c>
      <c r="V9" s="379">
        <f t="shared" si="0"/>
        <v>0</v>
      </c>
      <c r="W9" s="379">
        <f t="shared" si="0"/>
        <v>0</v>
      </c>
      <c r="X9" s="379">
        <f t="shared" si="0"/>
        <v>0</v>
      </c>
      <c r="Y9" s="379">
        <f t="shared" si="0"/>
        <v>0</v>
      </c>
      <c r="Z9" s="379">
        <f t="shared" si="0"/>
        <v>0</v>
      </c>
      <c r="AA9" s="379">
        <f t="shared" si="0"/>
        <v>0</v>
      </c>
      <c r="AB9" s="379">
        <f t="shared" si="0"/>
        <v>0</v>
      </c>
      <c r="AC9" s="379">
        <f t="shared" si="0"/>
        <v>0</v>
      </c>
      <c r="AD9" s="379">
        <f t="shared" si="0"/>
        <v>0</v>
      </c>
      <c r="AE9" s="379">
        <f t="shared" si="0"/>
        <v>0</v>
      </c>
      <c r="AF9" s="379">
        <f t="shared" si="0"/>
        <v>0</v>
      </c>
      <c r="AG9" s="379">
        <f t="shared" si="0"/>
        <v>0</v>
      </c>
      <c r="AH9" s="379">
        <f t="shared" si="0"/>
        <v>0</v>
      </c>
      <c r="AI9" s="379">
        <f t="shared" si="0"/>
        <v>0</v>
      </c>
      <c r="AJ9" s="379">
        <f t="shared" si="0"/>
        <v>0</v>
      </c>
      <c r="AK9" s="379">
        <f t="shared" si="0"/>
        <v>0</v>
      </c>
      <c r="AL9" s="379">
        <f t="shared" si="0"/>
        <v>0</v>
      </c>
      <c r="AM9" s="379">
        <f t="shared" si="0"/>
        <v>0</v>
      </c>
      <c r="AN9" s="379">
        <f t="shared" si="0"/>
        <v>0</v>
      </c>
      <c r="AO9" s="379">
        <f t="shared" si="0"/>
        <v>0</v>
      </c>
    </row>
    <row r="10" spans="1:41" ht="12" thickBot="1" x14ac:dyDescent="0.25">
      <c r="A10" s="239" t="s">
        <v>315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</row>
    <row r="11" spans="1:41" ht="12" thickBot="1" x14ac:dyDescent="0.25">
      <c r="A11" s="49" t="s">
        <v>320</v>
      </c>
      <c r="B11" s="238">
        <v>1841380</v>
      </c>
      <c r="C11" s="251"/>
      <c r="D11" s="251"/>
      <c r="E11" s="251"/>
      <c r="F11" s="252"/>
      <c r="G11" s="238">
        <v>2295970</v>
      </c>
      <c r="H11" s="251"/>
      <c r="I11" s="251"/>
      <c r="J11" s="251"/>
      <c r="K11" s="252"/>
      <c r="L11" s="238">
        <v>3090776</v>
      </c>
      <c r="M11" s="251"/>
      <c r="N11" s="251"/>
      <c r="O11" s="251"/>
      <c r="P11" s="252"/>
      <c r="Q11" s="238">
        <v>4843550</v>
      </c>
      <c r="R11" s="251"/>
      <c r="S11" s="251"/>
      <c r="T11" s="251"/>
      <c r="U11" s="252"/>
      <c r="V11" s="238"/>
      <c r="W11" s="251"/>
      <c r="X11" s="251"/>
      <c r="Y11" s="251"/>
      <c r="Z11" s="252"/>
      <c r="AA11" s="238"/>
      <c r="AB11" s="251"/>
      <c r="AC11" s="251"/>
      <c r="AD11" s="251"/>
      <c r="AE11" s="252"/>
      <c r="AF11" s="238"/>
      <c r="AG11" s="251"/>
      <c r="AH11" s="251"/>
      <c r="AI11" s="251"/>
      <c r="AJ11" s="252"/>
      <c r="AK11" s="238"/>
      <c r="AL11" s="251"/>
      <c r="AM11" s="251"/>
      <c r="AN11" s="251"/>
      <c r="AO11" s="251"/>
    </row>
    <row r="12" spans="1:41" s="2" customFormat="1" ht="12" thickBot="1" x14ac:dyDescent="0.25">
      <c r="A12" s="76" t="s">
        <v>240</v>
      </c>
      <c r="B12" s="244">
        <f t="shared" ref="B12" si="1">B11*B8</f>
        <v>11048280</v>
      </c>
      <c r="C12" s="250"/>
      <c r="D12" s="246"/>
      <c r="E12" s="246"/>
      <c r="F12" s="247"/>
      <c r="G12" s="244">
        <f t="shared" ref="G12" si="2">G11*G8</f>
        <v>16071790</v>
      </c>
      <c r="H12" s="250"/>
      <c r="I12" s="246"/>
      <c r="J12" s="246"/>
      <c r="K12" s="247"/>
      <c r="L12" s="244">
        <f t="shared" ref="L12" si="3">L11*L8</f>
        <v>3090776</v>
      </c>
      <c r="M12" s="250"/>
      <c r="N12" s="246"/>
      <c r="O12" s="246"/>
      <c r="P12" s="247"/>
      <c r="Q12" s="244">
        <f t="shared" ref="Q12" si="4">Q11*Q8</f>
        <v>4843550</v>
      </c>
      <c r="R12" s="250"/>
      <c r="S12" s="246"/>
      <c r="T12" s="246"/>
      <c r="U12" s="247"/>
      <c r="V12" s="244">
        <f t="shared" ref="V12" si="5">V11*V8</f>
        <v>0</v>
      </c>
      <c r="W12" s="250"/>
      <c r="X12" s="246"/>
      <c r="Y12" s="246"/>
      <c r="Z12" s="247"/>
      <c r="AA12" s="244">
        <f t="shared" ref="AA12" si="6">AA11*AA8</f>
        <v>0</v>
      </c>
      <c r="AB12" s="250"/>
      <c r="AC12" s="246"/>
      <c r="AD12" s="246"/>
      <c r="AE12" s="247"/>
      <c r="AF12" s="244">
        <f t="shared" ref="AF12" si="7">AF11*AF8</f>
        <v>0</v>
      </c>
      <c r="AG12" s="250"/>
      <c r="AH12" s="246"/>
      <c r="AI12" s="246"/>
      <c r="AJ12" s="247"/>
      <c r="AK12" s="244">
        <f t="shared" ref="AK12" si="8">AK11*AK8</f>
        <v>0</v>
      </c>
      <c r="AL12" s="250"/>
      <c r="AM12" s="246"/>
      <c r="AN12" s="246"/>
      <c r="AO12" s="246"/>
    </row>
    <row r="13" spans="1:41" ht="12" thickBot="1" x14ac:dyDescent="0.25">
      <c r="A13" s="239" t="s">
        <v>316</v>
      </c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0"/>
      <c r="AO13" s="240"/>
    </row>
    <row r="14" spans="1:41" ht="12" thickBot="1" x14ac:dyDescent="0.25">
      <c r="A14" s="248" t="s">
        <v>521</v>
      </c>
      <c r="B14" s="241"/>
      <c r="C14" s="61">
        <v>1005889</v>
      </c>
      <c r="D14" s="61"/>
      <c r="E14" s="61"/>
      <c r="F14" s="61"/>
      <c r="G14" s="241"/>
      <c r="H14" s="61"/>
      <c r="I14" s="61"/>
      <c r="J14" s="61"/>
      <c r="K14" s="61"/>
      <c r="L14" s="241"/>
      <c r="M14" s="61"/>
      <c r="N14" s="61"/>
      <c r="O14" s="61"/>
      <c r="P14" s="61"/>
      <c r="Q14" s="241"/>
      <c r="R14" s="61"/>
      <c r="S14" s="61"/>
      <c r="T14" s="61"/>
      <c r="U14" s="61"/>
      <c r="V14" s="241"/>
      <c r="W14" s="61"/>
      <c r="X14" s="61"/>
      <c r="Y14" s="61"/>
      <c r="Z14" s="61"/>
      <c r="AA14" s="241"/>
      <c r="AB14" s="61"/>
      <c r="AC14" s="61"/>
      <c r="AD14" s="61"/>
      <c r="AE14" s="61"/>
      <c r="AF14" s="241"/>
      <c r="AG14" s="61"/>
      <c r="AH14" s="61"/>
      <c r="AI14" s="61"/>
      <c r="AJ14" s="61"/>
      <c r="AK14" s="241"/>
      <c r="AL14" s="61"/>
      <c r="AM14" s="61"/>
      <c r="AN14" s="61"/>
      <c r="AO14" s="61"/>
    </row>
    <row r="15" spans="1:41" ht="12" thickBot="1" x14ac:dyDescent="0.25">
      <c r="A15" s="248" t="s">
        <v>523</v>
      </c>
      <c r="B15" s="242"/>
      <c r="C15" s="61"/>
      <c r="D15" s="61">
        <f>224000/15*D8</f>
        <v>89600</v>
      </c>
      <c r="E15" s="61"/>
      <c r="F15" s="61"/>
      <c r="G15" s="242"/>
      <c r="H15" s="61">
        <f>224000/15*H8</f>
        <v>104533.33333333334</v>
      </c>
      <c r="I15" s="61"/>
      <c r="J15" s="61"/>
      <c r="K15" s="61"/>
      <c r="L15" s="242"/>
      <c r="M15" s="61">
        <f>224000/15*M8</f>
        <v>14933.333333333334</v>
      </c>
      <c r="N15" s="61"/>
      <c r="O15" s="61"/>
      <c r="P15" s="61"/>
      <c r="Q15" s="242"/>
      <c r="R15" s="61">
        <f>224000/15*R8</f>
        <v>14933.333333333334</v>
      </c>
      <c r="S15" s="61"/>
      <c r="T15" s="61"/>
      <c r="U15" s="61"/>
      <c r="V15" s="242"/>
      <c r="W15" s="61"/>
      <c r="X15" s="61"/>
      <c r="Y15" s="61"/>
      <c r="Z15" s="61"/>
      <c r="AA15" s="242"/>
      <c r="AB15" s="61"/>
      <c r="AC15" s="61"/>
      <c r="AD15" s="61"/>
      <c r="AE15" s="61"/>
      <c r="AF15" s="242"/>
      <c r="AG15" s="61"/>
      <c r="AH15" s="61"/>
      <c r="AI15" s="61"/>
      <c r="AJ15" s="61"/>
      <c r="AK15" s="242"/>
      <c r="AL15" s="61"/>
      <c r="AM15" s="61"/>
      <c r="AN15" s="61"/>
      <c r="AO15" s="61"/>
    </row>
    <row r="16" spans="1:41" ht="12" thickBot="1" x14ac:dyDescent="0.25">
      <c r="A16" s="248" t="s">
        <v>524</v>
      </c>
      <c r="B16" s="242"/>
      <c r="C16" s="61"/>
      <c r="D16" s="61"/>
      <c r="E16" s="61"/>
      <c r="F16" s="61"/>
      <c r="G16" s="242"/>
      <c r="H16" s="61"/>
      <c r="I16" s="61"/>
      <c r="J16" s="61"/>
      <c r="K16" s="61"/>
      <c r="L16" s="242"/>
      <c r="M16" s="61"/>
      <c r="N16" s="61"/>
      <c r="O16" s="61"/>
      <c r="P16" s="61"/>
      <c r="Q16" s="242"/>
      <c r="R16" s="61"/>
      <c r="S16" s="61"/>
      <c r="T16" s="61"/>
      <c r="U16" s="61"/>
      <c r="V16" s="242"/>
      <c r="W16" s="61"/>
      <c r="X16" s="61"/>
      <c r="Y16" s="61"/>
      <c r="Z16" s="61"/>
      <c r="AA16" s="242"/>
      <c r="AB16" s="61"/>
      <c r="AC16" s="61"/>
      <c r="AD16" s="61"/>
      <c r="AE16" s="61"/>
      <c r="AF16" s="242"/>
      <c r="AG16" s="61"/>
      <c r="AH16" s="61"/>
      <c r="AI16" s="61"/>
      <c r="AJ16" s="61"/>
      <c r="AK16" s="242"/>
      <c r="AL16" s="61"/>
      <c r="AM16" s="61"/>
      <c r="AN16" s="61"/>
      <c r="AO16" s="61"/>
    </row>
    <row r="17" spans="1:46" ht="12" thickBot="1" x14ac:dyDescent="0.25">
      <c r="A17" s="248" t="s">
        <v>207</v>
      </c>
      <c r="B17" s="242"/>
      <c r="C17" s="61"/>
      <c r="D17" s="61"/>
      <c r="E17" s="61"/>
      <c r="F17" s="61"/>
      <c r="G17" s="242"/>
      <c r="H17" s="61"/>
      <c r="I17" s="61"/>
      <c r="J17" s="61"/>
      <c r="K17" s="61"/>
      <c r="L17" s="242"/>
      <c r="M17" s="61"/>
      <c r="N17" s="61"/>
      <c r="O17" s="61"/>
      <c r="P17" s="61"/>
      <c r="Q17" s="242"/>
      <c r="R17" s="61"/>
      <c r="S17" s="61"/>
      <c r="T17" s="61"/>
      <c r="U17" s="61"/>
      <c r="V17" s="242"/>
      <c r="W17" s="61"/>
      <c r="X17" s="61"/>
      <c r="Y17" s="61"/>
      <c r="Z17" s="61"/>
      <c r="AA17" s="242"/>
      <c r="AB17" s="61"/>
      <c r="AC17" s="61"/>
      <c r="AD17" s="61"/>
      <c r="AE17" s="61"/>
      <c r="AF17" s="242"/>
      <c r="AG17" s="61"/>
      <c r="AH17" s="61"/>
      <c r="AI17" s="61"/>
      <c r="AJ17" s="61"/>
      <c r="AK17" s="242"/>
      <c r="AL17" s="61"/>
      <c r="AM17" s="61"/>
      <c r="AN17" s="61"/>
      <c r="AO17" s="61"/>
    </row>
    <row r="18" spans="1:46" ht="12" thickBot="1" x14ac:dyDescent="0.25">
      <c r="A18" s="248" t="s">
        <v>207</v>
      </c>
      <c r="B18" s="242"/>
      <c r="C18" s="61"/>
      <c r="D18" s="61"/>
      <c r="E18" s="61"/>
      <c r="F18" s="61"/>
      <c r="G18" s="242"/>
      <c r="H18" s="61"/>
      <c r="I18" s="61"/>
      <c r="J18" s="61"/>
      <c r="K18" s="61"/>
      <c r="L18" s="242"/>
      <c r="M18" s="61"/>
      <c r="N18" s="61"/>
      <c r="O18" s="61"/>
      <c r="P18" s="61"/>
      <c r="Q18" s="242"/>
      <c r="R18" s="61"/>
      <c r="S18" s="61"/>
      <c r="T18" s="61"/>
      <c r="U18" s="61"/>
      <c r="V18" s="242"/>
      <c r="W18" s="61"/>
      <c r="X18" s="61"/>
      <c r="Y18" s="61"/>
      <c r="Z18" s="61"/>
      <c r="AA18" s="242"/>
      <c r="AB18" s="61"/>
      <c r="AC18" s="61"/>
      <c r="AD18" s="61"/>
      <c r="AE18" s="61"/>
      <c r="AF18" s="242"/>
      <c r="AG18" s="61"/>
      <c r="AH18" s="61"/>
      <c r="AI18" s="61"/>
      <c r="AJ18" s="61"/>
      <c r="AK18" s="242"/>
      <c r="AL18" s="61"/>
      <c r="AM18" s="61"/>
      <c r="AN18" s="61"/>
      <c r="AO18" s="61"/>
    </row>
    <row r="19" spans="1:46" ht="12" thickBot="1" x14ac:dyDescent="0.25">
      <c r="A19" s="248" t="s">
        <v>207</v>
      </c>
      <c r="B19" s="243"/>
      <c r="C19" s="61"/>
      <c r="D19" s="61"/>
      <c r="E19" s="61"/>
      <c r="F19" s="61"/>
      <c r="G19" s="243"/>
      <c r="H19" s="61"/>
      <c r="I19" s="61"/>
      <c r="J19" s="61"/>
      <c r="K19" s="61"/>
      <c r="L19" s="243"/>
      <c r="M19" s="61"/>
      <c r="N19" s="61"/>
      <c r="O19" s="61"/>
      <c r="P19" s="61"/>
      <c r="Q19" s="243"/>
      <c r="R19" s="61"/>
      <c r="S19" s="61"/>
      <c r="T19" s="61"/>
      <c r="U19" s="61"/>
      <c r="V19" s="243"/>
      <c r="W19" s="61"/>
      <c r="X19" s="61"/>
      <c r="Y19" s="61"/>
      <c r="Z19" s="61"/>
      <c r="AA19" s="243"/>
      <c r="AB19" s="61"/>
      <c r="AC19" s="61"/>
      <c r="AD19" s="61"/>
      <c r="AE19" s="61"/>
      <c r="AF19" s="243"/>
      <c r="AG19" s="61"/>
      <c r="AH19" s="61"/>
      <c r="AI19" s="61"/>
      <c r="AJ19" s="61"/>
      <c r="AK19" s="243"/>
      <c r="AL19" s="61"/>
      <c r="AM19" s="61"/>
      <c r="AN19" s="61"/>
      <c r="AO19" s="61"/>
    </row>
    <row r="20" spans="1:46" s="2" customFormat="1" ht="34.799999999999997" thickBot="1" x14ac:dyDescent="0.25">
      <c r="A20" s="76" t="s">
        <v>313</v>
      </c>
      <c r="B20" s="245">
        <f t="shared" ref="B20:AO20" si="9">SUM(B14:B19)*SUM(B8:B8)</f>
        <v>0</v>
      </c>
      <c r="C20" s="245">
        <f t="shared" si="9"/>
        <v>3017667</v>
      </c>
      <c r="D20" s="245">
        <f t="shared" si="9"/>
        <v>537600</v>
      </c>
      <c r="E20" s="245">
        <f t="shared" si="9"/>
        <v>0</v>
      </c>
      <c r="F20" s="245">
        <f t="shared" si="9"/>
        <v>0</v>
      </c>
      <c r="G20" s="245">
        <f t="shared" si="9"/>
        <v>0</v>
      </c>
      <c r="H20" s="245">
        <f t="shared" si="9"/>
        <v>731733.33333333337</v>
      </c>
      <c r="I20" s="245">
        <f t="shared" si="9"/>
        <v>0</v>
      </c>
      <c r="J20" s="245">
        <f t="shared" si="9"/>
        <v>0</v>
      </c>
      <c r="K20" s="245">
        <f t="shared" si="9"/>
        <v>0</v>
      </c>
      <c r="L20" s="245">
        <f t="shared" si="9"/>
        <v>0</v>
      </c>
      <c r="M20" s="245">
        <f t="shared" si="9"/>
        <v>14933.333333333334</v>
      </c>
      <c r="N20" s="245">
        <f t="shared" si="9"/>
        <v>0</v>
      </c>
      <c r="O20" s="245">
        <f t="shared" si="9"/>
        <v>0</v>
      </c>
      <c r="P20" s="245">
        <f t="shared" si="9"/>
        <v>0</v>
      </c>
      <c r="Q20" s="245">
        <f t="shared" si="9"/>
        <v>0</v>
      </c>
      <c r="R20" s="245">
        <f t="shared" si="9"/>
        <v>14933.333333333334</v>
      </c>
      <c r="S20" s="245">
        <f t="shared" si="9"/>
        <v>0</v>
      </c>
      <c r="T20" s="245">
        <f t="shared" si="9"/>
        <v>0</v>
      </c>
      <c r="U20" s="245">
        <f t="shared" si="9"/>
        <v>0</v>
      </c>
      <c r="V20" s="245">
        <f t="shared" si="9"/>
        <v>0</v>
      </c>
      <c r="W20" s="245">
        <f t="shared" si="9"/>
        <v>0</v>
      </c>
      <c r="X20" s="245">
        <f t="shared" si="9"/>
        <v>0</v>
      </c>
      <c r="Y20" s="245">
        <f t="shared" si="9"/>
        <v>0</v>
      </c>
      <c r="Z20" s="245">
        <f t="shared" si="9"/>
        <v>0</v>
      </c>
      <c r="AA20" s="245">
        <f t="shared" si="9"/>
        <v>0</v>
      </c>
      <c r="AB20" s="245">
        <f t="shared" si="9"/>
        <v>0</v>
      </c>
      <c r="AC20" s="245">
        <f t="shared" si="9"/>
        <v>0</v>
      </c>
      <c r="AD20" s="245">
        <f t="shared" si="9"/>
        <v>0</v>
      </c>
      <c r="AE20" s="245">
        <f t="shared" si="9"/>
        <v>0</v>
      </c>
      <c r="AF20" s="245">
        <f t="shared" si="9"/>
        <v>0</v>
      </c>
      <c r="AG20" s="245">
        <f t="shared" si="9"/>
        <v>0</v>
      </c>
      <c r="AH20" s="245">
        <f t="shared" si="9"/>
        <v>0</v>
      </c>
      <c r="AI20" s="245">
        <f t="shared" si="9"/>
        <v>0</v>
      </c>
      <c r="AJ20" s="245">
        <f t="shared" si="9"/>
        <v>0</v>
      </c>
      <c r="AK20" s="245">
        <f t="shared" si="9"/>
        <v>0</v>
      </c>
      <c r="AL20" s="245">
        <f t="shared" si="9"/>
        <v>0</v>
      </c>
      <c r="AM20" s="245">
        <f t="shared" si="9"/>
        <v>0</v>
      </c>
      <c r="AN20" s="245">
        <f t="shared" si="9"/>
        <v>0</v>
      </c>
      <c r="AO20" s="245">
        <f t="shared" si="9"/>
        <v>0</v>
      </c>
      <c r="AQ20"/>
      <c r="AR20"/>
      <c r="AS20"/>
      <c r="AT20"/>
    </row>
    <row r="21" spans="1:46" s="2" customFormat="1" ht="12" thickBot="1" x14ac:dyDescent="0.25">
      <c r="A21" s="76" t="s">
        <v>314</v>
      </c>
      <c r="B21" s="245">
        <f t="shared" ref="B21:AO21" si="10">B20+B12</f>
        <v>11048280</v>
      </c>
      <c r="C21" s="245">
        <f t="shared" si="10"/>
        <v>3017667</v>
      </c>
      <c r="D21" s="245">
        <f t="shared" si="10"/>
        <v>537600</v>
      </c>
      <c r="E21" s="245">
        <f t="shared" si="10"/>
        <v>0</v>
      </c>
      <c r="F21" s="245">
        <f t="shared" si="10"/>
        <v>0</v>
      </c>
      <c r="G21" s="245">
        <f t="shared" si="10"/>
        <v>16071790</v>
      </c>
      <c r="H21" s="245">
        <f t="shared" si="10"/>
        <v>731733.33333333337</v>
      </c>
      <c r="I21" s="245">
        <f t="shared" si="10"/>
        <v>0</v>
      </c>
      <c r="J21" s="245">
        <f t="shared" si="10"/>
        <v>0</v>
      </c>
      <c r="K21" s="245">
        <f t="shared" si="10"/>
        <v>0</v>
      </c>
      <c r="L21" s="245">
        <f t="shared" si="10"/>
        <v>3090776</v>
      </c>
      <c r="M21" s="245">
        <f t="shared" si="10"/>
        <v>14933.333333333334</v>
      </c>
      <c r="N21" s="245">
        <f t="shared" si="10"/>
        <v>0</v>
      </c>
      <c r="O21" s="245">
        <f t="shared" si="10"/>
        <v>0</v>
      </c>
      <c r="P21" s="245">
        <f t="shared" si="10"/>
        <v>0</v>
      </c>
      <c r="Q21" s="245">
        <f t="shared" si="10"/>
        <v>4843550</v>
      </c>
      <c r="R21" s="245">
        <f t="shared" si="10"/>
        <v>14933.333333333334</v>
      </c>
      <c r="S21" s="245">
        <f t="shared" si="10"/>
        <v>0</v>
      </c>
      <c r="T21" s="245">
        <f t="shared" si="10"/>
        <v>0</v>
      </c>
      <c r="U21" s="245">
        <f t="shared" si="10"/>
        <v>0</v>
      </c>
      <c r="V21" s="245">
        <f t="shared" si="10"/>
        <v>0</v>
      </c>
      <c r="W21" s="245">
        <f t="shared" si="10"/>
        <v>0</v>
      </c>
      <c r="X21" s="245">
        <f t="shared" si="10"/>
        <v>0</v>
      </c>
      <c r="Y21" s="245">
        <f t="shared" si="10"/>
        <v>0</v>
      </c>
      <c r="Z21" s="245">
        <f t="shared" si="10"/>
        <v>0</v>
      </c>
      <c r="AA21" s="245">
        <f t="shared" si="10"/>
        <v>0</v>
      </c>
      <c r="AB21" s="245">
        <f t="shared" si="10"/>
        <v>0</v>
      </c>
      <c r="AC21" s="245">
        <f t="shared" si="10"/>
        <v>0</v>
      </c>
      <c r="AD21" s="245">
        <f t="shared" si="10"/>
        <v>0</v>
      </c>
      <c r="AE21" s="245">
        <f t="shared" si="10"/>
        <v>0</v>
      </c>
      <c r="AF21" s="245">
        <f t="shared" si="10"/>
        <v>0</v>
      </c>
      <c r="AG21" s="245">
        <f t="shared" si="10"/>
        <v>0</v>
      </c>
      <c r="AH21" s="245">
        <f t="shared" si="10"/>
        <v>0</v>
      </c>
      <c r="AI21" s="245">
        <f t="shared" si="10"/>
        <v>0</v>
      </c>
      <c r="AJ21" s="245">
        <f t="shared" si="10"/>
        <v>0</v>
      </c>
      <c r="AK21" s="245">
        <f t="shared" si="10"/>
        <v>0</v>
      </c>
      <c r="AL21" s="245">
        <f t="shared" si="10"/>
        <v>0</v>
      </c>
      <c r="AM21" s="245">
        <f t="shared" si="10"/>
        <v>0</v>
      </c>
      <c r="AN21" s="245">
        <f t="shared" si="10"/>
        <v>0</v>
      </c>
      <c r="AO21" s="245">
        <f t="shared" si="10"/>
        <v>0</v>
      </c>
      <c r="AQ21"/>
      <c r="AR21"/>
      <c r="AS21"/>
      <c r="AT21"/>
    </row>
    <row r="22" spans="1:46" s="2" customFormat="1" ht="12" thickBot="1" x14ac:dyDescent="0.25">
      <c r="A22" s="49" t="s">
        <v>317</v>
      </c>
      <c r="B22" s="249"/>
      <c r="C22" s="249">
        <v>-1005889</v>
      </c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>
        <v>-4843550</v>
      </c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  <c r="AH22" s="249"/>
      <c r="AI22" s="249"/>
      <c r="AJ22" s="249"/>
      <c r="AK22" s="249"/>
      <c r="AL22" s="249"/>
      <c r="AM22" s="249"/>
      <c r="AN22" s="249"/>
      <c r="AO22" s="249"/>
      <c r="AQ22"/>
      <c r="AR22"/>
      <c r="AS22"/>
      <c r="AT22"/>
    </row>
    <row r="23" spans="1:46" s="2" customFormat="1" ht="12" thickBot="1" x14ac:dyDescent="0.25">
      <c r="A23" s="49" t="s">
        <v>318</v>
      </c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Q23"/>
      <c r="AR23"/>
      <c r="AS23"/>
      <c r="AT23"/>
    </row>
    <row r="24" spans="1:46" s="2" customFormat="1" ht="12" thickBot="1" x14ac:dyDescent="0.25">
      <c r="A24" s="49" t="s">
        <v>319</v>
      </c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Q24"/>
      <c r="AR24"/>
      <c r="AS24"/>
      <c r="AT24"/>
    </row>
    <row r="25" spans="1:46" s="2" customFormat="1" ht="12" thickBot="1" x14ac:dyDescent="0.25">
      <c r="A25" s="76" t="s">
        <v>308</v>
      </c>
      <c r="B25" s="245">
        <f>SUM(B22:B24)*B8</f>
        <v>0</v>
      </c>
      <c r="C25" s="245">
        <f t="shared" ref="C25:AO25" si="11">SUM(C22:C24)*C8</f>
        <v>-3017667</v>
      </c>
      <c r="D25" s="245">
        <f t="shared" si="11"/>
        <v>0</v>
      </c>
      <c r="E25" s="245">
        <f t="shared" si="11"/>
        <v>0</v>
      </c>
      <c r="F25" s="245">
        <f t="shared" si="11"/>
        <v>0</v>
      </c>
      <c r="G25" s="245">
        <f t="shared" si="11"/>
        <v>0</v>
      </c>
      <c r="H25" s="245">
        <f t="shared" si="11"/>
        <v>0</v>
      </c>
      <c r="I25" s="245">
        <f t="shared" si="11"/>
        <v>0</v>
      </c>
      <c r="J25" s="245">
        <f t="shared" si="11"/>
        <v>0</v>
      </c>
      <c r="K25" s="245">
        <f t="shared" si="11"/>
        <v>0</v>
      </c>
      <c r="L25" s="245">
        <f t="shared" si="11"/>
        <v>0</v>
      </c>
      <c r="M25" s="245">
        <f t="shared" si="11"/>
        <v>0</v>
      </c>
      <c r="N25" s="245">
        <f t="shared" si="11"/>
        <v>0</v>
      </c>
      <c r="O25" s="245">
        <f t="shared" si="11"/>
        <v>0</v>
      </c>
      <c r="P25" s="245">
        <f t="shared" si="11"/>
        <v>0</v>
      </c>
      <c r="Q25" s="245">
        <f t="shared" si="11"/>
        <v>-4843550</v>
      </c>
      <c r="R25" s="245">
        <f t="shared" si="11"/>
        <v>0</v>
      </c>
      <c r="S25" s="245">
        <f t="shared" si="11"/>
        <v>0</v>
      </c>
      <c r="T25" s="245">
        <f t="shared" si="11"/>
        <v>0</v>
      </c>
      <c r="U25" s="245">
        <f t="shared" si="11"/>
        <v>0</v>
      </c>
      <c r="V25" s="245">
        <f t="shared" si="11"/>
        <v>0</v>
      </c>
      <c r="W25" s="245">
        <f t="shared" si="11"/>
        <v>0</v>
      </c>
      <c r="X25" s="245">
        <f t="shared" si="11"/>
        <v>0</v>
      </c>
      <c r="Y25" s="245">
        <f t="shared" si="11"/>
        <v>0</v>
      </c>
      <c r="Z25" s="245">
        <f t="shared" si="11"/>
        <v>0</v>
      </c>
      <c r="AA25" s="245">
        <f t="shared" si="11"/>
        <v>0</v>
      </c>
      <c r="AB25" s="245">
        <f t="shared" si="11"/>
        <v>0</v>
      </c>
      <c r="AC25" s="245">
        <f t="shared" si="11"/>
        <v>0</v>
      </c>
      <c r="AD25" s="245">
        <f t="shared" si="11"/>
        <v>0</v>
      </c>
      <c r="AE25" s="245">
        <f t="shared" si="11"/>
        <v>0</v>
      </c>
      <c r="AF25" s="245">
        <f t="shared" si="11"/>
        <v>0</v>
      </c>
      <c r="AG25" s="245">
        <f t="shared" si="11"/>
        <v>0</v>
      </c>
      <c r="AH25" s="245">
        <f t="shared" si="11"/>
        <v>0</v>
      </c>
      <c r="AI25" s="245">
        <f t="shared" si="11"/>
        <v>0</v>
      </c>
      <c r="AJ25" s="245">
        <f t="shared" si="11"/>
        <v>0</v>
      </c>
      <c r="AK25" s="245">
        <f t="shared" si="11"/>
        <v>0</v>
      </c>
      <c r="AL25" s="245">
        <f t="shared" si="11"/>
        <v>0</v>
      </c>
      <c r="AM25" s="245">
        <f t="shared" si="11"/>
        <v>0</v>
      </c>
      <c r="AN25" s="245">
        <f t="shared" si="11"/>
        <v>0</v>
      </c>
      <c r="AO25" s="245">
        <f t="shared" si="11"/>
        <v>0</v>
      </c>
      <c r="AQ25"/>
      <c r="AR25"/>
      <c r="AS25"/>
      <c r="AT25"/>
    </row>
    <row r="26" spans="1:46" ht="12" thickBot="1" x14ac:dyDescent="0.25">
      <c r="A26" s="76" t="s">
        <v>312</v>
      </c>
      <c r="B26" s="245">
        <f>B21+B25</f>
        <v>11048280</v>
      </c>
      <c r="C26" s="245">
        <f t="shared" ref="C26:AO26" si="12">C21+C25</f>
        <v>0</v>
      </c>
      <c r="D26" s="245">
        <f t="shared" si="12"/>
        <v>537600</v>
      </c>
      <c r="E26" s="245">
        <f t="shared" si="12"/>
        <v>0</v>
      </c>
      <c r="F26" s="245">
        <f t="shared" si="12"/>
        <v>0</v>
      </c>
      <c r="G26" s="245">
        <f t="shared" si="12"/>
        <v>16071790</v>
      </c>
      <c r="H26" s="245">
        <f t="shared" si="12"/>
        <v>731733.33333333337</v>
      </c>
      <c r="I26" s="245">
        <f t="shared" si="12"/>
        <v>0</v>
      </c>
      <c r="J26" s="245">
        <f t="shared" si="12"/>
        <v>0</v>
      </c>
      <c r="K26" s="245">
        <f t="shared" si="12"/>
        <v>0</v>
      </c>
      <c r="L26" s="245">
        <f t="shared" si="12"/>
        <v>3090776</v>
      </c>
      <c r="M26" s="245">
        <f t="shared" si="12"/>
        <v>14933.333333333334</v>
      </c>
      <c r="N26" s="245">
        <f t="shared" si="12"/>
        <v>0</v>
      </c>
      <c r="O26" s="245">
        <f t="shared" si="12"/>
        <v>0</v>
      </c>
      <c r="P26" s="245">
        <f t="shared" si="12"/>
        <v>0</v>
      </c>
      <c r="Q26" s="245">
        <f t="shared" si="12"/>
        <v>0</v>
      </c>
      <c r="R26" s="245">
        <f t="shared" si="12"/>
        <v>14933.333333333334</v>
      </c>
      <c r="S26" s="245">
        <f t="shared" si="12"/>
        <v>0</v>
      </c>
      <c r="T26" s="245">
        <f t="shared" si="12"/>
        <v>0</v>
      </c>
      <c r="U26" s="245">
        <f t="shared" si="12"/>
        <v>0</v>
      </c>
      <c r="V26" s="245">
        <f t="shared" si="12"/>
        <v>0</v>
      </c>
      <c r="W26" s="245">
        <f t="shared" si="12"/>
        <v>0</v>
      </c>
      <c r="X26" s="245">
        <f t="shared" si="12"/>
        <v>0</v>
      </c>
      <c r="Y26" s="245">
        <f t="shared" si="12"/>
        <v>0</v>
      </c>
      <c r="Z26" s="245">
        <f t="shared" si="12"/>
        <v>0</v>
      </c>
      <c r="AA26" s="245">
        <f t="shared" si="12"/>
        <v>0</v>
      </c>
      <c r="AB26" s="245">
        <f t="shared" si="12"/>
        <v>0</v>
      </c>
      <c r="AC26" s="245">
        <f t="shared" si="12"/>
        <v>0</v>
      </c>
      <c r="AD26" s="245">
        <f t="shared" si="12"/>
        <v>0</v>
      </c>
      <c r="AE26" s="245">
        <f t="shared" si="12"/>
        <v>0</v>
      </c>
      <c r="AF26" s="245">
        <f t="shared" si="12"/>
        <v>0</v>
      </c>
      <c r="AG26" s="245">
        <f t="shared" si="12"/>
        <v>0</v>
      </c>
      <c r="AH26" s="245">
        <f t="shared" si="12"/>
        <v>0</v>
      </c>
      <c r="AI26" s="245">
        <f t="shared" si="12"/>
        <v>0</v>
      </c>
      <c r="AJ26" s="245">
        <f t="shared" si="12"/>
        <v>0</v>
      </c>
      <c r="AK26" s="245">
        <f t="shared" si="12"/>
        <v>0</v>
      </c>
      <c r="AL26" s="245">
        <f t="shared" si="12"/>
        <v>0</v>
      </c>
      <c r="AM26" s="245">
        <f t="shared" si="12"/>
        <v>0</v>
      </c>
      <c r="AN26" s="245">
        <f t="shared" si="12"/>
        <v>0</v>
      </c>
      <c r="AO26" s="245">
        <f t="shared" si="12"/>
        <v>0</v>
      </c>
    </row>
    <row r="27" spans="1:46" ht="12" thickBot="1" x14ac:dyDescent="0.25">
      <c r="A27" s="49" t="s">
        <v>208</v>
      </c>
      <c r="B27" s="62">
        <f>FEO!$G$6</f>
        <v>47097</v>
      </c>
      <c r="C27" s="62">
        <f>FEO!$G$6</f>
        <v>47097</v>
      </c>
      <c r="D27" s="62">
        <f>FEO!$G$6</f>
        <v>47097</v>
      </c>
      <c r="E27" s="62"/>
      <c r="F27" s="62"/>
      <c r="G27" s="62">
        <f>FEO!$G$6</f>
        <v>47097</v>
      </c>
      <c r="H27" s="62">
        <f>FEO!$G$6</f>
        <v>47097</v>
      </c>
      <c r="I27" s="62"/>
      <c r="J27" s="62"/>
      <c r="K27" s="62"/>
      <c r="L27" s="62">
        <f>FEO!$G$6</f>
        <v>47097</v>
      </c>
      <c r="M27" s="62">
        <f>FEO!$G$6</f>
        <v>47097</v>
      </c>
      <c r="N27" s="62"/>
      <c r="O27" s="62"/>
      <c r="P27" s="62"/>
      <c r="Q27" s="62">
        <f>FEO!$G$6</f>
        <v>47097</v>
      </c>
      <c r="R27" s="62">
        <f>FEO!$G$6</f>
        <v>47097</v>
      </c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</row>
    <row r="28" spans="1:46" ht="12" thickBot="1" x14ac:dyDescent="0.25">
      <c r="A28" s="49" t="s">
        <v>209</v>
      </c>
      <c r="B28" s="62">
        <f>FEO!$V$7</f>
        <v>52577</v>
      </c>
      <c r="C28" s="62">
        <f>FEO!$V$7</f>
        <v>52577</v>
      </c>
      <c r="D28" s="62">
        <f>FEO!$V$7</f>
        <v>52577</v>
      </c>
      <c r="E28" s="62"/>
      <c r="F28" s="62"/>
      <c r="G28" s="62">
        <f>FEO!$V$7</f>
        <v>52577</v>
      </c>
      <c r="H28" s="62">
        <f>FEO!$V$7</f>
        <v>52577</v>
      </c>
      <c r="I28" s="62"/>
      <c r="J28" s="62"/>
      <c r="K28" s="62"/>
      <c r="L28" s="62">
        <f>FEO!$V$7</f>
        <v>52577</v>
      </c>
      <c r="M28" s="62">
        <f>FEO!$V$7</f>
        <v>52577</v>
      </c>
      <c r="N28" s="62"/>
      <c r="O28" s="62"/>
      <c r="P28" s="62"/>
      <c r="Q28" s="62">
        <f>FEO!$V$7</f>
        <v>52577</v>
      </c>
      <c r="R28" s="62">
        <f>FEO!$V$7</f>
        <v>52577</v>
      </c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</row>
    <row r="29" spans="1:46" ht="23.4" thickBot="1" x14ac:dyDescent="0.25">
      <c r="A29" s="49" t="s">
        <v>310</v>
      </c>
      <c r="B29" s="78">
        <f>B9*365.25</f>
        <v>5481</v>
      </c>
      <c r="C29" s="78">
        <f t="shared" ref="C29:AO29" si="13">C9*365.25</f>
        <v>5481</v>
      </c>
      <c r="D29" s="78">
        <f t="shared" si="13"/>
        <v>5481</v>
      </c>
      <c r="E29" s="78">
        <f>E9*365.25</f>
        <v>0</v>
      </c>
      <c r="F29" s="78">
        <f t="shared" si="13"/>
        <v>0</v>
      </c>
      <c r="G29" s="78">
        <f t="shared" si="13"/>
        <v>5481</v>
      </c>
      <c r="H29" s="78">
        <f t="shared" si="13"/>
        <v>5481</v>
      </c>
      <c r="I29" s="78">
        <f t="shared" si="13"/>
        <v>0</v>
      </c>
      <c r="J29" s="78">
        <f t="shared" si="13"/>
        <v>0</v>
      </c>
      <c r="K29" s="78">
        <f t="shared" si="13"/>
        <v>0</v>
      </c>
      <c r="L29" s="78">
        <f t="shared" si="13"/>
        <v>5481</v>
      </c>
      <c r="M29" s="78">
        <f t="shared" si="13"/>
        <v>5481</v>
      </c>
      <c r="N29" s="78">
        <f t="shared" si="13"/>
        <v>0</v>
      </c>
      <c r="O29" s="78">
        <f t="shared" si="13"/>
        <v>0</v>
      </c>
      <c r="P29" s="78">
        <f t="shared" si="13"/>
        <v>0</v>
      </c>
      <c r="Q29" s="78">
        <f t="shared" si="13"/>
        <v>5478.75</v>
      </c>
      <c r="R29" s="78">
        <f t="shared" si="13"/>
        <v>5481</v>
      </c>
      <c r="S29" s="78">
        <f t="shared" si="13"/>
        <v>0</v>
      </c>
      <c r="T29" s="78">
        <f t="shared" si="13"/>
        <v>0</v>
      </c>
      <c r="U29" s="78">
        <f t="shared" si="13"/>
        <v>0</v>
      </c>
      <c r="V29" s="78">
        <f t="shared" si="13"/>
        <v>0</v>
      </c>
      <c r="W29" s="78">
        <f t="shared" si="13"/>
        <v>0</v>
      </c>
      <c r="X29" s="78">
        <f t="shared" si="13"/>
        <v>0</v>
      </c>
      <c r="Y29" s="78">
        <f t="shared" si="13"/>
        <v>0</v>
      </c>
      <c r="Z29" s="78">
        <f t="shared" si="13"/>
        <v>0</v>
      </c>
      <c r="AA29" s="78">
        <f t="shared" si="13"/>
        <v>0</v>
      </c>
      <c r="AB29" s="78">
        <f t="shared" si="13"/>
        <v>0</v>
      </c>
      <c r="AC29" s="78">
        <f t="shared" si="13"/>
        <v>0</v>
      </c>
      <c r="AD29" s="78">
        <f t="shared" si="13"/>
        <v>0</v>
      </c>
      <c r="AE29" s="78">
        <f t="shared" si="13"/>
        <v>0</v>
      </c>
      <c r="AF29" s="78">
        <f t="shared" si="13"/>
        <v>0</v>
      </c>
      <c r="AG29" s="78">
        <f t="shared" si="13"/>
        <v>0</v>
      </c>
      <c r="AH29" s="78">
        <f t="shared" si="13"/>
        <v>0</v>
      </c>
      <c r="AI29" s="78">
        <f t="shared" si="13"/>
        <v>0</v>
      </c>
      <c r="AJ29" s="78">
        <f t="shared" si="13"/>
        <v>0</v>
      </c>
      <c r="AK29" s="78">
        <f t="shared" si="13"/>
        <v>0</v>
      </c>
      <c r="AL29" s="78">
        <f t="shared" si="13"/>
        <v>0</v>
      </c>
      <c r="AM29" s="78">
        <f t="shared" si="13"/>
        <v>0</v>
      </c>
      <c r="AN29" s="78">
        <f t="shared" si="13"/>
        <v>0</v>
      </c>
      <c r="AO29" s="78">
        <f t="shared" si="13"/>
        <v>0</v>
      </c>
    </row>
    <row r="30" spans="1:46" ht="23.4" thickBot="1" x14ac:dyDescent="0.25">
      <c r="A30" s="49" t="s">
        <v>206</v>
      </c>
      <c r="B30" s="78">
        <f>IF(B27=0,0,B28-B27+1)</f>
        <v>5481</v>
      </c>
      <c r="C30" s="78">
        <f t="shared" ref="C30:AO30" si="14">IF(C27=0,0,C28-C27+1)</f>
        <v>5481</v>
      </c>
      <c r="D30" s="78">
        <f t="shared" si="14"/>
        <v>5481</v>
      </c>
      <c r="E30" s="78">
        <f t="shared" si="14"/>
        <v>0</v>
      </c>
      <c r="F30" s="78">
        <f t="shared" si="14"/>
        <v>0</v>
      </c>
      <c r="G30" s="78">
        <f t="shared" si="14"/>
        <v>5481</v>
      </c>
      <c r="H30" s="78">
        <f t="shared" si="14"/>
        <v>5481</v>
      </c>
      <c r="I30" s="78">
        <f t="shared" si="14"/>
        <v>0</v>
      </c>
      <c r="J30" s="78">
        <f t="shared" si="14"/>
        <v>0</v>
      </c>
      <c r="K30" s="78">
        <f t="shared" si="14"/>
        <v>0</v>
      </c>
      <c r="L30" s="78">
        <f t="shared" si="14"/>
        <v>5481</v>
      </c>
      <c r="M30" s="78">
        <f t="shared" si="14"/>
        <v>5481</v>
      </c>
      <c r="N30" s="78">
        <f t="shared" si="14"/>
        <v>0</v>
      </c>
      <c r="O30" s="78">
        <f t="shared" si="14"/>
        <v>0</v>
      </c>
      <c r="P30" s="78">
        <f t="shared" si="14"/>
        <v>0</v>
      </c>
      <c r="Q30" s="78">
        <f t="shared" si="14"/>
        <v>5481</v>
      </c>
      <c r="R30" s="78">
        <f t="shared" si="14"/>
        <v>5481</v>
      </c>
      <c r="S30" s="78">
        <f t="shared" si="14"/>
        <v>0</v>
      </c>
      <c r="T30" s="78">
        <f t="shared" si="14"/>
        <v>0</v>
      </c>
      <c r="U30" s="78">
        <f t="shared" si="14"/>
        <v>0</v>
      </c>
      <c r="V30" s="78">
        <f t="shared" si="14"/>
        <v>0</v>
      </c>
      <c r="W30" s="78">
        <f t="shared" si="14"/>
        <v>0</v>
      </c>
      <c r="X30" s="78">
        <f t="shared" si="14"/>
        <v>0</v>
      </c>
      <c r="Y30" s="78">
        <f t="shared" si="14"/>
        <v>0</v>
      </c>
      <c r="Z30" s="78">
        <f t="shared" si="14"/>
        <v>0</v>
      </c>
      <c r="AA30" s="78">
        <f t="shared" si="14"/>
        <v>0</v>
      </c>
      <c r="AB30" s="78">
        <f t="shared" si="14"/>
        <v>0</v>
      </c>
      <c r="AC30" s="78">
        <f t="shared" si="14"/>
        <v>0</v>
      </c>
      <c r="AD30" s="78">
        <f t="shared" si="14"/>
        <v>0</v>
      </c>
      <c r="AE30" s="78">
        <f t="shared" si="14"/>
        <v>0</v>
      </c>
      <c r="AF30" s="78">
        <f t="shared" si="14"/>
        <v>0</v>
      </c>
      <c r="AG30" s="78">
        <f t="shared" si="14"/>
        <v>0</v>
      </c>
      <c r="AH30" s="78">
        <f t="shared" si="14"/>
        <v>0</v>
      </c>
      <c r="AI30" s="78">
        <f t="shared" si="14"/>
        <v>0</v>
      </c>
      <c r="AJ30" s="78">
        <f t="shared" si="14"/>
        <v>0</v>
      </c>
      <c r="AK30" s="78">
        <f t="shared" si="14"/>
        <v>0</v>
      </c>
      <c r="AL30" s="78">
        <f t="shared" si="14"/>
        <v>0</v>
      </c>
      <c r="AM30" s="78">
        <f t="shared" si="14"/>
        <v>0</v>
      </c>
      <c r="AN30" s="78">
        <f t="shared" si="14"/>
        <v>0</v>
      </c>
      <c r="AO30" s="78">
        <f t="shared" si="14"/>
        <v>0</v>
      </c>
    </row>
    <row r="31" spans="1:46" ht="12" thickBot="1" x14ac:dyDescent="0.25">
      <c r="A31" s="49" t="s">
        <v>141</v>
      </c>
      <c r="B31" s="50">
        <f>IFERROR((B26)/B29,0)</f>
        <v>2015.7416529830323</v>
      </c>
      <c r="C31" s="50">
        <f t="shared" ref="C31:AO31" si="15">IFERROR((C26)/C29,0)</f>
        <v>0</v>
      </c>
      <c r="D31" s="50">
        <f t="shared" si="15"/>
        <v>98.084291187739467</v>
      </c>
      <c r="E31" s="50">
        <f t="shared" si="15"/>
        <v>0</v>
      </c>
      <c r="F31" s="50">
        <f t="shared" si="15"/>
        <v>0</v>
      </c>
      <c r="G31" s="50">
        <f t="shared" si="15"/>
        <v>2932.2733077905491</v>
      </c>
      <c r="H31" s="50">
        <f t="shared" si="15"/>
        <v>133.50361856108984</v>
      </c>
      <c r="I31" s="50">
        <f t="shared" si="15"/>
        <v>0</v>
      </c>
      <c r="J31" s="50">
        <f t="shared" si="15"/>
        <v>0</v>
      </c>
      <c r="K31" s="50">
        <f t="shared" si="15"/>
        <v>0</v>
      </c>
      <c r="L31" s="50">
        <f t="shared" si="15"/>
        <v>563.9073161831783</v>
      </c>
      <c r="M31" s="50">
        <f t="shared" si="15"/>
        <v>2.7245636441038741</v>
      </c>
      <c r="N31" s="50">
        <f t="shared" si="15"/>
        <v>0</v>
      </c>
      <c r="O31" s="50">
        <f t="shared" si="15"/>
        <v>0</v>
      </c>
      <c r="P31" s="50">
        <f t="shared" si="15"/>
        <v>0</v>
      </c>
      <c r="Q31" s="50">
        <f t="shared" si="15"/>
        <v>0</v>
      </c>
      <c r="R31" s="50">
        <f t="shared" si="15"/>
        <v>2.7245636441038741</v>
      </c>
      <c r="S31" s="50">
        <f t="shared" si="15"/>
        <v>0</v>
      </c>
      <c r="T31" s="50">
        <f t="shared" si="15"/>
        <v>0</v>
      </c>
      <c r="U31" s="50">
        <f t="shared" si="15"/>
        <v>0</v>
      </c>
      <c r="V31" s="50">
        <f t="shared" si="15"/>
        <v>0</v>
      </c>
      <c r="W31" s="50">
        <f t="shared" si="15"/>
        <v>0</v>
      </c>
      <c r="X31" s="50">
        <f t="shared" si="15"/>
        <v>0</v>
      </c>
      <c r="Y31" s="50">
        <f t="shared" si="15"/>
        <v>0</v>
      </c>
      <c r="Z31" s="50">
        <f t="shared" si="15"/>
        <v>0</v>
      </c>
      <c r="AA31" s="50">
        <f t="shared" si="15"/>
        <v>0</v>
      </c>
      <c r="AB31" s="50">
        <f t="shared" si="15"/>
        <v>0</v>
      </c>
      <c r="AC31" s="50">
        <f t="shared" si="15"/>
        <v>0</v>
      </c>
      <c r="AD31" s="50">
        <f t="shared" si="15"/>
        <v>0</v>
      </c>
      <c r="AE31" s="50">
        <f t="shared" si="15"/>
        <v>0</v>
      </c>
      <c r="AF31" s="50">
        <f t="shared" si="15"/>
        <v>0</v>
      </c>
      <c r="AG31" s="50">
        <f t="shared" si="15"/>
        <v>0</v>
      </c>
      <c r="AH31" s="50">
        <f t="shared" si="15"/>
        <v>0</v>
      </c>
      <c r="AI31" s="50">
        <f t="shared" si="15"/>
        <v>0</v>
      </c>
      <c r="AJ31" s="50">
        <f t="shared" si="15"/>
        <v>0</v>
      </c>
      <c r="AK31" s="50">
        <f t="shared" si="15"/>
        <v>0</v>
      </c>
      <c r="AL31" s="50">
        <f t="shared" si="15"/>
        <v>0</v>
      </c>
      <c r="AM31" s="50">
        <f t="shared" si="15"/>
        <v>0</v>
      </c>
      <c r="AN31" s="50">
        <f t="shared" si="15"/>
        <v>0</v>
      </c>
      <c r="AO31" s="50">
        <f t="shared" si="15"/>
        <v>0</v>
      </c>
    </row>
    <row r="33" spans="1:41" ht="11.4" x14ac:dyDescent="0.2">
      <c r="A33" s="298" t="s">
        <v>479</v>
      </c>
    </row>
    <row r="35" spans="1:41" ht="12" thickBot="1" x14ac:dyDescent="0.25">
      <c r="A35" s="52" t="s">
        <v>142</v>
      </c>
    </row>
    <row r="36" spans="1:41" ht="12" thickBot="1" x14ac:dyDescent="0.25">
      <c r="A36" s="54">
        <f>FEO!$G$5</f>
        <v>2028</v>
      </c>
      <c r="B36" s="55">
        <f t="shared" ref="B36:Q42" si="16">IF(AND($A36&gt;YEAR(B$27),$A36&lt;YEAR(B$28)),(DATE($A36,12,31)-DATE($A36,1,0))*B$31,IF(AND($A36=YEAR(B$27),$A36=YEAR(B$28)),(B$28-B$27+1)*B$31,IF($A36=YEAR(B$27),(DATE(YEAR(B$27),12,31)-B$27+1)*B$31,IF($A36=YEAR(B$28),(B$28-DATE(YEAR(B$28),1,1))*B$31,0))))</f>
        <v>44346.316365626713</v>
      </c>
      <c r="C36" s="55">
        <f t="shared" si="16"/>
        <v>0</v>
      </c>
      <c r="D36" s="55">
        <f t="shared" si="16"/>
        <v>2157.8544061302682</v>
      </c>
      <c r="E36" s="55">
        <f t="shared" si="16"/>
        <v>0</v>
      </c>
      <c r="F36" s="55">
        <f t="shared" si="16"/>
        <v>0</v>
      </c>
      <c r="G36" s="55">
        <f t="shared" si="16"/>
        <v>64510.012771392081</v>
      </c>
      <c r="H36" s="55">
        <f t="shared" si="16"/>
        <v>2937.0796083439764</v>
      </c>
      <c r="I36" s="55">
        <f t="shared" si="16"/>
        <v>0</v>
      </c>
      <c r="J36" s="55">
        <f t="shared" si="16"/>
        <v>0</v>
      </c>
      <c r="K36" s="55">
        <f t="shared" si="16"/>
        <v>0</v>
      </c>
      <c r="L36" s="55">
        <f t="shared" si="16"/>
        <v>12405.960956029923</v>
      </c>
      <c r="M36" s="55">
        <f t="shared" si="16"/>
        <v>59.94040017028523</v>
      </c>
      <c r="N36" s="55">
        <f t="shared" si="16"/>
        <v>0</v>
      </c>
      <c r="O36" s="55">
        <f t="shared" si="16"/>
        <v>0</v>
      </c>
      <c r="P36" s="55">
        <f t="shared" si="16"/>
        <v>0</v>
      </c>
      <c r="Q36" s="55">
        <f t="shared" si="16"/>
        <v>0</v>
      </c>
      <c r="R36" s="55">
        <f t="shared" ref="C36:AO42" si="17">IF(AND($A36&gt;YEAR(R$27),$A36&lt;YEAR(R$28)),(DATE($A36,12,31)-DATE($A36,1,0))*R$31,IF(AND($A36=YEAR(R$27),$A36=YEAR(R$28)),(R$28-R$27+1)*R$31,IF($A36=YEAR(R$27),(DATE(YEAR(R$27),12,31)-R$27+1)*R$31,IF($A36=YEAR(R$28),(R$28-DATE(YEAR(R$28),1,1))*R$31,0))))</f>
        <v>59.94040017028523</v>
      </c>
      <c r="S36" s="55">
        <f t="shared" si="17"/>
        <v>0</v>
      </c>
      <c r="T36" s="55">
        <f t="shared" si="17"/>
        <v>0</v>
      </c>
      <c r="U36" s="55">
        <f t="shared" si="17"/>
        <v>0</v>
      </c>
      <c r="V36" s="55">
        <f t="shared" si="17"/>
        <v>0</v>
      </c>
      <c r="W36" s="55">
        <f t="shared" si="17"/>
        <v>0</v>
      </c>
      <c r="X36" s="55">
        <f t="shared" si="17"/>
        <v>0</v>
      </c>
      <c r="Y36" s="55">
        <f t="shared" si="17"/>
        <v>0</v>
      </c>
      <c r="Z36" s="55">
        <f t="shared" si="17"/>
        <v>0</v>
      </c>
      <c r="AA36" s="55">
        <f t="shared" si="17"/>
        <v>0</v>
      </c>
      <c r="AB36" s="55">
        <f t="shared" si="17"/>
        <v>0</v>
      </c>
      <c r="AC36" s="55">
        <f t="shared" si="17"/>
        <v>0</v>
      </c>
      <c r="AD36" s="55">
        <f t="shared" si="17"/>
        <v>0</v>
      </c>
      <c r="AE36" s="55">
        <f t="shared" si="17"/>
        <v>0</v>
      </c>
      <c r="AF36" s="55">
        <f t="shared" si="17"/>
        <v>0</v>
      </c>
      <c r="AG36" s="55">
        <f t="shared" si="17"/>
        <v>0</v>
      </c>
      <c r="AH36" s="55">
        <f t="shared" si="17"/>
        <v>0</v>
      </c>
      <c r="AI36" s="55">
        <f t="shared" si="17"/>
        <v>0</v>
      </c>
      <c r="AJ36" s="55">
        <f t="shared" si="17"/>
        <v>0</v>
      </c>
      <c r="AK36" s="55">
        <f t="shared" si="17"/>
        <v>0</v>
      </c>
      <c r="AL36" s="55">
        <f t="shared" si="17"/>
        <v>0</v>
      </c>
      <c r="AM36" s="55">
        <f t="shared" si="17"/>
        <v>0</v>
      </c>
      <c r="AN36" s="55">
        <f t="shared" si="17"/>
        <v>0</v>
      </c>
      <c r="AO36" s="55">
        <f t="shared" si="17"/>
        <v>0</v>
      </c>
    </row>
    <row r="37" spans="1:41" ht="12" thickBot="1" x14ac:dyDescent="0.25">
      <c r="A37" s="54">
        <f>FEO!$H$5</f>
        <v>2029</v>
      </c>
      <c r="B37" s="55">
        <f t="shared" si="16"/>
        <v>735745.70333880675</v>
      </c>
      <c r="C37" s="55">
        <f t="shared" si="17"/>
        <v>0</v>
      </c>
      <c r="D37" s="55">
        <f t="shared" si="17"/>
        <v>35800.766283524907</v>
      </c>
      <c r="E37" s="55">
        <f t="shared" si="17"/>
        <v>0</v>
      </c>
      <c r="F37" s="55">
        <f t="shared" si="17"/>
        <v>0</v>
      </c>
      <c r="G37" s="55">
        <f t="shared" si="17"/>
        <v>1070279.7573435504</v>
      </c>
      <c r="H37" s="55">
        <f t="shared" si="17"/>
        <v>48728.820774797794</v>
      </c>
      <c r="I37" s="55">
        <f t="shared" si="17"/>
        <v>0</v>
      </c>
      <c r="J37" s="55">
        <f t="shared" si="17"/>
        <v>0</v>
      </c>
      <c r="K37" s="55">
        <f t="shared" si="17"/>
        <v>0</v>
      </c>
      <c r="L37" s="55">
        <f t="shared" si="16"/>
        <v>205826.17040686007</v>
      </c>
      <c r="M37" s="55">
        <f t="shared" si="17"/>
        <v>994.46573009791405</v>
      </c>
      <c r="N37" s="55">
        <f t="shared" si="17"/>
        <v>0</v>
      </c>
      <c r="O37" s="55">
        <f t="shared" si="17"/>
        <v>0</v>
      </c>
      <c r="P37" s="55">
        <f t="shared" si="17"/>
        <v>0</v>
      </c>
      <c r="Q37" s="55">
        <f t="shared" si="17"/>
        <v>0</v>
      </c>
      <c r="R37" s="55">
        <f t="shared" si="17"/>
        <v>994.46573009791405</v>
      </c>
      <c r="S37" s="55">
        <f t="shared" si="17"/>
        <v>0</v>
      </c>
      <c r="T37" s="55">
        <f t="shared" si="17"/>
        <v>0</v>
      </c>
      <c r="U37" s="55">
        <f t="shared" si="17"/>
        <v>0</v>
      </c>
      <c r="V37" s="55">
        <f t="shared" si="17"/>
        <v>0</v>
      </c>
      <c r="W37" s="55">
        <f t="shared" si="17"/>
        <v>0</v>
      </c>
      <c r="X37" s="55">
        <f t="shared" si="17"/>
        <v>0</v>
      </c>
      <c r="Y37" s="55">
        <f t="shared" si="17"/>
        <v>0</v>
      </c>
      <c r="Z37" s="55">
        <f t="shared" si="17"/>
        <v>0</v>
      </c>
      <c r="AA37" s="55">
        <f t="shared" si="17"/>
        <v>0</v>
      </c>
      <c r="AB37" s="55">
        <f t="shared" si="17"/>
        <v>0</v>
      </c>
      <c r="AC37" s="55">
        <f t="shared" si="17"/>
        <v>0</v>
      </c>
      <c r="AD37" s="55">
        <f t="shared" si="17"/>
        <v>0</v>
      </c>
      <c r="AE37" s="55">
        <f t="shared" si="17"/>
        <v>0</v>
      </c>
      <c r="AF37" s="55">
        <f t="shared" si="17"/>
        <v>0</v>
      </c>
      <c r="AG37" s="55">
        <f t="shared" si="17"/>
        <v>0</v>
      </c>
      <c r="AH37" s="55">
        <f t="shared" si="17"/>
        <v>0</v>
      </c>
      <c r="AI37" s="55">
        <f t="shared" si="17"/>
        <v>0</v>
      </c>
      <c r="AJ37" s="55">
        <f t="shared" si="17"/>
        <v>0</v>
      </c>
      <c r="AK37" s="55">
        <f t="shared" si="17"/>
        <v>0</v>
      </c>
      <c r="AL37" s="55">
        <f t="shared" si="17"/>
        <v>0</v>
      </c>
      <c r="AM37" s="55">
        <f t="shared" si="17"/>
        <v>0</v>
      </c>
      <c r="AN37" s="55">
        <f t="shared" si="17"/>
        <v>0</v>
      </c>
      <c r="AO37" s="55">
        <f t="shared" si="17"/>
        <v>0</v>
      </c>
    </row>
    <row r="38" spans="1:41" ht="12" thickBot="1" x14ac:dyDescent="0.25">
      <c r="A38" s="54">
        <f>FEO!$I$5</f>
        <v>2030</v>
      </c>
      <c r="B38" s="55">
        <f t="shared" si="16"/>
        <v>735745.70333880675</v>
      </c>
      <c r="C38" s="55">
        <f t="shared" si="17"/>
        <v>0</v>
      </c>
      <c r="D38" s="55">
        <f t="shared" si="17"/>
        <v>35800.766283524907</v>
      </c>
      <c r="E38" s="55">
        <f t="shared" si="17"/>
        <v>0</v>
      </c>
      <c r="F38" s="55">
        <f t="shared" si="17"/>
        <v>0</v>
      </c>
      <c r="G38" s="55">
        <f t="shared" si="17"/>
        <v>1070279.7573435504</v>
      </c>
      <c r="H38" s="55">
        <f t="shared" si="17"/>
        <v>48728.820774797794</v>
      </c>
      <c r="I38" s="55">
        <f t="shared" si="17"/>
        <v>0</v>
      </c>
      <c r="J38" s="55">
        <f t="shared" si="17"/>
        <v>0</v>
      </c>
      <c r="K38" s="55">
        <f t="shared" si="17"/>
        <v>0</v>
      </c>
      <c r="L38" s="55">
        <f t="shared" si="16"/>
        <v>205826.17040686007</v>
      </c>
      <c r="M38" s="55">
        <f t="shared" si="17"/>
        <v>994.46573009791405</v>
      </c>
      <c r="N38" s="55">
        <f t="shared" si="17"/>
        <v>0</v>
      </c>
      <c r="O38" s="55">
        <f t="shared" si="17"/>
        <v>0</v>
      </c>
      <c r="P38" s="55">
        <f t="shared" si="17"/>
        <v>0</v>
      </c>
      <c r="Q38" s="55">
        <f t="shared" si="17"/>
        <v>0</v>
      </c>
      <c r="R38" s="55">
        <f t="shared" si="17"/>
        <v>994.46573009791405</v>
      </c>
      <c r="S38" s="55">
        <f t="shared" si="17"/>
        <v>0</v>
      </c>
      <c r="T38" s="55">
        <f t="shared" si="17"/>
        <v>0</v>
      </c>
      <c r="U38" s="55">
        <f t="shared" si="17"/>
        <v>0</v>
      </c>
      <c r="V38" s="55">
        <f t="shared" si="17"/>
        <v>0</v>
      </c>
      <c r="W38" s="55">
        <f t="shared" si="17"/>
        <v>0</v>
      </c>
      <c r="X38" s="55">
        <f t="shared" si="17"/>
        <v>0</v>
      </c>
      <c r="Y38" s="55">
        <f t="shared" si="17"/>
        <v>0</v>
      </c>
      <c r="Z38" s="55">
        <f t="shared" si="17"/>
        <v>0</v>
      </c>
      <c r="AA38" s="55">
        <f t="shared" si="17"/>
        <v>0</v>
      </c>
      <c r="AB38" s="55">
        <f t="shared" si="17"/>
        <v>0</v>
      </c>
      <c r="AC38" s="55">
        <f t="shared" si="17"/>
        <v>0</v>
      </c>
      <c r="AD38" s="55">
        <f t="shared" si="17"/>
        <v>0</v>
      </c>
      <c r="AE38" s="55">
        <f t="shared" si="17"/>
        <v>0</v>
      </c>
      <c r="AF38" s="55">
        <f t="shared" si="17"/>
        <v>0</v>
      </c>
      <c r="AG38" s="55">
        <f t="shared" si="17"/>
        <v>0</v>
      </c>
      <c r="AH38" s="55">
        <f t="shared" si="17"/>
        <v>0</v>
      </c>
      <c r="AI38" s="55">
        <f t="shared" si="17"/>
        <v>0</v>
      </c>
      <c r="AJ38" s="55">
        <f t="shared" si="17"/>
        <v>0</v>
      </c>
      <c r="AK38" s="55">
        <f t="shared" si="17"/>
        <v>0</v>
      </c>
      <c r="AL38" s="55">
        <f t="shared" si="17"/>
        <v>0</v>
      </c>
      <c r="AM38" s="55">
        <f t="shared" si="17"/>
        <v>0</v>
      </c>
      <c r="AN38" s="55">
        <f t="shared" si="17"/>
        <v>0</v>
      </c>
      <c r="AO38" s="55">
        <f t="shared" si="17"/>
        <v>0</v>
      </c>
    </row>
    <row r="39" spans="1:41" ht="12" thickBot="1" x14ac:dyDescent="0.25">
      <c r="A39" s="54">
        <f>FEO!$J$5</f>
        <v>2031</v>
      </c>
      <c r="B39" s="55">
        <f t="shared" si="16"/>
        <v>735745.70333880675</v>
      </c>
      <c r="C39" s="55">
        <f t="shared" si="17"/>
        <v>0</v>
      </c>
      <c r="D39" s="55">
        <f t="shared" si="17"/>
        <v>35800.766283524907</v>
      </c>
      <c r="E39" s="55">
        <f t="shared" si="17"/>
        <v>0</v>
      </c>
      <c r="F39" s="55">
        <f t="shared" si="17"/>
        <v>0</v>
      </c>
      <c r="G39" s="55">
        <f t="shared" si="17"/>
        <v>1070279.7573435504</v>
      </c>
      <c r="H39" s="55">
        <f t="shared" si="17"/>
        <v>48728.820774797794</v>
      </c>
      <c r="I39" s="55">
        <f t="shared" si="17"/>
        <v>0</v>
      </c>
      <c r="J39" s="55">
        <f t="shared" si="17"/>
        <v>0</v>
      </c>
      <c r="K39" s="55">
        <f t="shared" si="17"/>
        <v>0</v>
      </c>
      <c r="L39" s="55">
        <f t="shared" si="16"/>
        <v>205826.17040686007</v>
      </c>
      <c r="M39" s="55">
        <f t="shared" si="17"/>
        <v>994.46573009791405</v>
      </c>
      <c r="N39" s="55">
        <f t="shared" si="17"/>
        <v>0</v>
      </c>
      <c r="O39" s="55">
        <f t="shared" si="17"/>
        <v>0</v>
      </c>
      <c r="P39" s="55">
        <f t="shared" si="17"/>
        <v>0</v>
      </c>
      <c r="Q39" s="55">
        <f t="shared" si="17"/>
        <v>0</v>
      </c>
      <c r="R39" s="55">
        <f t="shared" si="17"/>
        <v>994.46573009791405</v>
      </c>
      <c r="S39" s="55">
        <f t="shared" si="17"/>
        <v>0</v>
      </c>
      <c r="T39" s="55">
        <f t="shared" si="17"/>
        <v>0</v>
      </c>
      <c r="U39" s="55">
        <f t="shared" si="17"/>
        <v>0</v>
      </c>
      <c r="V39" s="55">
        <f t="shared" si="17"/>
        <v>0</v>
      </c>
      <c r="W39" s="55">
        <f t="shared" si="17"/>
        <v>0</v>
      </c>
      <c r="X39" s="55">
        <f t="shared" si="17"/>
        <v>0</v>
      </c>
      <c r="Y39" s="55">
        <f t="shared" si="17"/>
        <v>0</v>
      </c>
      <c r="Z39" s="55">
        <f t="shared" si="17"/>
        <v>0</v>
      </c>
      <c r="AA39" s="55">
        <f t="shared" si="17"/>
        <v>0</v>
      </c>
      <c r="AB39" s="55">
        <f t="shared" si="17"/>
        <v>0</v>
      </c>
      <c r="AC39" s="55">
        <f t="shared" si="17"/>
        <v>0</v>
      </c>
      <c r="AD39" s="55">
        <f t="shared" si="17"/>
        <v>0</v>
      </c>
      <c r="AE39" s="55">
        <f t="shared" si="17"/>
        <v>0</v>
      </c>
      <c r="AF39" s="55">
        <f t="shared" si="17"/>
        <v>0</v>
      </c>
      <c r="AG39" s="55">
        <f t="shared" si="17"/>
        <v>0</v>
      </c>
      <c r="AH39" s="55">
        <f t="shared" si="17"/>
        <v>0</v>
      </c>
      <c r="AI39" s="55">
        <f t="shared" si="17"/>
        <v>0</v>
      </c>
      <c r="AJ39" s="55">
        <f t="shared" si="17"/>
        <v>0</v>
      </c>
      <c r="AK39" s="55">
        <f t="shared" si="17"/>
        <v>0</v>
      </c>
      <c r="AL39" s="55">
        <f t="shared" si="17"/>
        <v>0</v>
      </c>
      <c r="AM39" s="55">
        <f t="shared" si="17"/>
        <v>0</v>
      </c>
      <c r="AN39" s="55">
        <f t="shared" si="17"/>
        <v>0</v>
      </c>
      <c r="AO39" s="55">
        <f t="shared" si="17"/>
        <v>0</v>
      </c>
    </row>
    <row r="40" spans="1:41" ht="12" thickBot="1" x14ac:dyDescent="0.25">
      <c r="A40" s="54">
        <f>FEO!$K$5</f>
        <v>2032</v>
      </c>
      <c r="B40" s="55">
        <f t="shared" si="16"/>
        <v>737761.44499178976</v>
      </c>
      <c r="C40" s="55">
        <f t="shared" si="17"/>
        <v>0</v>
      </c>
      <c r="D40" s="55">
        <f t="shared" si="17"/>
        <v>35898.850574712647</v>
      </c>
      <c r="E40" s="55">
        <f t="shared" si="17"/>
        <v>0</v>
      </c>
      <c r="F40" s="55">
        <f t="shared" si="17"/>
        <v>0</v>
      </c>
      <c r="G40" s="55">
        <f t="shared" si="17"/>
        <v>1073212.030651341</v>
      </c>
      <c r="H40" s="55">
        <f t="shared" si="17"/>
        <v>48862.324393358882</v>
      </c>
      <c r="I40" s="55">
        <f t="shared" si="17"/>
        <v>0</v>
      </c>
      <c r="J40" s="55">
        <f t="shared" si="17"/>
        <v>0</v>
      </c>
      <c r="K40" s="55">
        <f t="shared" si="17"/>
        <v>0</v>
      </c>
      <c r="L40" s="55">
        <f t="shared" si="16"/>
        <v>206390.07772304324</v>
      </c>
      <c r="M40" s="55">
        <f t="shared" si="17"/>
        <v>997.19029374201796</v>
      </c>
      <c r="N40" s="55">
        <f t="shared" si="17"/>
        <v>0</v>
      </c>
      <c r="O40" s="55">
        <f t="shared" si="17"/>
        <v>0</v>
      </c>
      <c r="P40" s="55">
        <f t="shared" si="17"/>
        <v>0</v>
      </c>
      <c r="Q40" s="55">
        <f t="shared" si="17"/>
        <v>0</v>
      </c>
      <c r="R40" s="55">
        <f t="shared" si="17"/>
        <v>997.19029374201796</v>
      </c>
      <c r="S40" s="55">
        <f t="shared" si="17"/>
        <v>0</v>
      </c>
      <c r="T40" s="55">
        <f t="shared" si="17"/>
        <v>0</v>
      </c>
      <c r="U40" s="55">
        <f t="shared" si="17"/>
        <v>0</v>
      </c>
      <c r="V40" s="55">
        <f t="shared" si="17"/>
        <v>0</v>
      </c>
      <c r="W40" s="55">
        <f t="shared" si="17"/>
        <v>0</v>
      </c>
      <c r="X40" s="55">
        <f t="shared" si="17"/>
        <v>0</v>
      </c>
      <c r="Y40" s="55">
        <f t="shared" si="17"/>
        <v>0</v>
      </c>
      <c r="Z40" s="55">
        <f t="shared" si="17"/>
        <v>0</v>
      </c>
      <c r="AA40" s="55">
        <f t="shared" si="17"/>
        <v>0</v>
      </c>
      <c r="AB40" s="55">
        <f t="shared" si="17"/>
        <v>0</v>
      </c>
      <c r="AC40" s="55">
        <f t="shared" si="17"/>
        <v>0</v>
      </c>
      <c r="AD40" s="55">
        <f t="shared" si="17"/>
        <v>0</v>
      </c>
      <c r="AE40" s="55">
        <f t="shared" si="17"/>
        <v>0</v>
      </c>
      <c r="AF40" s="55">
        <f t="shared" si="17"/>
        <v>0</v>
      </c>
      <c r="AG40" s="55">
        <f t="shared" si="17"/>
        <v>0</v>
      </c>
      <c r="AH40" s="55">
        <f t="shared" si="17"/>
        <v>0</v>
      </c>
      <c r="AI40" s="55">
        <f t="shared" si="17"/>
        <v>0</v>
      </c>
      <c r="AJ40" s="55">
        <f t="shared" si="17"/>
        <v>0</v>
      </c>
      <c r="AK40" s="55">
        <f t="shared" si="17"/>
        <v>0</v>
      </c>
      <c r="AL40" s="55">
        <f t="shared" si="17"/>
        <v>0</v>
      </c>
      <c r="AM40" s="55">
        <f t="shared" si="17"/>
        <v>0</v>
      </c>
      <c r="AN40" s="55">
        <f t="shared" si="17"/>
        <v>0</v>
      </c>
      <c r="AO40" s="55">
        <f t="shared" si="17"/>
        <v>0</v>
      </c>
    </row>
    <row r="41" spans="1:41" ht="12" thickBot="1" x14ac:dyDescent="0.25">
      <c r="A41" s="54">
        <f>FEO!$L$5</f>
        <v>2033</v>
      </c>
      <c r="B41" s="55">
        <f>IF(AND($A41&gt;YEAR(B$27),$A41&lt;YEAR(B$28)),(DATE($A41,12,31)-DATE($A41,1,0))*B$31,IF(AND($A41=YEAR(B$27),$A41=YEAR(B$28)),(B$28-B$27+1)*B$31,IF($A41=YEAR(B$27),(DATE(YEAR(B$27),12,31)-B$27+1)*B$31,IF($A41=YEAR(B$28),(B$28-DATE(YEAR(B$28),1,1))*B$31,0))))</f>
        <v>735745.70333880675</v>
      </c>
      <c r="C41" s="55">
        <f t="shared" si="17"/>
        <v>0</v>
      </c>
      <c r="D41" s="55">
        <f t="shared" si="17"/>
        <v>35800.766283524907</v>
      </c>
      <c r="E41" s="55">
        <f t="shared" si="17"/>
        <v>0</v>
      </c>
      <c r="F41" s="55">
        <f t="shared" si="17"/>
        <v>0</v>
      </c>
      <c r="G41" s="55">
        <f t="shared" si="17"/>
        <v>1070279.7573435504</v>
      </c>
      <c r="H41" s="55">
        <f t="shared" si="17"/>
        <v>48728.820774797794</v>
      </c>
      <c r="I41" s="55">
        <f t="shared" si="17"/>
        <v>0</v>
      </c>
      <c r="J41" s="55">
        <f t="shared" si="17"/>
        <v>0</v>
      </c>
      <c r="K41" s="55">
        <f t="shared" si="17"/>
        <v>0</v>
      </c>
      <c r="L41" s="55">
        <f t="shared" si="16"/>
        <v>205826.17040686007</v>
      </c>
      <c r="M41" s="55">
        <f t="shared" si="17"/>
        <v>994.46573009791405</v>
      </c>
      <c r="N41" s="55">
        <f t="shared" si="17"/>
        <v>0</v>
      </c>
      <c r="O41" s="55">
        <f t="shared" si="17"/>
        <v>0</v>
      </c>
      <c r="P41" s="55">
        <f t="shared" si="17"/>
        <v>0</v>
      </c>
      <c r="Q41" s="55">
        <f t="shared" si="17"/>
        <v>0</v>
      </c>
      <c r="R41" s="55">
        <f t="shared" si="17"/>
        <v>994.46573009791405</v>
      </c>
      <c r="S41" s="55">
        <f t="shared" si="17"/>
        <v>0</v>
      </c>
      <c r="T41" s="55">
        <f t="shared" si="17"/>
        <v>0</v>
      </c>
      <c r="U41" s="55">
        <f t="shared" si="17"/>
        <v>0</v>
      </c>
      <c r="V41" s="55">
        <f t="shared" si="17"/>
        <v>0</v>
      </c>
      <c r="W41" s="55">
        <f t="shared" si="17"/>
        <v>0</v>
      </c>
      <c r="X41" s="55">
        <f t="shared" si="17"/>
        <v>0</v>
      </c>
      <c r="Y41" s="55">
        <f t="shared" si="17"/>
        <v>0</v>
      </c>
      <c r="Z41" s="55">
        <f t="shared" si="17"/>
        <v>0</v>
      </c>
      <c r="AA41" s="55">
        <f t="shared" si="17"/>
        <v>0</v>
      </c>
      <c r="AB41" s="55">
        <f t="shared" si="17"/>
        <v>0</v>
      </c>
      <c r="AC41" s="55">
        <f t="shared" si="17"/>
        <v>0</v>
      </c>
      <c r="AD41" s="55">
        <f t="shared" si="17"/>
        <v>0</v>
      </c>
      <c r="AE41" s="55">
        <f t="shared" si="17"/>
        <v>0</v>
      </c>
      <c r="AF41" s="55">
        <f t="shared" si="17"/>
        <v>0</v>
      </c>
      <c r="AG41" s="55">
        <f t="shared" si="17"/>
        <v>0</v>
      </c>
      <c r="AH41" s="55">
        <f t="shared" si="17"/>
        <v>0</v>
      </c>
      <c r="AI41" s="55">
        <f t="shared" si="17"/>
        <v>0</v>
      </c>
      <c r="AJ41" s="55">
        <f t="shared" si="17"/>
        <v>0</v>
      </c>
      <c r="AK41" s="55">
        <f t="shared" si="17"/>
        <v>0</v>
      </c>
      <c r="AL41" s="55">
        <f t="shared" si="17"/>
        <v>0</v>
      </c>
      <c r="AM41" s="55">
        <f t="shared" si="17"/>
        <v>0</v>
      </c>
      <c r="AN41" s="55">
        <f t="shared" si="17"/>
        <v>0</v>
      </c>
      <c r="AO41" s="55">
        <f t="shared" si="17"/>
        <v>0</v>
      </c>
    </row>
    <row r="42" spans="1:41" ht="12" thickBot="1" x14ac:dyDescent="0.25">
      <c r="A42" s="54">
        <f>FEO!$M$5</f>
        <v>2034</v>
      </c>
      <c r="B42" s="55">
        <f t="shared" ref="B42:Q50" si="18">IF(AND($A42&gt;YEAR(B$27),$A42&lt;YEAR(B$28)),(DATE($A42,12,31)-DATE($A42,1,0))*B$31,IF(AND($A42=YEAR(B$27),$A42=YEAR(B$28)),(B$28-B$27+1)*B$31,IF($A42=YEAR(B$27),(DATE(YEAR(B$27),12,31)-B$27+1)*B$31,IF($A42=YEAR(B$28),(B$28-DATE(YEAR(B$28),1,1))*B$31,0))))</f>
        <v>735745.70333880675</v>
      </c>
      <c r="C42" s="55">
        <f t="shared" si="17"/>
        <v>0</v>
      </c>
      <c r="D42" s="55">
        <f t="shared" si="17"/>
        <v>35800.766283524907</v>
      </c>
      <c r="E42" s="55">
        <f t="shared" si="17"/>
        <v>0</v>
      </c>
      <c r="F42" s="55">
        <f t="shared" si="17"/>
        <v>0</v>
      </c>
      <c r="G42" s="55">
        <f t="shared" si="17"/>
        <v>1070279.7573435504</v>
      </c>
      <c r="H42" s="55">
        <f t="shared" si="17"/>
        <v>48728.820774797794</v>
      </c>
      <c r="I42" s="55">
        <f t="shared" si="17"/>
        <v>0</v>
      </c>
      <c r="J42" s="55">
        <f t="shared" si="17"/>
        <v>0</v>
      </c>
      <c r="K42" s="55">
        <f t="shared" si="17"/>
        <v>0</v>
      </c>
      <c r="L42" s="55">
        <f t="shared" si="16"/>
        <v>205826.17040686007</v>
      </c>
      <c r="M42" s="55">
        <f t="shared" si="17"/>
        <v>994.46573009791405</v>
      </c>
      <c r="N42" s="55">
        <f t="shared" si="17"/>
        <v>0</v>
      </c>
      <c r="O42" s="55">
        <f t="shared" si="17"/>
        <v>0</v>
      </c>
      <c r="P42" s="55">
        <f t="shared" si="17"/>
        <v>0</v>
      </c>
      <c r="Q42" s="55">
        <f t="shared" si="17"/>
        <v>0</v>
      </c>
      <c r="R42" s="55">
        <f t="shared" si="17"/>
        <v>994.46573009791405</v>
      </c>
      <c r="S42" s="55">
        <f t="shared" si="17"/>
        <v>0</v>
      </c>
      <c r="T42" s="55">
        <f t="shared" si="17"/>
        <v>0</v>
      </c>
      <c r="U42" s="55">
        <f t="shared" si="17"/>
        <v>0</v>
      </c>
      <c r="V42" s="55">
        <f t="shared" si="17"/>
        <v>0</v>
      </c>
      <c r="W42" s="55">
        <f t="shared" si="17"/>
        <v>0</v>
      </c>
      <c r="X42" s="55">
        <f t="shared" si="17"/>
        <v>0</v>
      </c>
      <c r="Y42" s="55">
        <f t="shared" si="17"/>
        <v>0</v>
      </c>
      <c r="Z42" s="55">
        <f t="shared" si="17"/>
        <v>0</v>
      </c>
      <c r="AA42" s="55">
        <f t="shared" si="17"/>
        <v>0</v>
      </c>
      <c r="AB42" s="55">
        <f t="shared" si="17"/>
        <v>0</v>
      </c>
      <c r="AC42" s="55">
        <f t="shared" si="17"/>
        <v>0</v>
      </c>
      <c r="AD42" s="55">
        <f t="shared" si="17"/>
        <v>0</v>
      </c>
      <c r="AE42" s="55">
        <f t="shared" si="17"/>
        <v>0</v>
      </c>
      <c r="AF42" s="55">
        <f t="shared" si="17"/>
        <v>0</v>
      </c>
      <c r="AG42" s="55">
        <f t="shared" si="17"/>
        <v>0</v>
      </c>
      <c r="AH42" s="55">
        <f t="shared" si="17"/>
        <v>0</v>
      </c>
      <c r="AI42" s="55">
        <f t="shared" si="17"/>
        <v>0</v>
      </c>
      <c r="AJ42" s="55">
        <f t="shared" si="17"/>
        <v>0</v>
      </c>
      <c r="AK42" s="55">
        <f t="shared" si="17"/>
        <v>0</v>
      </c>
      <c r="AL42" s="55">
        <f t="shared" si="17"/>
        <v>0</v>
      </c>
      <c r="AM42" s="55">
        <f t="shared" ref="AM42:AO42" si="19">IF(AND($A42&gt;YEAR(AM$27),$A42&lt;YEAR(AM$28)),(DATE($A42,12,31)-DATE($A42,1,0))*AM$31,IF(AND($A42=YEAR(AM$27),$A42=YEAR(AM$28)),(AM$28-AM$27+1)*AM$31,IF($A42=YEAR(AM$27),(DATE(YEAR(AM$27),12,31)-AM$27+1)*AM$31,IF($A42=YEAR(AM$28),(AM$28-DATE(YEAR(AM$28),1,1))*AM$31,0))))</f>
        <v>0</v>
      </c>
      <c r="AN42" s="55">
        <f t="shared" si="19"/>
        <v>0</v>
      </c>
      <c r="AO42" s="55">
        <f t="shared" si="19"/>
        <v>0</v>
      </c>
    </row>
    <row r="43" spans="1:41" ht="12" thickBot="1" x14ac:dyDescent="0.25">
      <c r="A43" s="54">
        <f>FEO!$N$5</f>
        <v>2035</v>
      </c>
      <c r="B43" s="55">
        <f t="shared" si="18"/>
        <v>735745.70333880675</v>
      </c>
      <c r="C43" s="55">
        <f t="shared" si="18"/>
        <v>0</v>
      </c>
      <c r="D43" s="55">
        <f t="shared" si="18"/>
        <v>35800.766283524907</v>
      </c>
      <c r="E43" s="55">
        <f t="shared" si="18"/>
        <v>0</v>
      </c>
      <c r="F43" s="55">
        <f t="shared" si="18"/>
        <v>0</v>
      </c>
      <c r="G43" s="55">
        <f t="shared" si="18"/>
        <v>1070279.7573435504</v>
      </c>
      <c r="H43" s="55">
        <f t="shared" si="18"/>
        <v>48728.820774797794</v>
      </c>
      <c r="I43" s="55">
        <f t="shared" si="18"/>
        <v>0</v>
      </c>
      <c r="J43" s="55">
        <f t="shared" si="18"/>
        <v>0</v>
      </c>
      <c r="K43" s="55">
        <f t="shared" si="18"/>
        <v>0</v>
      </c>
      <c r="L43" s="55">
        <f t="shared" si="18"/>
        <v>205826.17040686007</v>
      </c>
      <c r="M43" s="55">
        <f t="shared" si="18"/>
        <v>994.46573009791405</v>
      </c>
      <c r="N43" s="55">
        <f t="shared" si="18"/>
        <v>0</v>
      </c>
      <c r="O43" s="55">
        <f t="shared" si="18"/>
        <v>0</v>
      </c>
      <c r="P43" s="55">
        <f t="shared" si="18"/>
        <v>0</v>
      </c>
      <c r="Q43" s="55">
        <f t="shared" si="18"/>
        <v>0</v>
      </c>
      <c r="R43" s="55">
        <f t="shared" ref="R43:AG50" si="20">IF(AND($A43&gt;YEAR(R$27),$A43&lt;YEAR(R$28)),(DATE($A43,12,31)-DATE($A43,1,0))*R$31,IF(AND($A43=YEAR(R$27),$A43=YEAR(R$28)),(R$28-R$27+1)*R$31,IF($A43=YEAR(R$27),(DATE(YEAR(R$27),12,31)-R$27+1)*R$31,IF($A43=YEAR(R$28),(R$28-DATE(YEAR(R$28),1,1))*R$31,0))))</f>
        <v>994.46573009791405</v>
      </c>
      <c r="S43" s="55">
        <f t="shared" si="20"/>
        <v>0</v>
      </c>
      <c r="T43" s="55">
        <f t="shared" si="20"/>
        <v>0</v>
      </c>
      <c r="U43" s="55">
        <f t="shared" si="20"/>
        <v>0</v>
      </c>
      <c r="V43" s="55">
        <f t="shared" si="20"/>
        <v>0</v>
      </c>
      <c r="W43" s="55">
        <f t="shared" si="20"/>
        <v>0</v>
      </c>
      <c r="X43" s="55">
        <f t="shared" si="20"/>
        <v>0</v>
      </c>
      <c r="Y43" s="55">
        <f t="shared" si="20"/>
        <v>0</v>
      </c>
      <c r="Z43" s="55">
        <f t="shared" si="20"/>
        <v>0</v>
      </c>
      <c r="AA43" s="55">
        <f t="shared" si="20"/>
        <v>0</v>
      </c>
      <c r="AB43" s="55">
        <f t="shared" si="20"/>
        <v>0</v>
      </c>
      <c r="AC43" s="55">
        <f t="shared" si="20"/>
        <v>0</v>
      </c>
      <c r="AD43" s="55">
        <f t="shared" si="20"/>
        <v>0</v>
      </c>
      <c r="AE43" s="55">
        <f t="shared" si="20"/>
        <v>0</v>
      </c>
      <c r="AF43" s="55">
        <f t="shared" si="20"/>
        <v>0</v>
      </c>
      <c r="AG43" s="55">
        <f t="shared" si="20"/>
        <v>0</v>
      </c>
      <c r="AH43" s="55">
        <f t="shared" ref="AH43:AO50" si="21">IF(AND($A43&gt;YEAR(AH$27),$A43&lt;YEAR(AH$28)),(DATE($A43,12,31)-DATE($A43,1,0))*AH$31,IF(AND($A43=YEAR(AH$27),$A43=YEAR(AH$28)),(AH$28-AH$27+1)*AH$31,IF($A43=YEAR(AH$27),(DATE(YEAR(AH$27),12,31)-AH$27+1)*AH$31,IF($A43=YEAR(AH$28),(AH$28-DATE(YEAR(AH$28),1,1))*AH$31,0))))</f>
        <v>0</v>
      </c>
      <c r="AI43" s="55">
        <f t="shared" si="21"/>
        <v>0</v>
      </c>
      <c r="AJ43" s="55">
        <f t="shared" si="21"/>
        <v>0</v>
      </c>
      <c r="AK43" s="55">
        <f t="shared" si="21"/>
        <v>0</v>
      </c>
      <c r="AL43" s="55">
        <f t="shared" si="21"/>
        <v>0</v>
      </c>
      <c r="AM43" s="55">
        <f t="shared" si="21"/>
        <v>0</v>
      </c>
      <c r="AN43" s="55">
        <f t="shared" si="21"/>
        <v>0</v>
      </c>
      <c r="AO43" s="55">
        <f t="shared" si="21"/>
        <v>0</v>
      </c>
    </row>
    <row r="44" spans="1:41" ht="12" thickBot="1" x14ac:dyDescent="0.25">
      <c r="A44" s="54">
        <f>FEO!$O$5</f>
        <v>2036</v>
      </c>
      <c r="B44" s="55">
        <f t="shared" si="18"/>
        <v>737761.44499178976</v>
      </c>
      <c r="C44" s="55">
        <f t="shared" si="18"/>
        <v>0</v>
      </c>
      <c r="D44" s="55">
        <f t="shared" si="18"/>
        <v>35898.850574712647</v>
      </c>
      <c r="E44" s="55">
        <f t="shared" si="18"/>
        <v>0</v>
      </c>
      <c r="F44" s="55">
        <f t="shared" si="18"/>
        <v>0</v>
      </c>
      <c r="G44" s="55">
        <f t="shared" si="18"/>
        <v>1073212.030651341</v>
      </c>
      <c r="H44" s="55">
        <f t="shared" si="18"/>
        <v>48862.324393358882</v>
      </c>
      <c r="I44" s="55">
        <f t="shared" si="18"/>
        <v>0</v>
      </c>
      <c r="J44" s="55">
        <f t="shared" si="18"/>
        <v>0</v>
      </c>
      <c r="K44" s="55">
        <f t="shared" si="18"/>
        <v>0</v>
      </c>
      <c r="L44" s="55">
        <f t="shared" si="18"/>
        <v>206390.07772304324</v>
      </c>
      <c r="M44" s="55">
        <f t="shared" si="18"/>
        <v>997.19029374201796</v>
      </c>
      <c r="N44" s="55">
        <f t="shared" si="18"/>
        <v>0</v>
      </c>
      <c r="O44" s="55">
        <f t="shared" si="18"/>
        <v>0</v>
      </c>
      <c r="P44" s="55">
        <f t="shared" si="18"/>
        <v>0</v>
      </c>
      <c r="Q44" s="55">
        <f t="shared" si="18"/>
        <v>0</v>
      </c>
      <c r="R44" s="55">
        <f t="shared" si="20"/>
        <v>997.19029374201796</v>
      </c>
      <c r="S44" s="55">
        <f t="shared" si="20"/>
        <v>0</v>
      </c>
      <c r="T44" s="55">
        <f t="shared" si="20"/>
        <v>0</v>
      </c>
      <c r="U44" s="55">
        <f t="shared" si="20"/>
        <v>0</v>
      </c>
      <c r="V44" s="55">
        <f t="shared" si="20"/>
        <v>0</v>
      </c>
      <c r="W44" s="55">
        <f t="shared" si="20"/>
        <v>0</v>
      </c>
      <c r="X44" s="55">
        <f t="shared" si="20"/>
        <v>0</v>
      </c>
      <c r="Y44" s="55">
        <f t="shared" si="20"/>
        <v>0</v>
      </c>
      <c r="Z44" s="55">
        <f t="shared" si="20"/>
        <v>0</v>
      </c>
      <c r="AA44" s="55">
        <f t="shared" si="20"/>
        <v>0</v>
      </c>
      <c r="AB44" s="55">
        <f t="shared" si="20"/>
        <v>0</v>
      </c>
      <c r="AC44" s="55">
        <f t="shared" si="20"/>
        <v>0</v>
      </c>
      <c r="AD44" s="55">
        <f t="shared" si="20"/>
        <v>0</v>
      </c>
      <c r="AE44" s="55">
        <f t="shared" si="20"/>
        <v>0</v>
      </c>
      <c r="AF44" s="55">
        <f t="shared" si="20"/>
        <v>0</v>
      </c>
      <c r="AG44" s="55">
        <f t="shared" si="20"/>
        <v>0</v>
      </c>
      <c r="AH44" s="55">
        <f t="shared" si="21"/>
        <v>0</v>
      </c>
      <c r="AI44" s="55">
        <f t="shared" si="21"/>
        <v>0</v>
      </c>
      <c r="AJ44" s="55">
        <f t="shared" si="21"/>
        <v>0</v>
      </c>
      <c r="AK44" s="55">
        <f t="shared" si="21"/>
        <v>0</v>
      </c>
      <c r="AL44" s="55">
        <f t="shared" si="21"/>
        <v>0</v>
      </c>
      <c r="AM44" s="55">
        <f t="shared" si="21"/>
        <v>0</v>
      </c>
      <c r="AN44" s="55">
        <f t="shared" si="21"/>
        <v>0</v>
      </c>
      <c r="AO44" s="55">
        <f t="shared" si="21"/>
        <v>0</v>
      </c>
    </row>
    <row r="45" spans="1:41" ht="12" thickBot="1" x14ac:dyDescent="0.25">
      <c r="A45" s="54">
        <f>FEO!$P$5</f>
        <v>2037</v>
      </c>
      <c r="B45" s="55">
        <f t="shared" si="18"/>
        <v>735745.70333880675</v>
      </c>
      <c r="C45" s="55">
        <f t="shared" si="18"/>
        <v>0</v>
      </c>
      <c r="D45" s="55">
        <f t="shared" si="18"/>
        <v>35800.766283524907</v>
      </c>
      <c r="E45" s="55">
        <f t="shared" si="18"/>
        <v>0</v>
      </c>
      <c r="F45" s="55">
        <f t="shared" si="18"/>
        <v>0</v>
      </c>
      <c r="G45" s="55">
        <f t="shared" si="18"/>
        <v>1070279.7573435504</v>
      </c>
      <c r="H45" s="55">
        <f t="shared" si="18"/>
        <v>48728.820774797794</v>
      </c>
      <c r="I45" s="55">
        <f t="shared" si="18"/>
        <v>0</v>
      </c>
      <c r="J45" s="55">
        <f t="shared" si="18"/>
        <v>0</v>
      </c>
      <c r="K45" s="55">
        <f t="shared" si="18"/>
        <v>0</v>
      </c>
      <c r="L45" s="55">
        <f t="shared" si="18"/>
        <v>205826.17040686007</v>
      </c>
      <c r="M45" s="55">
        <f t="shared" si="18"/>
        <v>994.46573009791405</v>
      </c>
      <c r="N45" s="55">
        <f t="shared" si="18"/>
        <v>0</v>
      </c>
      <c r="O45" s="55">
        <f t="shared" si="18"/>
        <v>0</v>
      </c>
      <c r="P45" s="55">
        <f t="shared" si="18"/>
        <v>0</v>
      </c>
      <c r="Q45" s="55">
        <f t="shared" si="18"/>
        <v>0</v>
      </c>
      <c r="R45" s="55">
        <f t="shared" si="20"/>
        <v>994.46573009791405</v>
      </c>
      <c r="S45" s="55">
        <f t="shared" si="20"/>
        <v>0</v>
      </c>
      <c r="T45" s="55">
        <f t="shared" si="20"/>
        <v>0</v>
      </c>
      <c r="U45" s="55">
        <f t="shared" si="20"/>
        <v>0</v>
      </c>
      <c r="V45" s="55">
        <f t="shared" si="20"/>
        <v>0</v>
      </c>
      <c r="W45" s="55">
        <f t="shared" si="20"/>
        <v>0</v>
      </c>
      <c r="X45" s="55">
        <f t="shared" si="20"/>
        <v>0</v>
      </c>
      <c r="Y45" s="55">
        <f t="shared" si="20"/>
        <v>0</v>
      </c>
      <c r="Z45" s="55">
        <f t="shared" si="20"/>
        <v>0</v>
      </c>
      <c r="AA45" s="55">
        <f t="shared" si="20"/>
        <v>0</v>
      </c>
      <c r="AB45" s="55">
        <f t="shared" si="20"/>
        <v>0</v>
      </c>
      <c r="AC45" s="55">
        <f t="shared" si="20"/>
        <v>0</v>
      </c>
      <c r="AD45" s="55">
        <f t="shared" si="20"/>
        <v>0</v>
      </c>
      <c r="AE45" s="55">
        <f t="shared" si="20"/>
        <v>0</v>
      </c>
      <c r="AF45" s="55">
        <f t="shared" si="20"/>
        <v>0</v>
      </c>
      <c r="AG45" s="55">
        <f t="shared" si="20"/>
        <v>0</v>
      </c>
      <c r="AH45" s="55">
        <f t="shared" si="21"/>
        <v>0</v>
      </c>
      <c r="AI45" s="55">
        <f t="shared" si="21"/>
        <v>0</v>
      </c>
      <c r="AJ45" s="55">
        <f t="shared" si="21"/>
        <v>0</v>
      </c>
      <c r="AK45" s="55">
        <f t="shared" si="21"/>
        <v>0</v>
      </c>
      <c r="AL45" s="55">
        <f t="shared" si="21"/>
        <v>0</v>
      </c>
      <c r="AM45" s="55">
        <f t="shared" si="21"/>
        <v>0</v>
      </c>
      <c r="AN45" s="55">
        <f t="shared" si="21"/>
        <v>0</v>
      </c>
      <c r="AO45" s="55">
        <f t="shared" si="21"/>
        <v>0</v>
      </c>
    </row>
    <row r="46" spans="1:41" ht="12" thickBot="1" x14ac:dyDescent="0.25">
      <c r="A46" s="54">
        <f>FEO!$Q$5</f>
        <v>2038</v>
      </c>
      <c r="B46" s="55">
        <f t="shared" si="18"/>
        <v>735745.70333880675</v>
      </c>
      <c r="C46" s="55">
        <f t="shared" si="18"/>
        <v>0</v>
      </c>
      <c r="D46" s="55">
        <f t="shared" si="18"/>
        <v>35800.766283524907</v>
      </c>
      <c r="E46" s="55">
        <f t="shared" si="18"/>
        <v>0</v>
      </c>
      <c r="F46" s="55">
        <f t="shared" si="18"/>
        <v>0</v>
      </c>
      <c r="G46" s="55">
        <f t="shared" si="18"/>
        <v>1070279.7573435504</v>
      </c>
      <c r="H46" s="55">
        <f t="shared" si="18"/>
        <v>48728.820774797794</v>
      </c>
      <c r="I46" s="55">
        <f t="shared" si="18"/>
        <v>0</v>
      </c>
      <c r="J46" s="55">
        <f t="shared" si="18"/>
        <v>0</v>
      </c>
      <c r="K46" s="55">
        <f t="shared" si="18"/>
        <v>0</v>
      </c>
      <c r="L46" s="55">
        <f t="shared" si="18"/>
        <v>205826.17040686007</v>
      </c>
      <c r="M46" s="55">
        <f t="shared" si="18"/>
        <v>994.46573009791405</v>
      </c>
      <c r="N46" s="55">
        <f t="shared" si="18"/>
        <v>0</v>
      </c>
      <c r="O46" s="55">
        <f t="shared" si="18"/>
        <v>0</v>
      </c>
      <c r="P46" s="55">
        <f t="shared" si="18"/>
        <v>0</v>
      </c>
      <c r="Q46" s="55">
        <f t="shared" si="18"/>
        <v>0</v>
      </c>
      <c r="R46" s="55">
        <f t="shared" si="20"/>
        <v>994.46573009791405</v>
      </c>
      <c r="S46" s="55">
        <f t="shared" si="20"/>
        <v>0</v>
      </c>
      <c r="T46" s="55">
        <f t="shared" si="20"/>
        <v>0</v>
      </c>
      <c r="U46" s="55">
        <f t="shared" si="20"/>
        <v>0</v>
      </c>
      <c r="V46" s="55">
        <f t="shared" si="20"/>
        <v>0</v>
      </c>
      <c r="W46" s="55">
        <f t="shared" si="20"/>
        <v>0</v>
      </c>
      <c r="X46" s="55">
        <f t="shared" si="20"/>
        <v>0</v>
      </c>
      <c r="Y46" s="55">
        <f t="shared" si="20"/>
        <v>0</v>
      </c>
      <c r="Z46" s="55">
        <f t="shared" si="20"/>
        <v>0</v>
      </c>
      <c r="AA46" s="55">
        <f t="shared" si="20"/>
        <v>0</v>
      </c>
      <c r="AB46" s="55">
        <f t="shared" si="20"/>
        <v>0</v>
      </c>
      <c r="AC46" s="55">
        <f t="shared" si="20"/>
        <v>0</v>
      </c>
      <c r="AD46" s="55">
        <f t="shared" si="20"/>
        <v>0</v>
      </c>
      <c r="AE46" s="55">
        <f t="shared" si="20"/>
        <v>0</v>
      </c>
      <c r="AF46" s="55">
        <f t="shared" si="20"/>
        <v>0</v>
      </c>
      <c r="AG46" s="55">
        <f t="shared" si="20"/>
        <v>0</v>
      </c>
      <c r="AH46" s="55">
        <f t="shared" si="21"/>
        <v>0</v>
      </c>
      <c r="AI46" s="55">
        <f t="shared" si="21"/>
        <v>0</v>
      </c>
      <c r="AJ46" s="55">
        <f t="shared" si="21"/>
        <v>0</v>
      </c>
      <c r="AK46" s="55">
        <f t="shared" si="21"/>
        <v>0</v>
      </c>
      <c r="AL46" s="55">
        <f t="shared" si="21"/>
        <v>0</v>
      </c>
      <c r="AM46" s="55">
        <f t="shared" si="21"/>
        <v>0</v>
      </c>
      <c r="AN46" s="55">
        <f t="shared" si="21"/>
        <v>0</v>
      </c>
      <c r="AO46" s="55">
        <f t="shared" si="21"/>
        <v>0</v>
      </c>
    </row>
    <row r="47" spans="1:41" ht="12" thickBot="1" x14ac:dyDescent="0.25">
      <c r="A47" s="54">
        <f>FEO!$R$5</f>
        <v>2039</v>
      </c>
      <c r="B47" s="55">
        <f t="shared" si="18"/>
        <v>735745.70333880675</v>
      </c>
      <c r="C47" s="55">
        <f t="shared" si="18"/>
        <v>0</v>
      </c>
      <c r="D47" s="55">
        <f t="shared" si="18"/>
        <v>35800.766283524907</v>
      </c>
      <c r="E47" s="55">
        <f t="shared" si="18"/>
        <v>0</v>
      </c>
      <c r="F47" s="55">
        <f t="shared" si="18"/>
        <v>0</v>
      </c>
      <c r="G47" s="55">
        <f t="shared" si="18"/>
        <v>1070279.7573435504</v>
      </c>
      <c r="H47" s="55">
        <f t="shared" si="18"/>
        <v>48728.820774797794</v>
      </c>
      <c r="I47" s="55">
        <f t="shared" si="18"/>
        <v>0</v>
      </c>
      <c r="J47" s="55">
        <f t="shared" si="18"/>
        <v>0</v>
      </c>
      <c r="K47" s="55">
        <f t="shared" si="18"/>
        <v>0</v>
      </c>
      <c r="L47" s="55">
        <f t="shared" si="18"/>
        <v>205826.17040686007</v>
      </c>
      <c r="M47" s="55">
        <f t="shared" si="18"/>
        <v>994.46573009791405</v>
      </c>
      <c r="N47" s="55">
        <f t="shared" si="18"/>
        <v>0</v>
      </c>
      <c r="O47" s="55">
        <f t="shared" si="18"/>
        <v>0</v>
      </c>
      <c r="P47" s="55">
        <f t="shared" si="18"/>
        <v>0</v>
      </c>
      <c r="Q47" s="55">
        <f t="shared" si="18"/>
        <v>0</v>
      </c>
      <c r="R47" s="55">
        <f t="shared" si="20"/>
        <v>994.46573009791405</v>
      </c>
      <c r="S47" s="55">
        <f t="shared" si="20"/>
        <v>0</v>
      </c>
      <c r="T47" s="55">
        <f t="shared" si="20"/>
        <v>0</v>
      </c>
      <c r="U47" s="55">
        <f t="shared" si="20"/>
        <v>0</v>
      </c>
      <c r="V47" s="55">
        <f t="shared" si="20"/>
        <v>0</v>
      </c>
      <c r="W47" s="55">
        <f t="shared" si="20"/>
        <v>0</v>
      </c>
      <c r="X47" s="55">
        <f t="shared" si="20"/>
        <v>0</v>
      </c>
      <c r="Y47" s="55">
        <f t="shared" si="20"/>
        <v>0</v>
      </c>
      <c r="Z47" s="55">
        <f t="shared" si="20"/>
        <v>0</v>
      </c>
      <c r="AA47" s="55">
        <f t="shared" si="20"/>
        <v>0</v>
      </c>
      <c r="AB47" s="55">
        <f t="shared" si="20"/>
        <v>0</v>
      </c>
      <c r="AC47" s="55">
        <f t="shared" si="20"/>
        <v>0</v>
      </c>
      <c r="AD47" s="55">
        <f t="shared" si="20"/>
        <v>0</v>
      </c>
      <c r="AE47" s="55">
        <f t="shared" si="20"/>
        <v>0</v>
      </c>
      <c r="AF47" s="55">
        <f t="shared" si="20"/>
        <v>0</v>
      </c>
      <c r="AG47" s="55">
        <f t="shared" si="20"/>
        <v>0</v>
      </c>
      <c r="AH47" s="55">
        <f t="shared" si="21"/>
        <v>0</v>
      </c>
      <c r="AI47" s="55">
        <f t="shared" si="21"/>
        <v>0</v>
      </c>
      <c r="AJ47" s="55">
        <f t="shared" si="21"/>
        <v>0</v>
      </c>
      <c r="AK47" s="55">
        <f t="shared" si="21"/>
        <v>0</v>
      </c>
      <c r="AL47" s="55">
        <f t="shared" si="21"/>
        <v>0</v>
      </c>
      <c r="AM47" s="55">
        <f t="shared" si="21"/>
        <v>0</v>
      </c>
      <c r="AN47" s="55">
        <f t="shared" si="21"/>
        <v>0</v>
      </c>
      <c r="AO47" s="55">
        <f t="shared" si="21"/>
        <v>0</v>
      </c>
    </row>
    <row r="48" spans="1:41" ht="12" thickBot="1" x14ac:dyDescent="0.25">
      <c r="A48" s="54">
        <f>FEO!$S$5</f>
        <v>2040</v>
      </c>
      <c r="B48" s="55">
        <f t="shared" si="18"/>
        <v>737761.44499178976</v>
      </c>
      <c r="C48" s="55">
        <f t="shared" si="18"/>
        <v>0</v>
      </c>
      <c r="D48" s="55">
        <f t="shared" si="18"/>
        <v>35898.850574712647</v>
      </c>
      <c r="E48" s="55">
        <f t="shared" si="18"/>
        <v>0</v>
      </c>
      <c r="F48" s="55">
        <f t="shared" si="18"/>
        <v>0</v>
      </c>
      <c r="G48" s="55">
        <f t="shared" si="18"/>
        <v>1073212.030651341</v>
      </c>
      <c r="H48" s="55">
        <f t="shared" si="18"/>
        <v>48862.324393358882</v>
      </c>
      <c r="I48" s="55">
        <f t="shared" si="18"/>
        <v>0</v>
      </c>
      <c r="J48" s="55">
        <f t="shared" si="18"/>
        <v>0</v>
      </c>
      <c r="K48" s="55">
        <f t="shared" si="18"/>
        <v>0</v>
      </c>
      <c r="L48" s="55">
        <f t="shared" si="18"/>
        <v>206390.07772304324</v>
      </c>
      <c r="M48" s="55">
        <f t="shared" si="18"/>
        <v>997.19029374201796</v>
      </c>
      <c r="N48" s="55">
        <f t="shared" si="18"/>
        <v>0</v>
      </c>
      <c r="O48" s="55">
        <f t="shared" si="18"/>
        <v>0</v>
      </c>
      <c r="P48" s="55">
        <f t="shared" si="18"/>
        <v>0</v>
      </c>
      <c r="Q48" s="55">
        <f t="shared" si="18"/>
        <v>0</v>
      </c>
      <c r="R48" s="55">
        <f t="shared" si="20"/>
        <v>997.19029374201796</v>
      </c>
      <c r="S48" s="55">
        <f t="shared" si="20"/>
        <v>0</v>
      </c>
      <c r="T48" s="55">
        <f t="shared" si="20"/>
        <v>0</v>
      </c>
      <c r="U48" s="55">
        <f t="shared" si="20"/>
        <v>0</v>
      </c>
      <c r="V48" s="55">
        <f t="shared" si="20"/>
        <v>0</v>
      </c>
      <c r="W48" s="55">
        <f t="shared" si="20"/>
        <v>0</v>
      </c>
      <c r="X48" s="55">
        <f t="shared" si="20"/>
        <v>0</v>
      </c>
      <c r="Y48" s="55">
        <f t="shared" si="20"/>
        <v>0</v>
      </c>
      <c r="Z48" s="55">
        <f t="shared" si="20"/>
        <v>0</v>
      </c>
      <c r="AA48" s="55">
        <f t="shared" si="20"/>
        <v>0</v>
      </c>
      <c r="AB48" s="55">
        <f t="shared" si="20"/>
        <v>0</v>
      </c>
      <c r="AC48" s="55">
        <f t="shared" si="20"/>
        <v>0</v>
      </c>
      <c r="AD48" s="55">
        <f t="shared" si="20"/>
        <v>0</v>
      </c>
      <c r="AE48" s="55">
        <f t="shared" si="20"/>
        <v>0</v>
      </c>
      <c r="AF48" s="55">
        <f t="shared" si="20"/>
        <v>0</v>
      </c>
      <c r="AG48" s="55">
        <f t="shared" si="20"/>
        <v>0</v>
      </c>
      <c r="AH48" s="55">
        <f t="shared" si="21"/>
        <v>0</v>
      </c>
      <c r="AI48" s="55">
        <f t="shared" si="21"/>
        <v>0</v>
      </c>
      <c r="AJ48" s="55">
        <f t="shared" si="21"/>
        <v>0</v>
      </c>
      <c r="AK48" s="55">
        <f t="shared" si="21"/>
        <v>0</v>
      </c>
      <c r="AL48" s="55">
        <f t="shared" si="21"/>
        <v>0</v>
      </c>
      <c r="AM48" s="55">
        <f t="shared" si="21"/>
        <v>0</v>
      </c>
      <c r="AN48" s="55">
        <f t="shared" si="21"/>
        <v>0</v>
      </c>
      <c r="AO48" s="55">
        <f t="shared" si="21"/>
        <v>0</v>
      </c>
    </row>
    <row r="49" spans="1:41" ht="12" thickBot="1" x14ac:dyDescent="0.25">
      <c r="A49" s="54">
        <f>FEO!$T$5</f>
        <v>2041</v>
      </c>
      <c r="B49" s="55">
        <f t="shared" si="18"/>
        <v>735745.70333880675</v>
      </c>
      <c r="C49" s="55">
        <f t="shared" si="18"/>
        <v>0</v>
      </c>
      <c r="D49" s="55">
        <f t="shared" si="18"/>
        <v>35800.766283524907</v>
      </c>
      <c r="E49" s="55">
        <f t="shared" si="18"/>
        <v>0</v>
      </c>
      <c r="F49" s="55">
        <f t="shared" si="18"/>
        <v>0</v>
      </c>
      <c r="G49" s="55">
        <f t="shared" si="18"/>
        <v>1070279.7573435504</v>
      </c>
      <c r="H49" s="55">
        <f t="shared" si="18"/>
        <v>48728.820774797794</v>
      </c>
      <c r="I49" s="55">
        <f t="shared" si="18"/>
        <v>0</v>
      </c>
      <c r="J49" s="55">
        <f t="shared" si="18"/>
        <v>0</v>
      </c>
      <c r="K49" s="55">
        <f t="shared" si="18"/>
        <v>0</v>
      </c>
      <c r="L49" s="55">
        <f t="shared" si="18"/>
        <v>205826.17040686007</v>
      </c>
      <c r="M49" s="55">
        <f t="shared" si="18"/>
        <v>994.46573009791405</v>
      </c>
      <c r="N49" s="55">
        <f t="shared" si="18"/>
        <v>0</v>
      </c>
      <c r="O49" s="55">
        <f t="shared" si="18"/>
        <v>0</v>
      </c>
      <c r="P49" s="55">
        <f t="shared" si="18"/>
        <v>0</v>
      </c>
      <c r="Q49" s="55">
        <f t="shared" si="18"/>
        <v>0</v>
      </c>
      <c r="R49" s="55">
        <f t="shared" si="20"/>
        <v>994.46573009791405</v>
      </c>
      <c r="S49" s="55">
        <f t="shared" si="20"/>
        <v>0</v>
      </c>
      <c r="T49" s="55">
        <f t="shared" si="20"/>
        <v>0</v>
      </c>
      <c r="U49" s="55">
        <f t="shared" si="20"/>
        <v>0</v>
      </c>
      <c r="V49" s="55">
        <f t="shared" si="20"/>
        <v>0</v>
      </c>
      <c r="W49" s="55">
        <f t="shared" si="20"/>
        <v>0</v>
      </c>
      <c r="X49" s="55">
        <f t="shared" si="20"/>
        <v>0</v>
      </c>
      <c r="Y49" s="55">
        <f t="shared" si="20"/>
        <v>0</v>
      </c>
      <c r="Z49" s="55">
        <f t="shared" si="20"/>
        <v>0</v>
      </c>
      <c r="AA49" s="55">
        <f t="shared" si="20"/>
        <v>0</v>
      </c>
      <c r="AB49" s="55">
        <f t="shared" si="20"/>
        <v>0</v>
      </c>
      <c r="AC49" s="55">
        <f t="shared" si="20"/>
        <v>0</v>
      </c>
      <c r="AD49" s="55">
        <f t="shared" si="20"/>
        <v>0</v>
      </c>
      <c r="AE49" s="55">
        <f t="shared" si="20"/>
        <v>0</v>
      </c>
      <c r="AF49" s="55">
        <f t="shared" si="20"/>
        <v>0</v>
      </c>
      <c r="AG49" s="55">
        <f t="shared" si="20"/>
        <v>0</v>
      </c>
      <c r="AH49" s="55">
        <f t="shared" si="21"/>
        <v>0</v>
      </c>
      <c r="AI49" s="55">
        <f t="shared" si="21"/>
        <v>0</v>
      </c>
      <c r="AJ49" s="55">
        <f t="shared" si="21"/>
        <v>0</v>
      </c>
      <c r="AK49" s="55">
        <f t="shared" si="21"/>
        <v>0</v>
      </c>
      <c r="AL49" s="55">
        <f t="shared" si="21"/>
        <v>0</v>
      </c>
      <c r="AM49" s="55">
        <f t="shared" si="21"/>
        <v>0</v>
      </c>
      <c r="AN49" s="55">
        <f t="shared" si="21"/>
        <v>0</v>
      </c>
      <c r="AO49" s="55">
        <f t="shared" si="21"/>
        <v>0</v>
      </c>
    </row>
    <row r="50" spans="1:41" ht="12" thickBot="1" x14ac:dyDescent="0.25">
      <c r="A50" s="54">
        <f>FEO!$U$5</f>
        <v>2042</v>
      </c>
      <c r="B50" s="55">
        <f t="shared" si="18"/>
        <v>735745.70333880675</v>
      </c>
      <c r="C50" s="55">
        <f t="shared" si="18"/>
        <v>0</v>
      </c>
      <c r="D50" s="55">
        <f t="shared" si="18"/>
        <v>35800.766283524907</v>
      </c>
      <c r="E50" s="55">
        <f t="shared" si="18"/>
        <v>0</v>
      </c>
      <c r="F50" s="55">
        <f t="shared" si="18"/>
        <v>0</v>
      </c>
      <c r="G50" s="55">
        <f t="shared" si="18"/>
        <v>1070279.7573435504</v>
      </c>
      <c r="H50" s="55">
        <f t="shared" si="18"/>
        <v>48728.820774797794</v>
      </c>
      <c r="I50" s="55">
        <f t="shared" si="18"/>
        <v>0</v>
      </c>
      <c r="J50" s="55">
        <f t="shared" si="18"/>
        <v>0</v>
      </c>
      <c r="K50" s="55">
        <f t="shared" si="18"/>
        <v>0</v>
      </c>
      <c r="L50" s="55">
        <f t="shared" si="18"/>
        <v>205826.17040686007</v>
      </c>
      <c r="M50" s="55">
        <f t="shared" si="18"/>
        <v>994.46573009791405</v>
      </c>
      <c r="N50" s="55">
        <f t="shared" si="18"/>
        <v>0</v>
      </c>
      <c r="O50" s="55">
        <f t="shared" si="18"/>
        <v>0</v>
      </c>
      <c r="P50" s="55">
        <f t="shared" si="18"/>
        <v>0</v>
      </c>
      <c r="Q50" s="55">
        <f t="shared" si="18"/>
        <v>0</v>
      </c>
      <c r="R50" s="55">
        <f t="shared" si="20"/>
        <v>994.46573009791405</v>
      </c>
      <c r="S50" s="55">
        <f t="shared" si="20"/>
        <v>0</v>
      </c>
      <c r="T50" s="55">
        <f t="shared" si="20"/>
        <v>0</v>
      </c>
      <c r="U50" s="55">
        <f t="shared" si="20"/>
        <v>0</v>
      </c>
      <c r="V50" s="55">
        <f t="shared" si="20"/>
        <v>0</v>
      </c>
      <c r="W50" s="55">
        <f t="shared" si="20"/>
        <v>0</v>
      </c>
      <c r="X50" s="55">
        <f t="shared" si="20"/>
        <v>0</v>
      </c>
      <c r="Y50" s="55">
        <f t="shared" si="20"/>
        <v>0</v>
      </c>
      <c r="Z50" s="55">
        <f t="shared" si="20"/>
        <v>0</v>
      </c>
      <c r="AA50" s="55">
        <f t="shared" si="20"/>
        <v>0</v>
      </c>
      <c r="AB50" s="55">
        <f t="shared" si="20"/>
        <v>0</v>
      </c>
      <c r="AC50" s="55">
        <f t="shared" si="20"/>
        <v>0</v>
      </c>
      <c r="AD50" s="55">
        <f t="shared" si="20"/>
        <v>0</v>
      </c>
      <c r="AE50" s="55">
        <f t="shared" si="20"/>
        <v>0</v>
      </c>
      <c r="AF50" s="55">
        <f t="shared" si="20"/>
        <v>0</v>
      </c>
      <c r="AG50" s="55">
        <f t="shared" si="20"/>
        <v>0</v>
      </c>
      <c r="AH50" s="55">
        <f t="shared" si="21"/>
        <v>0</v>
      </c>
      <c r="AI50" s="55">
        <f t="shared" si="21"/>
        <v>0</v>
      </c>
      <c r="AJ50" s="55">
        <f t="shared" si="21"/>
        <v>0</v>
      </c>
      <c r="AK50" s="55">
        <f t="shared" si="21"/>
        <v>0</v>
      </c>
      <c r="AL50" s="55">
        <f t="shared" si="21"/>
        <v>0</v>
      </c>
      <c r="AM50" s="55">
        <f t="shared" si="21"/>
        <v>0</v>
      </c>
      <c r="AN50" s="55">
        <f t="shared" si="21"/>
        <v>0</v>
      </c>
      <c r="AO50" s="55">
        <f t="shared" si="21"/>
        <v>0</v>
      </c>
    </row>
    <row r="51" spans="1:41" ht="12" thickBot="1" x14ac:dyDescent="0.25">
      <c r="A51" s="54">
        <f>FEO!$V$5</f>
        <v>2043</v>
      </c>
      <c r="B51" s="55">
        <f>IF(AND($A51&gt;YEAR(B$27),$A51&lt;YEAR(B$28)),(DATE($A51,12,31)-DATE($A51,1,0))*B$31,IF(AND($A51=YEAR(B$27),$A51=YEAR(B$28)),(B$28-B$27+1)*B$31,IF($A51=YEAR(B$27),(DATE(YEAR(B$27),12,31)-B$27+1)*B$31,IF($A51=YEAR(B$28),(B$28-DATE(YEAR(B$28),1,1)+1)*B$31,0))))</f>
        <v>697446.61193212913</v>
      </c>
      <c r="C51" s="55">
        <f t="shared" ref="C51:AO51" si="22">IF(AND($A51&gt;YEAR(C$27),$A51&lt;YEAR(C$28)),(DATE($A51,12,31)-DATE($A51,1,0))*C$31,IF(AND($A51=YEAR(C$27),$A51=YEAR(C$28)),(C$28-C$27+1)*C$31,IF($A51=YEAR(C$27),(DATE(YEAR(C$27),12,31)-C$27+1)*C$31,IF($A51=YEAR(C$28),(C$28-DATE(YEAR(C$28),1,1)+1)*C$31,0))))</f>
        <v>0</v>
      </c>
      <c r="D51" s="55">
        <f t="shared" si="22"/>
        <v>33937.164750957854</v>
      </c>
      <c r="E51" s="55">
        <f t="shared" si="22"/>
        <v>0</v>
      </c>
      <c r="F51" s="55">
        <f t="shared" si="22"/>
        <v>0</v>
      </c>
      <c r="G51" s="55">
        <f t="shared" si="22"/>
        <v>1014566.56449553</v>
      </c>
      <c r="H51" s="55">
        <f t="shared" si="22"/>
        <v>46192.252022137087</v>
      </c>
      <c r="I51" s="55">
        <f t="shared" si="22"/>
        <v>0</v>
      </c>
      <c r="J51" s="55">
        <f t="shared" si="22"/>
        <v>0</v>
      </c>
      <c r="K51" s="55">
        <f t="shared" si="22"/>
        <v>0</v>
      </c>
      <c r="L51" s="55">
        <f t="shared" si="22"/>
        <v>195111.93139937968</v>
      </c>
      <c r="M51" s="55">
        <f t="shared" si="22"/>
        <v>942.69902085994045</v>
      </c>
      <c r="N51" s="55">
        <f t="shared" si="22"/>
        <v>0</v>
      </c>
      <c r="O51" s="55">
        <f t="shared" si="22"/>
        <v>0</v>
      </c>
      <c r="P51" s="55">
        <f t="shared" si="22"/>
        <v>0</v>
      </c>
      <c r="Q51" s="55">
        <f t="shared" si="22"/>
        <v>0</v>
      </c>
      <c r="R51" s="55">
        <f t="shared" si="22"/>
        <v>942.69902085994045</v>
      </c>
      <c r="S51" s="55">
        <f t="shared" si="22"/>
        <v>0</v>
      </c>
      <c r="T51" s="55">
        <f t="shared" si="22"/>
        <v>0</v>
      </c>
      <c r="U51" s="55">
        <f t="shared" si="22"/>
        <v>0</v>
      </c>
      <c r="V51" s="55">
        <f t="shared" si="22"/>
        <v>0</v>
      </c>
      <c r="W51" s="55">
        <f t="shared" si="22"/>
        <v>0</v>
      </c>
      <c r="X51" s="55">
        <f t="shared" si="22"/>
        <v>0</v>
      </c>
      <c r="Y51" s="55">
        <f t="shared" si="22"/>
        <v>0</v>
      </c>
      <c r="Z51" s="55">
        <f t="shared" si="22"/>
        <v>0</v>
      </c>
      <c r="AA51" s="55">
        <f t="shared" si="22"/>
        <v>0</v>
      </c>
      <c r="AB51" s="55">
        <f t="shared" si="22"/>
        <v>0</v>
      </c>
      <c r="AC51" s="55">
        <f t="shared" si="22"/>
        <v>0</v>
      </c>
      <c r="AD51" s="55">
        <f t="shared" si="22"/>
        <v>0</v>
      </c>
      <c r="AE51" s="55">
        <f t="shared" si="22"/>
        <v>0</v>
      </c>
      <c r="AF51" s="55">
        <f t="shared" si="22"/>
        <v>0</v>
      </c>
      <c r="AG51" s="55">
        <f t="shared" si="22"/>
        <v>0</v>
      </c>
      <c r="AH51" s="55">
        <f t="shared" si="22"/>
        <v>0</v>
      </c>
      <c r="AI51" s="55">
        <f t="shared" si="22"/>
        <v>0</v>
      </c>
      <c r="AJ51" s="55">
        <f t="shared" si="22"/>
        <v>0</v>
      </c>
      <c r="AK51" s="55">
        <f t="shared" si="22"/>
        <v>0</v>
      </c>
      <c r="AL51" s="55">
        <f t="shared" si="22"/>
        <v>0</v>
      </c>
      <c r="AM51" s="55">
        <f t="shared" si="22"/>
        <v>0</v>
      </c>
      <c r="AN51" s="55">
        <f t="shared" si="22"/>
        <v>0</v>
      </c>
      <c r="AO51" s="55">
        <f t="shared" si="22"/>
        <v>0</v>
      </c>
    </row>
    <row r="52" spans="1:41" ht="10.8" thickBot="1" x14ac:dyDescent="0.25"/>
    <row r="53" spans="1:41" ht="12" thickBot="1" x14ac:dyDescent="0.25">
      <c r="A53" s="116" t="s">
        <v>143</v>
      </c>
      <c r="B53" s="77">
        <f>SUM(B36:B52)</f>
        <v>11048280</v>
      </c>
      <c r="C53" s="77">
        <f t="shared" ref="C53:AO53" si="23">SUM(C36:C52)</f>
        <v>0</v>
      </c>
      <c r="D53" s="77">
        <f t="shared" si="23"/>
        <v>537600.00000000012</v>
      </c>
      <c r="E53" s="77">
        <f t="shared" si="23"/>
        <v>0</v>
      </c>
      <c r="F53" s="77">
        <f t="shared" si="23"/>
        <v>0</v>
      </c>
      <c r="G53" s="77">
        <f t="shared" si="23"/>
        <v>16071790.000000002</v>
      </c>
      <c r="H53" s="77">
        <f t="shared" si="23"/>
        <v>731733.33333333349</v>
      </c>
      <c r="I53" s="77">
        <f t="shared" si="23"/>
        <v>0</v>
      </c>
      <c r="J53" s="77">
        <f t="shared" si="23"/>
        <v>0</v>
      </c>
      <c r="K53" s="77">
        <f t="shared" si="23"/>
        <v>0</v>
      </c>
      <c r="L53" s="77">
        <f t="shared" ref="L53" si="24">SUM(L36:L52)</f>
        <v>3090776.0000000009</v>
      </c>
      <c r="M53" s="77">
        <f t="shared" si="23"/>
        <v>14933.333333333336</v>
      </c>
      <c r="N53" s="77">
        <f t="shared" si="23"/>
        <v>0</v>
      </c>
      <c r="O53" s="77">
        <f t="shared" si="23"/>
        <v>0</v>
      </c>
      <c r="P53" s="77">
        <f t="shared" si="23"/>
        <v>0</v>
      </c>
      <c r="Q53" s="77">
        <f t="shared" si="23"/>
        <v>0</v>
      </c>
      <c r="R53" s="77">
        <f t="shared" si="23"/>
        <v>14933.333333333336</v>
      </c>
      <c r="S53" s="77">
        <f t="shared" si="23"/>
        <v>0</v>
      </c>
      <c r="T53" s="77">
        <f t="shared" si="23"/>
        <v>0</v>
      </c>
      <c r="U53" s="77">
        <f t="shared" si="23"/>
        <v>0</v>
      </c>
      <c r="V53" s="77">
        <f t="shared" si="23"/>
        <v>0</v>
      </c>
      <c r="W53" s="77">
        <f t="shared" si="23"/>
        <v>0</v>
      </c>
      <c r="X53" s="77">
        <f t="shared" si="23"/>
        <v>0</v>
      </c>
      <c r="Y53" s="77">
        <f t="shared" si="23"/>
        <v>0</v>
      </c>
      <c r="Z53" s="77">
        <f t="shared" si="23"/>
        <v>0</v>
      </c>
      <c r="AA53" s="77">
        <f t="shared" si="23"/>
        <v>0</v>
      </c>
      <c r="AB53" s="77">
        <f t="shared" si="23"/>
        <v>0</v>
      </c>
      <c r="AC53" s="77">
        <f t="shared" si="23"/>
        <v>0</v>
      </c>
      <c r="AD53" s="77">
        <f t="shared" si="23"/>
        <v>0</v>
      </c>
      <c r="AE53" s="77">
        <f t="shared" si="23"/>
        <v>0</v>
      </c>
      <c r="AF53" s="77">
        <f t="shared" si="23"/>
        <v>0</v>
      </c>
      <c r="AG53" s="77">
        <f t="shared" si="23"/>
        <v>0</v>
      </c>
      <c r="AH53" s="77">
        <f t="shared" si="23"/>
        <v>0</v>
      </c>
      <c r="AI53" s="77">
        <f t="shared" si="23"/>
        <v>0</v>
      </c>
      <c r="AJ53" s="77">
        <f t="shared" si="23"/>
        <v>0</v>
      </c>
      <c r="AK53" s="77">
        <f t="shared" si="23"/>
        <v>0</v>
      </c>
      <c r="AL53" s="77">
        <f t="shared" si="23"/>
        <v>0</v>
      </c>
      <c r="AM53" s="77">
        <f t="shared" si="23"/>
        <v>0</v>
      </c>
      <c r="AN53" s="77">
        <f t="shared" si="23"/>
        <v>0</v>
      </c>
      <c r="AO53" s="77">
        <f t="shared" si="23"/>
        <v>0</v>
      </c>
    </row>
    <row r="54" spans="1:41" ht="10.8" thickBot="1" x14ac:dyDescent="0.25"/>
    <row r="55" spans="1:41" ht="12" thickBot="1" x14ac:dyDescent="0.25">
      <c r="A55" s="116" t="s">
        <v>311</v>
      </c>
      <c r="B55" s="77">
        <f t="shared" ref="B55:AO55" si="25">B26-B53</f>
        <v>0</v>
      </c>
      <c r="C55" s="77">
        <f t="shared" si="25"/>
        <v>0</v>
      </c>
      <c r="D55" s="77">
        <f t="shared" si="25"/>
        <v>0</v>
      </c>
      <c r="E55" s="77">
        <f t="shared" si="25"/>
        <v>0</v>
      </c>
      <c r="F55" s="77">
        <f t="shared" si="25"/>
        <v>0</v>
      </c>
      <c r="G55" s="77">
        <f t="shared" si="25"/>
        <v>0</v>
      </c>
      <c r="H55" s="77">
        <f t="shared" si="25"/>
        <v>0</v>
      </c>
      <c r="I55" s="77">
        <f t="shared" si="25"/>
        <v>0</v>
      </c>
      <c r="J55" s="77">
        <f t="shared" si="25"/>
        <v>0</v>
      </c>
      <c r="K55" s="77">
        <f t="shared" si="25"/>
        <v>0</v>
      </c>
      <c r="L55" s="77">
        <f t="shared" si="25"/>
        <v>0</v>
      </c>
      <c r="M55" s="77">
        <f t="shared" si="25"/>
        <v>0</v>
      </c>
      <c r="N55" s="77">
        <f t="shared" si="25"/>
        <v>0</v>
      </c>
      <c r="O55" s="77">
        <f t="shared" si="25"/>
        <v>0</v>
      </c>
      <c r="P55" s="77">
        <f t="shared" si="25"/>
        <v>0</v>
      </c>
      <c r="Q55" s="77">
        <f t="shared" si="25"/>
        <v>0</v>
      </c>
      <c r="R55" s="77">
        <f t="shared" si="25"/>
        <v>0</v>
      </c>
      <c r="S55" s="77">
        <f t="shared" si="25"/>
        <v>0</v>
      </c>
      <c r="T55" s="77">
        <f t="shared" si="25"/>
        <v>0</v>
      </c>
      <c r="U55" s="77">
        <f t="shared" si="25"/>
        <v>0</v>
      </c>
      <c r="V55" s="77">
        <f t="shared" si="25"/>
        <v>0</v>
      </c>
      <c r="W55" s="77">
        <f t="shared" si="25"/>
        <v>0</v>
      </c>
      <c r="X55" s="77">
        <f t="shared" si="25"/>
        <v>0</v>
      </c>
      <c r="Y55" s="77">
        <f t="shared" si="25"/>
        <v>0</v>
      </c>
      <c r="Z55" s="77">
        <f t="shared" si="25"/>
        <v>0</v>
      </c>
      <c r="AA55" s="77">
        <f t="shared" si="25"/>
        <v>0</v>
      </c>
      <c r="AB55" s="77">
        <f t="shared" si="25"/>
        <v>0</v>
      </c>
      <c r="AC55" s="77">
        <f t="shared" si="25"/>
        <v>0</v>
      </c>
      <c r="AD55" s="77">
        <f t="shared" si="25"/>
        <v>0</v>
      </c>
      <c r="AE55" s="77">
        <f t="shared" si="25"/>
        <v>0</v>
      </c>
      <c r="AF55" s="77">
        <f t="shared" si="25"/>
        <v>0</v>
      </c>
      <c r="AG55" s="77">
        <f t="shared" si="25"/>
        <v>0</v>
      </c>
      <c r="AH55" s="77">
        <f t="shared" si="25"/>
        <v>0</v>
      </c>
      <c r="AI55" s="77">
        <f t="shared" si="25"/>
        <v>0</v>
      </c>
      <c r="AJ55" s="77">
        <f t="shared" si="25"/>
        <v>0</v>
      </c>
      <c r="AK55" s="77">
        <f t="shared" si="25"/>
        <v>0</v>
      </c>
      <c r="AL55" s="77">
        <f t="shared" si="25"/>
        <v>0</v>
      </c>
      <c r="AM55" s="77">
        <f t="shared" si="25"/>
        <v>0</v>
      </c>
      <c r="AN55" s="77">
        <f t="shared" si="25"/>
        <v>0</v>
      </c>
      <c r="AO55" s="77">
        <f t="shared" si="25"/>
        <v>0</v>
      </c>
    </row>
    <row r="56" spans="1:41" x14ac:dyDescent="0.2">
      <c r="A56" t="s">
        <v>205</v>
      </c>
      <c r="B56" s="237">
        <f t="shared" ref="B56:AO56" si="26">(B29-B30)*B31-B55</f>
        <v>0</v>
      </c>
      <c r="C56" s="237">
        <f t="shared" si="26"/>
        <v>0</v>
      </c>
      <c r="D56" s="237">
        <f t="shared" si="26"/>
        <v>0</v>
      </c>
      <c r="E56" s="237">
        <f t="shared" si="26"/>
        <v>0</v>
      </c>
      <c r="F56" s="237">
        <f t="shared" si="26"/>
        <v>0</v>
      </c>
      <c r="G56" s="237">
        <f t="shared" si="26"/>
        <v>0</v>
      </c>
      <c r="H56" s="237">
        <f t="shared" si="26"/>
        <v>0</v>
      </c>
      <c r="I56" s="237">
        <f t="shared" si="26"/>
        <v>0</v>
      </c>
      <c r="J56" s="237">
        <f t="shared" si="26"/>
        <v>0</v>
      </c>
      <c r="K56" s="237">
        <f t="shared" si="26"/>
        <v>0</v>
      </c>
      <c r="L56" s="237">
        <f t="shared" si="26"/>
        <v>0</v>
      </c>
      <c r="M56" s="237">
        <f t="shared" si="26"/>
        <v>0</v>
      </c>
      <c r="N56" s="237">
        <f t="shared" si="26"/>
        <v>0</v>
      </c>
      <c r="O56" s="237">
        <f t="shared" si="26"/>
        <v>0</v>
      </c>
      <c r="P56" s="237">
        <f t="shared" si="26"/>
        <v>0</v>
      </c>
      <c r="Q56" s="237">
        <f t="shared" si="26"/>
        <v>0</v>
      </c>
      <c r="R56" s="237">
        <f t="shared" si="26"/>
        <v>0</v>
      </c>
      <c r="S56" s="237">
        <f t="shared" si="26"/>
        <v>0</v>
      </c>
      <c r="T56" s="237">
        <f t="shared" si="26"/>
        <v>0</v>
      </c>
      <c r="U56" s="237">
        <f t="shared" si="26"/>
        <v>0</v>
      </c>
      <c r="V56" s="237">
        <f t="shared" si="26"/>
        <v>0</v>
      </c>
      <c r="W56" s="237">
        <f t="shared" si="26"/>
        <v>0</v>
      </c>
      <c r="X56" s="237">
        <f t="shared" si="26"/>
        <v>0</v>
      </c>
      <c r="Y56" s="237">
        <f t="shared" si="26"/>
        <v>0</v>
      </c>
      <c r="Z56" s="237">
        <f t="shared" si="26"/>
        <v>0</v>
      </c>
      <c r="AA56" s="237">
        <f t="shared" si="26"/>
        <v>0</v>
      </c>
      <c r="AB56" s="237">
        <f t="shared" si="26"/>
        <v>0</v>
      </c>
      <c r="AC56" s="237">
        <f t="shared" si="26"/>
        <v>0</v>
      </c>
      <c r="AD56" s="237">
        <f t="shared" si="26"/>
        <v>0</v>
      </c>
      <c r="AE56" s="237">
        <f t="shared" si="26"/>
        <v>0</v>
      </c>
      <c r="AF56" s="237">
        <f t="shared" si="26"/>
        <v>0</v>
      </c>
      <c r="AG56" s="237">
        <f t="shared" si="26"/>
        <v>0</v>
      </c>
      <c r="AH56" s="237">
        <f t="shared" si="26"/>
        <v>0</v>
      </c>
      <c r="AI56" s="237">
        <f t="shared" si="26"/>
        <v>0</v>
      </c>
      <c r="AJ56" s="237">
        <f t="shared" si="26"/>
        <v>0</v>
      </c>
      <c r="AK56" s="237">
        <f t="shared" si="26"/>
        <v>0</v>
      </c>
      <c r="AL56" s="237">
        <f t="shared" si="26"/>
        <v>0</v>
      </c>
      <c r="AM56" s="237">
        <f t="shared" si="26"/>
        <v>0</v>
      </c>
      <c r="AN56" s="237">
        <f t="shared" si="26"/>
        <v>0</v>
      </c>
      <c r="AO56" s="237">
        <f t="shared" si="26"/>
        <v>0</v>
      </c>
    </row>
    <row r="58" spans="1:41" ht="11.4" x14ac:dyDescent="0.2">
      <c r="A58" s="298" t="s">
        <v>480</v>
      </c>
    </row>
    <row r="60" spans="1:41" ht="12" thickBot="1" x14ac:dyDescent="0.25">
      <c r="A60" s="52" t="s">
        <v>142</v>
      </c>
    </row>
    <row r="61" spans="1:41" ht="12" thickBot="1" x14ac:dyDescent="0.25">
      <c r="A61" s="54">
        <f>FEO!$G$5</f>
        <v>2028</v>
      </c>
      <c r="B61" s="55">
        <f t="shared" ref="B61:AO61" si="27">IF(YEAR(B$27)=$A61,B$26,0)-B36</f>
        <v>11003933.683634372</v>
      </c>
      <c r="C61" s="55">
        <f t="shared" si="27"/>
        <v>0</v>
      </c>
      <c r="D61" s="55">
        <f t="shared" si="27"/>
        <v>535442.14559386973</v>
      </c>
      <c r="E61" s="55">
        <f t="shared" si="27"/>
        <v>0</v>
      </c>
      <c r="F61" s="55">
        <f t="shared" si="27"/>
        <v>0</v>
      </c>
      <c r="G61" s="55">
        <f t="shared" si="27"/>
        <v>16007279.987228608</v>
      </c>
      <c r="H61" s="55">
        <f t="shared" si="27"/>
        <v>728796.25372498936</v>
      </c>
      <c r="I61" s="55">
        <f t="shared" si="27"/>
        <v>0</v>
      </c>
      <c r="J61" s="55">
        <f t="shared" si="27"/>
        <v>0</v>
      </c>
      <c r="K61" s="55">
        <f t="shared" si="27"/>
        <v>0</v>
      </c>
      <c r="L61" s="55">
        <f t="shared" si="27"/>
        <v>3078370.0390439699</v>
      </c>
      <c r="M61" s="55">
        <f t="shared" si="27"/>
        <v>14873.392933163048</v>
      </c>
      <c r="N61" s="55">
        <f t="shared" si="27"/>
        <v>0</v>
      </c>
      <c r="O61" s="55">
        <f t="shared" si="27"/>
        <v>0</v>
      </c>
      <c r="P61" s="55">
        <f t="shared" si="27"/>
        <v>0</v>
      </c>
      <c r="Q61" s="55">
        <f t="shared" si="27"/>
        <v>0</v>
      </c>
      <c r="R61" s="55">
        <f t="shared" si="27"/>
        <v>14873.392933163048</v>
      </c>
      <c r="S61" s="55">
        <f t="shared" si="27"/>
        <v>0</v>
      </c>
      <c r="T61" s="55">
        <f t="shared" si="27"/>
        <v>0</v>
      </c>
      <c r="U61" s="55">
        <f t="shared" si="27"/>
        <v>0</v>
      </c>
      <c r="V61" s="55">
        <f t="shared" si="27"/>
        <v>0</v>
      </c>
      <c r="W61" s="55">
        <f t="shared" si="27"/>
        <v>0</v>
      </c>
      <c r="X61" s="55">
        <f t="shared" si="27"/>
        <v>0</v>
      </c>
      <c r="Y61" s="55">
        <f t="shared" si="27"/>
        <v>0</v>
      </c>
      <c r="Z61" s="55">
        <f t="shared" si="27"/>
        <v>0</v>
      </c>
      <c r="AA61" s="55">
        <f t="shared" si="27"/>
        <v>0</v>
      </c>
      <c r="AB61" s="55">
        <f t="shared" si="27"/>
        <v>0</v>
      </c>
      <c r="AC61" s="55">
        <f t="shared" si="27"/>
        <v>0</v>
      </c>
      <c r="AD61" s="55">
        <f t="shared" si="27"/>
        <v>0</v>
      </c>
      <c r="AE61" s="55">
        <f t="shared" si="27"/>
        <v>0</v>
      </c>
      <c r="AF61" s="55">
        <f t="shared" si="27"/>
        <v>0</v>
      </c>
      <c r="AG61" s="55">
        <f t="shared" si="27"/>
        <v>0</v>
      </c>
      <c r="AH61" s="55">
        <f t="shared" si="27"/>
        <v>0</v>
      </c>
      <c r="AI61" s="55">
        <f t="shared" si="27"/>
        <v>0</v>
      </c>
      <c r="AJ61" s="55">
        <f t="shared" si="27"/>
        <v>0</v>
      </c>
      <c r="AK61" s="55">
        <f t="shared" si="27"/>
        <v>0</v>
      </c>
      <c r="AL61" s="55">
        <f t="shared" si="27"/>
        <v>0</v>
      </c>
      <c r="AM61" s="55">
        <f t="shared" si="27"/>
        <v>0</v>
      </c>
      <c r="AN61" s="55">
        <f t="shared" si="27"/>
        <v>0</v>
      </c>
      <c r="AO61" s="55">
        <f t="shared" si="27"/>
        <v>0</v>
      </c>
    </row>
    <row r="62" spans="1:41" ht="12" thickBot="1" x14ac:dyDescent="0.25">
      <c r="A62" s="54">
        <f>FEO!$H$5</f>
        <v>2029</v>
      </c>
      <c r="B62" s="55">
        <f t="shared" ref="B62:B76" si="28">IF(YEAR(B$27)=$A62,B$26,0)+B61-B37</f>
        <v>10268187.980295565</v>
      </c>
      <c r="C62" s="55">
        <f t="shared" ref="C62:C76" si="29">IF(YEAR(C$27)=$A62,C$26,0)+C61-C37</f>
        <v>0</v>
      </c>
      <c r="D62" s="55">
        <f t="shared" ref="D62:D76" si="30">IF(YEAR(D$27)=$A62,D$26,0)+D61-D37</f>
        <v>499641.37931034481</v>
      </c>
      <c r="E62" s="55">
        <f t="shared" ref="E62:E76" si="31">IF(YEAR(E$27)=$A62,E$26,0)+E61-E37</f>
        <v>0</v>
      </c>
      <c r="F62" s="55">
        <f t="shared" ref="F62:F76" si="32">IF(YEAR(F$27)=$A62,F$26,0)+F61-F37</f>
        <v>0</v>
      </c>
      <c r="G62" s="55">
        <f t="shared" ref="G62:G76" si="33">IF(YEAR(G$27)=$A62,G$26,0)+G61-G37</f>
        <v>14937000.229885057</v>
      </c>
      <c r="H62" s="55">
        <f t="shared" ref="H62:H76" si="34">IF(YEAR(H$27)=$A62,H$26,0)+H61-H37</f>
        <v>680067.43295019155</v>
      </c>
      <c r="I62" s="55">
        <f t="shared" ref="I62:I76" si="35">IF(YEAR(I$27)=$A62,I$26,0)+I61-I37</f>
        <v>0</v>
      </c>
      <c r="J62" s="55">
        <f t="shared" ref="J62:J76" si="36">IF(YEAR(J$27)=$A62,J$26,0)+J61-J37</f>
        <v>0</v>
      </c>
      <c r="K62" s="55">
        <f t="shared" ref="K62:K76" si="37">IF(YEAR(K$27)=$A62,K$26,0)+K61-K37</f>
        <v>0</v>
      </c>
      <c r="L62" s="55">
        <f t="shared" ref="L62:L76" si="38">IF(YEAR(L$27)=$A62,L$26,0)+L61-L37</f>
        <v>2872543.8686371101</v>
      </c>
      <c r="M62" s="55">
        <f t="shared" ref="M62:M76" si="39">IF(YEAR(M$27)=$A62,M$26,0)+M61-M37</f>
        <v>13878.927203065134</v>
      </c>
      <c r="N62" s="55">
        <f t="shared" ref="N62:N76" si="40">IF(YEAR(N$27)=$A62,N$26,0)+N61-N37</f>
        <v>0</v>
      </c>
      <c r="O62" s="55">
        <f t="shared" ref="O62:O76" si="41">IF(YEAR(O$27)=$A62,O$26,0)+O61-O37</f>
        <v>0</v>
      </c>
      <c r="P62" s="55">
        <f t="shared" ref="P62:P76" si="42">IF(YEAR(P$27)=$A62,P$26,0)+P61-P37</f>
        <v>0</v>
      </c>
      <c r="Q62" s="55">
        <f t="shared" ref="Q62:Q76" si="43">IF(YEAR(Q$27)=$A62,Q$26,0)+Q61-Q37</f>
        <v>0</v>
      </c>
      <c r="R62" s="55">
        <f t="shared" ref="R62:R76" si="44">IF(YEAR(R$27)=$A62,R$26,0)+R61-R37</f>
        <v>13878.927203065134</v>
      </c>
      <c r="S62" s="55">
        <f t="shared" ref="S62:S76" si="45">IF(YEAR(S$27)=$A62,S$26,0)+S61-S37</f>
        <v>0</v>
      </c>
      <c r="T62" s="55">
        <f t="shared" ref="T62:T76" si="46">IF(YEAR(T$27)=$A62,T$26,0)+T61-T37</f>
        <v>0</v>
      </c>
      <c r="U62" s="55">
        <f t="shared" ref="U62:U76" si="47">IF(YEAR(U$27)=$A62,U$26,0)+U61-U37</f>
        <v>0</v>
      </c>
      <c r="V62" s="55">
        <f t="shared" ref="V62:V76" si="48">IF(YEAR(V$27)=$A62,V$26,0)+V61-V37</f>
        <v>0</v>
      </c>
      <c r="W62" s="55">
        <f t="shared" ref="W62:W76" si="49">IF(YEAR(W$27)=$A62,W$26,0)+W61-W37</f>
        <v>0</v>
      </c>
      <c r="X62" s="55">
        <f t="shared" ref="X62:X76" si="50">IF(YEAR(X$27)=$A62,X$26,0)+X61-X37</f>
        <v>0</v>
      </c>
      <c r="Y62" s="55">
        <f t="shared" ref="Y62:Y76" si="51">IF(YEAR(Y$27)=$A62,Y$26,0)+Y61-Y37</f>
        <v>0</v>
      </c>
      <c r="Z62" s="55">
        <f t="shared" ref="Z62:Z76" si="52">IF(YEAR(Z$27)=$A62,Z$26,0)+Z61-Z37</f>
        <v>0</v>
      </c>
      <c r="AA62" s="55">
        <f t="shared" ref="AA62:AA76" si="53">IF(YEAR(AA$27)=$A62,AA$26,0)+AA61-AA37</f>
        <v>0</v>
      </c>
      <c r="AB62" s="55">
        <f t="shared" ref="AB62:AB76" si="54">IF(YEAR(AB$27)=$A62,AB$26,0)+AB61-AB37</f>
        <v>0</v>
      </c>
      <c r="AC62" s="55">
        <f t="shared" ref="AC62:AC76" si="55">IF(YEAR(AC$27)=$A62,AC$26,0)+AC61-AC37</f>
        <v>0</v>
      </c>
      <c r="AD62" s="55">
        <f t="shared" ref="AD62:AD76" si="56">IF(YEAR(AD$27)=$A62,AD$26,0)+AD61-AD37</f>
        <v>0</v>
      </c>
      <c r="AE62" s="55">
        <f t="shared" ref="AE62:AE76" si="57">IF(YEAR(AE$27)=$A62,AE$26,0)+AE61-AE37</f>
        <v>0</v>
      </c>
      <c r="AF62" s="55">
        <f t="shared" ref="AF62:AF76" si="58">IF(YEAR(AF$27)=$A62,AF$26,0)+AF61-AF37</f>
        <v>0</v>
      </c>
      <c r="AG62" s="55">
        <f t="shared" ref="AG62:AG76" si="59">IF(YEAR(AG$27)=$A62,AG$26,0)+AG61-AG37</f>
        <v>0</v>
      </c>
      <c r="AH62" s="55">
        <f t="shared" ref="AH62:AH76" si="60">IF(YEAR(AH$27)=$A62,AH$26,0)+AH61-AH37</f>
        <v>0</v>
      </c>
      <c r="AI62" s="55">
        <f t="shared" ref="AI62:AI76" si="61">IF(YEAR(AI$27)=$A62,AI$26,0)+AI61-AI37</f>
        <v>0</v>
      </c>
      <c r="AJ62" s="55">
        <f t="shared" ref="AJ62:AJ76" si="62">IF(YEAR(AJ$27)=$A62,AJ$26,0)+AJ61-AJ37</f>
        <v>0</v>
      </c>
      <c r="AK62" s="55">
        <f t="shared" ref="AK62:AK76" si="63">IF(YEAR(AK$27)=$A62,AK$26,0)+AK61-AK37</f>
        <v>0</v>
      </c>
      <c r="AL62" s="55">
        <f t="shared" ref="AL62:AL76" si="64">IF(YEAR(AL$27)=$A62,AL$26,0)+AL61-AL37</f>
        <v>0</v>
      </c>
      <c r="AM62" s="55">
        <f t="shared" ref="AM62:AM76" si="65">IF(YEAR(AM$27)=$A62,AM$26,0)+AM61-AM37</f>
        <v>0</v>
      </c>
      <c r="AN62" s="55">
        <f t="shared" ref="AN62:AN76" si="66">IF(YEAR(AN$27)=$A62,AN$26,0)+AN61-AN37</f>
        <v>0</v>
      </c>
      <c r="AO62" s="55">
        <f t="shared" ref="AO62:AO76" si="67">IF(YEAR(AO$27)=$A62,AO$26,0)+AO61-AO37</f>
        <v>0</v>
      </c>
    </row>
    <row r="63" spans="1:41" ht="12" thickBot="1" x14ac:dyDescent="0.25">
      <c r="A63" s="54">
        <f>FEO!$I$5</f>
        <v>2030</v>
      </c>
      <c r="B63" s="55">
        <f t="shared" si="28"/>
        <v>9532442.2769567575</v>
      </c>
      <c r="C63" s="55">
        <f t="shared" si="29"/>
        <v>0</v>
      </c>
      <c r="D63" s="55">
        <f t="shared" si="30"/>
        <v>463840.61302681989</v>
      </c>
      <c r="E63" s="55">
        <f t="shared" si="31"/>
        <v>0</v>
      </c>
      <c r="F63" s="55">
        <f t="shared" si="32"/>
        <v>0</v>
      </c>
      <c r="G63" s="55">
        <f t="shared" si="33"/>
        <v>13866720.472541505</v>
      </c>
      <c r="H63" s="55">
        <f t="shared" si="34"/>
        <v>631338.61217539373</v>
      </c>
      <c r="I63" s="55">
        <f t="shared" si="35"/>
        <v>0</v>
      </c>
      <c r="J63" s="55">
        <f t="shared" si="36"/>
        <v>0</v>
      </c>
      <c r="K63" s="55">
        <f t="shared" si="37"/>
        <v>0</v>
      </c>
      <c r="L63" s="55">
        <f t="shared" si="38"/>
        <v>2666717.6982302498</v>
      </c>
      <c r="M63" s="55">
        <f t="shared" si="39"/>
        <v>12884.461472967219</v>
      </c>
      <c r="N63" s="55">
        <f t="shared" si="40"/>
        <v>0</v>
      </c>
      <c r="O63" s="55">
        <f t="shared" si="41"/>
        <v>0</v>
      </c>
      <c r="P63" s="55">
        <f t="shared" si="42"/>
        <v>0</v>
      </c>
      <c r="Q63" s="55">
        <f t="shared" si="43"/>
        <v>0</v>
      </c>
      <c r="R63" s="55">
        <f t="shared" si="44"/>
        <v>12884.461472967219</v>
      </c>
      <c r="S63" s="55">
        <f t="shared" si="45"/>
        <v>0</v>
      </c>
      <c r="T63" s="55">
        <f t="shared" si="46"/>
        <v>0</v>
      </c>
      <c r="U63" s="55">
        <f t="shared" si="47"/>
        <v>0</v>
      </c>
      <c r="V63" s="55">
        <f t="shared" si="48"/>
        <v>0</v>
      </c>
      <c r="W63" s="55">
        <f t="shared" si="49"/>
        <v>0</v>
      </c>
      <c r="X63" s="55">
        <f t="shared" si="50"/>
        <v>0</v>
      </c>
      <c r="Y63" s="55">
        <f t="shared" si="51"/>
        <v>0</v>
      </c>
      <c r="Z63" s="55">
        <f t="shared" si="52"/>
        <v>0</v>
      </c>
      <c r="AA63" s="55">
        <f t="shared" si="53"/>
        <v>0</v>
      </c>
      <c r="AB63" s="55">
        <f t="shared" si="54"/>
        <v>0</v>
      </c>
      <c r="AC63" s="55">
        <f t="shared" si="55"/>
        <v>0</v>
      </c>
      <c r="AD63" s="55">
        <f t="shared" si="56"/>
        <v>0</v>
      </c>
      <c r="AE63" s="55">
        <f t="shared" si="57"/>
        <v>0</v>
      </c>
      <c r="AF63" s="55">
        <f t="shared" si="58"/>
        <v>0</v>
      </c>
      <c r="AG63" s="55">
        <f t="shared" si="59"/>
        <v>0</v>
      </c>
      <c r="AH63" s="55">
        <f t="shared" si="60"/>
        <v>0</v>
      </c>
      <c r="AI63" s="55">
        <f t="shared" si="61"/>
        <v>0</v>
      </c>
      <c r="AJ63" s="55">
        <f t="shared" si="62"/>
        <v>0</v>
      </c>
      <c r="AK63" s="55">
        <f t="shared" si="63"/>
        <v>0</v>
      </c>
      <c r="AL63" s="55">
        <f t="shared" si="64"/>
        <v>0</v>
      </c>
      <c r="AM63" s="55">
        <f t="shared" si="65"/>
        <v>0</v>
      </c>
      <c r="AN63" s="55">
        <f t="shared" si="66"/>
        <v>0</v>
      </c>
      <c r="AO63" s="55">
        <f t="shared" si="67"/>
        <v>0</v>
      </c>
    </row>
    <row r="64" spans="1:41" ht="12" thickBot="1" x14ac:dyDescent="0.25">
      <c r="A64" s="54">
        <f>FEO!$J$5</f>
        <v>2031</v>
      </c>
      <c r="B64" s="55">
        <f t="shared" si="28"/>
        <v>8796696.5736179501</v>
      </c>
      <c r="C64" s="55">
        <f t="shared" si="29"/>
        <v>0</v>
      </c>
      <c r="D64" s="55">
        <f t="shared" si="30"/>
        <v>428039.84674329497</v>
      </c>
      <c r="E64" s="55">
        <f t="shared" si="31"/>
        <v>0</v>
      </c>
      <c r="F64" s="55">
        <f t="shared" si="32"/>
        <v>0</v>
      </c>
      <c r="G64" s="55">
        <f t="shared" si="33"/>
        <v>12796440.715197954</v>
      </c>
      <c r="H64" s="55">
        <f t="shared" si="34"/>
        <v>582609.79140059592</v>
      </c>
      <c r="I64" s="55">
        <f t="shared" si="35"/>
        <v>0</v>
      </c>
      <c r="J64" s="55">
        <f t="shared" si="36"/>
        <v>0</v>
      </c>
      <c r="K64" s="55">
        <f t="shared" si="37"/>
        <v>0</v>
      </c>
      <c r="L64" s="55">
        <f t="shared" si="38"/>
        <v>2460891.5278233895</v>
      </c>
      <c r="M64" s="55">
        <f t="shared" si="39"/>
        <v>11889.995742869305</v>
      </c>
      <c r="N64" s="55">
        <f t="shared" si="40"/>
        <v>0</v>
      </c>
      <c r="O64" s="55">
        <f t="shared" si="41"/>
        <v>0</v>
      </c>
      <c r="P64" s="55">
        <f t="shared" si="42"/>
        <v>0</v>
      </c>
      <c r="Q64" s="55">
        <f t="shared" si="43"/>
        <v>0</v>
      </c>
      <c r="R64" s="55">
        <f t="shared" si="44"/>
        <v>11889.995742869305</v>
      </c>
      <c r="S64" s="55">
        <f t="shared" si="45"/>
        <v>0</v>
      </c>
      <c r="T64" s="55">
        <f t="shared" si="46"/>
        <v>0</v>
      </c>
      <c r="U64" s="55">
        <f t="shared" si="47"/>
        <v>0</v>
      </c>
      <c r="V64" s="55">
        <f t="shared" si="48"/>
        <v>0</v>
      </c>
      <c r="W64" s="55">
        <f t="shared" si="49"/>
        <v>0</v>
      </c>
      <c r="X64" s="55">
        <f t="shared" si="50"/>
        <v>0</v>
      </c>
      <c r="Y64" s="55">
        <f t="shared" si="51"/>
        <v>0</v>
      </c>
      <c r="Z64" s="55">
        <f t="shared" si="52"/>
        <v>0</v>
      </c>
      <c r="AA64" s="55">
        <f t="shared" si="53"/>
        <v>0</v>
      </c>
      <c r="AB64" s="55">
        <f t="shared" si="54"/>
        <v>0</v>
      </c>
      <c r="AC64" s="55">
        <f t="shared" si="55"/>
        <v>0</v>
      </c>
      <c r="AD64" s="55">
        <f t="shared" si="56"/>
        <v>0</v>
      </c>
      <c r="AE64" s="55">
        <f t="shared" si="57"/>
        <v>0</v>
      </c>
      <c r="AF64" s="55">
        <f t="shared" si="58"/>
        <v>0</v>
      </c>
      <c r="AG64" s="55">
        <f t="shared" si="59"/>
        <v>0</v>
      </c>
      <c r="AH64" s="55">
        <f t="shared" si="60"/>
        <v>0</v>
      </c>
      <c r="AI64" s="55">
        <f t="shared" si="61"/>
        <v>0</v>
      </c>
      <c r="AJ64" s="55">
        <f t="shared" si="62"/>
        <v>0</v>
      </c>
      <c r="AK64" s="55">
        <f t="shared" si="63"/>
        <v>0</v>
      </c>
      <c r="AL64" s="55">
        <f t="shared" si="64"/>
        <v>0</v>
      </c>
      <c r="AM64" s="55">
        <f t="shared" si="65"/>
        <v>0</v>
      </c>
      <c r="AN64" s="55">
        <f t="shared" si="66"/>
        <v>0</v>
      </c>
      <c r="AO64" s="55">
        <f t="shared" si="67"/>
        <v>0</v>
      </c>
    </row>
    <row r="65" spans="1:41" ht="12" thickBot="1" x14ac:dyDescent="0.25">
      <c r="A65" s="54">
        <f>FEO!$K$5</f>
        <v>2032</v>
      </c>
      <c r="B65" s="55">
        <f t="shared" si="28"/>
        <v>8058935.1286261603</v>
      </c>
      <c r="C65" s="55">
        <f t="shared" si="29"/>
        <v>0</v>
      </c>
      <c r="D65" s="55">
        <f t="shared" si="30"/>
        <v>392140.99616858235</v>
      </c>
      <c r="E65" s="55">
        <f t="shared" si="31"/>
        <v>0</v>
      </c>
      <c r="F65" s="55">
        <f t="shared" si="32"/>
        <v>0</v>
      </c>
      <c r="G65" s="55">
        <f t="shared" si="33"/>
        <v>11723228.684546614</v>
      </c>
      <c r="H65" s="55">
        <f t="shared" si="34"/>
        <v>533747.46700723702</v>
      </c>
      <c r="I65" s="55">
        <f t="shared" si="35"/>
        <v>0</v>
      </c>
      <c r="J65" s="55">
        <f t="shared" si="36"/>
        <v>0</v>
      </c>
      <c r="K65" s="55">
        <f t="shared" si="37"/>
        <v>0</v>
      </c>
      <c r="L65" s="55">
        <f t="shared" si="38"/>
        <v>2254501.4501003465</v>
      </c>
      <c r="M65" s="55">
        <f t="shared" si="39"/>
        <v>10892.805449127287</v>
      </c>
      <c r="N65" s="55">
        <f t="shared" si="40"/>
        <v>0</v>
      </c>
      <c r="O65" s="55">
        <f t="shared" si="41"/>
        <v>0</v>
      </c>
      <c r="P65" s="55">
        <f t="shared" si="42"/>
        <v>0</v>
      </c>
      <c r="Q65" s="55">
        <f t="shared" si="43"/>
        <v>0</v>
      </c>
      <c r="R65" s="55">
        <f t="shared" si="44"/>
        <v>10892.805449127287</v>
      </c>
      <c r="S65" s="55">
        <f t="shared" si="45"/>
        <v>0</v>
      </c>
      <c r="T65" s="55">
        <f t="shared" si="46"/>
        <v>0</v>
      </c>
      <c r="U65" s="55">
        <f t="shared" si="47"/>
        <v>0</v>
      </c>
      <c r="V65" s="55">
        <f t="shared" si="48"/>
        <v>0</v>
      </c>
      <c r="W65" s="55">
        <f t="shared" si="49"/>
        <v>0</v>
      </c>
      <c r="X65" s="55">
        <f t="shared" si="50"/>
        <v>0</v>
      </c>
      <c r="Y65" s="55">
        <f t="shared" si="51"/>
        <v>0</v>
      </c>
      <c r="Z65" s="55">
        <f t="shared" si="52"/>
        <v>0</v>
      </c>
      <c r="AA65" s="55">
        <f t="shared" si="53"/>
        <v>0</v>
      </c>
      <c r="AB65" s="55">
        <f t="shared" si="54"/>
        <v>0</v>
      </c>
      <c r="AC65" s="55">
        <f t="shared" si="55"/>
        <v>0</v>
      </c>
      <c r="AD65" s="55">
        <f t="shared" si="56"/>
        <v>0</v>
      </c>
      <c r="AE65" s="55">
        <f t="shared" si="57"/>
        <v>0</v>
      </c>
      <c r="AF65" s="55">
        <f t="shared" si="58"/>
        <v>0</v>
      </c>
      <c r="AG65" s="55">
        <f t="shared" si="59"/>
        <v>0</v>
      </c>
      <c r="AH65" s="55">
        <f t="shared" si="60"/>
        <v>0</v>
      </c>
      <c r="AI65" s="55">
        <f t="shared" si="61"/>
        <v>0</v>
      </c>
      <c r="AJ65" s="55">
        <f t="shared" si="62"/>
        <v>0</v>
      </c>
      <c r="AK65" s="55">
        <f t="shared" si="63"/>
        <v>0</v>
      </c>
      <c r="AL65" s="55">
        <f t="shared" si="64"/>
        <v>0</v>
      </c>
      <c r="AM65" s="55">
        <f t="shared" si="65"/>
        <v>0</v>
      </c>
      <c r="AN65" s="55">
        <f t="shared" si="66"/>
        <v>0</v>
      </c>
      <c r="AO65" s="55">
        <f t="shared" si="67"/>
        <v>0</v>
      </c>
    </row>
    <row r="66" spans="1:41" ht="12" thickBot="1" x14ac:dyDescent="0.25">
      <c r="A66" s="54">
        <f>FEO!$L$5</f>
        <v>2033</v>
      </c>
      <c r="B66" s="55">
        <f t="shared" si="28"/>
        <v>7323189.4252873538</v>
      </c>
      <c r="C66" s="55">
        <f t="shared" si="29"/>
        <v>0</v>
      </c>
      <c r="D66" s="55">
        <f t="shared" si="30"/>
        <v>356340.22988505743</v>
      </c>
      <c r="E66" s="55">
        <f t="shared" si="31"/>
        <v>0</v>
      </c>
      <c r="F66" s="55">
        <f t="shared" si="32"/>
        <v>0</v>
      </c>
      <c r="G66" s="55">
        <f t="shared" si="33"/>
        <v>10652948.927203063</v>
      </c>
      <c r="H66" s="55">
        <f t="shared" si="34"/>
        <v>485018.64623243921</v>
      </c>
      <c r="I66" s="55">
        <f t="shared" si="35"/>
        <v>0</v>
      </c>
      <c r="J66" s="55">
        <f t="shared" si="36"/>
        <v>0</v>
      </c>
      <c r="K66" s="55">
        <f t="shared" si="37"/>
        <v>0</v>
      </c>
      <c r="L66" s="55">
        <f t="shared" si="38"/>
        <v>2048675.2796934864</v>
      </c>
      <c r="M66" s="55">
        <f t="shared" si="39"/>
        <v>9898.3397190293726</v>
      </c>
      <c r="N66" s="55">
        <f t="shared" si="40"/>
        <v>0</v>
      </c>
      <c r="O66" s="55">
        <f t="shared" si="41"/>
        <v>0</v>
      </c>
      <c r="P66" s="55">
        <f t="shared" si="42"/>
        <v>0</v>
      </c>
      <c r="Q66" s="55">
        <f t="shared" si="43"/>
        <v>0</v>
      </c>
      <c r="R66" s="55">
        <f t="shared" si="44"/>
        <v>9898.3397190293726</v>
      </c>
      <c r="S66" s="55">
        <f t="shared" si="45"/>
        <v>0</v>
      </c>
      <c r="T66" s="55">
        <f t="shared" si="46"/>
        <v>0</v>
      </c>
      <c r="U66" s="55">
        <f t="shared" si="47"/>
        <v>0</v>
      </c>
      <c r="V66" s="55">
        <f t="shared" si="48"/>
        <v>0</v>
      </c>
      <c r="W66" s="55">
        <f t="shared" si="49"/>
        <v>0</v>
      </c>
      <c r="X66" s="55">
        <f t="shared" si="50"/>
        <v>0</v>
      </c>
      <c r="Y66" s="55">
        <f t="shared" si="51"/>
        <v>0</v>
      </c>
      <c r="Z66" s="55">
        <f t="shared" si="52"/>
        <v>0</v>
      </c>
      <c r="AA66" s="55">
        <f t="shared" si="53"/>
        <v>0</v>
      </c>
      <c r="AB66" s="55">
        <f t="shared" si="54"/>
        <v>0</v>
      </c>
      <c r="AC66" s="55">
        <f t="shared" si="55"/>
        <v>0</v>
      </c>
      <c r="AD66" s="55">
        <f t="shared" si="56"/>
        <v>0</v>
      </c>
      <c r="AE66" s="55">
        <f t="shared" si="57"/>
        <v>0</v>
      </c>
      <c r="AF66" s="55">
        <f t="shared" si="58"/>
        <v>0</v>
      </c>
      <c r="AG66" s="55">
        <f t="shared" si="59"/>
        <v>0</v>
      </c>
      <c r="AH66" s="55">
        <f t="shared" si="60"/>
        <v>0</v>
      </c>
      <c r="AI66" s="55">
        <f t="shared" si="61"/>
        <v>0</v>
      </c>
      <c r="AJ66" s="55">
        <f t="shared" si="62"/>
        <v>0</v>
      </c>
      <c r="AK66" s="55">
        <f t="shared" si="63"/>
        <v>0</v>
      </c>
      <c r="AL66" s="55">
        <f t="shared" si="64"/>
        <v>0</v>
      </c>
      <c r="AM66" s="55">
        <f t="shared" si="65"/>
        <v>0</v>
      </c>
      <c r="AN66" s="55">
        <f t="shared" si="66"/>
        <v>0</v>
      </c>
      <c r="AO66" s="55">
        <f t="shared" si="67"/>
        <v>0</v>
      </c>
    </row>
    <row r="67" spans="1:41" ht="12" thickBot="1" x14ac:dyDescent="0.25">
      <c r="A67" s="54">
        <f>FEO!$M$5</f>
        <v>2034</v>
      </c>
      <c r="B67" s="55">
        <f t="shared" si="28"/>
        <v>6587443.7219485473</v>
      </c>
      <c r="C67" s="55">
        <f t="shared" si="29"/>
        <v>0</v>
      </c>
      <c r="D67" s="55">
        <f t="shared" si="30"/>
        <v>320539.46360153251</v>
      </c>
      <c r="E67" s="55">
        <f t="shared" si="31"/>
        <v>0</v>
      </c>
      <c r="F67" s="55">
        <f t="shared" si="32"/>
        <v>0</v>
      </c>
      <c r="G67" s="55">
        <f t="shared" si="33"/>
        <v>9582669.1698595118</v>
      </c>
      <c r="H67" s="55">
        <f t="shared" si="34"/>
        <v>436289.82545764139</v>
      </c>
      <c r="I67" s="55">
        <f t="shared" si="35"/>
        <v>0</v>
      </c>
      <c r="J67" s="55">
        <f t="shared" si="36"/>
        <v>0</v>
      </c>
      <c r="K67" s="55">
        <f t="shared" si="37"/>
        <v>0</v>
      </c>
      <c r="L67" s="55">
        <f t="shared" si="38"/>
        <v>1842849.1092866263</v>
      </c>
      <c r="M67" s="55">
        <f t="shared" si="39"/>
        <v>8903.8739889314584</v>
      </c>
      <c r="N67" s="55">
        <f t="shared" si="40"/>
        <v>0</v>
      </c>
      <c r="O67" s="55">
        <f t="shared" si="41"/>
        <v>0</v>
      </c>
      <c r="P67" s="55">
        <f t="shared" si="42"/>
        <v>0</v>
      </c>
      <c r="Q67" s="55">
        <f t="shared" si="43"/>
        <v>0</v>
      </c>
      <c r="R67" s="55">
        <f t="shared" si="44"/>
        <v>8903.8739889314584</v>
      </c>
      <c r="S67" s="55">
        <f t="shared" si="45"/>
        <v>0</v>
      </c>
      <c r="T67" s="55">
        <f t="shared" si="46"/>
        <v>0</v>
      </c>
      <c r="U67" s="55">
        <f t="shared" si="47"/>
        <v>0</v>
      </c>
      <c r="V67" s="55">
        <f t="shared" si="48"/>
        <v>0</v>
      </c>
      <c r="W67" s="55">
        <f t="shared" si="49"/>
        <v>0</v>
      </c>
      <c r="X67" s="55">
        <f t="shared" si="50"/>
        <v>0</v>
      </c>
      <c r="Y67" s="55">
        <f t="shared" si="51"/>
        <v>0</v>
      </c>
      <c r="Z67" s="55">
        <f t="shared" si="52"/>
        <v>0</v>
      </c>
      <c r="AA67" s="55">
        <f t="shared" si="53"/>
        <v>0</v>
      </c>
      <c r="AB67" s="55">
        <f t="shared" si="54"/>
        <v>0</v>
      </c>
      <c r="AC67" s="55">
        <f t="shared" si="55"/>
        <v>0</v>
      </c>
      <c r="AD67" s="55">
        <f t="shared" si="56"/>
        <v>0</v>
      </c>
      <c r="AE67" s="55">
        <f t="shared" si="57"/>
        <v>0</v>
      </c>
      <c r="AF67" s="55">
        <f t="shared" si="58"/>
        <v>0</v>
      </c>
      <c r="AG67" s="55">
        <f t="shared" si="59"/>
        <v>0</v>
      </c>
      <c r="AH67" s="55">
        <f t="shared" si="60"/>
        <v>0</v>
      </c>
      <c r="AI67" s="55">
        <f t="shared" si="61"/>
        <v>0</v>
      </c>
      <c r="AJ67" s="55">
        <f t="shared" si="62"/>
        <v>0</v>
      </c>
      <c r="AK67" s="55">
        <f t="shared" si="63"/>
        <v>0</v>
      </c>
      <c r="AL67" s="55">
        <f t="shared" si="64"/>
        <v>0</v>
      </c>
      <c r="AM67" s="55">
        <f t="shared" si="65"/>
        <v>0</v>
      </c>
      <c r="AN67" s="55">
        <f t="shared" si="66"/>
        <v>0</v>
      </c>
      <c r="AO67" s="55">
        <f t="shared" si="67"/>
        <v>0</v>
      </c>
    </row>
    <row r="68" spans="1:41" ht="12" thickBot="1" x14ac:dyDescent="0.25">
      <c r="A68" s="54">
        <f>FEO!$N$5</f>
        <v>2035</v>
      </c>
      <c r="B68" s="55">
        <f t="shared" si="28"/>
        <v>5851698.0186097408</v>
      </c>
      <c r="C68" s="55">
        <f t="shared" si="29"/>
        <v>0</v>
      </c>
      <c r="D68" s="55">
        <f t="shared" si="30"/>
        <v>284738.69731800759</v>
      </c>
      <c r="E68" s="55">
        <f t="shared" si="31"/>
        <v>0</v>
      </c>
      <c r="F68" s="55">
        <f t="shared" si="32"/>
        <v>0</v>
      </c>
      <c r="G68" s="55">
        <f t="shared" si="33"/>
        <v>8512389.4125159606</v>
      </c>
      <c r="H68" s="55">
        <f t="shared" si="34"/>
        <v>387561.00468284357</v>
      </c>
      <c r="I68" s="55">
        <f t="shared" si="35"/>
        <v>0</v>
      </c>
      <c r="J68" s="55">
        <f t="shared" si="36"/>
        <v>0</v>
      </c>
      <c r="K68" s="55">
        <f t="shared" si="37"/>
        <v>0</v>
      </c>
      <c r="L68" s="55">
        <f t="shared" si="38"/>
        <v>1637022.9388797663</v>
      </c>
      <c r="M68" s="55">
        <f t="shared" si="39"/>
        <v>7909.4082588335441</v>
      </c>
      <c r="N68" s="55">
        <f t="shared" si="40"/>
        <v>0</v>
      </c>
      <c r="O68" s="55">
        <f t="shared" si="41"/>
        <v>0</v>
      </c>
      <c r="P68" s="55">
        <f t="shared" si="42"/>
        <v>0</v>
      </c>
      <c r="Q68" s="55">
        <f t="shared" si="43"/>
        <v>0</v>
      </c>
      <c r="R68" s="55">
        <f t="shared" si="44"/>
        <v>7909.4082588335441</v>
      </c>
      <c r="S68" s="55">
        <f t="shared" si="45"/>
        <v>0</v>
      </c>
      <c r="T68" s="55">
        <f t="shared" si="46"/>
        <v>0</v>
      </c>
      <c r="U68" s="55">
        <f t="shared" si="47"/>
        <v>0</v>
      </c>
      <c r="V68" s="55">
        <f t="shared" si="48"/>
        <v>0</v>
      </c>
      <c r="W68" s="55">
        <f t="shared" si="49"/>
        <v>0</v>
      </c>
      <c r="X68" s="55">
        <f t="shared" si="50"/>
        <v>0</v>
      </c>
      <c r="Y68" s="55">
        <f t="shared" si="51"/>
        <v>0</v>
      </c>
      <c r="Z68" s="55">
        <f t="shared" si="52"/>
        <v>0</v>
      </c>
      <c r="AA68" s="55">
        <f t="shared" si="53"/>
        <v>0</v>
      </c>
      <c r="AB68" s="55">
        <f t="shared" si="54"/>
        <v>0</v>
      </c>
      <c r="AC68" s="55">
        <f t="shared" si="55"/>
        <v>0</v>
      </c>
      <c r="AD68" s="55">
        <f t="shared" si="56"/>
        <v>0</v>
      </c>
      <c r="AE68" s="55">
        <f t="shared" si="57"/>
        <v>0</v>
      </c>
      <c r="AF68" s="55">
        <f t="shared" si="58"/>
        <v>0</v>
      </c>
      <c r="AG68" s="55">
        <f t="shared" si="59"/>
        <v>0</v>
      </c>
      <c r="AH68" s="55">
        <f t="shared" si="60"/>
        <v>0</v>
      </c>
      <c r="AI68" s="55">
        <f t="shared" si="61"/>
        <v>0</v>
      </c>
      <c r="AJ68" s="55">
        <f t="shared" si="62"/>
        <v>0</v>
      </c>
      <c r="AK68" s="55">
        <f t="shared" si="63"/>
        <v>0</v>
      </c>
      <c r="AL68" s="55">
        <f t="shared" si="64"/>
        <v>0</v>
      </c>
      <c r="AM68" s="55">
        <f t="shared" si="65"/>
        <v>0</v>
      </c>
      <c r="AN68" s="55">
        <f t="shared" si="66"/>
        <v>0</v>
      </c>
      <c r="AO68" s="55">
        <f t="shared" si="67"/>
        <v>0</v>
      </c>
    </row>
    <row r="69" spans="1:41" ht="12" thickBot="1" x14ac:dyDescent="0.25">
      <c r="A69" s="54">
        <f>FEO!$O$5</f>
        <v>2036</v>
      </c>
      <c r="B69" s="55">
        <f t="shared" si="28"/>
        <v>5113936.573617951</v>
      </c>
      <c r="C69" s="55">
        <f t="shared" si="29"/>
        <v>0</v>
      </c>
      <c r="D69" s="55">
        <f t="shared" si="30"/>
        <v>248839.84674329494</v>
      </c>
      <c r="E69" s="55">
        <f t="shared" si="31"/>
        <v>0</v>
      </c>
      <c r="F69" s="55">
        <f t="shared" si="32"/>
        <v>0</v>
      </c>
      <c r="G69" s="55">
        <f t="shared" si="33"/>
        <v>7439177.3818646194</v>
      </c>
      <c r="H69" s="55">
        <f t="shared" si="34"/>
        <v>338698.68028948468</v>
      </c>
      <c r="I69" s="55">
        <f t="shared" si="35"/>
        <v>0</v>
      </c>
      <c r="J69" s="55">
        <f t="shared" si="36"/>
        <v>0</v>
      </c>
      <c r="K69" s="55">
        <f t="shared" si="37"/>
        <v>0</v>
      </c>
      <c r="L69" s="55">
        <f t="shared" si="38"/>
        <v>1430632.861156723</v>
      </c>
      <c r="M69" s="55">
        <f t="shared" si="39"/>
        <v>6912.2179650915259</v>
      </c>
      <c r="N69" s="55">
        <f t="shared" si="40"/>
        <v>0</v>
      </c>
      <c r="O69" s="55">
        <f t="shared" si="41"/>
        <v>0</v>
      </c>
      <c r="P69" s="55">
        <f t="shared" si="42"/>
        <v>0</v>
      </c>
      <c r="Q69" s="55">
        <f t="shared" si="43"/>
        <v>0</v>
      </c>
      <c r="R69" s="55">
        <f t="shared" si="44"/>
        <v>6912.2179650915259</v>
      </c>
      <c r="S69" s="55">
        <f t="shared" si="45"/>
        <v>0</v>
      </c>
      <c r="T69" s="55">
        <f t="shared" si="46"/>
        <v>0</v>
      </c>
      <c r="U69" s="55">
        <f t="shared" si="47"/>
        <v>0</v>
      </c>
      <c r="V69" s="55">
        <f t="shared" si="48"/>
        <v>0</v>
      </c>
      <c r="W69" s="55">
        <f t="shared" si="49"/>
        <v>0</v>
      </c>
      <c r="X69" s="55">
        <f t="shared" si="50"/>
        <v>0</v>
      </c>
      <c r="Y69" s="55">
        <f t="shared" si="51"/>
        <v>0</v>
      </c>
      <c r="Z69" s="55">
        <f t="shared" si="52"/>
        <v>0</v>
      </c>
      <c r="AA69" s="55">
        <f t="shared" si="53"/>
        <v>0</v>
      </c>
      <c r="AB69" s="55">
        <f t="shared" si="54"/>
        <v>0</v>
      </c>
      <c r="AC69" s="55">
        <f t="shared" si="55"/>
        <v>0</v>
      </c>
      <c r="AD69" s="55">
        <f t="shared" si="56"/>
        <v>0</v>
      </c>
      <c r="AE69" s="55">
        <f t="shared" si="57"/>
        <v>0</v>
      </c>
      <c r="AF69" s="55">
        <f t="shared" si="58"/>
        <v>0</v>
      </c>
      <c r="AG69" s="55">
        <f t="shared" si="59"/>
        <v>0</v>
      </c>
      <c r="AH69" s="55">
        <f t="shared" si="60"/>
        <v>0</v>
      </c>
      <c r="AI69" s="55">
        <f t="shared" si="61"/>
        <v>0</v>
      </c>
      <c r="AJ69" s="55">
        <f t="shared" si="62"/>
        <v>0</v>
      </c>
      <c r="AK69" s="55">
        <f t="shared" si="63"/>
        <v>0</v>
      </c>
      <c r="AL69" s="55">
        <f t="shared" si="64"/>
        <v>0</v>
      </c>
      <c r="AM69" s="55">
        <f t="shared" si="65"/>
        <v>0</v>
      </c>
      <c r="AN69" s="55">
        <f t="shared" si="66"/>
        <v>0</v>
      </c>
      <c r="AO69" s="55">
        <f t="shared" si="67"/>
        <v>0</v>
      </c>
    </row>
    <row r="70" spans="1:41" ht="12" thickBot="1" x14ac:dyDescent="0.25">
      <c r="A70" s="54">
        <f>FEO!$P$5</f>
        <v>2037</v>
      </c>
      <c r="B70" s="55">
        <f t="shared" si="28"/>
        <v>4378190.8702791445</v>
      </c>
      <c r="C70" s="55">
        <f t="shared" si="29"/>
        <v>0</v>
      </c>
      <c r="D70" s="55">
        <f t="shared" si="30"/>
        <v>213039.08045977005</v>
      </c>
      <c r="E70" s="55">
        <f t="shared" si="31"/>
        <v>0</v>
      </c>
      <c r="F70" s="55">
        <f t="shared" si="32"/>
        <v>0</v>
      </c>
      <c r="G70" s="55">
        <f t="shared" si="33"/>
        <v>6368897.6245210692</v>
      </c>
      <c r="H70" s="55">
        <f t="shared" si="34"/>
        <v>289969.85951468686</v>
      </c>
      <c r="I70" s="55">
        <f t="shared" si="35"/>
        <v>0</v>
      </c>
      <c r="J70" s="55">
        <f t="shared" si="36"/>
        <v>0</v>
      </c>
      <c r="K70" s="55">
        <f t="shared" si="37"/>
        <v>0</v>
      </c>
      <c r="L70" s="55">
        <f t="shared" si="38"/>
        <v>1224806.6907498629</v>
      </c>
      <c r="M70" s="55">
        <f t="shared" si="39"/>
        <v>5917.7522349936116</v>
      </c>
      <c r="N70" s="55">
        <f t="shared" si="40"/>
        <v>0</v>
      </c>
      <c r="O70" s="55">
        <f t="shared" si="41"/>
        <v>0</v>
      </c>
      <c r="P70" s="55">
        <f t="shared" si="42"/>
        <v>0</v>
      </c>
      <c r="Q70" s="55">
        <f t="shared" si="43"/>
        <v>0</v>
      </c>
      <c r="R70" s="55">
        <f t="shared" si="44"/>
        <v>5917.7522349936116</v>
      </c>
      <c r="S70" s="55">
        <f t="shared" si="45"/>
        <v>0</v>
      </c>
      <c r="T70" s="55">
        <f t="shared" si="46"/>
        <v>0</v>
      </c>
      <c r="U70" s="55">
        <f t="shared" si="47"/>
        <v>0</v>
      </c>
      <c r="V70" s="55">
        <f t="shared" si="48"/>
        <v>0</v>
      </c>
      <c r="W70" s="55">
        <f t="shared" si="49"/>
        <v>0</v>
      </c>
      <c r="X70" s="55">
        <f t="shared" si="50"/>
        <v>0</v>
      </c>
      <c r="Y70" s="55">
        <f t="shared" si="51"/>
        <v>0</v>
      </c>
      <c r="Z70" s="55">
        <f t="shared" si="52"/>
        <v>0</v>
      </c>
      <c r="AA70" s="55">
        <f t="shared" si="53"/>
        <v>0</v>
      </c>
      <c r="AB70" s="55">
        <f t="shared" si="54"/>
        <v>0</v>
      </c>
      <c r="AC70" s="55">
        <f t="shared" si="55"/>
        <v>0</v>
      </c>
      <c r="AD70" s="55">
        <f t="shared" si="56"/>
        <v>0</v>
      </c>
      <c r="AE70" s="55">
        <f t="shared" si="57"/>
        <v>0</v>
      </c>
      <c r="AF70" s="55">
        <f t="shared" si="58"/>
        <v>0</v>
      </c>
      <c r="AG70" s="55">
        <f t="shared" si="59"/>
        <v>0</v>
      </c>
      <c r="AH70" s="55">
        <f t="shared" si="60"/>
        <v>0</v>
      </c>
      <c r="AI70" s="55">
        <f t="shared" si="61"/>
        <v>0</v>
      </c>
      <c r="AJ70" s="55">
        <f t="shared" si="62"/>
        <v>0</v>
      </c>
      <c r="AK70" s="55">
        <f t="shared" si="63"/>
        <v>0</v>
      </c>
      <c r="AL70" s="55">
        <f t="shared" si="64"/>
        <v>0</v>
      </c>
      <c r="AM70" s="55">
        <f t="shared" si="65"/>
        <v>0</v>
      </c>
      <c r="AN70" s="55">
        <f t="shared" si="66"/>
        <v>0</v>
      </c>
      <c r="AO70" s="55">
        <f t="shared" si="67"/>
        <v>0</v>
      </c>
    </row>
    <row r="71" spans="1:41" ht="12" thickBot="1" x14ac:dyDescent="0.25">
      <c r="A71" s="54">
        <f>FEO!$Q$5</f>
        <v>2038</v>
      </c>
      <c r="B71" s="55">
        <f t="shared" si="28"/>
        <v>3642445.166940338</v>
      </c>
      <c r="C71" s="55">
        <f t="shared" si="29"/>
        <v>0</v>
      </c>
      <c r="D71" s="55">
        <f t="shared" si="30"/>
        <v>177238.31417624513</v>
      </c>
      <c r="E71" s="55">
        <f t="shared" si="31"/>
        <v>0</v>
      </c>
      <c r="F71" s="55">
        <f t="shared" si="32"/>
        <v>0</v>
      </c>
      <c r="G71" s="55">
        <f t="shared" si="33"/>
        <v>5298617.867177519</v>
      </c>
      <c r="H71" s="55">
        <f t="shared" si="34"/>
        <v>241241.03873988907</v>
      </c>
      <c r="I71" s="55">
        <f t="shared" si="35"/>
        <v>0</v>
      </c>
      <c r="J71" s="55">
        <f t="shared" si="36"/>
        <v>0</v>
      </c>
      <c r="K71" s="55">
        <f t="shared" si="37"/>
        <v>0</v>
      </c>
      <c r="L71" s="55">
        <f t="shared" si="38"/>
        <v>1018980.5203430029</v>
      </c>
      <c r="M71" s="55">
        <f t="shared" si="39"/>
        <v>4923.2865048956974</v>
      </c>
      <c r="N71" s="55">
        <f t="shared" si="40"/>
        <v>0</v>
      </c>
      <c r="O71" s="55">
        <f t="shared" si="41"/>
        <v>0</v>
      </c>
      <c r="P71" s="55">
        <f t="shared" si="42"/>
        <v>0</v>
      </c>
      <c r="Q71" s="55">
        <f t="shared" si="43"/>
        <v>0</v>
      </c>
      <c r="R71" s="55">
        <f t="shared" si="44"/>
        <v>4923.2865048956974</v>
      </c>
      <c r="S71" s="55">
        <f t="shared" si="45"/>
        <v>0</v>
      </c>
      <c r="T71" s="55">
        <f t="shared" si="46"/>
        <v>0</v>
      </c>
      <c r="U71" s="55">
        <f t="shared" si="47"/>
        <v>0</v>
      </c>
      <c r="V71" s="55">
        <f t="shared" si="48"/>
        <v>0</v>
      </c>
      <c r="W71" s="55">
        <f t="shared" si="49"/>
        <v>0</v>
      </c>
      <c r="X71" s="55">
        <f t="shared" si="50"/>
        <v>0</v>
      </c>
      <c r="Y71" s="55">
        <f t="shared" si="51"/>
        <v>0</v>
      </c>
      <c r="Z71" s="55">
        <f t="shared" si="52"/>
        <v>0</v>
      </c>
      <c r="AA71" s="55">
        <f t="shared" si="53"/>
        <v>0</v>
      </c>
      <c r="AB71" s="55">
        <f t="shared" si="54"/>
        <v>0</v>
      </c>
      <c r="AC71" s="55">
        <f t="shared" si="55"/>
        <v>0</v>
      </c>
      <c r="AD71" s="55">
        <f t="shared" si="56"/>
        <v>0</v>
      </c>
      <c r="AE71" s="55">
        <f t="shared" si="57"/>
        <v>0</v>
      </c>
      <c r="AF71" s="55">
        <f t="shared" si="58"/>
        <v>0</v>
      </c>
      <c r="AG71" s="55">
        <f t="shared" si="59"/>
        <v>0</v>
      </c>
      <c r="AH71" s="55">
        <f t="shared" si="60"/>
        <v>0</v>
      </c>
      <c r="AI71" s="55">
        <f t="shared" si="61"/>
        <v>0</v>
      </c>
      <c r="AJ71" s="55">
        <f t="shared" si="62"/>
        <v>0</v>
      </c>
      <c r="AK71" s="55">
        <f t="shared" si="63"/>
        <v>0</v>
      </c>
      <c r="AL71" s="55">
        <f t="shared" si="64"/>
        <v>0</v>
      </c>
      <c r="AM71" s="55">
        <f t="shared" si="65"/>
        <v>0</v>
      </c>
      <c r="AN71" s="55">
        <f t="shared" si="66"/>
        <v>0</v>
      </c>
      <c r="AO71" s="55">
        <f t="shared" si="67"/>
        <v>0</v>
      </c>
    </row>
    <row r="72" spans="1:41" ht="12" thickBot="1" x14ac:dyDescent="0.25">
      <c r="A72" s="54">
        <f>FEO!$R$5</f>
        <v>2039</v>
      </c>
      <c r="B72" s="55">
        <f t="shared" si="28"/>
        <v>2906699.4636015315</v>
      </c>
      <c r="C72" s="55">
        <f t="shared" si="29"/>
        <v>0</v>
      </c>
      <c r="D72" s="55">
        <f t="shared" si="30"/>
        <v>141437.54789272021</v>
      </c>
      <c r="E72" s="55">
        <f t="shared" si="31"/>
        <v>0</v>
      </c>
      <c r="F72" s="55">
        <f t="shared" si="32"/>
        <v>0</v>
      </c>
      <c r="G72" s="55">
        <f t="shared" si="33"/>
        <v>4228338.1098339688</v>
      </c>
      <c r="H72" s="55">
        <f t="shared" si="34"/>
        <v>192512.21796509129</v>
      </c>
      <c r="I72" s="55">
        <f t="shared" si="35"/>
        <v>0</v>
      </c>
      <c r="J72" s="55">
        <f t="shared" si="36"/>
        <v>0</v>
      </c>
      <c r="K72" s="55">
        <f t="shared" si="37"/>
        <v>0</v>
      </c>
      <c r="L72" s="55">
        <f t="shared" si="38"/>
        <v>813154.3499361428</v>
      </c>
      <c r="M72" s="55">
        <f t="shared" si="39"/>
        <v>3928.8207747977831</v>
      </c>
      <c r="N72" s="55">
        <f t="shared" si="40"/>
        <v>0</v>
      </c>
      <c r="O72" s="55">
        <f t="shared" si="41"/>
        <v>0</v>
      </c>
      <c r="P72" s="55">
        <f t="shared" si="42"/>
        <v>0</v>
      </c>
      <c r="Q72" s="55">
        <f t="shared" si="43"/>
        <v>0</v>
      </c>
      <c r="R72" s="55">
        <f t="shared" si="44"/>
        <v>3928.8207747977831</v>
      </c>
      <c r="S72" s="55">
        <f t="shared" si="45"/>
        <v>0</v>
      </c>
      <c r="T72" s="55">
        <f t="shared" si="46"/>
        <v>0</v>
      </c>
      <c r="U72" s="55">
        <f t="shared" si="47"/>
        <v>0</v>
      </c>
      <c r="V72" s="55">
        <f t="shared" si="48"/>
        <v>0</v>
      </c>
      <c r="W72" s="55">
        <f t="shared" si="49"/>
        <v>0</v>
      </c>
      <c r="X72" s="55">
        <f t="shared" si="50"/>
        <v>0</v>
      </c>
      <c r="Y72" s="55">
        <f t="shared" si="51"/>
        <v>0</v>
      </c>
      <c r="Z72" s="55">
        <f t="shared" si="52"/>
        <v>0</v>
      </c>
      <c r="AA72" s="55">
        <f t="shared" si="53"/>
        <v>0</v>
      </c>
      <c r="AB72" s="55">
        <f t="shared" si="54"/>
        <v>0</v>
      </c>
      <c r="AC72" s="55">
        <f t="shared" si="55"/>
        <v>0</v>
      </c>
      <c r="AD72" s="55">
        <f t="shared" si="56"/>
        <v>0</v>
      </c>
      <c r="AE72" s="55">
        <f t="shared" si="57"/>
        <v>0</v>
      </c>
      <c r="AF72" s="55">
        <f t="shared" si="58"/>
        <v>0</v>
      </c>
      <c r="AG72" s="55">
        <f t="shared" si="59"/>
        <v>0</v>
      </c>
      <c r="AH72" s="55">
        <f t="shared" si="60"/>
        <v>0</v>
      </c>
      <c r="AI72" s="55">
        <f t="shared" si="61"/>
        <v>0</v>
      </c>
      <c r="AJ72" s="55">
        <f t="shared" si="62"/>
        <v>0</v>
      </c>
      <c r="AK72" s="55">
        <f t="shared" si="63"/>
        <v>0</v>
      </c>
      <c r="AL72" s="55">
        <f t="shared" si="64"/>
        <v>0</v>
      </c>
      <c r="AM72" s="55">
        <f t="shared" si="65"/>
        <v>0</v>
      </c>
      <c r="AN72" s="55">
        <f t="shared" si="66"/>
        <v>0</v>
      </c>
      <c r="AO72" s="55">
        <f t="shared" si="67"/>
        <v>0</v>
      </c>
    </row>
    <row r="73" spans="1:41" ht="12" thickBot="1" x14ac:dyDescent="0.25">
      <c r="A73" s="54">
        <f>FEO!$S$5</f>
        <v>2040</v>
      </c>
      <c r="B73" s="55">
        <f t="shared" si="28"/>
        <v>2168938.0186097417</v>
      </c>
      <c r="C73" s="55">
        <f t="shared" si="29"/>
        <v>0</v>
      </c>
      <c r="D73" s="55">
        <f t="shared" si="30"/>
        <v>105538.69731800756</v>
      </c>
      <c r="E73" s="55">
        <f t="shared" si="31"/>
        <v>0</v>
      </c>
      <c r="F73" s="55">
        <f t="shared" si="32"/>
        <v>0</v>
      </c>
      <c r="G73" s="55">
        <f t="shared" si="33"/>
        <v>3155126.0791826276</v>
      </c>
      <c r="H73" s="55">
        <f t="shared" si="34"/>
        <v>143649.89357173239</v>
      </c>
      <c r="I73" s="55">
        <f t="shared" si="35"/>
        <v>0</v>
      </c>
      <c r="J73" s="55">
        <f t="shared" si="36"/>
        <v>0</v>
      </c>
      <c r="K73" s="55">
        <f t="shared" si="37"/>
        <v>0</v>
      </c>
      <c r="L73" s="55">
        <f t="shared" si="38"/>
        <v>606764.27221309952</v>
      </c>
      <c r="M73" s="55">
        <f t="shared" si="39"/>
        <v>2931.6304810557649</v>
      </c>
      <c r="N73" s="55">
        <f t="shared" si="40"/>
        <v>0</v>
      </c>
      <c r="O73" s="55">
        <f t="shared" si="41"/>
        <v>0</v>
      </c>
      <c r="P73" s="55">
        <f t="shared" si="42"/>
        <v>0</v>
      </c>
      <c r="Q73" s="55">
        <f t="shared" si="43"/>
        <v>0</v>
      </c>
      <c r="R73" s="55">
        <f t="shared" si="44"/>
        <v>2931.6304810557649</v>
      </c>
      <c r="S73" s="55">
        <f t="shared" si="45"/>
        <v>0</v>
      </c>
      <c r="T73" s="55">
        <f t="shared" si="46"/>
        <v>0</v>
      </c>
      <c r="U73" s="55">
        <f t="shared" si="47"/>
        <v>0</v>
      </c>
      <c r="V73" s="55">
        <f t="shared" si="48"/>
        <v>0</v>
      </c>
      <c r="W73" s="55">
        <f t="shared" si="49"/>
        <v>0</v>
      </c>
      <c r="X73" s="55">
        <f t="shared" si="50"/>
        <v>0</v>
      </c>
      <c r="Y73" s="55">
        <f t="shared" si="51"/>
        <v>0</v>
      </c>
      <c r="Z73" s="55">
        <f t="shared" si="52"/>
        <v>0</v>
      </c>
      <c r="AA73" s="55">
        <f t="shared" si="53"/>
        <v>0</v>
      </c>
      <c r="AB73" s="55">
        <f t="shared" si="54"/>
        <v>0</v>
      </c>
      <c r="AC73" s="55">
        <f t="shared" si="55"/>
        <v>0</v>
      </c>
      <c r="AD73" s="55">
        <f t="shared" si="56"/>
        <v>0</v>
      </c>
      <c r="AE73" s="55">
        <f t="shared" si="57"/>
        <v>0</v>
      </c>
      <c r="AF73" s="55">
        <f t="shared" si="58"/>
        <v>0</v>
      </c>
      <c r="AG73" s="55">
        <f t="shared" si="59"/>
        <v>0</v>
      </c>
      <c r="AH73" s="55">
        <f t="shared" si="60"/>
        <v>0</v>
      </c>
      <c r="AI73" s="55">
        <f t="shared" si="61"/>
        <v>0</v>
      </c>
      <c r="AJ73" s="55">
        <f t="shared" si="62"/>
        <v>0</v>
      </c>
      <c r="AK73" s="55">
        <f t="shared" si="63"/>
        <v>0</v>
      </c>
      <c r="AL73" s="55">
        <f t="shared" si="64"/>
        <v>0</v>
      </c>
      <c r="AM73" s="55">
        <f t="shared" si="65"/>
        <v>0</v>
      </c>
      <c r="AN73" s="55">
        <f t="shared" si="66"/>
        <v>0</v>
      </c>
      <c r="AO73" s="55">
        <f t="shared" si="67"/>
        <v>0</v>
      </c>
    </row>
    <row r="74" spans="1:41" ht="12" thickBot="1" x14ac:dyDescent="0.25">
      <c r="A74" s="54">
        <f>FEO!$T$5</f>
        <v>2041</v>
      </c>
      <c r="B74" s="55">
        <f t="shared" si="28"/>
        <v>1433192.315270935</v>
      </c>
      <c r="C74" s="55">
        <f t="shared" si="29"/>
        <v>0</v>
      </c>
      <c r="D74" s="55">
        <f t="shared" si="30"/>
        <v>69737.931034482652</v>
      </c>
      <c r="E74" s="55">
        <f t="shared" si="31"/>
        <v>0</v>
      </c>
      <c r="F74" s="55">
        <f t="shared" si="32"/>
        <v>0</v>
      </c>
      <c r="G74" s="55">
        <f t="shared" si="33"/>
        <v>2084846.3218390772</v>
      </c>
      <c r="H74" s="55">
        <f t="shared" si="34"/>
        <v>94921.072796934604</v>
      </c>
      <c r="I74" s="55">
        <f t="shared" si="35"/>
        <v>0</v>
      </c>
      <c r="J74" s="55">
        <f t="shared" si="36"/>
        <v>0</v>
      </c>
      <c r="K74" s="55">
        <f t="shared" si="37"/>
        <v>0</v>
      </c>
      <c r="L74" s="55">
        <f t="shared" si="38"/>
        <v>400938.10180623946</v>
      </c>
      <c r="M74" s="55">
        <f t="shared" si="39"/>
        <v>1937.1647509578509</v>
      </c>
      <c r="N74" s="55">
        <f t="shared" si="40"/>
        <v>0</v>
      </c>
      <c r="O74" s="55">
        <f t="shared" si="41"/>
        <v>0</v>
      </c>
      <c r="P74" s="55">
        <f t="shared" si="42"/>
        <v>0</v>
      </c>
      <c r="Q74" s="55">
        <f t="shared" si="43"/>
        <v>0</v>
      </c>
      <c r="R74" s="55">
        <f t="shared" si="44"/>
        <v>1937.1647509578509</v>
      </c>
      <c r="S74" s="55">
        <f t="shared" si="45"/>
        <v>0</v>
      </c>
      <c r="T74" s="55">
        <f t="shared" si="46"/>
        <v>0</v>
      </c>
      <c r="U74" s="55">
        <f t="shared" si="47"/>
        <v>0</v>
      </c>
      <c r="V74" s="55">
        <f t="shared" si="48"/>
        <v>0</v>
      </c>
      <c r="W74" s="55">
        <f t="shared" si="49"/>
        <v>0</v>
      </c>
      <c r="X74" s="55">
        <f t="shared" si="50"/>
        <v>0</v>
      </c>
      <c r="Y74" s="55">
        <f t="shared" si="51"/>
        <v>0</v>
      </c>
      <c r="Z74" s="55">
        <f t="shared" si="52"/>
        <v>0</v>
      </c>
      <c r="AA74" s="55">
        <f t="shared" si="53"/>
        <v>0</v>
      </c>
      <c r="AB74" s="55">
        <f t="shared" si="54"/>
        <v>0</v>
      </c>
      <c r="AC74" s="55">
        <f t="shared" si="55"/>
        <v>0</v>
      </c>
      <c r="AD74" s="55">
        <f t="shared" si="56"/>
        <v>0</v>
      </c>
      <c r="AE74" s="55">
        <f t="shared" si="57"/>
        <v>0</v>
      </c>
      <c r="AF74" s="55">
        <f t="shared" si="58"/>
        <v>0</v>
      </c>
      <c r="AG74" s="55">
        <f t="shared" si="59"/>
        <v>0</v>
      </c>
      <c r="AH74" s="55">
        <f t="shared" si="60"/>
        <v>0</v>
      </c>
      <c r="AI74" s="55">
        <f t="shared" si="61"/>
        <v>0</v>
      </c>
      <c r="AJ74" s="55">
        <f t="shared" si="62"/>
        <v>0</v>
      </c>
      <c r="AK74" s="55">
        <f t="shared" si="63"/>
        <v>0</v>
      </c>
      <c r="AL74" s="55">
        <f t="shared" si="64"/>
        <v>0</v>
      </c>
      <c r="AM74" s="55">
        <f t="shared" si="65"/>
        <v>0</v>
      </c>
      <c r="AN74" s="55">
        <f t="shared" si="66"/>
        <v>0</v>
      </c>
      <c r="AO74" s="55">
        <f t="shared" si="67"/>
        <v>0</v>
      </c>
    </row>
    <row r="75" spans="1:41" ht="12" thickBot="1" x14ac:dyDescent="0.25">
      <c r="A75" s="54">
        <f>FEO!$U$5</f>
        <v>2042</v>
      </c>
      <c r="B75" s="55">
        <f t="shared" si="28"/>
        <v>697446.6119321282</v>
      </c>
      <c r="C75" s="55">
        <f t="shared" si="29"/>
        <v>0</v>
      </c>
      <c r="D75" s="55">
        <f t="shared" si="30"/>
        <v>33937.164750957745</v>
      </c>
      <c r="E75" s="55">
        <f t="shared" si="31"/>
        <v>0</v>
      </c>
      <c r="F75" s="55">
        <f t="shared" si="32"/>
        <v>0</v>
      </c>
      <c r="G75" s="55">
        <f t="shared" si="33"/>
        <v>1014566.5644955267</v>
      </c>
      <c r="H75" s="55">
        <f t="shared" si="34"/>
        <v>46192.25202213681</v>
      </c>
      <c r="I75" s="55">
        <f t="shared" si="35"/>
        <v>0</v>
      </c>
      <c r="J75" s="55">
        <f t="shared" si="36"/>
        <v>0</v>
      </c>
      <c r="K75" s="55">
        <f t="shared" si="37"/>
        <v>0</v>
      </c>
      <c r="L75" s="55">
        <f t="shared" si="38"/>
        <v>195111.93139937939</v>
      </c>
      <c r="M75" s="55">
        <f t="shared" si="39"/>
        <v>942.69902085993681</v>
      </c>
      <c r="N75" s="55">
        <f t="shared" si="40"/>
        <v>0</v>
      </c>
      <c r="O75" s="55">
        <f t="shared" si="41"/>
        <v>0</v>
      </c>
      <c r="P75" s="55">
        <f t="shared" si="42"/>
        <v>0</v>
      </c>
      <c r="Q75" s="55">
        <f t="shared" si="43"/>
        <v>0</v>
      </c>
      <c r="R75" s="55">
        <f t="shared" si="44"/>
        <v>942.69902085993681</v>
      </c>
      <c r="S75" s="55">
        <f t="shared" si="45"/>
        <v>0</v>
      </c>
      <c r="T75" s="55">
        <f t="shared" si="46"/>
        <v>0</v>
      </c>
      <c r="U75" s="55">
        <f t="shared" si="47"/>
        <v>0</v>
      </c>
      <c r="V75" s="55">
        <f t="shared" si="48"/>
        <v>0</v>
      </c>
      <c r="W75" s="55">
        <f t="shared" si="49"/>
        <v>0</v>
      </c>
      <c r="X75" s="55">
        <f t="shared" si="50"/>
        <v>0</v>
      </c>
      <c r="Y75" s="55">
        <f t="shared" si="51"/>
        <v>0</v>
      </c>
      <c r="Z75" s="55">
        <f t="shared" si="52"/>
        <v>0</v>
      </c>
      <c r="AA75" s="55">
        <f t="shared" si="53"/>
        <v>0</v>
      </c>
      <c r="AB75" s="55">
        <f t="shared" si="54"/>
        <v>0</v>
      </c>
      <c r="AC75" s="55">
        <f t="shared" si="55"/>
        <v>0</v>
      </c>
      <c r="AD75" s="55">
        <f t="shared" si="56"/>
        <v>0</v>
      </c>
      <c r="AE75" s="55">
        <f t="shared" si="57"/>
        <v>0</v>
      </c>
      <c r="AF75" s="55">
        <f t="shared" si="58"/>
        <v>0</v>
      </c>
      <c r="AG75" s="55">
        <f t="shared" si="59"/>
        <v>0</v>
      </c>
      <c r="AH75" s="55">
        <f t="shared" si="60"/>
        <v>0</v>
      </c>
      <c r="AI75" s="55">
        <f t="shared" si="61"/>
        <v>0</v>
      </c>
      <c r="AJ75" s="55">
        <f t="shared" si="62"/>
        <v>0</v>
      </c>
      <c r="AK75" s="55">
        <f t="shared" si="63"/>
        <v>0</v>
      </c>
      <c r="AL75" s="55">
        <f t="shared" si="64"/>
        <v>0</v>
      </c>
      <c r="AM75" s="55">
        <f t="shared" si="65"/>
        <v>0</v>
      </c>
      <c r="AN75" s="55">
        <f t="shared" si="66"/>
        <v>0</v>
      </c>
      <c r="AO75" s="55">
        <f t="shared" si="67"/>
        <v>0</v>
      </c>
    </row>
    <row r="76" spans="1:41" ht="12" thickBot="1" x14ac:dyDescent="0.25">
      <c r="A76" s="54">
        <f>FEO!$V$5</f>
        <v>2043</v>
      </c>
      <c r="B76" s="55">
        <f t="shared" si="28"/>
        <v>-9.3132257461547852E-10</v>
      </c>
      <c r="C76" s="55">
        <f t="shared" si="29"/>
        <v>0</v>
      </c>
      <c r="D76" s="55">
        <f t="shared" si="30"/>
        <v>-1.0913936421275139E-10</v>
      </c>
      <c r="E76" s="55">
        <f t="shared" si="31"/>
        <v>0</v>
      </c>
      <c r="F76" s="55">
        <f t="shared" si="32"/>
        <v>0</v>
      </c>
      <c r="G76" s="55">
        <f t="shared" si="33"/>
        <v>-3.2596290111541748E-9</v>
      </c>
      <c r="H76" s="55">
        <f t="shared" si="34"/>
        <v>-2.7648638933897018E-10</v>
      </c>
      <c r="I76" s="55">
        <f t="shared" si="35"/>
        <v>0</v>
      </c>
      <c r="J76" s="55">
        <f t="shared" si="36"/>
        <v>0</v>
      </c>
      <c r="K76" s="55">
        <f t="shared" si="37"/>
        <v>0</v>
      </c>
      <c r="L76" s="55">
        <f t="shared" si="38"/>
        <v>-2.9103830456733704E-10</v>
      </c>
      <c r="M76" s="55">
        <f t="shared" si="39"/>
        <v>-3.637978807091713E-12</v>
      </c>
      <c r="N76" s="55">
        <f t="shared" si="40"/>
        <v>0</v>
      </c>
      <c r="O76" s="55">
        <f t="shared" si="41"/>
        <v>0</v>
      </c>
      <c r="P76" s="55">
        <f t="shared" si="42"/>
        <v>0</v>
      </c>
      <c r="Q76" s="55">
        <f t="shared" si="43"/>
        <v>0</v>
      </c>
      <c r="R76" s="55">
        <f t="shared" si="44"/>
        <v>-3.637978807091713E-12</v>
      </c>
      <c r="S76" s="55">
        <f t="shared" si="45"/>
        <v>0</v>
      </c>
      <c r="T76" s="55">
        <f t="shared" si="46"/>
        <v>0</v>
      </c>
      <c r="U76" s="55">
        <f t="shared" si="47"/>
        <v>0</v>
      </c>
      <c r="V76" s="55">
        <f t="shared" si="48"/>
        <v>0</v>
      </c>
      <c r="W76" s="55">
        <f t="shared" si="49"/>
        <v>0</v>
      </c>
      <c r="X76" s="55">
        <f t="shared" si="50"/>
        <v>0</v>
      </c>
      <c r="Y76" s="55">
        <f t="shared" si="51"/>
        <v>0</v>
      </c>
      <c r="Z76" s="55">
        <f t="shared" si="52"/>
        <v>0</v>
      </c>
      <c r="AA76" s="55">
        <f t="shared" si="53"/>
        <v>0</v>
      </c>
      <c r="AB76" s="55">
        <f t="shared" si="54"/>
        <v>0</v>
      </c>
      <c r="AC76" s="55">
        <f t="shared" si="55"/>
        <v>0</v>
      </c>
      <c r="AD76" s="55">
        <f t="shared" si="56"/>
        <v>0</v>
      </c>
      <c r="AE76" s="55">
        <f t="shared" si="57"/>
        <v>0</v>
      </c>
      <c r="AF76" s="55">
        <f t="shared" si="58"/>
        <v>0</v>
      </c>
      <c r="AG76" s="55">
        <f t="shared" si="59"/>
        <v>0</v>
      </c>
      <c r="AH76" s="55">
        <f t="shared" si="60"/>
        <v>0</v>
      </c>
      <c r="AI76" s="55">
        <f t="shared" si="61"/>
        <v>0</v>
      </c>
      <c r="AJ76" s="55">
        <f t="shared" si="62"/>
        <v>0</v>
      </c>
      <c r="AK76" s="55">
        <f t="shared" si="63"/>
        <v>0</v>
      </c>
      <c r="AL76" s="55">
        <f t="shared" si="64"/>
        <v>0</v>
      </c>
      <c r="AM76" s="55">
        <f t="shared" si="65"/>
        <v>0</v>
      </c>
      <c r="AN76" s="55">
        <f t="shared" si="66"/>
        <v>0</v>
      </c>
      <c r="AO76" s="55">
        <f t="shared" si="67"/>
        <v>0</v>
      </c>
    </row>
    <row r="77" spans="1:41" x14ac:dyDescent="0.2"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N77" s="110"/>
      <c r="O77" s="110"/>
      <c r="S77" s="110"/>
      <c r="T77" s="110"/>
      <c r="X77" s="110"/>
      <c r="Y77" s="110"/>
      <c r="AC77" s="110"/>
      <c r="AD77" s="110"/>
      <c r="AH77" s="110"/>
      <c r="AI77" s="110"/>
      <c r="AM77" s="110"/>
      <c r="AN77" s="110"/>
    </row>
    <row r="78" spans="1:41" x14ac:dyDescent="0.2"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N78" s="110"/>
      <c r="O78" s="110"/>
      <c r="S78" s="110"/>
      <c r="T78" s="110"/>
      <c r="X78" s="110"/>
      <c r="Y78" s="110"/>
      <c r="AC78" s="110"/>
      <c r="AD78" s="110"/>
      <c r="AH78" s="110"/>
      <c r="AI78" s="110"/>
      <c r="AM78" s="110"/>
      <c r="AN78" s="110"/>
    </row>
    <row r="79" spans="1:41" x14ac:dyDescent="0.2"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N79" s="110"/>
      <c r="O79" s="110"/>
      <c r="S79" s="110"/>
      <c r="T79" s="110"/>
      <c r="X79" s="110"/>
      <c r="Y79" s="110"/>
      <c r="AC79" s="110"/>
      <c r="AD79" s="110"/>
      <c r="AH79" s="110"/>
      <c r="AI79" s="110"/>
      <c r="AM79" s="110"/>
      <c r="AN79" s="110"/>
    </row>
    <row r="80" spans="1:41" x14ac:dyDescent="0.2">
      <c r="P80" s="110"/>
    </row>
    <row r="81" spans="13:16" x14ac:dyDescent="0.2">
      <c r="M81" s="108"/>
      <c r="P81" s="110"/>
    </row>
    <row r="82" spans="13:16" x14ac:dyDescent="0.2">
      <c r="P82" s="110"/>
    </row>
    <row r="83" spans="13:16" x14ac:dyDescent="0.2">
      <c r="P83" s="110"/>
    </row>
    <row r="84" spans="13:16" x14ac:dyDescent="0.2">
      <c r="P84" s="110"/>
    </row>
    <row r="85" spans="13:16" x14ac:dyDescent="0.2">
      <c r="P85" s="110"/>
    </row>
    <row r="86" spans="13:16" x14ac:dyDescent="0.2">
      <c r="P86" s="110"/>
    </row>
    <row r="87" spans="13:16" x14ac:dyDescent="0.2">
      <c r="P87" s="110"/>
    </row>
    <row r="88" spans="13:16" x14ac:dyDescent="0.2">
      <c r="P88" s="110"/>
    </row>
    <row r="89" spans="13:16" x14ac:dyDescent="0.2">
      <c r="P89" s="110"/>
    </row>
    <row r="90" spans="13:16" x14ac:dyDescent="0.2">
      <c r="P90" s="110"/>
    </row>
    <row r="91" spans="13:16" x14ac:dyDescent="0.2">
      <c r="P91" s="110"/>
    </row>
    <row r="92" spans="13:16" x14ac:dyDescent="0.2">
      <c r="P92" s="110"/>
    </row>
    <row r="93" spans="13:16" x14ac:dyDescent="0.2">
      <c r="P93" s="110"/>
    </row>
    <row r="94" spans="13:16" x14ac:dyDescent="0.2">
      <c r="P94" s="110"/>
    </row>
    <row r="95" spans="13:16" x14ac:dyDescent="0.2">
      <c r="P95" s="110"/>
    </row>
    <row r="96" spans="13:16" x14ac:dyDescent="0.2">
      <c r="P96" s="110"/>
    </row>
    <row r="97" spans="16:16" x14ac:dyDescent="0.2">
      <c r="P97" s="110"/>
    </row>
    <row r="98" spans="16:16" x14ac:dyDescent="0.2">
      <c r="P98" s="110"/>
    </row>
    <row r="99" spans="16:16" x14ac:dyDescent="0.2">
      <c r="P99" s="110"/>
    </row>
    <row r="100" spans="16:16" x14ac:dyDescent="0.2">
      <c r="P100" s="110"/>
    </row>
    <row r="101" spans="16:16" x14ac:dyDescent="0.2">
      <c r="P101" s="110"/>
    </row>
    <row r="102" spans="16:16" x14ac:dyDescent="0.2">
      <c r="P102" s="110"/>
    </row>
    <row r="103" spans="16:16" x14ac:dyDescent="0.2">
      <c r="P103" s="110"/>
    </row>
    <row r="104" spans="16:16" x14ac:dyDescent="0.2">
      <c r="P104" s="110"/>
    </row>
    <row r="105" spans="16:16" x14ac:dyDescent="0.2">
      <c r="P105" s="110"/>
    </row>
    <row r="106" spans="16:16" x14ac:dyDescent="0.2">
      <c r="P106" s="110"/>
    </row>
    <row r="107" spans="16:16" x14ac:dyDescent="0.2">
      <c r="P107" s="110"/>
    </row>
    <row r="108" spans="16:16" x14ac:dyDescent="0.2">
      <c r="P108" s="110"/>
    </row>
    <row r="109" spans="16:16" x14ac:dyDescent="0.2">
      <c r="P109" s="110"/>
    </row>
    <row r="110" spans="16:16" x14ac:dyDescent="0.2">
      <c r="P110" s="110"/>
    </row>
    <row r="111" spans="16:16" x14ac:dyDescent="0.2">
      <c r="P111" s="110"/>
    </row>
    <row r="112" spans="16:16" x14ac:dyDescent="0.2">
      <c r="P112" s="110"/>
    </row>
    <row r="113" spans="16:16" x14ac:dyDescent="0.2">
      <c r="P113" s="110"/>
    </row>
    <row r="114" spans="16:16" x14ac:dyDescent="0.2">
      <c r="P114" s="110"/>
    </row>
    <row r="115" spans="16:16" x14ac:dyDescent="0.2">
      <c r="P115" s="110"/>
    </row>
    <row r="116" spans="16:16" x14ac:dyDescent="0.2">
      <c r="P116" s="110"/>
    </row>
    <row r="117" spans="16:16" x14ac:dyDescent="0.2">
      <c r="P117" s="110"/>
    </row>
    <row r="118" spans="16:16" x14ac:dyDescent="0.2">
      <c r="P118" s="110"/>
    </row>
    <row r="119" spans="16:16" x14ac:dyDescent="0.2">
      <c r="P119" s="110"/>
    </row>
    <row r="120" spans="16:16" x14ac:dyDescent="0.2">
      <c r="P120" s="110"/>
    </row>
    <row r="121" spans="16:16" x14ac:dyDescent="0.2">
      <c r="P121" s="110"/>
    </row>
    <row r="122" spans="16:16" x14ac:dyDescent="0.2">
      <c r="P122" s="110"/>
    </row>
    <row r="123" spans="16:16" x14ac:dyDescent="0.2">
      <c r="P123" s="110"/>
    </row>
    <row r="124" spans="16:16" x14ac:dyDescent="0.2">
      <c r="P124" s="110"/>
    </row>
    <row r="125" spans="16:16" x14ac:dyDescent="0.2">
      <c r="P125" s="110"/>
    </row>
    <row r="126" spans="16:16" x14ac:dyDescent="0.2">
      <c r="P126" s="110"/>
    </row>
    <row r="127" spans="16:16" x14ac:dyDescent="0.2">
      <c r="P127" s="110"/>
    </row>
    <row r="128" spans="16:16" x14ac:dyDescent="0.2">
      <c r="P128" s="110"/>
    </row>
    <row r="129" spans="16:16" x14ac:dyDescent="0.2">
      <c r="P129" s="110"/>
    </row>
    <row r="130" spans="16:16" x14ac:dyDescent="0.2">
      <c r="P130" s="110"/>
    </row>
    <row r="131" spans="16:16" x14ac:dyDescent="0.2">
      <c r="P131" s="110"/>
    </row>
    <row r="132" spans="16:16" x14ac:dyDescent="0.2">
      <c r="P132" s="110"/>
    </row>
    <row r="133" spans="16:16" x14ac:dyDescent="0.2">
      <c r="P133" s="110"/>
    </row>
    <row r="134" spans="16:16" x14ac:dyDescent="0.2">
      <c r="P134" s="110"/>
    </row>
    <row r="135" spans="16:16" x14ac:dyDescent="0.2">
      <c r="P135" s="110"/>
    </row>
    <row r="136" spans="16:16" x14ac:dyDescent="0.2">
      <c r="P136" s="110"/>
    </row>
    <row r="137" spans="16:16" x14ac:dyDescent="0.2">
      <c r="P137" s="110"/>
    </row>
    <row r="138" spans="16:16" x14ac:dyDescent="0.2">
      <c r="P138" s="110"/>
    </row>
    <row r="139" spans="16:16" x14ac:dyDescent="0.2">
      <c r="P139" s="110"/>
    </row>
    <row r="140" spans="16:16" x14ac:dyDescent="0.2">
      <c r="P140" s="110"/>
    </row>
    <row r="141" spans="16:16" x14ac:dyDescent="0.2">
      <c r="P141" s="110"/>
    </row>
    <row r="142" spans="16:16" x14ac:dyDescent="0.2">
      <c r="P142" s="110"/>
    </row>
    <row r="143" spans="16:16" x14ac:dyDescent="0.2">
      <c r="P143" s="110"/>
    </row>
    <row r="144" spans="16:16" x14ac:dyDescent="0.2">
      <c r="P144" s="110"/>
    </row>
    <row r="145" spans="16:16" x14ac:dyDescent="0.2">
      <c r="P145" s="110"/>
    </row>
    <row r="146" spans="16:16" x14ac:dyDescent="0.2">
      <c r="P146" s="110"/>
    </row>
    <row r="147" spans="16:16" x14ac:dyDescent="0.2">
      <c r="P147" s="110"/>
    </row>
    <row r="148" spans="16:16" x14ac:dyDescent="0.2">
      <c r="P148" s="110"/>
    </row>
    <row r="149" spans="16:16" x14ac:dyDescent="0.2">
      <c r="P149" s="110"/>
    </row>
    <row r="150" spans="16:16" x14ac:dyDescent="0.2">
      <c r="P150" s="110"/>
    </row>
    <row r="151" spans="16:16" x14ac:dyDescent="0.2">
      <c r="P151" s="110"/>
    </row>
    <row r="152" spans="16:16" x14ac:dyDescent="0.2">
      <c r="P152" s="110"/>
    </row>
    <row r="153" spans="16:16" x14ac:dyDescent="0.2">
      <c r="P153" s="110"/>
    </row>
    <row r="154" spans="16:16" x14ac:dyDescent="0.2">
      <c r="P154" s="110"/>
    </row>
    <row r="155" spans="16:16" x14ac:dyDescent="0.2">
      <c r="P155" s="110"/>
    </row>
    <row r="156" spans="16:16" x14ac:dyDescent="0.2">
      <c r="P156" s="110"/>
    </row>
    <row r="157" spans="16:16" x14ac:dyDescent="0.2">
      <c r="P157" s="110"/>
    </row>
    <row r="158" spans="16:16" x14ac:dyDescent="0.2">
      <c r="P158" s="110"/>
    </row>
    <row r="159" spans="16:16" x14ac:dyDescent="0.2">
      <c r="P159" s="110"/>
    </row>
    <row r="160" spans="16:16" x14ac:dyDescent="0.2">
      <c r="P160" s="110"/>
    </row>
    <row r="161" spans="16:16" x14ac:dyDescent="0.2">
      <c r="P161" s="110"/>
    </row>
    <row r="162" spans="16:16" x14ac:dyDescent="0.2">
      <c r="P162" s="110"/>
    </row>
    <row r="163" spans="16:16" x14ac:dyDescent="0.2">
      <c r="P163" s="110"/>
    </row>
    <row r="164" spans="16:16" x14ac:dyDescent="0.2">
      <c r="P164" s="110"/>
    </row>
    <row r="165" spans="16:16" x14ac:dyDescent="0.2">
      <c r="P165" s="110"/>
    </row>
    <row r="166" spans="16:16" x14ac:dyDescent="0.2">
      <c r="P166" s="110"/>
    </row>
    <row r="167" spans="16:16" x14ac:dyDescent="0.2">
      <c r="P167" s="110"/>
    </row>
    <row r="168" spans="16:16" x14ac:dyDescent="0.2">
      <c r="P168" s="110"/>
    </row>
    <row r="169" spans="16:16" x14ac:dyDescent="0.2">
      <c r="P169" s="110"/>
    </row>
    <row r="170" spans="16:16" x14ac:dyDescent="0.2">
      <c r="P170" s="110"/>
    </row>
    <row r="171" spans="16:16" x14ac:dyDescent="0.2">
      <c r="P171" s="110"/>
    </row>
    <row r="172" spans="16:16" x14ac:dyDescent="0.2">
      <c r="P172" s="110"/>
    </row>
    <row r="173" spans="16:16" x14ac:dyDescent="0.2">
      <c r="P173" s="110"/>
    </row>
    <row r="174" spans="16:16" x14ac:dyDescent="0.2">
      <c r="P174" s="110"/>
    </row>
    <row r="175" spans="16:16" x14ac:dyDescent="0.2">
      <c r="P175" s="110"/>
    </row>
    <row r="176" spans="16:16" x14ac:dyDescent="0.2">
      <c r="P176" s="110"/>
    </row>
    <row r="177" spans="16:16" x14ac:dyDescent="0.2">
      <c r="P177" s="110"/>
    </row>
    <row r="178" spans="16:16" x14ac:dyDescent="0.2">
      <c r="P178" s="110"/>
    </row>
    <row r="179" spans="16:16" x14ac:dyDescent="0.2">
      <c r="P179" s="110"/>
    </row>
    <row r="180" spans="16:16" x14ac:dyDescent="0.2">
      <c r="P180" s="110"/>
    </row>
    <row r="181" spans="16:16" x14ac:dyDescent="0.2">
      <c r="P181" s="110"/>
    </row>
    <row r="182" spans="16:16" x14ac:dyDescent="0.2">
      <c r="P182" s="110"/>
    </row>
    <row r="183" spans="16:16" x14ac:dyDescent="0.2">
      <c r="P183" s="110"/>
    </row>
    <row r="184" spans="16:16" x14ac:dyDescent="0.2">
      <c r="P184" s="110"/>
    </row>
    <row r="185" spans="16:16" x14ac:dyDescent="0.2">
      <c r="P185" s="110"/>
    </row>
    <row r="186" spans="16:16" x14ac:dyDescent="0.2">
      <c r="P186" s="110"/>
    </row>
    <row r="187" spans="16:16" x14ac:dyDescent="0.2">
      <c r="P187" s="110"/>
    </row>
    <row r="188" spans="16:16" x14ac:dyDescent="0.2">
      <c r="P188" s="110"/>
    </row>
    <row r="189" spans="16:16" x14ac:dyDescent="0.2">
      <c r="P189" s="110"/>
    </row>
    <row r="190" spans="16:16" x14ac:dyDescent="0.2">
      <c r="P190" s="110"/>
    </row>
    <row r="191" spans="16:16" x14ac:dyDescent="0.2">
      <c r="P191" s="110"/>
    </row>
    <row r="192" spans="16:16" x14ac:dyDescent="0.2">
      <c r="P192" s="110"/>
    </row>
    <row r="193" spans="16:16" x14ac:dyDescent="0.2">
      <c r="P193" s="110"/>
    </row>
    <row r="194" spans="16:16" x14ac:dyDescent="0.2">
      <c r="P194" s="110"/>
    </row>
    <row r="195" spans="16:16" x14ac:dyDescent="0.2">
      <c r="P195" s="110"/>
    </row>
    <row r="196" spans="16:16" x14ac:dyDescent="0.2">
      <c r="P196" s="110"/>
    </row>
    <row r="197" spans="16:16" x14ac:dyDescent="0.2">
      <c r="P197" s="110"/>
    </row>
    <row r="198" spans="16:16" x14ac:dyDescent="0.2">
      <c r="P198" s="110"/>
    </row>
    <row r="199" spans="16:16" x14ac:dyDescent="0.2">
      <c r="P199" s="110"/>
    </row>
    <row r="200" spans="16:16" x14ac:dyDescent="0.2">
      <c r="P200" s="110"/>
    </row>
    <row r="201" spans="16:16" x14ac:dyDescent="0.2">
      <c r="P201" s="110"/>
    </row>
    <row r="202" spans="16:16" x14ac:dyDescent="0.2">
      <c r="P202" s="110"/>
    </row>
    <row r="203" spans="16:16" x14ac:dyDescent="0.2">
      <c r="P203" s="110"/>
    </row>
    <row r="204" spans="16:16" x14ac:dyDescent="0.2">
      <c r="P204" s="110"/>
    </row>
    <row r="205" spans="16:16" x14ac:dyDescent="0.2">
      <c r="P205" s="110"/>
    </row>
    <row r="206" spans="16:16" x14ac:dyDescent="0.2">
      <c r="P206" s="110"/>
    </row>
    <row r="207" spans="16:16" x14ac:dyDescent="0.2">
      <c r="P207" s="110"/>
    </row>
    <row r="208" spans="16:16" x14ac:dyDescent="0.2">
      <c r="P208" s="110"/>
    </row>
    <row r="209" spans="16:16" x14ac:dyDescent="0.2">
      <c r="P209" s="110"/>
    </row>
    <row r="210" spans="16:16" x14ac:dyDescent="0.2">
      <c r="P210" s="110"/>
    </row>
    <row r="211" spans="16:16" x14ac:dyDescent="0.2">
      <c r="P211" s="110"/>
    </row>
    <row r="212" spans="16:16" x14ac:dyDescent="0.2">
      <c r="P212" s="110"/>
    </row>
    <row r="213" spans="16:16" x14ac:dyDescent="0.2">
      <c r="P213" s="110"/>
    </row>
    <row r="214" spans="16:16" x14ac:dyDescent="0.2">
      <c r="P214" s="110"/>
    </row>
    <row r="215" spans="16:16" x14ac:dyDescent="0.2">
      <c r="P215" s="110"/>
    </row>
    <row r="216" spans="16:16" x14ac:dyDescent="0.2">
      <c r="P216" s="110"/>
    </row>
    <row r="217" spans="16:16" x14ac:dyDescent="0.2">
      <c r="P217" s="110"/>
    </row>
    <row r="218" spans="16:16" x14ac:dyDescent="0.2">
      <c r="P218" s="110"/>
    </row>
    <row r="219" spans="16:16" x14ac:dyDescent="0.2">
      <c r="P219" s="110"/>
    </row>
    <row r="220" spans="16:16" x14ac:dyDescent="0.2">
      <c r="P220" s="110"/>
    </row>
    <row r="221" spans="16:16" x14ac:dyDescent="0.2">
      <c r="P221" s="110"/>
    </row>
    <row r="222" spans="16:16" x14ac:dyDescent="0.2">
      <c r="P222" s="110"/>
    </row>
    <row r="223" spans="16:16" x14ac:dyDescent="0.2">
      <c r="P223" s="110"/>
    </row>
    <row r="224" spans="16:16" x14ac:dyDescent="0.2">
      <c r="P224" s="110"/>
    </row>
    <row r="225" spans="16:16" x14ac:dyDescent="0.2">
      <c r="P225" s="110"/>
    </row>
    <row r="226" spans="16:16" x14ac:dyDescent="0.2">
      <c r="P226" s="110"/>
    </row>
    <row r="227" spans="16:16" x14ac:dyDescent="0.2">
      <c r="P227" s="110"/>
    </row>
    <row r="228" spans="16:16" x14ac:dyDescent="0.2">
      <c r="P228" s="110"/>
    </row>
    <row r="229" spans="16:16" x14ac:dyDescent="0.2">
      <c r="P229" s="110"/>
    </row>
    <row r="230" spans="16:16" x14ac:dyDescent="0.2">
      <c r="P230" s="110"/>
    </row>
    <row r="231" spans="16:16" x14ac:dyDescent="0.2">
      <c r="P231" s="110"/>
    </row>
    <row r="232" spans="16:16" x14ac:dyDescent="0.2">
      <c r="P232" s="110"/>
    </row>
    <row r="233" spans="16:16" x14ac:dyDescent="0.2">
      <c r="P233" s="110"/>
    </row>
    <row r="234" spans="16:16" x14ac:dyDescent="0.2">
      <c r="P234" s="110"/>
    </row>
    <row r="235" spans="16:16" x14ac:dyDescent="0.2">
      <c r="P235" s="110"/>
    </row>
    <row r="236" spans="16:16" x14ac:dyDescent="0.2">
      <c r="P236" s="110"/>
    </row>
    <row r="237" spans="16:16" x14ac:dyDescent="0.2">
      <c r="P237" s="110"/>
    </row>
    <row r="238" spans="16:16" x14ac:dyDescent="0.2">
      <c r="P238" s="110"/>
    </row>
    <row r="239" spans="16:16" x14ac:dyDescent="0.2">
      <c r="P239" s="110"/>
    </row>
    <row r="240" spans="16:16" x14ac:dyDescent="0.2">
      <c r="P240" s="110"/>
    </row>
    <row r="241" spans="16:16" x14ac:dyDescent="0.2">
      <c r="P241" s="110"/>
    </row>
    <row r="242" spans="16:16" x14ac:dyDescent="0.2">
      <c r="P242" s="110"/>
    </row>
    <row r="243" spans="16:16" x14ac:dyDescent="0.2">
      <c r="P243" s="110"/>
    </row>
    <row r="244" spans="16:16" x14ac:dyDescent="0.2">
      <c r="P244" s="110"/>
    </row>
    <row r="245" spans="16:16" x14ac:dyDescent="0.2">
      <c r="P245" s="110"/>
    </row>
    <row r="246" spans="16:16" x14ac:dyDescent="0.2">
      <c r="P246" s="110"/>
    </row>
    <row r="247" spans="16:16" x14ac:dyDescent="0.2">
      <c r="P247" s="110"/>
    </row>
    <row r="248" spans="16:16" x14ac:dyDescent="0.2">
      <c r="P248" s="110"/>
    </row>
    <row r="249" spans="16:16" x14ac:dyDescent="0.2">
      <c r="P249" s="110"/>
    </row>
    <row r="250" spans="16:16" x14ac:dyDescent="0.2">
      <c r="P250" s="110"/>
    </row>
    <row r="251" spans="16:16" x14ac:dyDescent="0.2">
      <c r="P251" s="110"/>
    </row>
    <row r="252" spans="16:16" x14ac:dyDescent="0.2">
      <c r="P252" s="110"/>
    </row>
    <row r="253" spans="16:16" x14ac:dyDescent="0.2">
      <c r="P253" s="110"/>
    </row>
    <row r="254" spans="16:16" x14ac:dyDescent="0.2">
      <c r="P254" s="110"/>
    </row>
    <row r="255" spans="16:16" x14ac:dyDescent="0.2">
      <c r="P255" s="110"/>
    </row>
    <row r="256" spans="16:16" x14ac:dyDescent="0.2">
      <c r="P256" s="110"/>
    </row>
    <row r="257" spans="16:16" x14ac:dyDescent="0.2">
      <c r="P257" s="110"/>
    </row>
    <row r="258" spans="16:16" x14ac:dyDescent="0.2">
      <c r="P258" s="110"/>
    </row>
    <row r="259" spans="16:16" x14ac:dyDescent="0.2">
      <c r="P259" s="110"/>
    </row>
    <row r="260" spans="16:16" x14ac:dyDescent="0.2">
      <c r="P260" s="110"/>
    </row>
    <row r="261" spans="16:16" x14ac:dyDescent="0.2">
      <c r="P261" s="110"/>
    </row>
    <row r="262" spans="16:16" x14ac:dyDescent="0.2">
      <c r="P262" s="110"/>
    </row>
    <row r="263" spans="16:16" x14ac:dyDescent="0.2">
      <c r="P263" s="110"/>
    </row>
    <row r="264" spans="16:16" x14ac:dyDescent="0.2">
      <c r="P264" s="110"/>
    </row>
    <row r="265" spans="16:16" x14ac:dyDescent="0.2">
      <c r="P265" s="110"/>
    </row>
    <row r="266" spans="16:16" x14ac:dyDescent="0.2">
      <c r="P266" s="110"/>
    </row>
    <row r="267" spans="16:16" x14ac:dyDescent="0.2">
      <c r="P267" s="110"/>
    </row>
    <row r="268" spans="16:16" x14ac:dyDescent="0.2">
      <c r="P268" s="110"/>
    </row>
    <row r="269" spans="16:16" x14ac:dyDescent="0.2">
      <c r="P269" s="110"/>
    </row>
    <row r="270" spans="16:16" x14ac:dyDescent="0.2">
      <c r="P270" s="110"/>
    </row>
    <row r="271" spans="16:16" x14ac:dyDescent="0.2">
      <c r="P271" s="110"/>
    </row>
    <row r="272" spans="16:16" x14ac:dyDescent="0.2">
      <c r="P272" s="110"/>
    </row>
    <row r="273" spans="16:16" x14ac:dyDescent="0.2">
      <c r="P273" s="110"/>
    </row>
    <row r="274" spans="16:16" x14ac:dyDescent="0.2">
      <c r="P274" s="110"/>
    </row>
    <row r="275" spans="16:16" x14ac:dyDescent="0.2">
      <c r="P275" s="110"/>
    </row>
    <row r="276" spans="16:16" x14ac:dyDescent="0.2">
      <c r="P276" s="110"/>
    </row>
    <row r="277" spans="16:16" x14ac:dyDescent="0.2">
      <c r="P277" s="110"/>
    </row>
    <row r="278" spans="16:16" x14ac:dyDescent="0.2">
      <c r="P278" s="110"/>
    </row>
    <row r="279" spans="16:16" x14ac:dyDescent="0.2">
      <c r="P279" s="110"/>
    </row>
    <row r="280" spans="16:16" x14ac:dyDescent="0.2">
      <c r="P280" s="110"/>
    </row>
    <row r="281" spans="16:16" x14ac:dyDescent="0.2">
      <c r="P281" s="110"/>
    </row>
    <row r="282" spans="16:16" x14ac:dyDescent="0.2">
      <c r="P282" s="110"/>
    </row>
    <row r="283" spans="16:16" x14ac:dyDescent="0.2">
      <c r="P283" s="110"/>
    </row>
    <row r="284" spans="16:16" x14ac:dyDescent="0.2">
      <c r="P284" s="110"/>
    </row>
    <row r="285" spans="16:16" x14ac:dyDescent="0.2">
      <c r="P285" s="110"/>
    </row>
    <row r="286" spans="16:16" x14ac:dyDescent="0.2">
      <c r="P286" s="110"/>
    </row>
    <row r="287" spans="16:16" x14ac:dyDescent="0.2">
      <c r="P287" s="110"/>
    </row>
    <row r="288" spans="16:16" x14ac:dyDescent="0.2">
      <c r="P288" s="110"/>
    </row>
    <row r="289" spans="16:16" x14ac:dyDescent="0.2">
      <c r="P289" s="110"/>
    </row>
    <row r="290" spans="16:16" x14ac:dyDescent="0.2">
      <c r="P290" s="110"/>
    </row>
    <row r="291" spans="16:16" x14ac:dyDescent="0.2">
      <c r="P291" s="110"/>
    </row>
    <row r="292" spans="16:16" x14ac:dyDescent="0.2">
      <c r="P292" s="110"/>
    </row>
    <row r="293" spans="16:16" x14ac:dyDescent="0.2">
      <c r="P293" s="110"/>
    </row>
    <row r="294" spans="16:16" x14ac:dyDescent="0.2">
      <c r="P294" s="110"/>
    </row>
    <row r="295" spans="16:16" x14ac:dyDescent="0.2">
      <c r="P295" s="110"/>
    </row>
    <row r="296" spans="16:16" x14ac:dyDescent="0.2">
      <c r="P296" s="110"/>
    </row>
    <row r="297" spans="16:16" x14ac:dyDescent="0.2">
      <c r="P297" s="110"/>
    </row>
    <row r="298" spans="16:16" x14ac:dyDescent="0.2">
      <c r="P298" s="110"/>
    </row>
    <row r="299" spans="16:16" x14ac:dyDescent="0.2">
      <c r="P299" s="110"/>
    </row>
    <row r="300" spans="16:16" x14ac:dyDescent="0.2">
      <c r="P300" s="110"/>
    </row>
    <row r="301" spans="16:16" x14ac:dyDescent="0.2">
      <c r="P301" s="110"/>
    </row>
    <row r="302" spans="16:16" x14ac:dyDescent="0.2">
      <c r="P302" s="110"/>
    </row>
    <row r="303" spans="16:16" x14ac:dyDescent="0.2">
      <c r="P303" s="110"/>
    </row>
    <row r="304" spans="16:16" x14ac:dyDescent="0.2">
      <c r="P304" s="110"/>
    </row>
    <row r="305" spans="16:16" x14ac:dyDescent="0.2">
      <c r="P305" s="110"/>
    </row>
    <row r="306" spans="16:16" x14ac:dyDescent="0.2">
      <c r="P306" s="110"/>
    </row>
    <row r="307" spans="16:16" x14ac:dyDescent="0.2">
      <c r="P307" s="110"/>
    </row>
    <row r="308" spans="16:16" x14ac:dyDescent="0.2">
      <c r="P308" s="110"/>
    </row>
    <row r="309" spans="16:16" x14ac:dyDescent="0.2">
      <c r="P309" s="110"/>
    </row>
    <row r="310" spans="16:16" x14ac:dyDescent="0.2">
      <c r="P310" s="110"/>
    </row>
    <row r="311" spans="16:16" x14ac:dyDescent="0.2">
      <c r="P311" s="110"/>
    </row>
    <row r="312" spans="16:16" x14ac:dyDescent="0.2">
      <c r="P312" s="110"/>
    </row>
    <row r="313" spans="16:16" x14ac:dyDescent="0.2">
      <c r="P313" s="110"/>
    </row>
    <row r="314" spans="16:16" x14ac:dyDescent="0.2">
      <c r="P314" s="110"/>
    </row>
    <row r="315" spans="16:16" x14ac:dyDescent="0.2">
      <c r="P315" s="110"/>
    </row>
    <row r="316" spans="16:16" x14ac:dyDescent="0.2">
      <c r="P316" s="110"/>
    </row>
    <row r="317" spans="16:16" x14ac:dyDescent="0.2">
      <c r="P317" s="110"/>
    </row>
    <row r="318" spans="16:16" x14ac:dyDescent="0.2">
      <c r="P318" s="110"/>
    </row>
    <row r="319" spans="16:16" x14ac:dyDescent="0.2">
      <c r="P319" s="110"/>
    </row>
    <row r="320" spans="16:16" x14ac:dyDescent="0.2">
      <c r="P320" s="110"/>
    </row>
    <row r="321" spans="16:16" x14ac:dyDescent="0.2">
      <c r="P321" s="110"/>
    </row>
    <row r="322" spans="16:16" x14ac:dyDescent="0.2">
      <c r="P322" s="110"/>
    </row>
    <row r="323" spans="16:16" x14ac:dyDescent="0.2">
      <c r="P323" s="110"/>
    </row>
    <row r="324" spans="16:16" x14ac:dyDescent="0.2">
      <c r="P324" s="110"/>
    </row>
    <row r="325" spans="16:16" x14ac:dyDescent="0.2">
      <c r="P325" s="110"/>
    </row>
    <row r="326" spans="16:16" x14ac:dyDescent="0.2">
      <c r="P326" s="110"/>
    </row>
    <row r="327" spans="16:16" x14ac:dyDescent="0.2">
      <c r="P327" s="110"/>
    </row>
    <row r="328" spans="16:16" x14ac:dyDescent="0.2">
      <c r="P328" s="110"/>
    </row>
    <row r="329" spans="16:16" x14ac:dyDescent="0.2">
      <c r="P329" s="110"/>
    </row>
    <row r="330" spans="16:16" x14ac:dyDescent="0.2">
      <c r="P330" s="110"/>
    </row>
    <row r="331" spans="16:16" x14ac:dyDescent="0.2">
      <c r="P331" s="110"/>
    </row>
    <row r="332" spans="16:16" x14ac:dyDescent="0.2">
      <c r="P332" s="110"/>
    </row>
    <row r="333" spans="16:16" x14ac:dyDescent="0.2">
      <c r="P333" s="110"/>
    </row>
    <row r="334" spans="16:16" x14ac:dyDescent="0.2">
      <c r="P334" s="110"/>
    </row>
    <row r="335" spans="16:16" x14ac:dyDescent="0.2">
      <c r="P335" s="110"/>
    </row>
    <row r="336" spans="16:16" x14ac:dyDescent="0.2">
      <c r="P336" s="110"/>
    </row>
    <row r="337" spans="16:16" x14ac:dyDescent="0.2">
      <c r="P337" s="110"/>
    </row>
    <row r="338" spans="16:16" x14ac:dyDescent="0.2">
      <c r="P338" s="110"/>
    </row>
    <row r="339" spans="16:16" x14ac:dyDescent="0.2">
      <c r="P339" s="110"/>
    </row>
    <row r="340" spans="16:16" x14ac:dyDescent="0.2">
      <c r="P340" s="110"/>
    </row>
    <row r="341" spans="16:16" x14ac:dyDescent="0.2">
      <c r="P341" s="110"/>
    </row>
    <row r="342" spans="16:16" x14ac:dyDescent="0.2">
      <c r="P342" s="110"/>
    </row>
    <row r="343" spans="16:16" x14ac:dyDescent="0.2">
      <c r="P343" s="110"/>
    </row>
    <row r="344" spans="16:16" x14ac:dyDescent="0.2">
      <c r="P344" s="110"/>
    </row>
    <row r="345" spans="16:16" x14ac:dyDescent="0.2">
      <c r="P345" s="110"/>
    </row>
    <row r="346" spans="16:16" x14ac:dyDescent="0.2">
      <c r="P346" s="110"/>
    </row>
    <row r="347" spans="16:16" x14ac:dyDescent="0.2">
      <c r="P347" s="110"/>
    </row>
    <row r="348" spans="16:16" x14ac:dyDescent="0.2">
      <c r="P348" s="110"/>
    </row>
    <row r="349" spans="16:16" x14ac:dyDescent="0.2">
      <c r="P349" s="110"/>
    </row>
    <row r="350" spans="16:16" x14ac:dyDescent="0.2">
      <c r="P350" s="110"/>
    </row>
    <row r="351" spans="16:16" x14ac:dyDescent="0.2">
      <c r="P351" s="110"/>
    </row>
    <row r="352" spans="16:16" x14ac:dyDescent="0.2">
      <c r="P352" s="110"/>
    </row>
    <row r="353" spans="16:16" x14ac:dyDescent="0.2">
      <c r="P353" s="110"/>
    </row>
    <row r="354" spans="16:16" x14ac:dyDescent="0.2">
      <c r="P354" s="110"/>
    </row>
    <row r="355" spans="16:16" x14ac:dyDescent="0.2">
      <c r="P355" s="110"/>
    </row>
    <row r="356" spans="16:16" x14ac:dyDescent="0.2">
      <c r="P356" s="110"/>
    </row>
    <row r="357" spans="16:16" x14ac:dyDescent="0.2">
      <c r="P357" s="110"/>
    </row>
    <row r="358" spans="16:16" x14ac:dyDescent="0.2">
      <c r="P358" s="110"/>
    </row>
    <row r="359" spans="16:16" x14ac:dyDescent="0.2">
      <c r="P359" s="110"/>
    </row>
    <row r="360" spans="16:16" x14ac:dyDescent="0.2">
      <c r="P360" s="110"/>
    </row>
    <row r="361" spans="16:16" x14ac:dyDescent="0.2">
      <c r="P361" s="110"/>
    </row>
    <row r="362" spans="16:16" x14ac:dyDescent="0.2">
      <c r="P362" s="110"/>
    </row>
    <row r="363" spans="16:16" x14ac:dyDescent="0.2">
      <c r="P363" s="110"/>
    </row>
    <row r="364" spans="16:16" x14ac:dyDescent="0.2">
      <c r="P364" s="110"/>
    </row>
    <row r="365" spans="16:16" x14ac:dyDescent="0.2">
      <c r="P365" s="110"/>
    </row>
    <row r="366" spans="16:16" x14ac:dyDescent="0.2">
      <c r="P366" s="110"/>
    </row>
    <row r="367" spans="16:16" x14ac:dyDescent="0.2">
      <c r="P367" s="110"/>
    </row>
    <row r="368" spans="16:16" x14ac:dyDescent="0.2">
      <c r="P368" s="110"/>
    </row>
    <row r="369" spans="16:16" x14ac:dyDescent="0.2">
      <c r="P369" s="110"/>
    </row>
    <row r="370" spans="16:16" x14ac:dyDescent="0.2">
      <c r="P370" s="110"/>
    </row>
    <row r="371" spans="16:16" x14ac:dyDescent="0.2">
      <c r="P371" s="110"/>
    </row>
    <row r="372" spans="16:16" x14ac:dyDescent="0.2">
      <c r="P372" s="110"/>
    </row>
    <row r="373" spans="16:16" x14ac:dyDescent="0.2">
      <c r="P373" s="110"/>
    </row>
    <row r="374" spans="16:16" x14ac:dyDescent="0.2">
      <c r="P374" s="110"/>
    </row>
    <row r="375" spans="16:16" x14ac:dyDescent="0.2">
      <c r="P375" s="110"/>
    </row>
    <row r="376" spans="16:16" x14ac:dyDescent="0.2">
      <c r="P376" s="110"/>
    </row>
    <row r="377" spans="16:16" x14ac:dyDescent="0.2">
      <c r="P377" s="110"/>
    </row>
    <row r="378" spans="16:16" x14ac:dyDescent="0.2">
      <c r="P378" s="110"/>
    </row>
    <row r="379" spans="16:16" x14ac:dyDescent="0.2">
      <c r="P379" s="110"/>
    </row>
    <row r="380" spans="16:16" x14ac:dyDescent="0.2">
      <c r="P380" s="110"/>
    </row>
    <row r="381" spans="16:16" x14ac:dyDescent="0.2">
      <c r="P381" s="110"/>
    </row>
    <row r="382" spans="16:16" x14ac:dyDescent="0.2">
      <c r="P382" s="110"/>
    </row>
    <row r="383" spans="16:16" x14ac:dyDescent="0.2">
      <c r="P383" s="110"/>
    </row>
    <row r="384" spans="16:16" x14ac:dyDescent="0.2">
      <c r="P384" s="110"/>
    </row>
    <row r="385" spans="16:16" x14ac:dyDescent="0.2">
      <c r="P385" s="110"/>
    </row>
    <row r="386" spans="16:16" x14ac:dyDescent="0.2">
      <c r="P386" s="110"/>
    </row>
    <row r="387" spans="16:16" x14ac:dyDescent="0.2">
      <c r="P387" s="110"/>
    </row>
    <row r="388" spans="16:16" x14ac:dyDescent="0.2">
      <c r="P388" s="110"/>
    </row>
    <row r="389" spans="16:16" x14ac:dyDescent="0.2">
      <c r="P389" s="110"/>
    </row>
    <row r="390" spans="16:16" x14ac:dyDescent="0.2">
      <c r="P390" s="110"/>
    </row>
    <row r="391" spans="16:16" x14ac:dyDescent="0.2">
      <c r="P391" s="110"/>
    </row>
    <row r="392" spans="16:16" x14ac:dyDescent="0.2">
      <c r="P392" s="110"/>
    </row>
    <row r="393" spans="16:16" x14ac:dyDescent="0.2">
      <c r="P393" s="110"/>
    </row>
    <row r="394" spans="16:16" x14ac:dyDescent="0.2">
      <c r="P394" s="110"/>
    </row>
    <row r="395" spans="16:16" x14ac:dyDescent="0.2">
      <c r="P395" s="110"/>
    </row>
    <row r="396" spans="16:16" x14ac:dyDescent="0.2">
      <c r="P396" s="110"/>
    </row>
    <row r="397" spans="16:16" x14ac:dyDescent="0.2">
      <c r="P397" s="110"/>
    </row>
    <row r="398" spans="16:16" x14ac:dyDescent="0.2">
      <c r="P398" s="110"/>
    </row>
    <row r="399" spans="16:16" x14ac:dyDescent="0.2">
      <c r="P399" s="110"/>
    </row>
    <row r="400" spans="16:16" x14ac:dyDescent="0.2">
      <c r="P400" s="110"/>
    </row>
    <row r="401" spans="16:16" x14ac:dyDescent="0.2">
      <c r="P401" s="110"/>
    </row>
    <row r="402" spans="16:16" x14ac:dyDescent="0.2">
      <c r="P402" s="110"/>
    </row>
    <row r="403" spans="16:16" x14ac:dyDescent="0.2">
      <c r="P403" s="110"/>
    </row>
    <row r="404" spans="16:16" x14ac:dyDescent="0.2">
      <c r="P404" s="110"/>
    </row>
    <row r="405" spans="16:16" x14ac:dyDescent="0.2">
      <c r="P405" s="110"/>
    </row>
    <row r="406" spans="16:16" x14ac:dyDescent="0.2">
      <c r="P406" s="110"/>
    </row>
    <row r="407" spans="16:16" x14ac:dyDescent="0.2">
      <c r="P407" s="110"/>
    </row>
    <row r="408" spans="16:16" x14ac:dyDescent="0.2">
      <c r="P408" s="110"/>
    </row>
    <row r="409" spans="16:16" x14ac:dyDescent="0.2">
      <c r="P409" s="110"/>
    </row>
    <row r="410" spans="16:16" x14ac:dyDescent="0.2">
      <c r="P410" s="110"/>
    </row>
    <row r="411" spans="16:16" x14ac:dyDescent="0.2">
      <c r="P411" s="110"/>
    </row>
    <row r="412" spans="16:16" x14ac:dyDescent="0.2">
      <c r="P412" s="110"/>
    </row>
    <row r="413" spans="16:16" x14ac:dyDescent="0.2">
      <c r="P413" s="110"/>
    </row>
    <row r="414" spans="16:16" x14ac:dyDescent="0.2">
      <c r="P414" s="110"/>
    </row>
    <row r="415" spans="16:16" x14ac:dyDescent="0.2">
      <c r="P415" s="110"/>
    </row>
    <row r="416" spans="16:16" x14ac:dyDescent="0.2">
      <c r="P416" s="110"/>
    </row>
    <row r="417" spans="16:16" x14ac:dyDescent="0.2">
      <c r="P417" s="110"/>
    </row>
    <row r="418" spans="16:16" x14ac:dyDescent="0.2">
      <c r="P418" s="110"/>
    </row>
    <row r="419" spans="16:16" x14ac:dyDescent="0.2">
      <c r="P419" s="110"/>
    </row>
    <row r="420" spans="16:16" x14ac:dyDescent="0.2">
      <c r="P420" s="110"/>
    </row>
    <row r="421" spans="16:16" x14ac:dyDescent="0.2">
      <c r="P421" s="110"/>
    </row>
    <row r="422" spans="16:16" x14ac:dyDescent="0.2">
      <c r="P422" s="110"/>
    </row>
  </sheetData>
  <mergeCells count="1">
    <mergeCell ref="AM1:AO1"/>
  </mergeCells>
  <dataValidations disablePrompts="1" count="1">
    <dataValidation type="list" allowBlank="1" showInputMessage="1" showErrorMessage="1" sqref="G5 L5 AK5 Q5 V5 AA5 AF5 B5" xr:uid="{312765F2-74A2-4929-80FD-0FD4BFCC7A42}">
      <formula1>"Nieuw, Bestaand, Overname"</formula1>
    </dataValidation>
  </dataValidations>
  <hyperlinks>
    <hyperlink ref="A2" location="FEO!A1" display="terug" xr:uid="{805B11CE-867B-4C1A-8942-72589560438A}"/>
  </hyperlinks>
  <pageMargins left="0.7" right="0.7" top="0.75" bottom="0.75" header="0.3" footer="0.3"/>
  <pageSetup paperSize="9" orientation="portrait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18FE-F5DC-47CD-ABF0-03282B4D7DA9}">
  <sheetPr>
    <tabColor rgb="FFFFC000"/>
  </sheetPr>
  <dimension ref="A1:O35"/>
  <sheetViews>
    <sheetView workbookViewId="0"/>
  </sheetViews>
  <sheetFormatPr defaultRowHeight="10.199999999999999" x14ac:dyDescent="0.2"/>
  <cols>
    <col min="1" max="1" width="22" customWidth="1"/>
    <col min="2" max="15" width="17.75" customWidth="1"/>
  </cols>
  <sheetData>
    <row r="1" spans="1:15" ht="16.2" x14ac:dyDescent="0.3">
      <c r="A1" s="51" t="s">
        <v>537</v>
      </c>
      <c r="L1" s="156" t="s">
        <v>83</v>
      </c>
      <c r="M1" s="647" t="s">
        <v>84</v>
      </c>
      <c r="N1" s="647"/>
      <c r="O1" s="647"/>
    </row>
    <row r="2" spans="1:15" x14ac:dyDescent="0.2">
      <c r="A2" s="56" t="s">
        <v>131</v>
      </c>
      <c r="N2" s="266" t="str">
        <f>FEO!AA1</f>
        <v>Versie</v>
      </c>
      <c r="O2" s="274" t="str">
        <f>FEO!AA2</f>
        <v>NVI 5b</v>
      </c>
    </row>
    <row r="3" spans="1:15" ht="10.8" thickBot="1" x14ac:dyDescent="0.25">
      <c r="A3" s="56"/>
    </row>
    <row r="4" spans="1:15" ht="23.4" thickBot="1" x14ac:dyDescent="0.25">
      <c r="A4" s="47" t="s">
        <v>221</v>
      </c>
      <c r="B4" s="58" t="s">
        <v>144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12" thickBot="1" x14ac:dyDescent="0.25">
      <c r="A5" s="49" t="s">
        <v>136</v>
      </c>
      <c r="B5" s="59" t="s">
        <v>231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5" ht="12" thickBot="1" x14ac:dyDescent="0.25">
      <c r="A6" s="49" t="s">
        <v>16</v>
      </c>
      <c r="B6" s="58" t="s">
        <v>144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23.4" thickBot="1" x14ac:dyDescent="0.25">
      <c r="A7" s="49" t="s">
        <v>147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</row>
    <row r="8" spans="1:15" ht="12" thickBot="1" x14ac:dyDescent="0.25">
      <c r="A8" s="49" t="s">
        <v>220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</row>
    <row r="9" spans="1:15" ht="23.4" thickBot="1" x14ac:dyDescent="0.25">
      <c r="A9" s="49" t="s">
        <v>222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</row>
    <row r="10" spans="1:15" ht="12" thickBot="1" x14ac:dyDescent="0.25">
      <c r="A10" s="49" t="s">
        <v>223</v>
      </c>
      <c r="B10" s="50">
        <f t="shared" ref="B10:O10" si="0">B9*B8</f>
        <v>0</v>
      </c>
      <c r="C10" s="50">
        <f t="shared" si="0"/>
        <v>0</v>
      </c>
      <c r="D10" s="50">
        <f t="shared" si="0"/>
        <v>0</v>
      </c>
      <c r="E10" s="50">
        <f t="shared" si="0"/>
        <v>0</v>
      </c>
      <c r="F10" s="50">
        <f t="shared" si="0"/>
        <v>0</v>
      </c>
      <c r="G10" s="50">
        <f t="shared" si="0"/>
        <v>0</v>
      </c>
      <c r="H10" s="50">
        <f t="shared" si="0"/>
        <v>0</v>
      </c>
      <c r="I10" s="50">
        <f t="shared" si="0"/>
        <v>0</v>
      </c>
      <c r="J10" s="50">
        <f t="shared" si="0"/>
        <v>0</v>
      </c>
      <c r="K10" s="50">
        <f t="shared" si="0"/>
        <v>0</v>
      </c>
      <c r="L10" s="50">
        <f t="shared" si="0"/>
        <v>0</v>
      </c>
      <c r="M10" s="50">
        <f t="shared" si="0"/>
        <v>0</v>
      </c>
      <c r="N10" s="50">
        <f t="shared" si="0"/>
        <v>0</v>
      </c>
      <c r="O10" s="50">
        <f t="shared" si="0"/>
        <v>0</v>
      </c>
    </row>
    <row r="11" spans="1:15" ht="23.4" thickBot="1" x14ac:dyDescent="0.25">
      <c r="A11" s="49" t="s">
        <v>138</v>
      </c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</row>
    <row r="12" spans="1:15" ht="23.4" thickBot="1" x14ac:dyDescent="0.25">
      <c r="A12" s="49" t="s">
        <v>139</v>
      </c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</row>
    <row r="13" spans="1:15" ht="23.4" thickBot="1" x14ac:dyDescent="0.25">
      <c r="A13" s="49" t="s">
        <v>148</v>
      </c>
      <c r="B13" s="78">
        <f>DATEDIF(B11,B12,"M")</f>
        <v>0</v>
      </c>
      <c r="C13" s="78">
        <f>DATEDIF(C11,C12,"M")</f>
        <v>0</v>
      </c>
      <c r="D13" s="78">
        <f t="shared" ref="D13:O13" si="1">DATEDIF(D11,D12,"M")</f>
        <v>0</v>
      </c>
      <c r="E13" s="78">
        <f t="shared" si="1"/>
        <v>0</v>
      </c>
      <c r="F13" s="78">
        <f t="shared" si="1"/>
        <v>0</v>
      </c>
      <c r="G13" s="78">
        <f t="shared" si="1"/>
        <v>0</v>
      </c>
      <c r="H13" s="78">
        <f t="shared" si="1"/>
        <v>0</v>
      </c>
      <c r="I13" s="78">
        <f t="shared" si="1"/>
        <v>0</v>
      </c>
      <c r="J13" s="78">
        <f t="shared" si="1"/>
        <v>0</v>
      </c>
      <c r="K13" s="78">
        <f t="shared" si="1"/>
        <v>0</v>
      </c>
      <c r="L13" s="78">
        <f t="shared" si="1"/>
        <v>0</v>
      </c>
      <c r="M13" s="78">
        <f t="shared" si="1"/>
        <v>0</v>
      </c>
      <c r="N13" s="78">
        <f t="shared" si="1"/>
        <v>0</v>
      </c>
      <c r="O13" s="78">
        <f t="shared" si="1"/>
        <v>0</v>
      </c>
    </row>
    <row r="14" spans="1:15" ht="23.4" thickBot="1" x14ac:dyDescent="0.25">
      <c r="A14" s="49" t="s">
        <v>149</v>
      </c>
      <c r="B14" s="50">
        <f t="shared" ref="B14:O14" si="2">IFERROR(B10/B13,0)</f>
        <v>0</v>
      </c>
      <c r="C14" s="50">
        <f t="shared" si="2"/>
        <v>0</v>
      </c>
      <c r="D14" s="50">
        <f t="shared" si="2"/>
        <v>0</v>
      </c>
      <c r="E14" s="50">
        <f t="shared" si="2"/>
        <v>0</v>
      </c>
      <c r="F14" s="50">
        <f t="shared" si="2"/>
        <v>0</v>
      </c>
      <c r="G14" s="50">
        <f t="shared" si="2"/>
        <v>0</v>
      </c>
      <c r="H14" s="50">
        <f t="shared" si="2"/>
        <v>0</v>
      </c>
      <c r="I14" s="50">
        <f t="shared" si="2"/>
        <v>0</v>
      </c>
      <c r="J14" s="50">
        <f t="shared" si="2"/>
        <v>0</v>
      </c>
      <c r="K14" s="50">
        <f t="shared" si="2"/>
        <v>0</v>
      </c>
      <c r="L14" s="50">
        <f t="shared" si="2"/>
        <v>0</v>
      </c>
      <c r="M14" s="50">
        <f t="shared" si="2"/>
        <v>0</v>
      </c>
      <c r="N14" s="50">
        <f t="shared" si="2"/>
        <v>0</v>
      </c>
      <c r="O14" s="50">
        <f t="shared" si="2"/>
        <v>0</v>
      </c>
    </row>
    <row r="16" spans="1:15" ht="12" thickBot="1" x14ac:dyDescent="0.25">
      <c r="A16" s="52" t="s">
        <v>142</v>
      </c>
    </row>
    <row r="17" spans="1:15" ht="12" thickBot="1" x14ac:dyDescent="0.25">
      <c r="A17" s="54">
        <f>FEO!$G$5</f>
        <v>2028</v>
      </c>
      <c r="B17" s="55">
        <f>IF(AND($A17&gt;YEAR(B$11),$A17&lt;YEAR(B$12)),12*B$14,IF($A17=YEAR(B$11),(12-MONTH(B$11)+1)*B$14,IF($A17=YEAR(B$12),(MONTH(B$12))*B$14,0)))</f>
        <v>0</v>
      </c>
      <c r="C17" s="55">
        <f t="shared" ref="C17:O17" si="3">IF(AND($A17&gt;YEAR(C$11),$A17&lt;YEAR(C$12)),12*C$14,IF($A17=YEAR(C$11),(12-MONTH(C$11)+1)*C$14,IF($A17=YEAR(C$12),(MONTH(C$12))*C$14,0)))</f>
        <v>0</v>
      </c>
      <c r="D17" s="55">
        <f t="shared" si="3"/>
        <v>0</v>
      </c>
      <c r="E17" s="55">
        <f t="shared" si="3"/>
        <v>0</v>
      </c>
      <c r="F17" s="55">
        <f t="shared" si="3"/>
        <v>0</v>
      </c>
      <c r="G17" s="55">
        <f t="shared" si="3"/>
        <v>0</v>
      </c>
      <c r="H17" s="55">
        <f t="shared" si="3"/>
        <v>0</v>
      </c>
      <c r="I17" s="55">
        <f t="shared" si="3"/>
        <v>0</v>
      </c>
      <c r="J17" s="55">
        <f t="shared" si="3"/>
        <v>0</v>
      </c>
      <c r="K17" s="55">
        <f t="shared" si="3"/>
        <v>0</v>
      </c>
      <c r="L17" s="55">
        <f t="shared" si="3"/>
        <v>0</v>
      </c>
      <c r="M17" s="55">
        <f t="shared" si="3"/>
        <v>0</v>
      </c>
      <c r="N17" s="55">
        <f t="shared" si="3"/>
        <v>0</v>
      </c>
      <c r="O17" s="55">
        <f t="shared" si="3"/>
        <v>0</v>
      </c>
    </row>
    <row r="18" spans="1:15" ht="12" thickBot="1" x14ac:dyDescent="0.25">
      <c r="A18" s="54">
        <f>FEO!$H$5</f>
        <v>2029</v>
      </c>
      <c r="B18" s="55">
        <f t="shared" ref="B18:O32" si="4">IF(AND($A18&gt;YEAR(B$11),$A18&lt;YEAR(B$12)),12*B$14,IF($A18=YEAR(B$11),(12-MONTH(B$11)+1)*B$14,IF($A18=YEAR(B$12),(MONTH(B$12))*B$14,0)))</f>
        <v>0</v>
      </c>
      <c r="C18" s="55">
        <f t="shared" si="4"/>
        <v>0</v>
      </c>
      <c r="D18" s="55">
        <f t="shared" si="4"/>
        <v>0</v>
      </c>
      <c r="E18" s="55">
        <f t="shared" si="4"/>
        <v>0</v>
      </c>
      <c r="F18" s="55">
        <f t="shared" si="4"/>
        <v>0</v>
      </c>
      <c r="G18" s="55">
        <f t="shared" si="4"/>
        <v>0</v>
      </c>
      <c r="H18" s="55">
        <f t="shared" si="4"/>
        <v>0</v>
      </c>
      <c r="I18" s="55">
        <f t="shared" si="4"/>
        <v>0</v>
      </c>
      <c r="J18" s="55">
        <f t="shared" si="4"/>
        <v>0</v>
      </c>
      <c r="K18" s="55">
        <f t="shared" si="4"/>
        <v>0</v>
      </c>
      <c r="L18" s="55">
        <f t="shared" si="4"/>
        <v>0</v>
      </c>
      <c r="M18" s="55">
        <f t="shared" si="4"/>
        <v>0</v>
      </c>
      <c r="N18" s="55">
        <f t="shared" si="4"/>
        <v>0</v>
      </c>
      <c r="O18" s="55">
        <f t="shared" si="4"/>
        <v>0</v>
      </c>
    </row>
    <row r="19" spans="1:15" ht="12" thickBot="1" x14ac:dyDescent="0.25">
      <c r="A19" s="54">
        <f>FEO!$I$5</f>
        <v>2030</v>
      </c>
      <c r="B19" s="55">
        <f t="shared" si="4"/>
        <v>0</v>
      </c>
      <c r="C19" s="55">
        <f t="shared" si="4"/>
        <v>0</v>
      </c>
      <c r="D19" s="55">
        <f t="shared" si="4"/>
        <v>0</v>
      </c>
      <c r="E19" s="55">
        <f t="shared" si="4"/>
        <v>0</v>
      </c>
      <c r="F19" s="55">
        <f t="shared" si="4"/>
        <v>0</v>
      </c>
      <c r="G19" s="55">
        <f t="shared" si="4"/>
        <v>0</v>
      </c>
      <c r="H19" s="55">
        <f t="shared" si="4"/>
        <v>0</v>
      </c>
      <c r="I19" s="55">
        <f t="shared" si="4"/>
        <v>0</v>
      </c>
      <c r="J19" s="55">
        <f t="shared" si="4"/>
        <v>0</v>
      </c>
      <c r="K19" s="55">
        <f t="shared" si="4"/>
        <v>0</v>
      </c>
      <c r="L19" s="55">
        <f t="shared" si="4"/>
        <v>0</v>
      </c>
      <c r="M19" s="55">
        <f t="shared" si="4"/>
        <v>0</v>
      </c>
      <c r="N19" s="55">
        <f t="shared" si="4"/>
        <v>0</v>
      </c>
      <c r="O19" s="55">
        <f t="shared" si="4"/>
        <v>0</v>
      </c>
    </row>
    <row r="20" spans="1:15" ht="12" thickBot="1" x14ac:dyDescent="0.25">
      <c r="A20" s="54">
        <f>FEO!$J$5</f>
        <v>2031</v>
      </c>
      <c r="B20" s="55">
        <f t="shared" si="4"/>
        <v>0</v>
      </c>
      <c r="C20" s="55">
        <f t="shared" si="4"/>
        <v>0</v>
      </c>
      <c r="D20" s="55">
        <f t="shared" si="4"/>
        <v>0</v>
      </c>
      <c r="E20" s="55">
        <f t="shared" si="4"/>
        <v>0</v>
      </c>
      <c r="F20" s="55">
        <f t="shared" si="4"/>
        <v>0</v>
      </c>
      <c r="G20" s="55">
        <f t="shared" si="4"/>
        <v>0</v>
      </c>
      <c r="H20" s="55">
        <f t="shared" si="4"/>
        <v>0</v>
      </c>
      <c r="I20" s="55">
        <f t="shared" si="4"/>
        <v>0</v>
      </c>
      <c r="J20" s="55">
        <f t="shared" si="4"/>
        <v>0</v>
      </c>
      <c r="K20" s="55">
        <f t="shared" si="4"/>
        <v>0</v>
      </c>
      <c r="L20" s="55">
        <f t="shared" si="4"/>
        <v>0</v>
      </c>
      <c r="M20" s="55">
        <f t="shared" si="4"/>
        <v>0</v>
      </c>
      <c r="N20" s="55">
        <f t="shared" si="4"/>
        <v>0</v>
      </c>
      <c r="O20" s="55">
        <f t="shared" si="4"/>
        <v>0</v>
      </c>
    </row>
    <row r="21" spans="1:15" ht="12" thickBot="1" x14ac:dyDescent="0.25">
      <c r="A21" s="54">
        <f>FEO!$K$5</f>
        <v>2032</v>
      </c>
      <c r="B21" s="55">
        <f t="shared" si="4"/>
        <v>0</v>
      </c>
      <c r="C21" s="55">
        <f t="shared" si="4"/>
        <v>0</v>
      </c>
      <c r="D21" s="55">
        <f t="shared" si="4"/>
        <v>0</v>
      </c>
      <c r="E21" s="55">
        <f t="shared" si="4"/>
        <v>0</v>
      </c>
      <c r="F21" s="55">
        <f t="shared" si="4"/>
        <v>0</v>
      </c>
      <c r="G21" s="55">
        <f t="shared" si="4"/>
        <v>0</v>
      </c>
      <c r="H21" s="55">
        <f t="shared" si="4"/>
        <v>0</v>
      </c>
      <c r="I21" s="55">
        <f t="shared" si="4"/>
        <v>0</v>
      </c>
      <c r="J21" s="55">
        <f t="shared" si="4"/>
        <v>0</v>
      </c>
      <c r="K21" s="55">
        <f t="shared" si="4"/>
        <v>0</v>
      </c>
      <c r="L21" s="55">
        <f t="shared" si="4"/>
        <v>0</v>
      </c>
      <c r="M21" s="55">
        <f t="shared" si="4"/>
        <v>0</v>
      </c>
      <c r="N21" s="55">
        <f t="shared" si="4"/>
        <v>0</v>
      </c>
      <c r="O21" s="55">
        <f t="shared" si="4"/>
        <v>0</v>
      </c>
    </row>
    <row r="22" spans="1:15" ht="12" thickBot="1" x14ac:dyDescent="0.25">
      <c r="A22" s="54">
        <f>FEO!$L$5</f>
        <v>2033</v>
      </c>
      <c r="B22" s="55">
        <f t="shared" si="4"/>
        <v>0</v>
      </c>
      <c r="C22" s="55">
        <f t="shared" si="4"/>
        <v>0</v>
      </c>
      <c r="D22" s="55">
        <f t="shared" si="4"/>
        <v>0</v>
      </c>
      <c r="E22" s="55">
        <f t="shared" si="4"/>
        <v>0</v>
      </c>
      <c r="F22" s="55">
        <f t="shared" si="4"/>
        <v>0</v>
      </c>
      <c r="G22" s="55">
        <f t="shared" si="4"/>
        <v>0</v>
      </c>
      <c r="H22" s="55">
        <f t="shared" si="4"/>
        <v>0</v>
      </c>
      <c r="I22" s="55">
        <f t="shared" si="4"/>
        <v>0</v>
      </c>
      <c r="J22" s="55">
        <f t="shared" si="4"/>
        <v>0</v>
      </c>
      <c r="K22" s="55">
        <f t="shared" si="4"/>
        <v>0</v>
      </c>
      <c r="L22" s="55">
        <f t="shared" si="4"/>
        <v>0</v>
      </c>
      <c r="M22" s="55">
        <f t="shared" si="4"/>
        <v>0</v>
      </c>
      <c r="N22" s="55">
        <f t="shared" si="4"/>
        <v>0</v>
      </c>
      <c r="O22" s="55">
        <f t="shared" si="4"/>
        <v>0</v>
      </c>
    </row>
    <row r="23" spans="1:15" ht="12" thickBot="1" x14ac:dyDescent="0.25">
      <c r="A23" s="54">
        <f>FEO!$M$5</f>
        <v>2034</v>
      </c>
      <c r="B23" s="55">
        <f t="shared" si="4"/>
        <v>0</v>
      </c>
      <c r="C23" s="55">
        <f t="shared" si="4"/>
        <v>0</v>
      </c>
      <c r="D23" s="55">
        <f t="shared" si="4"/>
        <v>0</v>
      </c>
      <c r="E23" s="55">
        <f t="shared" si="4"/>
        <v>0</v>
      </c>
      <c r="F23" s="55">
        <f t="shared" si="4"/>
        <v>0</v>
      </c>
      <c r="G23" s="55">
        <f t="shared" si="4"/>
        <v>0</v>
      </c>
      <c r="H23" s="55">
        <f t="shared" si="4"/>
        <v>0</v>
      </c>
      <c r="I23" s="55">
        <f t="shared" si="4"/>
        <v>0</v>
      </c>
      <c r="J23" s="55">
        <f t="shared" si="4"/>
        <v>0</v>
      </c>
      <c r="K23" s="55">
        <f t="shared" si="4"/>
        <v>0</v>
      </c>
      <c r="L23" s="55">
        <f t="shared" si="4"/>
        <v>0</v>
      </c>
      <c r="M23" s="55">
        <f t="shared" si="4"/>
        <v>0</v>
      </c>
      <c r="N23" s="55">
        <f t="shared" si="4"/>
        <v>0</v>
      </c>
      <c r="O23" s="55">
        <f t="shared" si="4"/>
        <v>0</v>
      </c>
    </row>
    <row r="24" spans="1:15" ht="12" thickBot="1" x14ac:dyDescent="0.25">
      <c r="A24" s="54">
        <f>FEO!$N$5</f>
        <v>2035</v>
      </c>
      <c r="B24" s="55">
        <f t="shared" si="4"/>
        <v>0</v>
      </c>
      <c r="C24" s="55">
        <f t="shared" si="4"/>
        <v>0</v>
      </c>
      <c r="D24" s="55">
        <f t="shared" si="4"/>
        <v>0</v>
      </c>
      <c r="E24" s="55">
        <f t="shared" si="4"/>
        <v>0</v>
      </c>
      <c r="F24" s="55">
        <f t="shared" si="4"/>
        <v>0</v>
      </c>
      <c r="G24" s="55">
        <f t="shared" si="4"/>
        <v>0</v>
      </c>
      <c r="H24" s="55">
        <f t="shared" si="4"/>
        <v>0</v>
      </c>
      <c r="I24" s="55">
        <f t="shared" si="4"/>
        <v>0</v>
      </c>
      <c r="J24" s="55">
        <f t="shared" si="4"/>
        <v>0</v>
      </c>
      <c r="K24" s="55">
        <f t="shared" si="4"/>
        <v>0</v>
      </c>
      <c r="L24" s="55">
        <f t="shared" si="4"/>
        <v>0</v>
      </c>
      <c r="M24" s="55">
        <f t="shared" si="4"/>
        <v>0</v>
      </c>
      <c r="N24" s="55">
        <f t="shared" si="4"/>
        <v>0</v>
      </c>
      <c r="O24" s="55">
        <f t="shared" si="4"/>
        <v>0</v>
      </c>
    </row>
    <row r="25" spans="1:15" ht="12" thickBot="1" x14ac:dyDescent="0.25">
      <c r="A25" s="54">
        <f>FEO!$O$5</f>
        <v>2036</v>
      </c>
      <c r="B25" s="55">
        <f t="shared" si="4"/>
        <v>0</v>
      </c>
      <c r="C25" s="55">
        <f t="shared" si="4"/>
        <v>0</v>
      </c>
      <c r="D25" s="55">
        <f t="shared" si="4"/>
        <v>0</v>
      </c>
      <c r="E25" s="55">
        <f t="shared" si="4"/>
        <v>0</v>
      </c>
      <c r="F25" s="55">
        <f t="shared" si="4"/>
        <v>0</v>
      </c>
      <c r="G25" s="55">
        <f t="shared" si="4"/>
        <v>0</v>
      </c>
      <c r="H25" s="55">
        <f t="shared" si="4"/>
        <v>0</v>
      </c>
      <c r="I25" s="55">
        <f t="shared" si="4"/>
        <v>0</v>
      </c>
      <c r="J25" s="55">
        <f t="shared" si="4"/>
        <v>0</v>
      </c>
      <c r="K25" s="55">
        <f t="shared" si="4"/>
        <v>0</v>
      </c>
      <c r="L25" s="55">
        <f t="shared" si="4"/>
        <v>0</v>
      </c>
      <c r="M25" s="55">
        <f t="shared" si="4"/>
        <v>0</v>
      </c>
      <c r="N25" s="55">
        <f t="shared" si="4"/>
        <v>0</v>
      </c>
      <c r="O25" s="55">
        <f t="shared" si="4"/>
        <v>0</v>
      </c>
    </row>
    <row r="26" spans="1:15" ht="12" thickBot="1" x14ac:dyDescent="0.25">
      <c r="A26" s="54">
        <f>FEO!$P$5</f>
        <v>2037</v>
      </c>
      <c r="B26" s="55">
        <f t="shared" si="4"/>
        <v>0</v>
      </c>
      <c r="C26" s="55">
        <f t="shared" si="4"/>
        <v>0</v>
      </c>
      <c r="D26" s="55">
        <f t="shared" si="4"/>
        <v>0</v>
      </c>
      <c r="E26" s="55">
        <f t="shared" si="4"/>
        <v>0</v>
      </c>
      <c r="F26" s="55">
        <f t="shared" si="4"/>
        <v>0</v>
      </c>
      <c r="G26" s="55">
        <f t="shared" si="4"/>
        <v>0</v>
      </c>
      <c r="H26" s="55">
        <f t="shared" si="4"/>
        <v>0</v>
      </c>
      <c r="I26" s="55">
        <f t="shared" si="4"/>
        <v>0</v>
      </c>
      <c r="J26" s="55">
        <f t="shared" si="4"/>
        <v>0</v>
      </c>
      <c r="K26" s="55">
        <f t="shared" si="4"/>
        <v>0</v>
      </c>
      <c r="L26" s="55">
        <f t="shared" si="4"/>
        <v>0</v>
      </c>
      <c r="M26" s="55">
        <f t="shared" si="4"/>
        <v>0</v>
      </c>
      <c r="N26" s="55">
        <f t="shared" si="4"/>
        <v>0</v>
      </c>
      <c r="O26" s="55">
        <f t="shared" si="4"/>
        <v>0</v>
      </c>
    </row>
    <row r="27" spans="1:15" ht="12" thickBot="1" x14ac:dyDescent="0.25">
      <c r="A27" s="54">
        <f>FEO!$Q$5</f>
        <v>2038</v>
      </c>
      <c r="B27" s="55">
        <f t="shared" si="4"/>
        <v>0</v>
      </c>
      <c r="C27" s="55">
        <f t="shared" si="4"/>
        <v>0</v>
      </c>
      <c r="D27" s="55">
        <f t="shared" si="4"/>
        <v>0</v>
      </c>
      <c r="E27" s="55">
        <f t="shared" si="4"/>
        <v>0</v>
      </c>
      <c r="F27" s="55">
        <f t="shared" si="4"/>
        <v>0</v>
      </c>
      <c r="G27" s="55">
        <f t="shared" si="4"/>
        <v>0</v>
      </c>
      <c r="H27" s="55">
        <f t="shared" si="4"/>
        <v>0</v>
      </c>
      <c r="I27" s="55">
        <f t="shared" si="4"/>
        <v>0</v>
      </c>
      <c r="J27" s="55">
        <f t="shared" si="4"/>
        <v>0</v>
      </c>
      <c r="K27" s="55">
        <f t="shared" si="4"/>
        <v>0</v>
      </c>
      <c r="L27" s="55">
        <f t="shared" si="4"/>
        <v>0</v>
      </c>
      <c r="M27" s="55">
        <f t="shared" si="4"/>
        <v>0</v>
      </c>
      <c r="N27" s="55">
        <f t="shared" si="4"/>
        <v>0</v>
      </c>
      <c r="O27" s="55">
        <f t="shared" si="4"/>
        <v>0</v>
      </c>
    </row>
    <row r="28" spans="1:15" ht="12" thickBot="1" x14ac:dyDescent="0.25">
      <c r="A28" s="54">
        <f>FEO!$R$5</f>
        <v>2039</v>
      </c>
      <c r="B28" s="55">
        <f t="shared" si="4"/>
        <v>0</v>
      </c>
      <c r="C28" s="55">
        <f t="shared" si="4"/>
        <v>0</v>
      </c>
      <c r="D28" s="55">
        <f t="shared" si="4"/>
        <v>0</v>
      </c>
      <c r="E28" s="55">
        <f t="shared" si="4"/>
        <v>0</v>
      </c>
      <c r="F28" s="55">
        <f t="shared" si="4"/>
        <v>0</v>
      </c>
      <c r="G28" s="55">
        <f t="shared" si="4"/>
        <v>0</v>
      </c>
      <c r="H28" s="55">
        <f t="shared" si="4"/>
        <v>0</v>
      </c>
      <c r="I28" s="55">
        <f t="shared" si="4"/>
        <v>0</v>
      </c>
      <c r="J28" s="55">
        <f t="shared" si="4"/>
        <v>0</v>
      </c>
      <c r="K28" s="55">
        <f t="shared" si="4"/>
        <v>0</v>
      </c>
      <c r="L28" s="55">
        <f t="shared" si="4"/>
        <v>0</v>
      </c>
      <c r="M28" s="55">
        <f t="shared" si="4"/>
        <v>0</v>
      </c>
      <c r="N28" s="55">
        <f t="shared" si="4"/>
        <v>0</v>
      </c>
      <c r="O28" s="55">
        <f t="shared" si="4"/>
        <v>0</v>
      </c>
    </row>
    <row r="29" spans="1:15" ht="12" thickBot="1" x14ac:dyDescent="0.25">
      <c r="A29" s="54">
        <f>FEO!$S$5</f>
        <v>2040</v>
      </c>
      <c r="B29" s="55">
        <f t="shared" si="4"/>
        <v>0</v>
      </c>
      <c r="C29" s="55">
        <f t="shared" si="4"/>
        <v>0</v>
      </c>
      <c r="D29" s="55">
        <f t="shared" si="4"/>
        <v>0</v>
      </c>
      <c r="E29" s="55">
        <f t="shared" si="4"/>
        <v>0</v>
      </c>
      <c r="F29" s="55">
        <f t="shared" si="4"/>
        <v>0</v>
      </c>
      <c r="G29" s="55">
        <f t="shared" si="4"/>
        <v>0</v>
      </c>
      <c r="H29" s="55">
        <f t="shared" si="4"/>
        <v>0</v>
      </c>
      <c r="I29" s="55">
        <f t="shared" si="4"/>
        <v>0</v>
      </c>
      <c r="J29" s="55">
        <f t="shared" si="4"/>
        <v>0</v>
      </c>
      <c r="K29" s="55">
        <f t="shared" si="4"/>
        <v>0</v>
      </c>
      <c r="L29" s="55">
        <f t="shared" si="4"/>
        <v>0</v>
      </c>
      <c r="M29" s="55">
        <f t="shared" si="4"/>
        <v>0</v>
      </c>
      <c r="N29" s="55">
        <f t="shared" si="4"/>
        <v>0</v>
      </c>
      <c r="O29" s="55">
        <f t="shared" si="4"/>
        <v>0</v>
      </c>
    </row>
    <row r="30" spans="1:15" ht="12" thickBot="1" x14ac:dyDescent="0.25">
      <c r="A30" s="54">
        <f>FEO!$T$5</f>
        <v>2041</v>
      </c>
      <c r="B30" s="55">
        <f t="shared" si="4"/>
        <v>0</v>
      </c>
      <c r="C30" s="55">
        <f t="shared" si="4"/>
        <v>0</v>
      </c>
      <c r="D30" s="55">
        <f t="shared" si="4"/>
        <v>0</v>
      </c>
      <c r="E30" s="55">
        <f t="shared" si="4"/>
        <v>0</v>
      </c>
      <c r="F30" s="55">
        <f t="shared" si="4"/>
        <v>0</v>
      </c>
      <c r="G30" s="55">
        <f t="shared" si="4"/>
        <v>0</v>
      </c>
      <c r="H30" s="55">
        <f t="shared" si="4"/>
        <v>0</v>
      </c>
      <c r="I30" s="55">
        <f t="shared" si="4"/>
        <v>0</v>
      </c>
      <c r="J30" s="55">
        <f t="shared" si="4"/>
        <v>0</v>
      </c>
      <c r="K30" s="55">
        <f t="shared" si="4"/>
        <v>0</v>
      </c>
      <c r="L30" s="55">
        <f t="shared" si="4"/>
        <v>0</v>
      </c>
      <c r="M30" s="55">
        <f t="shared" si="4"/>
        <v>0</v>
      </c>
      <c r="N30" s="55">
        <f t="shared" si="4"/>
        <v>0</v>
      </c>
      <c r="O30" s="55">
        <f t="shared" si="4"/>
        <v>0</v>
      </c>
    </row>
    <row r="31" spans="1:15" ht="12" thickBot="1" x14ac:dyDescent="0.25">
      <c r="A31" s="54">
        <f>FEO!$U$5</f>
        <v>2042</v>
      </c>
      <c r="B31" s="55">
        <f t="shared" si="4"/>
        <v>0</v>
      </c>
      <c r="C31" s="55">
        <f t="shared" si="4"/>
        <v>0</v>
      </c>
      <c r="D31" s="55">
        <f t="shared" si="4"/>
        <v>0</v>
      </c>
      <c r="E31" s="55">
        <f t="shared" si="4"/>
        <v>0</v>
      </c>
      <c r="F31" s="55">
        <f t="shared" si="4"/>
        <v>0</v>
      </c>
      <c r="G31" s="55">
        <f t="shared" si="4"/>
        <v>0</v>
      </c>
      <c r="H31" s="55">
        <f t="shared" si="4"/>
        <v>0</v>
      </c>
      <c r="I31" s="55">
        <f t="shared" si="4"/>
        <v>0</v>
      </c>
      <c r="J31" s="55">
        <f t="shared" si="4"/>
        <v>0</v>
      </c>
      <c r="K31" s="55">
        <f t="shared" si="4"/>
        <v>0</v>
      </c>
      <c r="L31" s="55">
        <f t="shared" si="4"/>
        <v>0</v>
      </c>
      <c r="M31" s="55">
        <f t="shared" si="4"/>
        <v>0</v>
      </c>
      <c r="N31" s="55">
        <f t="shared" si="4"/>
        <v>0</v>
      </c>
      <c r="O31" s="55">
        <f t="shared" si="4"/>
        <v>0</v>
      </c>
    </row>
    <row r="32" spans="1:15" ht="12" thickBot="1" x14ac:dyDescent="0.25">
      <c r="A32" s="54">
        <f>FEO!$V$5</f>
        <v>2043</v>
      </c>
      <c r="B32" s="55">
        <f t="shared" si="4"/>
        <v>0</v>
      </c>
      <c r="C32" s="55">
        <f t="shared" si="4"/>
        <v>0</v>
      </c>
      <c r="D32" s="55">
        <f t="shared" si="4"/>
        <v>0</v>
      </c>
      <c r="E32" s="55">
        <f t="shared" si="4"/>
        <v>0</v>
      </c>
      <c r="F32" s="55">
        <f t="shared" si="4"/>
        <v>0</v>
      </c>
      <c r="G32" s="55">
        <f t="shared" si="4"/>
        <v>0</v>
      </c>
      <c r="H32" s="55">
        <f t="shared" si="4"/>
        <v>0</v>
      </c>
      <c r="I32" s="55">
        <f t="shared" si="4"/>
        <v>0</v>
      </c>
      <c r="J32" s="55">
        <f t="shared" si="4"/>
        <v>0</v>
      </c>
      <c r="K32" s="55">
        <f t="shared" si="4"/>
        <v>0</v>
      </c>
      <c r="L32" s="55">
        <f t="shared" si="4"/>
        <v>0</v>
      </c>
      <c r="M32" s="55">
        <f t="shared" si="4"/>
        <v>0</v>
      </c>
      <c r="N32" s="55">
        <f t="shared" si="4"/>
        <v>0</v>
      </c>
      <c r="O32" s="55">
        <f t="shared" si="4"/>
        <v>0</v>
      </c>
    </row>
    <row r="33" spans="1:15" ht="10.8" thickBot="1" x14ac:dyDescent="0.25"/>
    <row r="34" spans="1:15" s="2" customFormat="1" ht="12" thickBot="1" x14ac:dyDescent="0.25">
      <c r="A34" s="116" t="s">
        <v>143</v>
      </c>
      <c r="B34" s="77">
        <f>SUM(B17:B33)</f>
        <v>0</v>
      </c>
      <c r="C34" s="77">
        <f t="shared" ref="C34:O34" si="5">SUM(C17:C33)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</row>
    <row r="35" spans="1:15" x14ac:dyDescent="0.2">
      <c r="B35" s="80"/>
    </row>
  </sheetData>
  <mergeCells count="1">
    <mergeCell ref="M1:O1"/>
  </mergeCells>
  <hyperlinks>
    <hyperlink ref="A2" location="FEO!A1" display="terug" xr:uid="{84222E25-E0BC-4DC6-89BD-571D9E9CEE0F}"/>
  </hyperlink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61134e7c-f487-4f3e-b234-30d43b5f02e1" ContentTypeId="0x010100A00871B6ADF1FF46A0727E13CD234E7E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Overijssel Document" ma:contentTypeID="0x010100A00871B6ADF1FF46A0727E13CD234E7E00A4ECEDA1EE8D7D438595C6F5ECC5048D" ma:contentTypeVersion="13" ma:contentTypeDescription="Standaard document met de generieke eigenschappen." ma:contentTypeScope="" ma:versionID="e52510c534fc1f283e89af2202b88f02">
  <xsd:schema xmlns:xsd="http://www.w3.org/2001/XMLSchema" xmlns:xs="http://www.w3.org/2001/XMLSchema" xmlns:p="http://schemas.microsoft.com/office/2006/metadata/properties" xmlns:ns2="ba4790f2-98c4-4268-a930-bdc80538f7bb" xmlns:ns3="1dcb8cc3-17ce-4b97-a5e8-aa036fab1c67" targetNamespace="http://schemas.microsoft.com/office/2006/metadata/properties" ma:root="true" ma:fieldsID="fdd4cccbee4cbe9dee13dccd18ce23e7" ns2:_="" ns3:_="">
    <xsd:import namespace="ba4790f2-98c4-4268-a930-bdc80538f7bb"/>
    <xsd:import namespace="1dcb8cc3-17ce-4b97-a5e8-aa036fab1c67"/>
    <xsd:element name="properties">
      <xsd:complexType>
        <xsd:sequence>
          <xsd:element name="documentManagement">
            <xsd:complexType>
              <xsd:all>
                <xsd:element ref="ns2:ExternSysteemIdentificatiekenmerk" minOccurs="0"/>
                <xsd:element ref="ns2:TaxCatchAll" minOccurs="0"/>
                <xsd:element ref="ns2:TaxCatchAllLabel" minOccurs="0"/>
                <xsd:element ref="ns2:g5a2340f0f904ba4a99e1492014754c9" minOccurs="0"/>
                <xsd:element ref="ns2:ae6d95edee634b2792e6f1a4ecf2da08" minOccurs="0"/>
                <xsd:element ref="ns2:ZaaksysteemKenmerk" minOccurs="0"/>
                <xsd:element ref="ns2:Bijvoegen" minOccurs="0"/>
                <xsd:element ref="ns2:StartZaak_x0020_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790f2-98c4-4268-a930-bdc80538f7bb" elementFormDefault="qualified">
    <xsd:import namespace="http://schemas.microsoft.com/office/2006/documentManagement/types"/>
    <xsd:import namespace="http://schemas.microsoft.com/office/infopath/2007/PartnerControls"/>
    <xsd:element name="ExternSysteemIdentificatiekenmerk" ma:index="4" nillable="true" ma:displayName="Extern systeem identificatiekenmerk" ma:description="Specificeer hier het systeem en het kenmerk (bijv. SAP-19373836)" ma:internalName="ExternSysteemIdentificatiekenmerk">
      <xsd:simpleType>
        <xsd:restriction base="dms:Text">
          <xsd:maxLength value="255"/>
        </xsd:restriction>
      </xsd:simpleType>
    </xsd:element>
    <xsd:element name="TaxCatchAll" ma:index="6" nillable="true" ma:displayName="Taxonomy Catch All Column" ma:hidden="true" ma:list="{a3d3a8c1-316e-4db0-aeaa-bb85b5fcf66e}" ma:internalName="TaxCatchAll" ma:showField="CatchAllData" ma:web="1dcb8cc3-17ce-4b97-a5e8-aa036fab1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a3d3a8c1-316e-4db0-aeaa-bb85b5fcf66e}" ma:internalName="TaxCatchAllLabel" ma:readOnly="true" ma:showField="CatchAllDataLabel" ma:web="1dcb8cc3-17ce-4b97-a5e8-aa036fab1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5a2340f0f904ba4a99e1492014754c9" ma:index="9" nillable="true" ma:taxonomy="true" ma:internalName="g5a2340f0f904ba4a99e1492014754c9" ma:taxonomyFieldName="Documenttype" ma:displayName="Documenttype" ma:readOnly="false" ma:default="" ma:fieldId="{05a2340f-0f90-4ba4-a99e-1492014754c9}" ma:sspId="61134e7c-f487-4f3e-b234-30d43b5f02e1" ma:termSetId="dd23a233-2f62-4320-bc53-288f842bf3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6d95edee634b2792e6f1a4ecf2da08" ma:index="13" nillable="true" ma:taxonomy="true" ma:internalName="ae6d95edee634b2792e6f1a4ecf2da08" ma:taxonomyFieldName="Documentstatus" ma:displayName="Documentstatus" ma:readOnly="false" ma:fieldId="{ae6d95ed-ee63-4b27-92e6-f1a4ecf2da08}" ma:sspId="61134e7c-f487-4f3e-b234-30d43b5f02e1" ma:termSetId="d4545161-d101-419d-849d-c2735aac7e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aaksysteemKenmerk" ma:index="15" nillable="true" ma:displayName="Zaaksysteem kenmerk" ma:hidden="true" ma:internalName="ZaaksysteemKenmerk" ma:readOnly="false">
      <xsd:simpleType>
        <xsd:restriction base="dms:Text">
          <xsd:maxLength value="255"/>
        </xsd:restriction>
      </xsd:simpleType>
    </xsd:element>
    <xsd:element name="Bijvoegen" ma:index="16" nillable="true" ma:displayName="Bijvoegen" ma:default="0" ma:hidden="true" ma:internalName="Bijvoegen" ma:readOnly="false">
      <xsd:simpleType>
        <xsd:restriction base="dms:Boolean"/>
      </xsd:simpleType>
    </xsd:element>
    <xsd:element name="StartZaak_x0020_" ma:index="17" nillable="true" ma:displayName="Start zaak" ma:hidden="true" ma:internalName="StartZaak_x0020_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cb8cc3-17ce-4b97-a5e8-aa036fab1c67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xternSysteemIdentificatiekenmerk xmlns="ba4790f2-98c4-4268-a930-bdc80538f7bb" xsi:nil="true"/>
    <ae6d95edee634b2792e6f1a4ecf2da08 xmlns="ba4790f2-98c4-4268-a930-bdc80538f7bb">
      <Terms xmlns="http://schemas.microsoft.com/office/infopath/2007/PartnerControls"/>
    </ae6d95edee634b2792e6f1a4ecf2da08>
    <Bijvoegen xmlns="ba4790f2-98c4-4268-a930-bdc80538f7bb">false</Bijvoegen>
    <StartZaak_x0020_ xmlns="ba4790f2-98c4-4268-a930-bdc80538f7bb" xsi:nil="true"/>
    <g5a2340f0f904ba4a99e1492014754c9 xmlns="ba4790f2-98c4-4268-a930-bdc80538f7bb">
      <Terms xmlns="http://schemas.microsoft.com/office/infopath/2007/PartnerControls"/>
    </g5a2340f0f904ba4a99e1492014754c9>
    <ZaaksysteemKenmerk xmlns="ba4790f2-98c4-4268-a930-bdc80538f7bb" xsi:nil="true"/>
    <TaxCatchAll xmlns="ba4790f2-98c4-4268-a930-bdc80538f7bb">
      <Value>2</Value>
      <Value>1</Value>
    </TaxCatchAll>
    <_dlc_DocId xmlns="1dcb8cc3-17ce-4b97-a5e8-aa036fab1c67">POV365-1899857001-2761</_dlc_DocId>
    <_dlc_DocIdUrl xmlns="1dcb8cc3-17ce-4b97-a5e8-aa036fab1c67">
      <Url>https://overijssel.sharepoint.com/sites/PROJ-RBMOVAanbestedingVechtdal-ZHOvanaf2027/_layouts/15/DocIdRedir.aspx?ID=POV365-1899857001-2761</Url>
      <Description>POV365-1899857001-2761</Description>
    </_dlc_DocIdUrl>
  </documentManagement>
</p:properties>
</file>

<file path=customXml/itemProps1.xml><?xml version="1.0" encoding="utf-8"?>
<ds:datastoreItem xmlns:ds="http://schemas.openxmlformats.org/officeDocument/2006/customXml" ds:itemID="{2C1A0FC7-8249-40C4-925B-509B3D92EB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643019-2432-4DA7-9CC1-CEE49C4A156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A307DAE-71BD-4819-B7C3-293C6C9DB6F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BBD49C5E-9A1B-4C00-90DF-FBE69BB83B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4790f2-98c4-4268-a930-bdc80538f7bb"/>
    <ds:schemaRef ds:uri="1dcb8cc3-17ce-4b97-a5e8-aa036fab1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ED2728D-386C-45A2-BE2A-11CC20410957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ba4790f2-98c4-4268-a930-bdc80538f7bb"/>
    <ds:schemaRef ds:uri="http://schemas.openxmlformats.org/package/2006/metadata/core-properties"/>
    <ds:schemaRef ds:uri="1dcb8cc3-17ce-4b97-a5e8-aa036fab1c67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21</vt:i4>
      </vt:variant>
      <vt:variant>
        <vt:lpstr>Benoemde bereiken</vt:lpstr>
      </vt:variant>
      <vt:variant>
        <vt:i4>1</vt:i4>
      </vt:variant>
    </vt:vector>
  </HeadingPairs>
  <TitlesOfParts>
    <vt:vector size="22" baseType="lpstr">
      <vt:lpstr>C Kostenopgave Materieel</vt:lpstr>
      <vt:lpstr>Legenda</vt:lpstr>
      <vt:lpstr>FEO</vt:lpstr>
      <vt:lpstr>A.01</vt:lpstr>
      <vt:lpstr>A.02</vt:lpstr>
      <vt:lpstr>A.03</vt:lpstr>
      <vt:lpstr>A.04</vt:lpstr>
      <vt:lpstr>B.01</vt:lpstr>
      <vt:lpstr>B.03</vt:lpstr>
      <vt:lpstr>D.01</vt:lpstr>
      <vt:lpstr>D.02</vt:lpstr>
      <vt:lpstr>E.01</vt:lpstr>
      <vt:lpstr>E.02</vt:lpstr>
      <vt:lpstr>F.01</vt:lpstr>
      <vt:lpstr>F.02</vt:lpstr>
      <vt:lpstr>F.03</vt:lpstr>
      <vt:lpstr>F.10</vt:lpstr>
      <vt:lpstr>L.01 DRK AL-HA</vt:lpstr>
      <vt:lpstr>L.02 DRK ZW-EM</vt:lpstr>
      <vt:lpstr>Subsidieverlening Al-Ha</vt:lpstr>
      <vt:lpstr>Subsidieverlening Zw-Em</vt:lpstr>
      <vt:lpstr>FEO!Afdrukbereik</vt:lpstr>
    </vt:vector>
  </TitlesOfParts>
  <Manager/>
  <Company>Provincie Overijssel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bekl</dc:creator>
  <cp:keywords/>
  <dc:description/>
  <cp:lastModifiedBy>Bekhuis, TMJ. (Mathijs)</cp:lastModifiedBy>
  <cp:revision/>
  <cp:lastPrinted>2024-06-25T13:46:57Z</cp:lastPrinted>
  <dcterms:created xsi:type="dcterms:W3CDTF">2016-07-11T13:48:04Z</dcterms:created>
  <dcterms:modified xsi:type="dcterms:W3CDTF">2025-03-27T14:07:46Z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0x010100A00871B6ADF1FF46A0727E13CD234E7E00A4ECEDA1EE8D7D438595C6F5ECC5048D</vt:lpwstr>
  </property>
  <property fmtid="{D5CDD505-2E9C-101B-9397-08002B2CF9AE}" pid="3" name="hc177bb5d1a84cadb04e5c71ff211ad4">
    <vt:lpwstr>Verkeer en vervoer|1067d225-fad3-46b5-babf-1d4fb2eab7e5</vt:lpwstr>
  </property>
  <property fmtid="{D5CDD505-2E9C-101B-9397-08002B2CF9AE}" pid="4" name="g4911d1be07a4422a8ee2ce893e0df3b">
    <vt:lpwstr>RBM|b7234c63-dd4e-4fcf-aa01-b20216e1330f</vt:lpwstr>
  </property>
  <property fmtid="{D5CDD505-2E9C-101B-9397-08002B2CF9AE}" pid="5" name="_dlc_DocIdItemGuid">
    <vt:lpwstr>42a090e9-5955-463c-ad42-786df5cb7aab</vt:lpwstr>
  </property>
  <property fmtid="{D5CDD505-2E9C-101B-9397-08002B2CF9AE}" pid="6" name="MSIP_Label_1f7c1374-3856-4efe-8a20-c736d592c69d_Enabled">
    <vt:lpwstr>True</vt:lpwstr>
  </property>
  <property fmtid="{D5CDD505-2E9C-101B-9397-08002B2CF9AE}" pid="7" name="MSIP_Label_1f7c1374-3856-4efe-8a20-c736d592c69d_SiteId">
    <vt:lpwstr>198fc6c4-dbc7-4471-82ef-764d9e62caf1</vt:lpwstr>
  </property>
  <property fmtid="{D5CDD505-2E9C-101B-9397-08002B2CF9AE}" pid="8" name="MSIP_Label_1f7c1374-3856-4efe-8a20-c736d592c69d_SetDate">
    <vt:lpwstr>2024-04-10T10:03:04Z</vt:lpwstr>
  </property>
  <property fmtid="{D5CDD505-2E9C-101B-9397-08002B2CF9AE}" pid="9" name="MSIP_Label_1f7c1374-3856-4efe-8a20-c736d592c69d_Name">
    <vt:lpwstr>Intern</vt:lpwstr>
  </property>
  <property fmtid="{D5CDD505-2E9C-101B-9397-08002B2CF9AE}" pid="10" name="MSIP_Label_1f7c1374-3856-4efe-8a20-c736d592c69d_ActionId">
    <vt:lpwstr>aff93d66-a5e9-435f-b351-71695db640b2</vt:lpwstr>
  </property>
  <property fmtid="{D5CDD505-2E9C-101B-9397-08002B2CF9AE}" pid="11" name="MSIP_Label_1f7c1374-3856-4efe-8a20-c736d592c69d_Removed">
    <vt:lpwstr>False</vt:lpwstr>
  </property>
  <property fmtid="{D5CDD505-2E9C-101B-9397-08002B2CF9AE}" pid="12" name="MSIP_Label_1f7c1374-3856-4efe-8a20-c736d592c69d_Extended_MSFT_Method">
    <vt:lpwstr>Standard</vt:lpwstr>
  </property>
  <property fmtid="{D5CDD505-2E9C-101B-9397-08002B2CF9AE}" pid="13" name="Sensitivity">
    <vt:lpwstr>Intern</vt:lpwstr>
  </property>
  <property fmtid="{D5CDD505-2E9C-101B-9397-08002B2CF9AE}" pid="14" name="MediaServiceImageTags">
    <vt:lpwstr/>
  </property>
  <property fmtid="{D5CDD505-2E9C-101B-9397-08002B2CF9AE}" pid="15" name="gdee63a8b651439cb8bd2cdd061035cb">
    <vt:lpwstr/>
  </property>
  <property fmtid="{D5CDD505-2E9C-101B-9397-08002B2CF9AE}" pid="16" name="Verantwoordelijk organisatieonderdeel">
    <vt:lpwstr>1;#RBM|b7234c63-dd4e-4fcf-aa01-b20216e1330f</vt:lpwstr>
  </property>
  <property fmtid="{D5CDD505-2E9C-101B-9397-08002B2CF9AE}" pid="17" name="Documenttype">
    <vt:lpwstr/>
  </property>
  <property fmtid="{D5CDD505-2E9C-101B-9397-08002B2CF9AE}" pid="18" name="Documentstatus">
    <vt:lpwstr/>
  </property>
  <property fmtid="{D5CDD505-2E9C-101B-9397-08002B2CF9AE}" pid="19" name="Proces">
    <vt:lpwstr/>
  </property>
  <property fmtid="{D5CDD505-2E9C-101B-9397-08002B2CF9AE}" pid="20" name="Secretariaat">
    <vt:lpwstr/>
  </property>
  <property fmtid="{D5CDD505-2E9C-101B-9397-08002B2CF9AE}" pid="21" name="b7d5404cb2a5404d83710578ba68e687">
    <vt:lpwstr/>
  </property>
  <property fmtid="{D5CDD505-2E9C-101B-9397-08002B2CF9AE}" pid="22" name="i3a97997f2484179be2952c5602acc27">
    <vt:lpwstr/>
  </property>
  <property fmtid="{D5CDD505-2E9C-101B-9397-08002B2CF9AE}" pid="23" name="Hotspot">
    <vt:lpwstr/>
  </property>
  <property fmtid="{D5CDD505-2E9C-101B-9397-08002B2CF9AE}" pid="24" name="lcf76f155ced4ddcb4097134ff3c332f">
    <vt:lpwstr/>
  </property>
  <property fmtid="{D5CDD505-2E9C-101B-9397-08002B2CF9AE}" pid="25" name="Taakveld">
    <vt:lpwstr>2;#Verkeer en vervoer|1067d225-fad3-46b5-babf-1d4fb2eab7e5</vt:lpwstr>
  </property>
  <property fmtid="{D5CDD505-2E9C-101B-9397-08002B2CF9AE}" pid="26" name="Verantwoordelijk_x0020_organisatieonderdeel">
    <vt:lpwstr>1;#RBM|b7234c63-dd4e-4fcf-aa01-b20216e1330f</vt:lpwstr>
  </property>
</Properties>
</file>