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adjustconsulting.sharepoint.com/sites/BUInkada/Gedeelde documenten/10 Projecten/Veiligheidsregio IJsselland/Voertuigen 2025/4.1 Leidraad NIEUW/"/>
    </mc:Choice>
  </mc:AlternateContent>
  <xr:revisionPtr revIDLastSave="0" documentId="8_{3E10BAB5-BC46-4A0E-BC16-2A8A8653CC8F}" xr6:coauthVersionLast="47" xr6:coauthVersionMax="47" xr10:uidLastSave="{00000000-0000-0000-0000-000000000000}"/>
  <workbookProtection workbookAlgorithmName="SHA-512" workbookHashValue="Tzm3KVodFPv0zq4uaGdHkqoqxWOsfZe0guHSljqxuJOzoNlFIptXp9Gq9kU2I9Ict7ynbL67I7CObfcWGRQzaQ==" workbookSaltValue="8+NrqLDLQH/7Q4pbLvK+nA==" workbookSpinCount="100000" lockStructure="1"/>
  <bookViews>
    <workbookView xWindow="-28920" yWindow="-105" windowWidth="29040" windowHeight="15720" tabRatio="975" activeTab="3" xr2:uid="{00000000-000D-0000-FFFF-FFFF00000000}"/>
  </bookViews>
  <sheets>
    <sheet name="Gebruikers informatie" sheetId="18" r:id="rId1"/>
    <sheet name="Officieel ECE R65 testrapport" sheetId="1" r:id="rId2"/>
    <sheet name="3% blauw LED" sheetId="2" r:id="rId3"/>
    <sheet name="3% amber LED" sheetId="3" r:id="rId4"/>
    <sheet name="12% blauw LED" sheetId="4" r:id="rId5"/>
    <sheet name="12% amber LED" sheetId="5" r:id="rId6"/>
    <sheet name="21% blauw LED" sheetId="6" r:id="rId7"/>
    <sheet name="21% amber LED" sheetId="7" r:id="rId8"/>
    <sheet name="30% blauw LED" sheetId="8" r:id="rId9"/>
    <sheet name="30% amber LED" sheetId="9" r:id="rId10"/>
    <sheet name="43% blauw LED" sheetId="12" r:id="rId11"/>
    <sheet name="43% amber LED" sheetId="13" r:id="rId12"/>
    <sheet name="54% blauw LED" sheetId="10" r:id="rId13"/>
    <sheet name="54% amber LED" sheetId="11" r:id="rId14"/>
    <sheet name=" 79% blauw LED" sheetId="14" r:id="rId15"/>
    <sheet name="79% amber LED" sheetId="15" r:id="rId16"/>
    <sheet name=" 85% blauw LED" sheetId="16" r:id="rId17"/>
    <sheet name="85% amber LED" sheetId="17"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7" l="1"/>
  <c r="F22" i="17"/>
  <c r="I19" i="17"/>
  <c r="G19" i="17"/>
  <c r="E19" i="17"/>
  <c r="K16" i="17"/>
  <c r="J16" i="17"/>
  <c r="H16" i="17"/>
  <c r="F16" i="17"/>
  <c r="D16" i="17"/>
  <c r="C16" i="17"/>
  <c r="K13" i="17"/>
  <c r="J13" i="17"/>
  <c r="I13" i="17"/>
  <c r="G13" i="17"/>
  <c r="E13" i="17"/>
  <c r="D13" i="17"/>
  <c r="C13" i="17"/>
  <c r="K10" i="17"/>
  <c r="J10" i="17"/>
  <c r="H10" i="17"/>
  <c r="F10" i="17"/>
  <c r="D10" i="17"/>
  <c r="C10" i="17"/>
  <c r="I7" i="17"/>
  <c r="G7" i="17"/>
  <c r="E7" i="17"/>
  <c r="H4" i="17"/>
  <c r="F4" i="17"/>
  <c r="H22" i="16"/>
  <c r="F22" i="16"/>
  <c r="I19" i="16"/>
  <c r="G19" i="16"/>
  <c r="E19" i="16"/>
  <c r="K16" i="16"/>
  <c r="J16" i="16"/>
  <c r="H16" i="16"/>
  <c r="F16" i="16"/>
  <c r="D16" i="16"/>
  <c r="C16" i="16"/>
  <c r="K13" i="16"/>
  <c r="J13" i="16"/>
  <c r="I13" i="16"/>
  <c r="G13" i="16"/>
  <c r="E13" i="16"/>
  <c r="D13" i="16"/>
  <c r="C13" i="16"/>
  <c r="K10" i="16"/>
  <c r="J10" i="16"/>
  <c r="H10" i="16"/>
  <c r="F10" i="16"/>
  <c r="D10" i="16"/>
  <c r="C10" i="16"/>
  <c r="I7" i="16"/>
  <c r="G7" i="16"/>
  <c r="E7" i="16"/>
  <c r="H4" i="16"/>
  <c r="F4" i="16"/>
  <c r="H22" i="15"/>
  <c r="F22" i="15"/>
  <c r="I19" i="15"/>
  <c r="G19" i="15"/>
  <c r="E19" i="15"/>
  <c r="K16" i="15"/>
  <c r="J16" i="15"/>
  <c r="H16" i="15"/>
  <c r="F16" i="15"/>
  <c r="D16" i="15"/>
  <c r="C16" i="15"/>
  <c r="K13" i="15"/>
  <c r="J13" i="15"/>
  <c r="I13" i="15"/>
  <c r="G13" i="15"/>
  <c r="E13" i="15"/>
  <c r="D13" i="15"/>
  <c r="C13" i="15"/>
  <c r="K10" i="15"/>
  <c r="J10" i="15"/>
  <c r="H10" i="15"/>
  <c r="F10" i="15"/>
  <c r="D10" i="15"/>
  <c r="C10" i="15"/>
  <c r="I7" i="15"/>
  <c r="G7" i="15"/>
  <c r="E7" i="15"/>
  <c r="H4" i="15"/>
  <c r="F4" i="15"/>
  <c r="H22" i="14"/>
  <c r="F22" i="14"/>
  <c r="I19" i="14"/>
  <c r="G19" i="14"/>
  <c r="E19" i="14"/>
  <c r="K16" i="14"/>
  <c r="J16" i="14"/>
  <c r="H16" i="14"/>
  <c r="F16" i="14"/>
  <c r="D16" i="14"/>
  <c r="C16" i="14"/>
  <c r="K13" i="14"/>
  <c r="J13" i="14"/>
  <c r="I13" i="14"/>
  <c r="G13" i="14"/>
  <c r="E13" i="14"/>
  <c r="D13" i="14"/>
  <c r="C13" i="14"/>
  <c r="K10" i="14"/>
  <c r="J10" i="14"/>
  <c r="H10" i="14"/>
  <c r="F10" i="14"/>
  <c r="D10" i="14"/>
  <c r="C10" i="14"/>
  <c r="I7" i="14"/>
  <c r="G7" i="14"/>
  <c r="E7" i="14"/>
  <c r="H4" i="14"/>
  <c r="F4" i="14"/>
  <c r="H22" i="13"/>
  <c r="F22" i="13"/>
  <c r="I19" i="13"/>
  <c r="G19" i="13"/>
  <c r="E19" i="13"/>
  <c r="K16" i="13"/>
  <c r="J16" i="13"/>
  <c r="H16" i="13"/>
  <c r="F16" i="13"/>
  <c r="D16" i="13"/>
  <c r="C16" i="13"/>
  <c r="K13" i="13"/>
  <c r="J13" i="13"/>
  <c r="I13" i="13"/>
  <c r="G13" i="13"/>
  <c r="E13" i="13"/>
  <c r="D13" i="13"/>
  <c r="C13" i="13"/>
  <c r="K10" i="13"/>
  <c r="J10" i="13"/>
  <c r="H10" i="13"/>
  <c r="F10" i="13"/>
  <c r="D10" i="13"/>
  <c r="C10" i="13"/>
  <c r="I7" i="13"/>
  <c r="G7" i="13"/>
  <c r="E7" i="13"/>
  <c r="H4" i="13"/>
  <c r="F4" i="13"/>
  <c r="H22" i="12"/>
  <c r="F22" i="12"/>
  <c r="I19" i="12"/>
  <c r="G19" i="12"/>
  <c r="E19" i="12"/>
  <c r="K16" i="12"/>
  <c r="J16" i="12"/>
  <c r="H16" i="12"/>
  <c r="F16" i="12"/>
  <c r="D16" i="12"/>
  <c r="C16" i="12"/>
  <c r="K13" i="12"/>
  <c r="J13" i="12"/>
  <c r="I13" i="12"/>
  <c r="G13" i="12"/>
  <c r="E13" i="12"/>
  <c r="D13" i="12"/>
  <c r="C13" i="12"/>
  <c r="K10" i="12"/>
  <c r="J10" i="12"/>
  <c r="H10" i="12"/>
  <c r="F10" i="12"/>
  <c r="D10" i="12"/>
  <c r="C10" i="12"/>
  <c r="I7" i="12"/>
  <c r="G7" i="12"/>
  <c r="E7" i="12"/>
  <c r="H4" i="12"/>
  <c r="F4" i="12"/>
  <c r="H22" i="11"/>
  <c r="F22" i="11"/>
  <c r="I19" i="11"/>
  <c r="G19" i="11"/>
  <c r="E19" i="11"/>
  <c r="K16" i="11"/>
  <c r="J16" i="11"/>
  <c r="H16" i="11"/>
  <c r="F16" i="11"/>
  <c r="D16" i="11"/>
  <c r="C16" i="11"/>
  <c r="K13" i="11"/>
  <c r="J13" i="11"/>
  <c r="I13" i="11"/>
  <c r="G13" i="11"/>
  <c r="E13" i="11"/>
  <c r="D13" i="11"/>
  <c r="C13" i="11"/>
  <c r="K10" i="11"/>
  <c r="J10" i="11"/>
  <c r="H10" i="11"/>
  <c r="F10" i="11"/>
  <c r="D10" i="11"/>
  <c r="C10" i="11"/>
  <c r="I7" i="11"/>
  <c r="G7" i="11"/>
  <c r="E7" i="11"/>
  <c r="H4" i="11"/>
  <c r="F4" i="11"/>
  <c r="H22" i="10"/>
  <c r="F22" i="10"/>
  <c r="I19" i="10"/>
  <c r="G19" i="10"/>
  <c r="E19" i="10"/>
  <c r="K16" i="10"/>
  <c r="J16" i="10"/>
  <c r="H16" i="10"/>
  <c r="F16" i="10"/>
  <c r="D16" i="10"/>
  <c r="C16" i="10"/>
  <c r="K13" i="10"/>
  <c r="J13" i="10"/>
  <c r="I13" i="10"/>
  <c r="G13" i="10"/>
  <c r="E13" i="10"/>
  <c r="D13" i="10"/>
  <c r="C13" i="10"/>
  <c r="K10" i="10"/>
  <c r="D10" i="10"/>
  <c r="J10" i="10"/>
  <c r="H10" i="10"/>
  <c r="F10" i="10"/>
  <c r="C10" i="10"/>
  <c r="I7" i="10"/>
  <c r="G7" i="10"/>
  <c r="E7" i="10"/>
  <c r="H4" i="10"/>
  <c r="F4" i="10"/>
  <c r="H22" i="9"/>
  <c r="F22" i="9"/>
  <c r="I19" i="9"/>
  <c r="G19" i="9"/>
  <c r="E19" i="9"/>
  <c r="K16" i="9"/>
  <c r="J16" i="9"/>
  <c r="H16" i="9"/>
  <c r="F16" i="9"/>
  <c r="D16" i="9"/>
  <c r="C16" i="9"/>
  <c r="K13" i="9"/>
  <c r="J13" i="9"/>
  <c r="I13" i="9"/>
  <c r="G13" i="9"/>
  <c r="E13" i="9"/>
  <c r="D13" i="9"/>
  <c r="C13" i="9"/>
  <c r="K10" i="9"/>
  <c r="J10" i="9"/>
  <c r="H10" i="9"/>
  <c r="F10" i="9"/>
  <c r="D10" i="9"/>
  <c r="C10" i="9"/>
  <c r="I7" i="9"/>
  <c r="G7" i="9"/>
  <c r="E7" i="9"/>
  <c r="H4" i="9"/>
  <c r="F4" i="9"/>
  <c r="H22" i="8"/>
  <c r="F22" i="8"/>
  <c r="I19" i="8"/>
  <c r="G19" i="8"/>
  <c r="E19" i="8"/>
  <c r="K16" i="8"/>
  <c r="J16" i="8"/>
  <c r="H16" i="8"/>
  <c r="F16" i="8"/>
  <c r="D16" i="8"/>
  <c r="C16" i="8"/>
  <c r="K13" i="8"/>
  <c r="J13" i="8"/>
  <c r="I13" i="8"/>
  <c r="G13" i="8"/>
  <c r="E13" i="8"/>
  <c r="D13" i="8"/>
  <c r="C13" i="8"/>
  <c r="K10" i="8"/>
  <c r="J10" i="8"/>
  <c r="H10" i="8"/>
  <c r="F10" i="8"/>
  <c r="D10" i="8"/>
  <c r="C10" i="8"/>
  <c r="I7" i="8"/>
  <c r="G7" i="8"/>
  <c r="E7" i="8"/>
  <c r="H4" i="8"/>
  <c r="F4" i="8"/>
  <c r="H22" i="7"/>
  <c r="F22" i="7"/>
  <c r="I19" i="7"/>
  <c r="G19" i="7"/>
  <c r="E19" i="7"/>
  <c r="K16" i="7"/>
  <c r="J16" i="7"/>
  <c r="H16" i="7"/>
  <c r="F16" i="7"/>
  <c r="D16" i="7"/>
  <c r="C16" i="7"/>
  <c r="K13" i="7"/>
  <c r="J13" i="7"/>
  <c r="I13" i="7"/>
  <c r="G13" i="7"/>
  <c r="E13" i="7"/>
  <c r="D13" i="7"/>
  <c r="C13" i="7"/>
  <c r="K10" i="7"/>
  <c r="J10" i="7"/>
  <c r="H10" i="7"/>
  <c r="F10" i="7"/>
  <c r="D10" i="7"/>
  <c r="C10" i="7"/>
  <c r="I7" i="7"/>
  <c r="G7" i="7"/>
  <c r="E7" i="7"/>
  <c r="H4" i="7"/>
  <c r="F4" i="7"/>
  <c r="H22" i="6"/>
  <c r="F22" i="6"/>
  <c r="I19" i="6"/>
  <c r="G19" i="6"/>
  <c r="E19" i="6"/>
  <c r="K16" i="6"/>
  <c r="J16" i="6"/>
  <c r="H16" i="6"/>
  <c r="F16" i="6"/>
  <c r="D16" i="6"/>
  <c r="C16" i="6"/>
  <c r="K13" i="6"/>
  <c r="J13" i="6"/>
  <c r="I13" i="6"/>
  <c r="G13" i="6"/>
  <c r="E13" i="6"/>
  <c r="D13" i="6"/>
  <c r="C13" i="6"/>
  <c r="K10" i="6"/>
  <c r="J10" i="6"/>
  <c r="H10" i="6"/>
  <c r="F10" i="6"/>
  <c r="D10" i="6"/>
  <c r="C10" i="6"/>
  <c r="I7" i="6"/>
  <c r="G7" i="6"/>
  <c r="E7" i="6"/>
  <c r="H4" i="6"/>
  <c r="F4" i="6"/>
  <c r="H22" i="5"/>
  <c r="F22" i="5"/>
  <c r="I19" i="5"/>
  <c r="G19" i="5"/>
  <c r="E19" i="5"/>
  <c r="K16" i="5"/>
  <c r="J16" i="5"/>
  <c r="H16" i="5"/>
  <c r="F16" i="5"/>
  <c r="D16" i="5"/>
  <c r="C16" i="5"/>
  <c r="K13" i="5"/>
  <c r="J13" i="5"/>
  <c r="I13" i="5"/>
  <c r="G13" i="5"/>
  <c r="E13" i="5"/>
  <c r="D13" i="5"/>
  <c r="C13" i="5"/>
  <c r="K10" i="5"/>
  <c r="J10" i="5"/>
  <c r="H10" i="5"/>
  <c r="F10" i="5"/>
  <c r="D10" i="5"/>
  <c r="C10" i="5"/>
  <c r="I7" i="5"/>
  <c r="G7" i="5"/>
  <c r="E7" i="5"/>
  <c r="H4" i="5"/>
  <c r="F4" i="5"/>
  <c r="H22" i="4"/>
  <c r="F22" i="4"/>
  <c r="I19" i="4"/>
  <c r="G19" i="4"/>
  <c r="E19" i="4"/>
  <c r="K16" i="4"/>
  <c r="J16" i="4"/>
  <c r="H16" i="4"/>
  <c r="F16" i="4"/>
  <c r="D16" i="4"/>
  <c r="C16" i="4"/>
  <c r="K13" i="4"/>
  <c r="J13" i="4"/>
  <c r="I13" i="4"/>
  <c r="G13" i="4"/>
  <c r="E13" i="4"/>
  <c r="D13" i="4"/>
  <c r="C13" i="4"/>
  <c r="K10" i="4"/>
  <c r="J10" i="4"/>
  <c r="H10" i="4"/>
  <c r="F10" i="4"/>
  <c r="D10" i="4"/>
  <c r="C10" i="4"/>
  <c r="I7" i="4"/>
  <c r="G7" i="4"/>
  <c r="E7" i="4"/>
  <c r="H4" i="4"/>
  <c r="F4" i="4"/>
  <c r="H22" i="3"/>
  <c r="F22" i="3"/>
  <c r="I19" i="3"/>
  <c r="G19" i="3"/>
  <c r="E19" i="3"/>
  <c r="K16" i="3"/>
  <c r="J16" i="3"/>
  <c r="H16" i="3"/>
  <c r="F16" i="3"/>
  <c r="D16" i="3"/>
  <c r="C16" i="3"/>
  <c r="K13" i="3"/>
  <c r="J13" i="3"/>
  <c r="I13" i="3"/>
  <c r="G13" i="3"/>
  <c r="E13" i="3"/>
  <c r="D13" i="3"/>
  <c r="C13" i="3"/>
  <c r="K10" i="3"/>
  <c r="J10" i="3"/>
  <c r="H10" i="3"/>
  <c r="F10" i="3"/>
  <c r="D10" i="3"/>
  <c r="C10" i="3"/>
  <c r="I7" i="3"/>
  <c r="G7" i="3"/>
  <c r="E7" i="3"/>
  <c r="H4" i="3"/>
  <c r="F4" i="3"/>
  <c r="H22" i="2"/>
  <c r="F22" i="2"/>
  <c r="I19" i="2"/>
  <c r="G19" i="2"/>
  <c r="E19" i="2"/>
  <c r="K16" i="2"/>
  <c r="J16" i="2"/>
  <c r="H16" i="2"/>
  <c r="F16" i="2"/>
  <c r="D16" i="2"/>
  <c r="C16" i="2"/>
  <c r="K13" i="2"/>
  <c r="J13" i="2"/>
  <c r="I13" i="2"/>
  <c r="G13" i="2"/>
  <c r="E13" i="2"/>
  <c r="D13" i="2"/>
  <c r="C13" i="2"/>
  <c r="K10" i="2"/>
  <c r="J10" i="2"/>
  <c r="H10" i="2"/>
  <c r="F10" i="2"/>
  <c r="D10" i="2"/>
  <c r="C10" i="2"/>
  <c r="I7" i="2"/>
  <c r="G7" i="2"/>
  <c r="E7" i="2"/>
  <c r="H4" i="2"/>
  <c r="F4" i="2"/>
</calcChain>
</file>

<file path=xl/sharedStrings.xml><?xml version="1.0" encoding="utf-8"?>
<sst xmlns="http://schemas.openxmlformats.org/spreadsheetml/2006/main" count="575" uniqueCount="38">
  <si>
    <t>H</t>
  </si>
  <si>
    <t>90°</t>
  </si>
  <si>
    <t>45°</t>
  </si>
  <si>
    <t>30°</t>
  </si>
  <si>
    <t>20°</t>
  </si>
  <si>
    <t>10°</t>
  </si>
  <si>
    <t>0°</t>
  </si>
  <si>
    <t>V</t>
  </si>
  <si>
    <t>8°</t>
  </si>
  <si>
    <t>6°</t>
  </si>
  <si>
    <t>4°</t>
  </si>
  <si>
    <t>-</t>
  </si>
  <si>
    <t>WIDE ANGLE</t>
  </si>
  <si>
    <t>NARROW ANGLE</t>
  </si>
  <si>
    <t>EFFECT</t>
  </si>
  <si>
    <t>Gebruik rekenbladen ter controle van de lichtintensiteit bij gebruik van optische signalering aan de binnenzijde van de ruit</t>
  </si>
  <si>
    <t>Lichtdoorlatendheid ruit = 3%</t>
  </si>
  <si>
    <t>Lichtdoorlatendheid ruit = 12%</t>
  </si>
  <si>
    <t>Lichtdoorlatendheid ruit = 21%</t>
  </si>
  <si>
    <t>Lichtdoorlatendheid ruit = 30%</t>
  </si>
  <si>
    <t>Lichtdoorlatendheid ruit = 43%</t>
  </si>
  <si>
    <t>Lichtdoorlatendheid ruit = 54%</t>
  </si>
  <si>
    <t>Lichtdoorlatendheid ruit = 79%</t>
  </si>
  <si>
    <t>Lichtdoorlatendheid ruit = 85%</t>
  </si>
  <si>
    <t>Stap</t>
  </si>
  <si>
    <t>Omschrijving</t>
  </si>
  <si>
    <t>Tintmeter Inspector II</t>
  </si>
  <si>
    <t>Certificaat Tintmeter Inspector II</t>
  </si>
  <si>
    <t>Meet de lichtdoorlatendheid van de ruit waarachter de betreffende lamp gemonteerd wordt met de tintman. Zie onderstaande foto's voor het juiste gereedschap.</t>
  </si>
  <si>
    <r>
      <t xml:space="preserve">Vul in het tabblad "Officieel ECE R65 testrapport"de vermelde waarden in van de officiële meetresultaten behorend bij de ECE R65 klasse 2 certifcering van de te monteren lamp. Het certificaat bevat soms meerdere meetresultaten. Raadpleeg in dit geval de tabel met de meetresultaten van de "dag stand" in de single flash modus. Elke meting is dubbel uitgevoerd (twee samples). Hanteer de waarden uit het sample waarin de laagste meetwaarden staan genoteerd. De meetwaarden uit de verschillende samples mogen </t>
    </r>
    <r>
      <rPr>
        <b/>
        <sz val="10"/>
        <color theme="1"/>
        <rFont val="Arial"/>
        <family val="2"/>
      </rPr>
      <t>niet</t>
    </r>
    <r>
      <rPr>
        <sz val="10"/>
        <color theme="1"/>
        <rFont val="Arial"/>
        <family val="2"/>
      </rPr>
      <t xml:space="preserve"> gecombineerd worden.</t>
    </r>
  </si>
  <si>
    <t>Zoek afhankelijk van de kleur LED in de betreffende tabbladen het tabblad met de lichtdoorlatendheid die overeenkomt met de in stap 2 gemeten lichtdoorlatendheid van de ruit. Wanneer de lichtdoorlatendheid niet exact overeenkomt met hetgeen in het tabblad vermeld staat, pas dan het tabblad toe waarvan de vermelde lichtdoorlatendheid 1 stap lager is dan de in stap 2 gemeten waarde.</t>
  </si>
  <si>
    <r>
      <t xml:space="preserve">De resultaten staan nu in het gekozen tabblad vermeld. Enkel wanneer </t>
    </r>
    <r>
      <rPr>
        <b/>
        <sz val="10"/>
        <color theme="1"/>
        <rFont val="Arial"/>
        <family val="2"/>
      </rPr>
      <t>alle</t>
    </r>
    <r>
      <rPr>
        <sz val="10"/>
        <color theme="1"/>
        <rFont val="Arial"/>
        <family val="2"/>
      </rPr>
      <t xml:space="preserve"> vlakken met een meetwaarde binnen de bandbreedte vallen en daarmee groen kleuren is de lamp geschikt voor montage achter de betreffende ruit</t>
    </r>
  </si>
  <si>
    <t>Om de lichtintensiteit te verhogen mag het aantal lampen verdubbeld worden. Uitgangspunt hiervoor is dat er maximaal twee lampen bij elkaar gemonteerd worden. De lichtintensiteit mag dan bij elkaar worden opgeteld.</t>
  </si>
  <si>
    <t>Verantwoordelijkheden</t>
  </si>
  <si>
    <t xml:space="preserve">De leverancier/fabrikant van de lamp is verantwoordelijk voor het aanleveren van de meetwaarden uit de officiële ECE R65 klasse 2 certificering van de lamp. </t>
  </si>
  <si>
    <t>Controle van de meetwaarden conform beschrijving mag uitgevoerd worden door: Wagenparkbeheer van de Politie, Politiegarages, Dienst Verwerving van de Politie en Leveranciers.</t>
  </si>
  <si>
    <t>Bij uitbreiding van de ruitsamples zoals beschreven onder 3, is de leverancier verantwoordelijk voor het aanleveren van het betreffende ruitsample</t>
  </si>
  <si>
    <t>Indien uitbreiding van de tabbladen gewenst is van een ruitsample met een ander percentage lichtdoorlatendheid is de Poltie verantwoordelijk voor de aanvraag hiervan. Zie hiervoor de betreffende procesbeschrijving: Aanvraag transmissietabel nieuw ruitsample.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</si>
</sst>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Arial"/>
      <family val="2"/>
    </font>
    <font>
      <b/>
      <sz val="10"/>
      <color theme="1"/>
      <name val="Arial"/>
      <family val="2"/>
    </font>
    <font>
      <u/>
      <sz val="10"/>
      <color theme="1"/>
      <name val="Arial"/>
      <family val="2"/>
    </font>
    <font>
      <i/>
      <sz val="10"/>
      <color theme="1"/>
      <name val="Arial"/>
      <family val="2"/>
    </font>
    <font>
      <b/>
      <sz val="14"/>
      <color theme="1"/>
      <name val="Arial"/>
      <family val="2"/>
    </font>
    <font>
      <b/>
      <sz val="10"/>
      <color theme="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FFC000"/>
        <bgColor indexed="64"/>
      </patternFill>
    </fill>
  </fills>
  <borders count="54">
    <border>
      <left/>
      <right/>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0">
    <xf numFmtId="0" fontId="0" fillId="0" borderId="0" xfId="0"/>
    <xf numFmtId="0" fontId="0" fillId="2" borderId="1" xfId="0" applyFill="1" applyBorder="1" applyAlignment="1">
      <alignment horizontal="center"/>
    </xf>
    <xf numFmtId="0" fontId="0" fillId="2" borderId="0" xfId="0" applyFill="1"/>
    <xf numFmtId="0" fontId="2" fillId="2" borderId="4" xfId="0" applyFont="1" applyFill="1" applyBorder="1" applyAlignment="1">
      <alignment horizontal="center"/>
    </xf>
    <xf numFmtId="0" fontId="0" fillId="2" borderId="7" xfId="0" applyFill="1" applyBorder="1" applyAlignment="1">
      <alignment horizontal="center" vertical="center"/>
    </xf>
    <xf numFmtId="0" fontId="0" fillId="0" borderId="8" xfId="0" applyBorder="1"/>
    <xf numFmtId="0" fontId="0" fillId="3" borderId="8" xfId="0" applyFill="1" applyBorder="1" applyAlignment="1" applyProtection="1">
      <alignment horizontal="center" vertical="center"/>
      <protection locked="0"/>
    </xf>
    <xf numFmtId="0" fontId="0" fillId="0" borderId="9" xfId="0" applyBorder="1"/>
    <xf numFmtId="0" fontId="0" fillId="3" borderId="8" xfId="0" quotePrefix="1" applyFill="1" applyBorder="1" applyAlignment="1">
      <alignment horizontal="center" vertical="center"/>
    </xf>
    <xf numFmtId="0" fontId="0" fillId="3" borderId="10" xfId="0" quotePrefix="1" applyFill="1" applyBorder="1" applyAlignment="1">
      <alignment horizontal="center" vertical="center"/>
    </xf>
    <xf numFmtId="0" fontId="0" fillId="2" borderId="11" xfId="0" applyFill="1" applyBorder="1" applyAlignment="1">
      <alignment horizontal="center" vertical="center"/>
    </xf>
    <xf numFmtId="0" fontId="0" fillId="0" borderId="12" xfId="0" applyBorder="1"/>
    <xf numFmtId="0" fontId="0" fillId="0" borderId="13" xfId="0" applyBorder="1"/>
    <xf numFmtId="0" fontId="0" fillId="2" borderId="4" xfId="0" applyFill="1" applyBorder="1"/>
    <xf numFmtId="0" fontId="0" fillId="2" borderId="8" xfId="0" applyFill="1" applyBorder="1"/>
    <xf numFmtId="0" fontId="3" fillId="3" borderId="8" xfId="0" applyFont="1" applyFill="1" applyBorder="1" applyAlignment="1">
      <alignment horizontal="center" vertical="center"/>
    </xf>
    <xf numFmtId="0" fontId="0" fillId="2" borderId="20" xfId="0" applyFill="1" applyBorder="1"/>
    <xf numFmtId="0" fontId="0" fillId="2" borderId="5" xfId="0" applyFill="1" applyBorder="1"/>
    <xf numFmtId="2" fontId="1" fillId="3" borderId="5" xfId="0" applyNumberFormat="1" applyFont="1" applyFill="1" applyBorder="1" applyAlignment="1">
      <alignment horizontal="center" vertical="center"/>
    </xf>
    <xf numFmtId="0" fontId="0" fillId="2" borderId="14" xfId="0" applyFill="1" applyBorder="1"/>
    <xf numFmtId="0" fontId="0" fillId="2" borderId="22" xfId="0" applyFill="1" applyBorder="1"/>
    <xf numFmtId="0" fontId="3" fillId="3" borderId="22" xfId="0" applyFont="1" applyFill="1" applyBorder="1" applyAlignment="1">
      <alignment horizontal="center" vertical="center"/>
    </xf>
    <xf numFmtId="0" fontId="0" fillId="2" borderId="16" xfId="0" applyFill="1" applyBorder="1"/>
    <xf numFmtId="0" fontId="3" fillId="3" borderId="20" xfId="0" applyFont="1" applyFill="1" applyBorder="1" applyAlignment="1">
      <alignment horizontal="center" vertical="center"/>
    </xf>
    <xf numFmtId="0" fontId="1" fillId="3" borderId="5" xfId="0" quotePrefix="1" applyFont="1" applyFill="1" applyBorder="1" applyAlignment="1">
      <alignment horizontal="center" vertical="center"/>
    </xf>
    <xf numFmtId="0" fontId="1" fillId="3" borderId="14" xfId="0" quotePrefix="1" applyFont="1" applyFill="1" applyBorder="1" applyAlignment="1">
      <alignment horizontal="center" vertical="center"/>
    </xf>
    <xf numFmtId="0" fontId="3" fillId="2" borderId="22" xfId="0" applyFont="1" applyFill="1" applyBorder="1"/>
    <xf numFmtId="0" fontId="3" fillId="3" borderId="16"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8" xfId="0" applyFont="1" applyFill="1" applyBorder="1" applyAlignment="1">
      <alignment horizontal="center" vertical="center"/>
    </xf>
    <xf numFmtId="0" fontId="0" fillId="2" borderId="24" xfId="0" applyFill="1" applyBorder="1"/>
    <xf numFmtId="0" fontId="3" fillId="3" borderId="5" xfId="0" applyFont="1" applyFill="1" applyBorder="1" applyAlignment="1">
      <alignment horizontal="center" vertical="center"/>
    </xf>
    <xf numFmtId="0" fontId="0" fillId="2" borderId="8" xfId="0" applyFill="1" applyBorder="1" applyAlignment="1" applyProtection="1">
      <alignment horizontal="center" vertical="center"/>
      <protection locked="0"/>
    </xf>
    <xf numFmtId="0" fontId="1" fillId="0" borderId="0" xfId="0" applyFont="1"/>
    <xf numFmtId="9" fontId="0" fillId="0" borderId="0" xfId="0" applyNumberFormat="1" applyAlignment="1">
      <alignment horizontal="center"/>
    </xf>
    <xf numFmtId="0" fontId="0" fillId="3" borderId="12" xfId="0" applyFill="1" applyBorder="1" applyAlignment="1" applyProtection="1">
      <alignment horizontal="center" vertical="center"/>
      <protection locked="0"/>
    </xf>
    <xf numFmtId="0" fontId="5" fillId="4" borderId="20" xfId="0" applyFont="1" applyFill="1" applyBorder="1" applyAlignment="1">
      <alignment horizontal="center"/>
    </xf>
    <xf numFmtId="0" fontId="0" fillId="5" borderId="32" xfId="0" applyFill="1" applyBorder="1" applyAlignment="1">
      <alignment horizontal="center" vertical="center"/>
    </xf>
    <xf numFmtId="0" fontId="0" fillId="5" borderId="34" xfId="0" applyFill="1" applyBorder="1" applyAlignment="1">
      <alignment horizontal="center" vertical="center"/>
    </xf>
    <xf numFmtId="0" fontId="0" fillId="0" borderId="0" xfId="0" applyAlignment="1">
      <alignment wrapText="1"/>
    </xf>
    <xf numFmtId="0" fontId="0" fillId="0" borderId="32" xfId="0" applyBorder="1" applyAlignment="1">
      <alignment horizontal="center" vertical="center"/>
    </xf>
    <xf numFmtId="0" fontId="5" fillId="0" borderId="0" xfId="0" applyFont="1"/>
    <xf numFmtId="0" fontId="0" fillId="0" borderId="0" xfId="0" applyAlignment="1">
      <alignment vertical="top"/>
    </xf>
    <xf numFmtId="0" fontId="0" fillId="0" borderId="0" xfId="0" applyAlignment="1">
      <alignment vertical="top" wrapText="1"/>
    </xf>
    <xf numFmtId="0" fontId="0" fillId="5" borderId="0" xfId="0" applyFill="1" applyAlignment="1">
      <alignment horizontal="left" vertical="top" wrapText="1"/>
    </xf>
    <xf numFmtId="0" fontId="3" fillId="5" borderId="0" xfId="0" applyFont="1" applyFill="1"/>
    <xf numFmtId="0" fontId="0" fillId="5" borderId="15" xfId="0" applyFill="1" applyBorder="1" applyAlignment="1">
      <alignment horizontal="left" vertical="top" wrapText="1"/>
    </xf>
    <xf numFmtId="0" fontId="0" fillId="0" borderId="34" xfId="0" applyBorder="1" applyAlignment="1">
      <alignment horizontal="center" vertical="center"/>
    </xf>
    <xf numFmtId="0" fontId="0" fillId="5" borderId="47" xfId="0" applyFill="1" applyBorder="1" applyAlignment="1">
      <alignment horizontal="center" vertical="center"/>
    </xf>
    <xf numFmtId="0" fontId="0" fillId="5" borderId="50" xfId="0" applyFill="1" applyBorder="1" applyAlignment="1">
      <alignment horizontal="center" vertical="center"/>
    </xf>
    <xf numFmtId="0" fontId="0" fillId="0" borderId="35" xfId="0" applyBorder="1"/>
    <xf numFmtId="0" fontId="0" fillId="0" borderId="36" xfId="0" applyBorder="1"/>
    <xf numFmtId="0" fontId="3" fillId="0" borderId="0" xfId="0" applyFont="1" applyAlignment="1">
      <alignment horizontal="center"/>
    </xf>
    <xf numFmtId="0" fontId="0" fillId="5" borderId="37" xfId="0" applyFill="1" applyBorder="1" applyAlignment="1">
      <alignment horizontal="left" wrapText="1"/>
    </xf>
    <xf numFmtId="0" fontId="0" fillId="5" borderId="38" xfId="0" applyFill="1" applyBorder="1" applyAlignment="1">
      <alignment horizontal="left" wrapText="1"/>
    </xf>
    <xf numFmtId="0" fontId="0" fillId="5" borderId="43" xfId="0" applyFill="1" applyBorder="1" applyAlignment="1">
      <alignment horizontal="left" wrapText="1"/>
    </xf>
    <xf numFmtId="0" fontId="0" fillId="5" borderId="45" xfId="0" applyFill="1" applyBorder="1" applyAlignment="1">
      <alignment horizontal="left" vertical="top" wrapText="1"/>
    </xf>
    <xf numFmtId="0" fontId="0" fillId="5" borderId="46" xfId="0" applyFill="1" applyBorder="1" applyAlignment="1">
      <alignment horizontal="left" vertical="top" wrapText="1"/>
    </xf>
    <xf numFmtId="0" fontId="0" fillId="5" borderId="31" xfId="0" applyFill="1" applyBorder="1" applyAlignment="1">
      <alignment horizontal="left" vertical="top" wrapText="1"/>
    </xf>
    <xf numFmtId="0" fontId="0" fillId="5" borderId="33" xfId="0" applyFill="1" applyBorder="1" applyAlignment="1">
      <alignment horizontal="left" vertical="top" wrapText="1"/>
    </xf>
    <xf numFmtId="0" fontId="0" fillId="0" borderId="37" xfId="0" applyBorder="1" applyAlignment="1">
      <alignment horizontal="left" wrapText="1"/>
    </xf>
    <xf numFmtId="0" fontId="0" fillId="0" borderId="38" xfId="0" applyBorder="1" applyAlignment="1">
      <alignment horizontal="left" wrapText="1"/>
    </xf>
    <xf numFmtId="0" fontId="0" fillId="0" borderId="43" xfId="0" applyBorder="1" applyAlignment="1">
      <alignment horizontal="left" wrapText="1"/>
    </xf>
    <xf numFmtId="0" fontId="0" fillId="0" borderId="39" xfId="0" applyBorder="1" applyAlignment="1">
      <alignment horizontal="left" wrapText="1"/>
    </xf>
    <xf numFmtId="0" fontId="0" fillId="0" borderId="40" xfId="0" applyBorder="1" applyAlignment="1">
      <alignment horizontal="left" wrapText="1"/>
    </xf>
    <xf numFmtId="0" fontId="0" fillId="0" borderId="44" xfId="0" applyBorder="1" applyAlignment="1">
      <alignment horizontal="left" wrapText="1"/>
    </xf>
    <xf numFmtId="0" fontId="0" fillId="5" borderId="31" xfId="0" applyFill="1" applyBorder="1" applyAlignment="1">
      <alignment horizontal="left" wrapText="1"/>
    </xf>
    <xf numFmtId="0" fontId="0" fillId="5" borderId="33" xfId="0" applyFill="1" applyBorder="1" applyAlignment="1">
      <alignment horizontal="left" wrapText="1"/>
    </xf>
    <xf numFmtId="0" fontId="4" fillId="6" borderId="51" xfId="0" applyFont="1" applyFill="1" applyBorder="1" applyAlignment="1">
      <alignment horizontal="left" wrapText="1"/>
    </xf>
    <xf numFmtId="0" fontId="4" fillId="6" borderId="52" xfId="0" applyFont="1" applyFill="1" applyBorder="1" applyAlignment="1">
      <alignment horizontal="left" wrapText="1"/>
    </xf>
    <xf numFmtId="0" fontId="4" fillId="6" borderId="53" xfId="0" applyFont="1" applyFill="1" applyBorder="1" applyAlignment="1">
      <alignment horizontal="left" wrapText="1"/>
    </xf>
    <xf numFmtId="0" fontId="0" fillId="5" borderId="32" xfId="0" applyFill="1" applyBorder="1" applyAlignment="1">
      <alignment horizontal="center" vertical="center"/>
    </xf>
    <xf numFmtId="0" fontId="0" fillId="5" borderId="48" xfId="0" applyFill="1" applyBorder="1" applyAlignment="1">
      <alignment horizontal="left"/>
    </xf>
    <xf numFmtId="0" fontId="0" fillId="5" borderId="49" xfId="0" applyFill="1" applyBorder="1" applyAlignment="1">
      <alignment horizontal="left"/>
    </xf>
    <xf numFmtId="0" fontId="4" fillId="6" borderId="51" xfId="0" applyFont="1" applyFill="1" applyBorder="1" applyAlignment="1">
      <alignment horizontal="left"/>
    </xf>
    <xf numFmtId="0" fontId="4" fillId="6" borderId="52" xfId="0" applyFont="1" applyFill="1" applyBorder="1" applyAlignment="1">
      <alignment horizontal="left"/>
    </xf>
    <xf numFmtId="0" fontId="4" fillId="6" borderId="53" xfId="0" applyFont="1" applyFill="1" applyBorder="1" applyAlignment="1">
      <alignment horizontal="left"/>
    </xf>
    <xf numFmtId="0" fontId="5" fillId="4" borderId="41" xfId="0" applyFont="1" applyFill="1" applyBorder="1" applyAlignment="1">
      <alignment horizontal="center"/>
    </xf>
    <xf numFmtId="0" fontId="5" fillId="4" borderId="42" xfId="0" applyFont="1"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0" fillId="2" borderId="18" xfId="0" applyFill="1" applyBorder="1" applyAlignment="1">
      <alignment horizontal="center"/>
    </xf>
    <xf numFmtId="0" fontId="0" fillId="2" borderId="14" xfId="0" applyFill="1" applyBorder="1" applyAlignment="1">
      <alignment horizontal="center"/>
    </xf>
    <xf numFmtId="0" fontId="0" fillId="2" borderId="0" xfId="0" applyFill="1" applyAlignment="1">
      <alignment horizont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2" borderId="15" xfId="0" applyFill="1" applyBorder="1" applyAlignment="1">
      <alignment horizont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21" xfId="0" applyBorder="1" applyAlignment="1">
      <alignment horizontal="center" vertical="center"/>
    </xf>
  </cellXfs>
  <cellStyles count="1">
    <cellStyle name="Standaard" xfId="0" builtinId="0"/>
  </cellStyles>
  <dxfs count="1488">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4</xdr:row>
      <xdr:rowOff>371476</xdr:rowOff>
    </xdr:from>
    <xdr:to>
      <xdr:col>4</xdr:col>
      <xdr:colOff>161926</xdr:colOff>
      <xdr:row>4</xdr:row>
      <xdr:rowOff>2852278</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951" t="4480" r="12597" b="194"/>
        <a:stretch/>
      </xdr:blipFill>
      <xdr:spPr>
        <a:xfrm>
          <a:off x="657226" y="1866901"/>
          <a:ext cx="3771900" cy="2480802"/>
        </a:xfrm>
        <a:prstGeom prst="rect">
          <a:avLst/>
        </a:prstGeom>
      </xdr:spPr>
    </xdr:pic>
    <xdr:clientData/>
  </xdr:twoCellAnchor>
  <xdr:twoCellAnchor editAs="oneCell">
    <xdr:from>
      <xdr:col>5</xdr:col>
      <xdr:colOff>19051</xdr:colOff>
      <xdr:row>4</xdr:row>
      <xdr:rowOff>361950</xdr:rowOff>
    </xdr:from>
    <xdr:to>
      <xdr:col>11</xdr:col>
      <xdr:colOff>738429</xdr:colOff>
      <xdr:row>4</xdr:row>
      <xdr:rowOff>2828925</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115" t="6673" r="10393"/>
        <a:stretch/>
      </xdr:blipFill>
      <xdr:spPr>
        <a:xfrm>
          <a:off x="4638676" y="1857375"/>
          <a:ext cx="4376978" cy="24669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41"/>
  <sheetViews>
    <sheetView zoomScaleNormal="100" workbookViewId="0">
      <selection sqref="A1:L1"/>
    </sheetView>
  </sheetViews>
  <sheetFormatPr defaultRowHeight="12.75" x14ac:dyDescent="0.2"/>
  <cols>
    <col min="2" max="2" width="36.5703125" bestFit="1" customWidth="1"/>
    <col min="5" max="5" width="5.28515625" customWidth="1"/>
    <col min="12" max="12" width="13.42578125" customWidth="1"/>
  </cols>
  <sheetData>
    <row r="1" spans="1:16" ht="36.75" customHeight="1" thickBot="1" x14ac:dyDescent="0.3">
      <c r="A1" s="68" t="s">
        <v>15</v>
      </c>
      <c r="B1" s="69"/>
      <c r="C1" s="69"/>
      <c r="D1" s="69"/>
      <c r="E1" s="69"/>
      <c r="F1" s="69"/>
      <c r="G1" s="69"/>
      <c r="H1" s="69"/>
      <c r="I1" s="69"/>
      <c r="J1" s="69"/>
      <c r="K1" s="69"/>
      <c r="L1" s="70"/>
      <c r="M1" s="39"/>
      <c r="N1" s="39"/>
      <c r="O1" s="39"/>
    </row>
    <row r="2" spans="1:16" ht="13.5" thickBot="1" x14ac:dyDescent="0.25"/>
    <row r="3" spans="1:16" x14ac:dyDescent="0.2">
      <c r="A3" s="36" t="s">
        <v>24</v>
      </c>
      <c r="B3" s="77" t="s">
        <v>25</v>
      </c>
      <c r="C3" s="77"/>
      <c r="D3" s="77"/>
      <c r="E3" s="77"/>
      <c r="F3" s="77"/>
      <c r="G3" s="77"/>
      <c r="H3" s="77"/>
      <c r="I3" s="77"/>
      <c r="J3" s="77"/>
      <c r="K3" s="77"/>
      <c r="L3" s="78"/>
      <c r="M3" s="41"/>
      <c r="N3" s="41"/>
      <c r="O3" s="41"/>
      <c r="P3" s="41"/>
    </row>
    <row r="4" spans="1:16" ht="54.75" customHeight="1" x14ac:dyDescent="0.2">
      <c r="A4" s="37">
        <v>1</v>
      </c>
      <c r="B4" s="53" t="s">
        <v>29</v>
      </c>
      <c r="C4" s="54"/>
      <c r="D4" s="54"/>
      <c r="E4" s="54"/>
      <c r="F4" s="54"/>
      <c r="G4" s="54"/>
      <c r="H4" s="54"/>
      <c r="I4" s="54"/>
      <c r="J4" s="54"/>
      <c r="K4" s="54"/>
      <c r="L4" s="55"/>
      <c r="M4" s="39"/>
      <c r="N4" s="39"/>
      <c r="O4" s="39"/>
      <c r="P4" s="39"/>
    </row>
    <row r="5" spans="1:16" ht="226.5" customHeight="1" x14ac:dyDescent="0.2">
      <c r="A5" s="71">
        <v>2</v>
      </c>
      <c r="B5" s="56" t="s">
        <v>28</v>
      </c>
      <c r="C5" s="56"/>
      <c r="D5" s="56"/>
      <c r="E5" s="56"/>
      <c r="F5" s="56"/>
      <c r="G5" s="56"/>
      <c r="H5" s="56"/>
      <c r="I5" s="56"/>
      <c r="J5" s="56"/>
      <c r="K5" s="56"/>
      <c r="L5" s="57"/>
      <c r="M5" s="42"/>
      <c r="N5" s="42"/>
      <c r="O5" s="42"/>
      <c r="P5" s="42"/>
    </row>
    <row r="6" spans="1:16" ht="11.25" customHeight="1" x14ac:dyDescent="0.2">
      <c r="A6" s="71"/>
      <c r="B6" s="45" t="s">
        <v>26</v>
      </c>
      <c r="C6" s="44"/>
      <c r="D6" s="44"/>
      <c r="E6" s="44"/>
      <c r="F6" s="52" t="s">
        <v>27</v>
      </c>
      <c r="G6" s="52"/>
      <c r="H6" s="52"/>
      <c r="I6" s="44"/>
      <c r="J6" s="44"/>
      <c r="K6" s="44"/>
      <c r="L6" s="46"/>
      <c r="M6" s="42"/>
      <c r="N6" s="42"/>
      <c r="O6" s="42"/>
      <c r="P6" s="42"/>
    </row>
    <row r="7" spans="1:16" ht="41.25" customHeight="1" x14ac:dyDescent="0.2">
      <c r="A7" s="37">
        <v>3</v>
      </c>
      <c r="B7" s="58" t="s">
        <v>30</v>
      </c>
      <c r="C7" s="58"/>
      <c r="D7" s="58"/>
      <c r="E7" s="58"/>
      <c r="F7" s="58"/>
      <c r="G7" s="58"/>
      <c r="H7" s="58"/>
      <c r="I7" s="58"/>
      <c r="J7" s="58"/>
      <c r="K7" s="58"/>
      <c r="L7" s="59"/>
      <c r="M7" s="43"/>
      <c r="N7" s="43"/>
      <c r="O7" s="43"/>
      <c r="P7" s="43"/>
    </row>
    <row r="8" spans="1:16" ht="27.75" customHeight="1" x14ac:dyDescent="0.2">
      <c r="A8" s="40">
        <v>4</v>
      </c>
      <c r="B8" s="60" t="s">
        <v>31</v>
      </c>
      <c r="C8" s="61"/>
      <c r="D8" s="61"/>
      <c r="E8" s="61"/>
      <c r="F8" s="61"/>
      <c r="G8" s="61"/>
      <c r="H8" s="61"/>
      <c r="I8" s="61"/>
      <c r="J8" s="61"/>
      <c r="K8" s="61"/>
      <c r="L8" s="62"/>
      <c r="M8" s="39"/>
      <c r="N8" s="39"/>
      <c r="O8" s="39"/>
      <c r="P8" s="39"/>
    </row>
    <row r="9" spans="1:16" ht="27.75" customHeight="1" thickBot="1" x14ac:dyDescent="0.25">
      <c r="A9" s="47">
        <v>5</v>
      </c>
      <c r="B9" s="63" t="s">
        <v>32</v>
      </c>
      <c r="C9" s="64"/>
      <c r="D9" s="64"/>
      <c r="E9" s="64"/>
      <c r="F9" s="64"/>
      <c r="G9" s="64"/>
      <c r="H9" s="64"/>
      <c r="I9" s="64"/>
      <c r="J9" s="64"/>
      <c r="K9" s="64"/>
      <c r="L9" s="65"/>
      <c r="M9" s="39"/>
      <c r="N9" s="39"/>
      <c r="O9" s="39"/>
      <c r="P9" s="39"/>
    </row>
    <row r="12" spans="1:16" ht="13.5" thickBot="1" x14ac:dyDescent="0.25"/>
    <row r="13" spans="1:16" ht="18.75" thickBot="1" x14ac:dyDescent="0.3">
      <c r="A13" s="74" t="s">
        <v>33</v>
      </c>
      <c r="B13" s="75"/>
      <c r="C13" s="75"/>
      <c r="D13" s="75"/>
      <c r="E13" s="75"/>
      <c r="F13" s="75"/>
      <c r="G13" s="75"/>
      <c r="H13" s="75"/>
      <c r="I13" s="75"/>
      <c r="J13" s="75"/>
      <c r="K13" s="75"/>
      <c r="L13" s="76"/>
    </row>
    <row r="14" spans="1:16" ht="13.5" thickBot="1" x14ac:dyDescent="0.25"/>
    <row r="15" spans="1:16" x14ac:dyDescent="0.2">
      <c r="A15" s="48">
        <v>1</v>
      </c>
      <c r="B15" s="72" t="s">
        <v>34</v>
      </c>
      <c r="C15" s="72"/>
      <c r="D15" s="72"/>
      <c r="E15" s="72"/>
      <c r="F15" s="72"/>
      <c r="G15" s="72"/>
      <c r="H15" s="72"/>
      <c r="I15" s="72"/>
      <c r="J15" s="72"/>
      <c r="K15" s="72"/>
      <c r="L15" s="73"/>
    </row>
    <row r="16" spans="1:16" ht="27.75" customHeight="1" x14ac:dyDescent="0.2">
      <c r="A16" s="49">
        <v>2</v>
      </c>
      <c r="B16" s="53" t="s">
        <v>35</v>
      </c>
      <c r="C16" s="54"/>
      <c r="D16" s="54"/>
      <c r="E16" s="54"/>
      <c r="F16" s="54"/>
      <c r="G16" s="54"/>
      <c r="H16" s="54"/>
      <c r="I16" s="54"/>
      <c r="J16" s="54"/>
      <c r="K16" s="54"/>
      <c r="L16" s="55"/>
    </row>
    <row r="17" spans="1:13" ht="26.25" customHeight="1" x14ac:dyDescent="0.2">
      <c r="A17" s="37">
        <v>3</v>
      </c>
      <c r="B17" s="66" t="s">
        <v>37</v>
      </c>
      <c r="C17" s="66"/>
      <c r="D17" s="66"/>
      <c r="E17" s="66"/>
      <c r="F17" s="66"/>
      <c r="G17" s="66"/>
      <c r="H17" s="66"/>
      <c r="I17" s="66"/>
      <c r="J17" s="66"/>
      <c r="K17" s="66"/>
      <c r="L17" s="67"/>
      <c r="M17" s="39"/>
    </row>
    <row r="18" spans="1:13" ht="13.5" thickBot="1" x14ac:dyDescent="0.25">
      <c r="A18" s="38">
        <v>4</v>
      </c>
      <c r="B18" s="50" t="s">
        <v>36</v>
      </c>
      <c r="C18" s="50"/>
      <c r="D18" s="50"/>
      <c r="E18" s="50"/>
      <c r="F18" s="50"/>
      <c r="G18" s="50"/>
      <c r="H18" s="50"/>
      <c r="I18" s="50"/>
      <c r="J18" s="50"/>
      <c r="K18" s="50"/>
      <c r="L18" s="51"/>
    </row>
    <row r="29" spans="1:13" x14ac:dyDescent="0.2">
      <c r="G29" s="52"/>
      <c r="H29" s="52"/>
      <c r="I29" s="52"/>
    </row>
    <row r="33" spans="2:5" x14ac:dyDescent="0.2">
      <c r="B33" s="33"/>
      <c r="C33" s="33"/>
      <c r="D33" s="33"/>
      <c r="E33" s="33"/>
    </row>
    <row r="34" spans="2:5" x14ac:dyDescent="0.2">
      <c r="B34" s="34"/>
    </row>
    <row r="35" spans="2:5" x14ac:dyDescent="0.2">
      <c r="B35" s="34"/>
    </row>
    <row r="36" spans="2:5" x14ac:dyDescent="0.2">
      <c r="B36" s="34"/>
    </row>
    <row r="37" spans="2:5" x14ac:dyDescent="0.2">
      <c r="B37" s="34"/>
    </row>
    <row r="38" spans="2:5" x14ac:dyDescent="0.2">
      <c r="B38" s="34"/>
    </row>
    <row r="39" spans="2:5" x14ac:dyDescent="0.2">
      <c r="B39" s="34"/>
    </row>
    <row r="40" spans="2:5" x14ac:dyDescent="0.2">
      <c r="B40" s="34"/>
    </row>
    <row r="41" spans="2:5" x14ac:dyDescent="0.2">
      <c r="B41" s="34"/>
    </row>
  </sheetData>
  <sheetProtection algorithmName="SHA-512" hashValue="lMTkDV4DgDEkCsEjMyZVWGl/+JJerF1xc3vCQIv+W+5EaMScHDUJoV5wweSsMPJ2h88Y+fE21Wq2QGBiCn9WIQ==" saltValue="7uGqW9QAWCO4eSyDuGc9Hg==" spinCount="100000" sheet="1" objects="1" scenarios="1" selectLockedCells="1" selectUnlockedCells="1"/>
  <mergeCells count="14">
    <mergeCell ref="A1:L1"/>
    <mergeCell ref="A5:A6"/>
    <mergeCell ref="F6:H6"/>
    <mergeCell ref="B15:L15"/>
    <mergeCell ref="A13:L13"/>
    <mergeCell ref="B3:L3"/>
    <mergeCell ref="G29:I29"/>
    <mergeCell ref="B4:L4"/>
    <mergeCell ref="B5:L5"/>
    <mergeCell ref="B7:L7"/>
    <mergeCell ref="B8:L8"/>
    <mergeCell ref="B9:L9"/>
    <mergeCell ref="B17:L17"/>
    <mergeCell ref="B16:L16"/>
  </mergeCells>
  <pageMargins left="0.25" right="0.25" top="0.75" bottom="0.75" header="0.3" footer="0.3"/>
  <pageSetup paperSize="9"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BB62"/>
  <sheetViews>
    <sheetView workbookViewId="0">
      <selection activeCell="A28" sqref="A28:E29"/>
    </sheetView>
  </sheetViews>
  <sheetFormatPr defaultRowHeight="12.75" x14ac:dyDescent="0.2"/>
  <cols>
    <col min="7" max="7" width="9.140625" customWidth="1"/>
  </cols>
  <sheetData>
    <row r="1" spans="1:54" x14ac:dyDescent="0.2">
      <c r="A1" s="1" t="s">
        <v>0</v>
      </c>
      <c r="B1" s="84" t="s">
        <v>1</v>
      </c>
      <c r="C1" s="84" t="s">
        <v>2</v>
      </c>
      <c r="D1" s="84" t="s">
        <v>3</v>
      </c>
      <c r="E1" s="84" t="s">
        <v>4</v>
      </c>
      <c r="F1" s="84" t="s">
        <v>5</v>
      </c>
      <c r="G1" s="84" t="s">
        <v>6</v>
      </c>
      <c r="H1" s="84" t="s">
        <v>5</v>
      </c>
      <c r="I1" s="84" t="s">
        <v>4</v>
      </c>
      <c r="J1" s="84" t="s">
        <v>3</v>
      </c>
      <c r="K1" s="84" t="s">
        <v>2</v>
      </c>
      <c r="L1" s="95" t="s">
        <v>1</v>
      </c>
      <c r="M1" s="13"/>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13.5" thickBot="1" x14ac:dyDescent="0.25">
      <c r="A2" s="3" t="s">
        <v>7</v>
      </c>
      <c r="B2" s="85"/>
      <c r="C2" s="85"/>
      <c r="D2" s="85"/>
      <c r="E2" s="85"/>
      <c r="F2" s="85"/>
      <c r="G2" s="85"/>
      <c r="H2" s="85"/>
      <c r="I2" s="85"/>
      <c r="J2" s="85"/>
      <c r="K2" s="85"/>
      <c r="L2" s="96"/>
      <c r="M2" s="13"/>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x14ac:dyDescent="0.2">
      <c r="A3" s="97" t="s">
        <v>8</v>
      </c>
      <c r="B3" s="14"/>
      <c r="C3" s="14"/>
      <c r="D3" s="14"/>
      <c r="E3" s="14"/>
      <c r="F3" s="15">
        <v>100</v>
      </c>
      <c r="G3" s="14"/>
      <c r="H3" s="15">
        <v>100</v>
      </c>
      <c r="I3" s="14"/>
      <c r="J3" s="14"/>
      <c r="K3" s="14"/>
      <c r="L3" s="16"/>
      <c r="M3" s="1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x14ac:dyDescent="0.2">
      <c r="A4" s="98"/>
      <c r="B4" s="17"/>
      <c r="C4" s="17"/>
      <c r="D4" s="17"/>
      <c r="E4" s="17"/>
      <c r="F4" s="18">
        <f>('Officieel ECE R65 testrapport'!F3/100)*29.55</f>
        <v>0</v>
      </c>
      <c r="G4" s="17"/>
      <c r="H4" s="18">
        <f>('Officieel ECE R65 testrapport'!H3/100)*29.55</f>
        <v>0</v>
      </c>
      <c r="I4" s="17"/>
      <c r="J4" s="17"/>
      <c r="K4" s="17"/>
      <c r="L4" s="19"/>
      <c r="M4" s="1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3.5" thickBot="1" x14ac:dyDescent="0.25">
      <c r="A5" s="99"/>
      <c r="B5" s="20"/>
      <c r="C5" s="20"/>
      <c r="D5" s="20"/>
      <c r="E5" s="20"/>
      <c r="F5" s="21">
        <v>1500</v>
      </c>
      <c r="G5" s="20"/>
      <c r="H5" s="21">
        <v>1500</v>
      </c>
      <c r="I5" s="20"/>
      <c r="J5" s="20"/>
      <c r="K5" s="20"/>
      <c r="L5" s="22"/>
      <c r="M5" s="13"/>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x14ac:dyDescent="0.2">
      <c r="A6" s="97" t="s">
        <v>9</v>
      </c>
      <c r="B6" s="14"/>
      <c r="C6" s="14"/>
      <c r="D6" s="14"/>
      <c r="E6" s="15">
        <v>100</v>
      </c>
      <c r="F6" s="14"/>
      <c r="G6" s="15">
        <v>150</v>
      </c>
      <c r="H6" s="14"/>
      <c r="I6" s="15">
        <v>100</v>
      </c>
      <c r="J6" s="14"/>
      <c r="K6" s="14"/>
      <c r="L6" s="16"/>
      <c r="M6" s="1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x14ac:dyDescent="0.2">
      <c r="A7" s="98"/>
      <c r="B7" s="17"/>
      <c r="C7" s="17"/>
      <c r="D7" s="17"/>
      <c r="E7" s="18">
        <f>('Officieel ECE R65 testrapport'!E4/100)*29.17</f>
        <v>0</v>
      </c>
      <c r="F7" s="17"/>
      <c r="G7" s="18">
        <f>('Officieel ECE R65 testrapport'!G4/100)*29.86</f>
        <v>0</v>
      </c>
      <c r="H7" s="17"/>
      <c r="I7" s="18">
        <f>('Officieel ECE R65 testrapport'!I4/100)*29.17</f>
        <v>0</v>
      </c>
      <c r="J7" s="17"/>
      <c r="K7" s="17"/>
      <c r="L7" s="19"/>
      <c r="M7" s="13"/>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3.5" thickBot="1" x14ac:dyDescent="0.25">
      <c r="A8" s="99"/>
      <c r="B8" s="20"/>
      <c r="C8" s="20"/>
      <c r="D8" s="20"/>
      <c r="E8" s="21">
        <v>1500</v>
      </c>
      <c r="F8" s="20"/>
      <c r="G8" s="21">
        <v>1500</v>
      </c>
      <c r="H8" s="20"/>
      <c r="I8" s="21">
        <v>1500</v>
      </c>
      <c r="J8" s="20"/>
      <c r="K8" s="20"/>
      <c r="L8" s="22"/>
      <c r="M8" s="13"/>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x14ac:dyDescent="0.2">
      <c r="A9" s="97" t="s">
        <v>10</v>
      </c>
      <c r="B9" s="15">
        <v>40</v>
      </c>
      <c r="C9" s="15">
        <v>40</v>
      </c>
      <c r="D9" s="15">
        <v>40</v>
      </c>
      <c r="E9" s="14"/>
      <c r="F9" s="15">
        <v>200</v>
      </c>
      <c r="G9" s="14"/>
      <c r="H9" s="15">
        <v>200</v>
      </c>
      <c r="I9" s="14"/>
      <c r="J9" s="15">
        <v>40</v>
      </c>
      <c r="K9" s="15">
        <v>40</v>
      </c>
      <c r="L9" s="23">
        <v>40</v>
      </c>
      <c r="M9" s="13"/>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x14ac:dyDescent="0.2">
      <c r="A10" s="98"/>
      <c r="B10" s="24" t="s">
        <v>11</v>
      </c>
      <c r="C10" s="18">
        <f>('Officieel ECE R65 testrapport'!C5/100)*26.32</f>
        <v>0</v>
      </c>
      <c r="D10" s="18">
        <f>('Officieel ECE R65 testrapport'!D5/100)*28.51</f>
        <v>0</v>
      </c>
      <c r="E10" s="17"/>
      <c r="F10" s="18">
        <f>('Officieel ECE R65 testrapport'!F5/100)*29.64</f>
        <v>0</v>
      </c>
      <c r="G10" s="17"/>
      <c r="H10" s="18">
        <f>('Officieel ECE R65 testrapport'!H5/100)*29.64</f>
        <v>0</v>
      </c>
      <c r="I10" s="17"/>
      <c r="J10" s="18">
        <f>('Officieel ECE R65 testrapport'!J5/100)*28.51</f>
        <v>0</v>
      </c>
      <c r="K10" s="18">
        <f>('Officieel ECE R65 testrapport'!K5/100)*26.32</f>
        <v>0</v>
      </c>
      <c r="L10" s="25" t="s">
        <v>11</v>
      </c>
      <c r="M10" s="13"/>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ht="13.5" thickBot="1" x14ac:dyDescent="0.25">
      <c r="A11" s="99"/>
      <c r="B11" s="21">
        <v>1000</v>
      </c>
      <c r="C11" s="21">
        <v>1000</v>
      </c>
      <c r="D11" s="21">
        <v>1000</v>
      </c>
      <c r="E11" s="26"/>
      <c r="F11" s="21">
        <v>3000</v>
      </c>
      <c r="G11" s="26"/>
      <c r="H11" s="21">
        <v>3000</v>
      </c>
      <c r="I11" s="26"/>
      <c r="J11" s="21">
        <v>1000</v>
      </c>
      <c r="K11" s="21">
        <v>1000</v>
      </c>
      <c r="L11" s="27">
        <v>1000</v>
      </c>
      <c r="M11" s="13"/>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x14ac:dyDescent="0.2">
      <c r="A12" s="97" t="s">
        <v>6</v>
      </c>
      <c r="B12" s="15">
        <v>100</v>
      </c>
      <c r="C12" s="15">
        <v>100</v>
      </c>
      <c r="D12" s="15">
        <v>100</v>
      </c>
      <c r="E12" s="28">
        <v>150</v>
      </c>
      <c r="F12" s="14"/>
      <c r="G12" s="15">
        <v>200</v>
      </c>
      <c r="H12" s="14"/>
      <c r="I12" s="23">
        <v>150</v>
      </c>
      <c r="J12" s="15">
        <v>100</v>
      </c>
      <c r="K12" s="15">
        <v>100</v>
      </c>
      <c r="L12" s="23">
        <v>100</v>
      </c>
      <c r="M12" s="13"/>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x14ac:dyDescent="0.2">
      <c r="A13" s="98"/>
      <c r="B13" s="24" t="s">
        <v>11</v>
      </c>
      <c r="C13" s="18">
        <f>('Officieel ECE R65 testrapport'!C6/100)*26.35</f>
        <v>0</v>
      </c>
      <c r="D13" s="18">
        <f>('Officieel ECE R65 testrapport'!D6/100)*28.53</f>
        <v>0</v>
      </c>
      <c r="E13" s="18">
        <f>('Officieel ECE R65 testrapport'!E6/100)*29.21</f>
        <v>0</v>
      </c>
      <c r="F13" s="17"/>
      <c r="G13" s="18">
        <f>('Officieel ECE R65 testrapport'!G6/100)*30.23</f>
        <v>0</v>
      </c>
      <c r="H13" s="17"/>
      <c r="I13" s="18">
        <f>('Officieel ECE R65 testrapport'!I6/100)*29.21</f>
        <v>0</v>
      </c>
      <c r="J13" s="18">
        <f>('Officieel ECE R65 testrapport'!J6/100)*28.53</f>
        <v>0</v>
      </c>
      <c r="K13" s="18">
        <f>('Officieel ECE R65 testrapport'!K6/100)*26.35</f>
        <v>0</v>
      </c>
      <c r="L13" s="25" t="s">
        <v>11</v>
      </c>
      <c r="M13" s="13"/>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ht="13.5" thickBot="1" x14ac:dyDescent="0.25">
      <c r="A14" s="99"/>
      <c r="B14" s="21">
        <v>1000</v>
      </c>
      <c r="C14" s="21">
        <v>1000</v>
      </c>
      <c r="D14" s="21">
        <v>1000</v>
      </c>
      <c r="E14" s="29">
        <v>1500</v>
      </c>
      <c r="F14" s="20"/>
      <c r="G14" s="21">
        <v>3000</v>
      </c>
      <c r="H14" s="20"/>
      <c r="I14" s="27">
        <v>1500</v>
      </c>
      <c r="J14" s="21">
        <v>1000</v>
      </c>
      <c r="K14" s="21">
        <v>1000</v>
      </c>
      <c r="L14" s="27">
        <v>1000</v>
      </c>
      <c r="M14" s="13"/>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x14ac:dyDescent="0.2">
      <c r="A15" s="97" t="s">
        <v>10</v>
      </c>
      <c r="B15" s="15">
        <v>40</v>
      </c>
      <c r="C15" s="15">
        <v>40</v>
      </c>
      <c r="D15" s="15">
        <v>40</v>
      </c>
      <c r="E15" s="14"/>
      <c r="F15" s="15">
        <v>200</v>
      </c>
      <c r="G15" s="14"/>
      <c r="H15" s="15">
        <v>200</v>
      </c>
      <c r="I15" s="14"/>
      <c r="J15" s="15">
        <v>40</v>
      </c>
      <c r="K15" s="15">
        <v>40</v>
      </c>
      <c r="L15" s="23">
        <v>40</v>
      </c>
      <c r="M15" s="13"/>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x14ac:dyDescent="0.2">
      <c r="A16" s="98"/>
      <c r="B16" s="24" t="s">
        <v>11</v>
      </c>
      <c r="C16" s="18">
        <f>('Officieel ECE R65 testrapport'!C7/100)*26.32</f>
        <v>0</v>
      </c>
      <c r="D16" s="18">
        <f>('Officieel ECE R65 testrapport'!D7/100)*28.51</f>
        <v>0</v>
      </c>
      <c r="E16" s="17"/>
      <c r="F16" s="18">
        <f>('Officieel ECE R65 testrapport'!F7/100)*29.64</f>
        <v>0</v>
      </c>
      <c r="G16" s="17"/>
      <c r="H16" s="18">
        <f>('Officieel ECE R65 testrapport'!H7/100)*29.64</f>
        <v>0</v>
      </c>
      <c r="I16" s="17"/>
      <c r="J16" s="18">
        <f>('Officieel ECE R65 testrapport'!J7/100)*28.51</f>
        <v>0</v>
      </c>
      <c r="K16" s="18">
        <f>('Officieel ECE R65 testrapport'!K7/100)*26.32</f>
        <v>0</v>
      </c>
      <c r="L16" s="25" t="s">
        <v>11</v>
      </c>
      <c r="M16" s="13"/>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ht="13.5" thickBot="1" x14ac:dyDescent="0.25">
      <c r="A17" s="99"/>
      <c r="B17" s="21">
        <v>1000</v>
      </c>
      <c r="C17" s="21">
        <v>1000</v>
      </c>
      <c r="D17" s="21">
        <v>1000</v>
      </c>
      <c r="E17" s="20"/>
      <c r="F17" s="21">
        <v>3000</v>
      </c>
      <c r="G17" s="30"/>
      <c r="H17" s="21">
        <v>3000</v>
      </c>
      <c r="I17" s="20"/>
      <c r="J17" s="21">
        <v>1000</v>
      </c>
      <c r="K17" s="21">
        <v>1000</v>
      </c>
      <c r="L17" s="27">
        <v>1000</v>
      </c>
      <c r="M17" s="13"/>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x14ac:dyDescent="0.2">
      <c r="A18" s="97" t="s">
        <v>9</v>
      </c>
      <c r="B18" s="14"/>
      <c r="C18" s="14"/>
      <c r="D18" s="14"/>
      <c r="E18" s="15">
        <v>100</v>
      </c>
      <c r="F18" s="14"/>
      <c r="G18" s="31">
        <v>150</v>
      </c>
      <c r="H18" s="14"/>
      <c r="I18" s="15">
        <v>100</v>
      </c>
      <c r="J18" s="14"/>
      <c r="K18" s="14"/>
      <c r="L18" s="16"/>
      <c r="M18" s="13"/>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x14ac:dyDescent="0.2">
      <c r="A19" s="98"/>
      <c r="B19" s="17"/>
      <c r="C19" s="17"/>
      <c r="D19" s="17"/>
      <c r="E19" s="18">
        <f>('Officieel ECE R65 testrapport'!E8/100)*29.17</f>
        <v>0</v>
      </c>
      <c r="F19" s="17"/>
      <c r="G19" s="18">
        <f>('Officieel ECE R65 testrapport'!G8/100)*29.86</f>
        <v>0</v>
      </c>
      <c r="H19" s="17"/>
      <c r="I19" s="18">
        <f>('Officieel ECE R65 testrapport'!I8/100)*29.17</f>
        <v>0</v>
      </c>
      <c r="J19" s="17"/>
      <c r="K19" s="17"/>
      <c r="L19" s="19"/>
      <c r="M19" s="13"/>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ht="13.5" thickBot="1" x14ac:dyDescent="0.25">
      <c r="A20" s="99"/>
      <c r="B20" s="20"/>
      <c r="C20" s="20"/>
      <c r="D20" s="20"/>
      <c r="E20" s="21">
        <v>1500</v>
      </c>
      <c r="F20" s="20"/>
      <c r="G20" s="21">
        <v>1500</v>
      </c>
      <c r="H20" s="20"/>
      <c r="I20" s="21">
        <v>1500</v>
      </c>
      <c r="J20" s="20"/>
      <c r="K20" s="20"/>
      <c r="L20" s="22"/>
      <c r="M20" s="13"/>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x14ac:dyDescent="0.2">
      <c r="A21" s="97" t="s">
        <v>8</v>
      </c>
      <c r="B21" s="14"/>
      <c r="C21" s="14"/>
      <c r="D21" s="14"/>
      <c r="E21" s="14"/>
      <c r="F21" s="15">
        <v>100</v>
      </c>
      <c r="G21" s="14"/>
      <c r="H21" s="15">
        <v>100</v>
      </c>
      <c r="I21" s="14"/>
      <c r="J21" s="14"/>
      <c r="K21" s="14"/>
      <c r="L21" s="16"/>
      <c r="M21" s="13"/>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x14ac:dyDescent="0.2">
      <c r="A22" s="98"/>
      <c r="B22" s="17"/>
      <c r="C22" s="17"/>
      <c r="D22" s="17"/>
      <c r="E22" s="17"/>
      <c r="F22" s="18">
        <f>('Officieel ECE R65 testrapport'!F9/100)*29.55</f>
        <v>0</v>
      </c>
      <c r="G22" s="17"/>
      <c r="H22" s="18">
        <f>('Officieel ECE R65 testrapport'!H9/100)*29.55</f>
        <v>0</v>
      </c>
      <c r="I22" s="17"/>
      <c r="J22" s="17"/>
      <c r="K22" s="17"/>
      <c r="L22" s="19"/>
      <c r="M22" s="13"/>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13.5" thickBot="1" x14ac:dyDescent="0.25">
      <c r="A23" s="99"/>
      <c r="B23" s="20"/>
      <c r="C23" s="20"/>
      <c r="D23" s="20"/>
      <c r="E23" s="20"/>
      <c r="F23" s="21">
        <v>1500</v>
      </c>
      <c r="G23" s="20"/>
      <c r="H23" s="21">
        <v>1500</v>
      </c>
      <c r="I23" s="20"/>
      <c r="J23" s="20"/>
      <c r="K23" s="20"/>
      <c r="L23" s="22"/>
      <c r="M23" s="13"/>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1:54" x14ac:dyDescent="0.2">
      <c r="A24" s="2"/>
      <c r="B24" s="82" t="s">
        <v>12</v>
      </c>
      <c r="C24" s="83"/>
      <c r="D24" s="82" t="s">
        <v>13</v>
      </c>
      <c r="E24" s="83"/>
      <c r="F24" s="83"/>
      <c r="G24" s="83"/>
      <c r="H24" s="83"/>
      <c r="I24" s="83"/>
      <c r="J24" s="88"/>
      <c r="K24" s="83" t="s">
        <v>12</v>
      </c>
      <c r="L24" s="83"/>
      <c r="M24" s="1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row>
    <row r="25" spans="1:54" ht="13.5" thickBot="1" x14ac:dyDescent="0.25">
      <c r="A25" s="2"/>
      <c r="B25" s="79" t="s">
        <v>14</v>
      </c>
      <c r="C25" s="80"/>
      <c r="D25" s="79" t="s">
        <v>14</v>
      </c>
      <c r="E25" s="80"/>
      <c r="F25" s="80"/>
      <c r="G25" s="80"/>
      <c r="H25" s="80"/>
      <c r="I25" s="80"/>
      <c r="J25" s="81"/>
      <c r="K25" s="80" t="s">
        <v>14</v>
      </c>
      <c r="L25" s="80"/>
      <c r="M25" s="13"/>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row>
    <row r="26" spans="1:54"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row>
    <row r="27" spans="1:54" ht="13.5" thickBo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spans="1:54" ht="13.5" thickTop="1" x14ac:dyDescent="0.2">
      <c r="A28" s="89" t="s">
        <v>19</v>
      </c>
      <c r="B28" s="90"/>
      <c r="C28" s="90"/>
      <c r="D28" s="90"/>
      <c r="E28" s="91"/>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ht="13.5" thickBot="1" x14ac:dyDescent="0.25">
      <c r="A29" s="92"/>
      <c r="B29" s="93"/>
      <c r="C29" s="93"/>
      <c r="D29" s="93"/>
      <c r="E29" s="94"/>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row>
    <row r="30" spans="1:54" ht="13.5" thickTop="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row>
    <row r="31" spans="1:54"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spans="1:54"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row>
    <row r="33" spans="1:54"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54"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1:54"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1:54"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4"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1:54"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1:54"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1:54"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4"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4"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1:54"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1:54"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1:54"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1:54"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1:54"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spans="1:54"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row>
    <row r="56" spans="1:54"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row>
    <row r="57" spans="1:54"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spans="1:54"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row>
    <row r="59" spans="1:54"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spans="1:54"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row>
    <row r="61" spans="1:54"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spans="1:54"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row>
  </sheetData>
  <sheetProtection algorithmName="SHA-512" hashValue="pwFioAGJkmnvBbhyEkOzMcl2Vu3qIsiH/KHPCuZX0bZRptxl9iA+RF5sTYXFTeusb8TEfWC6OxuDzTf02p4vlA==" saltValue="oSSGEFiK2Iwcsq646Htn2A==" spinCount="100000" sheet="1" objects="1" scenarios="1" selectLockedCells="1" selectUnlockedCells="1"/>
  <mergeCells count="25">
    <mergeCell ref="K24:L24"/>
    <mergeCell ref="B25:C25"/>
    <mergeCell ref="D25:J25"/>
    <mergeCell ref="K25:L25"/>
    <mergeCell ref="A12:A14"/>
    <mergeCell ref="A15:A17"/>
    <mergeCell ref="A18:A20"/>
    <mergeCell ref="B24:C24"/>
    <mergeCell ref="D24:J24"/>
    <mergeCell ref="A28:E29"/>
    <mergeCell ref="L1:L2"/>
    <mergeCell ref="A3:A5"/>
    <mergeCell ref="B1:B2"/>
    <mergeCell ref="C1:C2"/>
    <mergeCell ref="D1:D2"/>
    <mergeCell ref="E1:E2"/>
    <mergeCell ref="F1:F2"/>
    <mergeCell ref="G1:G2"/>
    <mergeCell ref="A21:A23"/>
    <mergeCell ref="H1:H2"/>
    <mergeCell ref="I1:I2"/>
    <mergeCell ref="J1:J2"/>
    <mergeCell ref="K1:K2"/>
    <mergeCell ref="A6:A8"/>
    <mergeCell ref="A9:A11"/>
  </mergeCells>
  <conditionalFormatting sqref="C10:D10">
    <cfRule type="cellIs" dxfId="836" priority="93" operator="between">
      <formula>$K$15</formula>
      <formula>$K$17</formula>
    </cfRule>
    <cfRule type="cellIs" dxfId="835" priority="94" operator="lessThan">
      <formula>$K$15</formula>
    </cfRule>
    <cfRule type="cellIs" dxfId="834" priority="95" operator="greaterThan">
      <formula>$K$17</formula>
    </cfRule>
    <cfRule type="cellIs" dxfId="833" priority="96" operator="between">
      <formula>$K$15</formula>
      <formula>$K$17</formula>
    </cfRule>
  </conditionalFormatting>
  <conditionalFormatting sqref="C13:D13">
    <cfRule type="cellIs" dxfId="832" priority="12" operator="between">
      <formula>$C$12</formula>
      <formula>$C$14</formula>
    </cfRule>
    <cfRule type="cellIs" dxfId="831" priority="10" operator="lessThan">
      <formula>$C$12</formula>
    </cfRule>
    <cfRule type="cellIs" dxfId="830" priority="11" operator="greaterThan">
      <formula>$C$14</formula>
    </cfRule>
  </conditionalFormatting>
  <conditionalFormatting sqref="C16:D16">
    <cfRule type="cellIs" dxfId="829" priority="87" operator="greaterThan">
      <formula>$K$17</formula>
    </cfRule>
    <cfRule type="cellIs" dxfId="828" priority="85" operator="between">
      <formula>$K$15</formula>
      <formula>$K$17</formula>
    </cfRule>
    <cfRule type="cellIs" dxfId="827" priority="86" operator="lessThan">
      <formula>$K$15</formula>
    </cfRule>
    <cfRule type="cellIs" dxfId="826" priority="88" operator="between">
      <formula>$K$15</formula>
      <formula>$K$17</formula>
    </cfRule>
  </conditionalFormatting>
  <conditionalFormatting sqref="D13">
    <cfRule type="cellIs" dxfId="825" priority="7" operator="between">
      <formula>$D$12</formula>
      <formula>$D$14</formula>
    </cfRule>
    <cfRule type="cellIs" dxfId="824" priority="8" operator="lessThan">
      <formula>$D$12</formula>
    </cfRule>
    <cfRule type="cellIs" dxfId="823" priority="9" operator="greaterThan">
      <formula>$D$14</formula>
    </cfRule>
  </conditionalFormatting>
  <conditionalFormatting sqref="E7">
    <cfRule type="cellIs" dxfId="822" priority="108" operator="lessThan">
      <formula>$F$3</formula>
    </cfRule>
    <cfRule type="cellIs" dxfId="821" priority="111" operator="between">
      <formula>$F$3</formula>
      <formula>$F$5</formula>
    </cfRule>
    <cfRule type="cellIs" dxfId="820" priority="110" operator="between">
      <formula>$F$3</formula>
      <formula>$F$5</formula>
    </cfRule>
    <cfRule type="cellIs" dxfId="819" priority="109" operator="greaterThan">
      <formula>$F$5</formula>
    </cfRule>
  </conditionalFormatting>
  <conditionalFormatting sqref="E13">
    <cfRule type="cellIs" dxfId="818" priority="103" operator="between">
      <formula>$G$18</formula>
      <formula>$G$20</formula>
    </cfRule>
    <cfRule type="cellIs" dxfId="817" priority="101" operator="lessThan">
      <formula>$G$18</formula>
    </cfRule>
    <cfRule type="cellIs" dxfId="816" priority="102" operator="greaterThan">
      <formula>$G$20</formula>
    </cfRule>
  </conditionalFormatting>
  <conditionalFormatting sqref="E19">
    <cfRule type="cellIs" dxfId="815" priority="107" operator="between">
      <formula>$F$3</formula>
      <formula>$F$5</formula>
    </cfRule>
    <cfRule type="cellIs" dxfId="814" priority="106" operator="between">
      <formula>$F$3</formula>
      <formula>$F$5</formula>
    </cfRule>
    <cfRule type="cellIs" dxfId="813" priority="105" operator="greaterThan">
      <formula>$F$5</formula>
    </cfRule>
    <cfRule type="cellIs" dxfId="812" priority="104" operator="lessThan">
      <formula>$F$3</formula>
    </cfRule>
  </conditionalFormatting>
  <conditionalFormatting sqref="F4">
    <cfRule type="cellIs" dxfId="811" priority="115" operator="between">
      <formula>$F$3</formula>
      <formula>$F$5</formula>
    </cfRule>
    <cfRule type="cellIs" dxfId="810" priority="112" operator="lessThan">
      <formula>$F$3</formula>
    </cfRule>
    <cfRule type="cellIs" dxfId="809" priority="113" operator="greaterThan">
      <formula>$F$5</formula>
    </cfRule>
    <cfRule type="cellIs" dxfId="808" priority="114" operator="between">
      <formula>$F$3</formula>
      <formula>$F$5</formula>
    </cfRule>
  </conditionalFormatting>
  <conditionalFormatting sqref="F10">
    <cfRule type="cellIs" dxfId="807" priority="78" operator="greaterThan">
      <formula>$H$11</formula>
    </cfRule>
    <cfRule type="cellIs" dxfId="806" priority="77" operator="lessThan">
      <formula>$H$9</formula>
    </cfRule>
    <cfRule type="cellIs" dxfId="805" priority="76" operator="between">
      <formula>$H$9</formula>
      <formula>$H$11</formula>
    </cfRule>
  </conditionalFormatting>
  <conditionalFormatting sqref="F16">
    <cfRule type="cellIs" dxfId="804" priority="81" operator="greaterThan">
      <formula>$H$11</formula>
    </cfRule>
    <cfRule type="cellIs" dxfId="803" priority="80" operator="lessThan">
      <formula>$H$9</formula>
    </cfRule>
    <cfRule type="cellIs" dxfId="802" priority="79" operator="between">
      <formula>$H$9</formula>
      <formula>$H$11</formula>
    </cfRule>
  </conditionalFormatting>
  <conditionalFormatting sqref="F22">
    <cfRule type="cellIs" dxfId="801" priority="65" operator="lessThan">
      <formula>$F$3</formula>
    </cfRule>
    <cfRule type="cellIs" dxfId="800" priority="66" operator="greaterThan">
      <formula>$F$5</formula>
    </cfRule>
    <cfRule type="cellIs" dxfId="799" priority="67" operator="between">
      <formula>$F$3</formula>
      <formula>$F$5</formula>
    </cfRule>
    <cfRule type="cellIs" dxfId="798" priority="68" operator="between">
      <formula>$F$3</formula>
      <formula>$F$5</formula>
    </cfRule>
  </conditionalFormatting>
  <conditionalFormatting sqref="G7">
    <cfRule type="cellIs" dxfId="797" priority="18" operator="between">
      <formula>$G$18</formula>
      <formula>$G$20</formula>
    </cfRule>
    <cfRule type="cellIs" dxfId="796" priority="17" operator="greaterThan">
      <formula>$G$20</formula>
    </cfRule>
    <cfRule type="cellIs" dxfId="795" priority="16" operator="lessThan">
      <formula>$G$18</formula>
    </cfRule>
    <cfRule type="cellIs" dxfId="794" priority="15" operator="greaterThan">
      <formula>$G$8</formula>
    </cfRule>
    <cfRule type="cellIs" dxfId="793" priority="14" operator="lessThan">
      <formula>$G$6</formula>
    </cfRule>
    <cfRule type="cellIs" dxfId="792" priority="13" operator="between">
      <formula>$G$6</formula>
      <formula>$G$8</formula>
    </cfRule>
  </conditionalFormatting>
  <conditionalFormatting sqref="G13">
    <cfRule type="cellIs" dxfId="791" priority="73" operator="between">
      <formula>$H$9</formula>
      <formula>$H$11</formula>
    </cfRule>
    <cfRule type="cellIs" dxfId="790" priority="75" operator="greaterThan">
      <formula>$H$11</formula>
    </cfRule>
    <cfRule type="cellIs" dxfId="789" priority="74" operator="lessThan">
      <formula>$H$9</formula>
    </cfRule>
  </conditionalFormatting>
  <conditionalFormatting sqref="G19">
    <cfRule type="cellIs" dxfId="788" priority="20" operator="lessThan">
      <formula>$G$6</formula>
    </cfRule>
    <cfRule type="cellIs" dxfId="787" priority="21" operator="greaterThan">
      <formula>$G$8</formula>
    </cfRule>
    <cfRule type="cellIs" dxfId="786" priority="22" operator="lessThan">
      <formula>$G$18</formula>
    </cfRule>
    <cfRule type="cellIs" dxfId="785" priority="24" operator="between">
      <formula>$G$18</formula>
      <formula>$G$20</formula>
    </cfRule>
    <cfRule type="cellIs" dxfId="784" priority="23" operator="greaterThan">
      <formula>$G$20</formula>
    </cfRule>
    <cfRule type="cellIs" dxfId="783" priority="19" operator="between">
      <formula>$G$6</formula>
      <formula>$G$8</formula>
    </cfRule>
  </conditionalFormatting>
  <conditionalFormatting sqref="H4">
    <cfRule type="cellIs" dxfId="782" priority="70" operator="greaterThan">
      <formula>$F$5</formula>
    </cfRule>
    <cfRule type="cellIs" dxfId="781" priority="71" operator="between">
      <formula>$F$3</formula>
      <formula>$F$5</formula>
    </cfRule>
    <cfRule type="cellIs" dxfId="780" priority="72" operator="between">
      <formula>$F$3</formula>
      <formula>$F$5</formula>
    </cfRule>
    <cfRule type="cellIs" dxfId="779" priority="69" operator="lessThan">
      <formula>$F$3</formula>
    </cfRule>
  </conditionalFormatting>
  <conditionalFormatting sqref="H10">
    <cfRule type="cellIs" dxfId="778" priority="30" operator="greaterThan">
      <formula>$H$11</formula>
    </cfRule>
    <cfRule type="cellIs" dxfId="777" priority="28" operator="between">
      <formula>$H$9</formula>
      <formula>$H$11</formula>
    </cfRule>
    <cfRule type="cellIs" dxfId="776" priority="29" operator="lessThan">
      <formula>$H$9</formula>
    </cfRule>
  </conditionalFormatting>
  <conditionalFormatting sqref="H16">
    <cfRule type="cellIs" dxfId="775" priority="25" operator="between">
      <formula>$H$9</formula>
      <formula>$H$11</formula>
    </cfRule>
    <cfRule type="cellIs" dxfId="774" priority="26" operator="lessThan">
      <formula>$H$9</formula>
    </cfRule>
    <cfRule type="cellIs" dxfId="773" priority="27" operator="greaterThan">
      <formula>$H$11</formula>
    </cfRule>
  </conditionalFormatting>
  <conditionalFormatting sqref="H22">
    <cfRule type="cellIs" dxfId="772" priority="64" operator="between">
      <formula>$F$3</formula>
      <formula>$F$5</formula>
    </cfRule>
    <cfRule type="cellIs" dxfId="771" priority="63" operator="between">
      <formula>$F$3</formula>
      <formula>$F$5</formula>
    </cfRule>
    <cfRule type="cellIs" dxfId="770" priority="62" operator="greaterThan">
      <formula>$F$5</formula>
    </cfRule>
    <cfRule type="cellIs" dxfId="769" priority="61" operator="lessThan">
      <formula>$F$3</formula>
    </cfRule>
  </conditionalFormatting>
  <conditionalFormatting sqref="I7">
    <cfRule type="cellIs" dxfId="768" priority="60" operator="between">
      <formula>$F$3</formula>
      <formula>$F$5</formula>
    </cfRule>
    <cfRule type="cellIs" dxfId="767" priority="57" operator="lessThan">
      <formula>$F$3</formula>
    </cfRule>
    <cfRule type="cellIs" dxfId="766" priority="58" operator="greaterThan">
      <formula>$F$5</formula>
    </cfRule>
    <cfRule type="cellIs" dxfId="765" priority="59" operator="between">
      <formula>$F$3</formula>
      <formula>$F$5</formula>
    </cfRule>
  </conditionalFormatting>
  <conditionalFormatting sqref="I13">
    <cfRule type="cellIs" dxfId="764" priority="31" operator="lessThan">
      <formula>$G$18</formula>
    </cfRule>
    <cfRule type="cellIs" dxfId="763" priority="32" operator="greaterThan">
      <formula>$G$20</formula>
    </cfRule>
    <cfRule type="cellIs" dxfId="762" priority="33" operator="between">
      <formula>$G$18</formula>
      <formula>$G$20</formula>
    </cfRule>
  </conditionalFormatting>
  <conditionalFormatting sqref="I19">
    <cfRule type="cellIs" dxfId="761" priority="55" operator="between">
      <formula>$F$3</formula>
      <formula>$F$5</formula>
    </cfRule>
    <cfRule type="cellIs" dxfId="760" priority="54" operator="greaterThan">
      <formula>$F$5</formula>
    </cfRule>
    <cfRule type="cellIs" dxfId="759" priority="53" operator="lessThan">
      <formula>$F$3</formula>
    </cfRule>
    <cfRule type="cellIs" dxfId="758" priority="56" operator="between">
      <formula>$F$3</formula>
      <formula>$F$5</formula>
    </cfRule>
  </conditionalFormatting>
  <conditionalFormatting sqref="J13">
    <cfRule type="cellIs" dxfId="757" priority="1" operator="between">
      <formula>$D$12</formula>
      <formula>$D$14</formula>
    </cfRule>
    <cfRule type="cellIs" dxfId="756" priority="3" operator="greaterThan">
      <formula>$D$14</formula>
    </cfRule>
    <cfRule type="cellIs" dxfId="755" priority="2" operator="lessThan">
      <formula>$D$12</formula>
    </cfRule>
  </conditionalFormatting>
  <conditionalFormatting sqref="J10:K10">
    <cfRule type="cellIs" dxfId="754" priority="41" operator="between">
      <formula>$K$15</formula>
      <formula>$K$17</formula>
    </cfRule>
    <cfRule type="cellIs" dxfId="753" priority="38" operator="between">
      <formula>$K$15</formula>
      <formula>$K$17</formula>
    </cfRule>
    <cfRule type="cellIs" dxfId="752" priority="39" operator="lessThan">
      <formula>$K$15</formula>
    </cfRule>
    <cfRule type="cellIs" dxfId="751" priority="40" operator="greaterThan">
      <formula>$K$17</formula>
    </cfRule>
  </conditionalFormatting>
  <conditionalFormatting sqref="J13:K13">
    <cfRule type="cellIs" dxfId="750" priority="6" operator="between">
      <formula>$C$12</formula>
      <formula>$C$14</formula>
    </cfRule>
    <cfRule type="cellIs" dxfId="749" priority="5" operator="greaterThan">
      <formula>$C$14</formula>
    </cfRule>
    <cfRule type="cellIs" dxfId="748" priority="4" operator="lessThan">
      <formula>$C$12</formula>
    </cfRule>
  </conditionalFormatting>
  <conditionalFormatting sqref="J16:K16">
    <cfRule type="cellIs" dxfId="747" priority="36" operator="greaterThan">
      <formula>$K$17</formula>
    </cfRule>
    <cfRule type="cellIs" dxfId="746" priority="34" operator="between">
      <formula>$K$15</formula>
      <formula>$K$17</formula>
    </cfRule>
    <cfRule type="cellIs" dxfId="745" priority="35" operator="lessThan">
      <formula>$K$15</formula>
    </cfRule>
    <cfRule type="cellIs" dxfId="744" priority="37" operator="between">
      <formula>$K$15</formula>
      <formula>$K$17</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BB62"/>
  <sheetViews>
    <sheetView workbookViewId="0">
      <selection activeCell="A27" sqref="A27:E28"/>
    </sheetView>
  </sheetViews>
  <sheetFormatPr defaultRowHeight="12.75" x14ac:dyDescent="0.2"/>
  <cols>
    <col min="7" max="7" width="9.140625" customWidth="1"/>
  </cols>
  <sheetData>
    <row r="1" spans="1:54" x14ac:dyDescent="0.2">
      <c r="A1" s="1" t="s">
        <v>0</v>
      </c>
      <c r="B1" s="84" t="s">
        <v>1</v>
      </c>
      <c r="C1" s="84" t="s">
        <v>2</v>
      </c>
      <c r="D1" s="84" t="s">
        <v>3</v>
      </c>
      <c r="E1" s="84" t="s">
        <v>4</v>
      </c>
      <c r="F1" s="84" t="s">
        <v>5</v>
      </c>
      <c r="G1" s="84" t="s">
        <v>6</v>
      </c>
      <c r="H1" s="84" t="s">
        <v>5</v>
      </c>
      <c r="I1" s="84" t="s">
        <v>4</v>
      </c>
      <c r="J1" s="84" t="s">
        <v>3</v>
      </c>
      <c r="K1" s="84" t="s">
        <v>2</v>
      </c>
      <c r="L1" s="95" t="s">
        <v>1</v>
      </c>
      <c r="M1" s="13"/>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13.5" thickBot="1" x14ac:dyDescent="0.25">
      <c r="A2" s="3" t="s">
        <v>7</v>
      </c>
      <c r="B2" s="85"/>
      <c r="C2" s="85"/>
      <c r="D2" s="85"/>
      <c r="E2" s="85"/>
      <c r="F2" s="85"/>
      <c r="G2" s="85"/>
      <c r="H2" s="85"/>
      <c r="I2" s="85"/>
      <c r="J2" s="85"/>
      <c r="K2" s="85"/>
      <c r="L2" s="96"/>
      <c r="M2" s="13"/>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x14ac:dyDescent="0.2">
      <c r="A3" s="97" t="s">
        <v>8</v>
      </c>
      <c r="B3" s="14"/>
      <c r="C3" s="14"/>
      <c r="D3" s="14"/>
      <c r="E3" s="14"/>
      <c r="F3" s="15">
        <v>100</v>
      </c>
      <c r="G3" s="14"/>
      <c r="H3" s="15">
        <v>100</v>
      </c>
      <c r="I3" s="14"/>
      <c r="J3" s="14"/>
      <c r="K3" s="14"/>
      <c r="L3" s="16"/>
      <c r="M3" s="1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x14ac:dyDescent="0.2">
      <c r="A4" s="98"/>
      <c r="B4" s="17"/>
      <c r="C4" s="17"/>
      <c r="D4" s="17"/>
      <c r="E4" s="17"/>
      <c r="F4" s="18">
        <f>('Officieel ECE R65 testrapport'!F3/100)*38.35</f>
        <v>0</v>
      </c>
      <c r="G4" s="17"/>
      <c r="H4" s="18">
        <f>('Officieel ECE R65 testrapport'!H3/100)*38.35</f>
        <v>0</v>
      </c>
      <c r="I4" s="17"/>
      <c r="J4" s="17"/>
      <c r="K4" s="17"/>
      <c r="L4" s="19"/>
      <c r="M4" s="1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3.5" thickBot="1" x14ac:dyDescent="0.25">
      <c r="A5" s="99"/>
      <c r="B5" s="20"/>
      <c r="C5" s="20"/>
      <c r="D5" s="20"/>
      <c r="E5" s="20"/>
      <c r="F5" s="21">
        <v>1500</v>
      </c>
      <c r="G5" s="20"/>
      <c r="H5" s="21">
        <v>1500</v>
      </c>
      <c r="I5" s="20"/>
      <c r="J5" s="20"/>
      <c r="K5" s="20"/>
      <c r="L5" s="22"/>
      <c r="M5" s="13"/>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x14ac:dyDescent="0.2">
      <c r="A6" s="97" t="s">
        <v>9</v>
      </c>
      <c r="B6" s="14"/>
      <c r="C6" s="14"/>
      <c r="D6" s="14"/>
      <c r="E6" s="15">
        <v>100</v>
      </c>
      <c r="F6" s="14"/>
      <c r="G6" s="15">
        <v>150</v>
      </c>
      <c r="H6" s="14"/>
      <c r="I6" s="15">
        <v>100</v>
      </c>
      <c r="J6" s="14"/>
      <c r="K6" s="14"/>
      <c r="L6" s="16"/>
      <c r="M6" s="1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x14ac:dyDescent="0.2">
      <c r="A7" s="98"/>
      <c r="B7" s="17"/>
      <c r="C7" s="17"/>
      <c r="D7" s="17"/>
      <c r="E7" s="18">
        <f>('Officieel ECE R65 testrapport'!E4/100)*38.28</f>
        <v>0</v>
      </c>
      <c r="F7" s="17"/>
      <c r="G7" s="18">
        <f>('Officieel ECE R65 testrapport'!G4/100)*38.37</f>
        <v>0</v>
      </c>
      <c r="H7" s="17"/>
      <c r="I7" s="18">
        <f>('Officieel ECE R65 testrapport'!I4/100)*38.28</f>
        <v>0</v>
      </c>
      <c r="J7" s="17"/>
      <c r="K7" s="17"/>
      <c r="L7" s="19"/>
      <c r="M7" s="13"/>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3.5" thickBot="1" x14ac:dyDescent="0.25">
      <c r="A8" s="99"/>
      <c r="B8" s="20"/>
      <c r="C8" s="20"/>
      <c r="D8" s="20"/>
      <c r="E8" s="21">
        <v>1500</v>
      </c>
      <c r="F8" s="20"/>
      <c r="G8" s="21">
        <v>1500</v>
      </c>
      <c r="H8" s="20"/>
      <c r="I8" s="21">
        <v>1500</v>
      </c>
      <c r="J8" s="20"/>
      <c r="K8" s="20"/>
      <c r="L8" s="22"/>
      <c r="M8" s="13"/>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x14ac:dyDescent="0.2">
      <c r="A9" s="97" t="s">
        <v>10</v>
      </c>
      <c r="B9" s="15">
        <v>40</v>
      </c>
      <c r="C9" s="15">
        <v>40</v>
      </c>
      <c r="D9" s="15">
        <v>40</v>
      </c>
      <c r="E9" s="14"/>
      <c r="F9" s="15">
        <v>200</v>
      </c>
      <c r="G9" s="14"/>
      <c r="H9" s="15">
        <v>200</v>
      </c>
      <c r="I9" s="14"/>
      <c r="J9" s="15">
        <v>40</v>
      </c>
      <c r="K9" s="15">
        <v>40</v>
      </c>
      <c r="L9" s="23">
        <v>40</v>
      </c>
      <c r="M9" s="13"/>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x14ac:dyDescent="0.2">
      <c r="A10" s="98"/>
      <c r="B10" s="24" t="s">
        <v>11</v>
      </c>
      <c r="C10" s="18">
        <f>('Officieel ECE R65 testrapport'!C5/100)*35.85</f>
        <v>0</v>
      </c>
      <c r="D10" s="18">
        <f>('Officieel ECE R65 testrapport'!D5/100)*37.89</f>
        <v>0</v>
      </c>
      <c r="E10" s="17"/>
      <c r="F10" s="18">
        <f>('Officieel ECE R65 testrapport'!F5/100)*38.35</f>
        <v>0</v>
      </c>
      <c r="G10" s="17"/>
      <c r="H10" s="18">
        <f>('Officieel ECE R65 testrapport'!H5/100)*38.35</f>
        <v>0</v>
      </c>
      <c r="I10" s="17"/>
      <c r="J10" s="18">
        <f>('Officieel ECE R65 testrapport'!J5/100)*37.89</f>
        <v>0</v>
      </c>
      <c r="K10" s="18">
        <f>('Officieel ECE R65 testrapport'!K5/100)*35.85</f>
        <v>0</v>
      </c>
      <c r="L10" s="25" t="s">
        <v>11</v>
      </c>
      <c r="M10" s="13"/>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ht="13.5" thickBot="1" x14ac:dyDescent="0.25">
      <c r="A11" s="99"/>
      <c r="B11" s="21">
        <v>1000</v>
      </c>
      <c r="C11" s="21">
        <v>1000</v>
      </c>
      <c r="D11" s="21">
        <v>1000</v>
      </c>
      <c r="E11" s="26"/>
      <c r="F11" s="21">
        <v>3000</v>
      </c>
      <c r="G11" s="26"/>
      <c r="H11" s="21">
        <v>3000</v>
      </c>
      <c r="I11" s="26"/>
      <c r="J11" s="21">
        <v>1000</v>
      </c>
      <c r="K11" s="21">
        <v>1000</v>
      </c>
      <c r="L11" s="27">
        <v>1000</v>
      </c>
      <c r="M11" s="13"/>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x14ac:dyDescent="0.2">
      <c r="A12" s="97" t="s">
        <v>6</v>
      </c>
      <c r="B12" s="15">
        <v>100</v>
      </c>
      <c r="C12" s="15">
        <v>100</v>
      </c>
      <c r="D12" s="15">
        <v>100</v>
      </c>
      <c r="E12" s="28">
        <v>150</v>
      </c>
      <c r="F12" s="14"/>
      <c r="G12" s="15">
        <v>200</v>
      </c>
      <c r="H12" s="14"/>
      <c r="I12" s="23">
        <v>150</v>
      </c>
      <c r="J12" s="15">
        <v>100</v>
      </c>
      <c r="K12" s="15">
        <v>100</v>
      </c>
      <c r="L12" s="23">
        <v>100</v>
      </c>
      <c r="M12" s="13"/>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x14ac:dyDescent="0.2">
      <c r="A13" s="98"/>
      <c r="B13" s="24" t="s">
        <v>11</v>
      </c>
      <c r="C13" s="18">
        <f>('Officieel ECE R65 testrapport'!C6/100)*35.88</f>
        <v>0</v>
      </c>
      <c r="D13" s="18">
        <f>('Officieel ECE R65 testrapport'!D6/100)*37.91</f>
        <v>0</v>
      </c>
      <c r="E13" s="18">
        <f>('Officieel ECE R65 testrapport'!E6/100)*38.29</f>
        <v>0</v>
      </c>
      <c r="F13" s="17"/>
      <c r="G13" s="18">
        <f>('Officieel ECE R65 testrapport'!G6/100)*38.46</f>
        <v>0</v>
      </c>
      <c r="H13" s="17"/>
      <c r="I13" s="18">
        <f>('Officieel ECE R65 testrapport'!I6/100)*38.29</f>
        <v>0</v>
      </c>
      <c r="J13" s="18">
        <f>('Officieel ECE R65 testrapport'!J6/100)*37.91</f>
        <v>0</v>
      </c>
      <c r="K13" s="18">
        <f>('Officieel ECE R65 testrapport'!K6/100)*35.88</f>
        <v>0</v>
      </c>
      <c r="L13" s="25" t="s">
        <v>11</v>
      </c>
      <c r="M13" s="13"/>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ht="13.5" thickBot="1" x14ac:dyDescent="0.25">
      <c r="A14" s="99"/>
      <c r="B14" s="21">
        <v>1000</v>
      </c>
      <c r="C14" s="21">
        <v>1000</v>
      </c>
      <c r="D14" s="21">
        <v>1000</v>
      </c>
      <c r="E14" s="29">
        <v>1500</v>
      </c>
      <c r="F14" s="20"/>
      <c r="G14" s="21">
        <v>3000</v>
      </c>
      <c r="H14" s="20"/>
      <c r="I14" s="27">
        <v>1500</v>
      </c>
      <c r="J14" s="21">
        <v>1000</v>
      </c>
      <c r="K14" s="21">
        <v>1000</v>
      </c>
      <c r="L14" s="27">
        <v>1000</v>
      </c>
      <c r="M14" s="13"/>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x14ac:dyDescent="0.2">
      <c r="A15" s="97" t="s">
        <v>10</v>
      </c>
      <c r="B15" s="15">
        <v>40</v>
      </c>
      <c r="C15" s="15">
        <v>40</v>
      </c>
      <c r="D15" s="15">
        <v>40</v>
      </c>
      <c r="E15" s="14"/>
      <c r="F15" s="15">
        <v>200</v>
      </c>
      <c r="G15" s="14"/>
      <c r="H15" s="15">
        <v>200</v>
      </c>
      <c r="I15" s="14"/>
      <c r="J15" s="15">
        <v>40</v>
      </c>
      <c r="K15" s="15">
        <v>40</v>
      </c>
      <c r="L15" s="23">
        <v>40</v>
      </c>
      <c r="M15" s="13"/>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x14ac:dyDescent="0.2">
      <c r="A16" s="98"/>
      <c r="B16" s="24" t="s">
        <v>11</v>
      </c>
      <c r="C16" s="18">
        <f>('Officieel ECE R65 testrapport'!C7/100)*35.85</f>
        <v>0</v>
      </c>
      <c r="D16" s="18">
        <f>('Officieel ECE R65 testrapport'!D7/100)*37.89</f>
        <v>0</v>
      </c>
      <c r="E16" s="17"/>
      <c r="F16" s="18">
        <f>('Officieel ECE R65 testrapport'!F7/100)*38.35</f>
        <v>0</v>
      </c>
      <c r="G16" s="17"/>
      <c r="H16" s="18">
        <f>('Officieel ECE R65 testrapport'!H7/100)*38.35</f>
        <v>0</v>
      </c>
      <c r="I16" s="17"/>
      <c r="J16" s="18">
        <f>('Officieel ECE R65 testrapport'!J7/100)*37.89</f>
        <v>0</v>
      </c>
      <c r="K16" s="18">
        <f>('Officieel ECE R65 testrapport'!K7/100)*35.85</f>
        <v>0</v>
      </c>
      <c r="L16" s="25" t="s">
        <v>11</v>
      </c>
      <c r="M16" s="13"/>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ht="13.5" thickBot="1" x14ac:dyDescent="0.25">
      <c r="A17" s="99"/>
      <c r="B17" s="21">
        <v>1000</v>
      </c>
      <c r="C17" s="21">
        <v>1000</v>
      </c>
      <c r="D17" s="21">
        <v>1000</v>
      </c>
      <c r="E17" s="20"/>
      <c r="F17" s="21">
        <v>3000</v>
      </c>
      <c r="G17" s="30"/>
      <c r="H17" s="21">
        <v>3000</v>
      </c>
      <c r="I17" s="20"/>
      <c r="J17" s="21">
        <v>1000</v>
      </c>
      <c r="K17" s="21">
        <v>1000</v>
      </c>
      <c r="L17" s="27">
        <v>1000</v>
      </c>
      <c r="M17" s="13"/>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x14ac:dyDescent="0.2">
      <c r="A18" s="97" t="s">
        <v>9</v>
      </c>
      <c r="B18" s="14"/>
      <c r="C18" s="14"/>
      <c r="D18" s="14"/>
      <c r="E18" s="15">
        <v>100</v>
      </c>
      <c r="F18" s="14"/>
      <c r="G18" s="31">
        <v>150</v>
      </c>
      <c r="H18" s="14"/>
      <c r="I18" s="15">
        <v>100</v>
      </c>
      <c r="J18" s="14"/>
      <c r="K18" s="14"/>
      <c r="L18" s="16"/>
      <c r="M18" s="13"/>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x14ac:dyDescent="0.2">
      <c r="A19" s="98"/>
      <c r="B19" s="17"/>
      <c r="C19" s="17"/>
      <c r="D19" s="17"/>
      <c r="E19" s="18">
        <f>('Officieel ECE R65 testrapport'!E8/100)*38.28</f>
        <v>0</v>
      </c>
      <c r="F19" s="17"/>
      <c r="G19" s="18">
        <f>('Officieel ECE R65 testrapport'!G8/100)*38.37</f>
        <v>0</v>
      </c>
      <c r="H19" s="17"/>
      <c r="I19" s="18">
        <f>('Officieel ECE R65 testrapport'!I8/100)*38.28</f>
        <v>0</v>
      </c>
      <c r="J19" s="17"/>
      <c r="K19" s="17"/>
      <c r="L19" s="19"/>
      <c r="M19" s="13"/>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ht="13.5" thickBot="1" x14ac:dyDescent="0.25">
      <c r="A20" s="99"/>
      <c r="B20" s="20"/>
      <c r="C20" s="20"/>
      <c r="D20" s="20"/>
      <c r="E20" s="21">
        <v>1500</v>
      </c>
      <c r="F20" s="20"/>
      <c r="G20" s="21">
        <v>1500</v>
      </c>
      <c r="H20" s="20"/>
      <c r="I20" s="21">
        <v>1500</v>
      </c>
      <c r="J20" s="20"/>
      <c r="K20" s="20"/>
      <c r="L20" s="22"/>
      <c r="M20" s="13"/>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x14ac:dyDescent="0.2">
      <c r="A21" s="97" t="s">
        <v>8</v>
      </c>
      <c r="B21" s="14"/>
      <c r="C21" s="14"/>
      <c r="D21" s="14"/>
      <c r="E21" s="14"/>
      <c r="F21" s="15">
        <v>100</v>
      </c>
      <c r="G21" s="14"/>
      <c r="H21" s="15">
        <v>100</v>
      </c>
      <c r="I21" s="14"/>
      <c r="J21" s="14"/>
      <c r="K21" s="14"/>
      <c r="L21" s="16"/>
      <c r="M21" s="13"/>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x14ac:dyDescent="0.2">
      <c r="A22" s="98"/>
      <c r="B22" s="17"/>
      <c r="C22" s="17"/>
      <c r="D22" s="17"/>
      <c r="E22" s="17"/>
      <c r="F22" s="18">
        <f>('Officieel ECE R65 testrapport'!F9/100)*38.35</f>
        <v>0</v>
      </c>
      <c r="G22" s="17"/>
      <c r="H22" s="18">
        <f>('Officieel ECE R65 testrapport'!H9/100)*38.35</f>
        <v>0</v>
      </c>
      <c r="I22" s="17"/>
      <c r="J22" s="17"/>
      <c r="K22" s="17"/>
      <c r="L22" s="19"/>
      <c r="M22" s="13"/>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13.5" thickBot="1" x14ac:dyDescent="0.25">
      <c r="A23" s="99"/>
      <c r="B23" s="20"/>
      <c r="C23" s="20"/>
      <c r="D23" s="20"/>
      <c r="E23" s="20"/>
      <c r="F23" s="21">
        <v>1500</v>
      </c>
      <c r="G23" s="20"/>
      <c r="H23" s="21">
        <v>1500</v>
      </c>
      <c r="I23" s="20"/>
      <c r="J23" s="20"/>
      <c r="K23" s="20"/>
      <c r="L23" s="22"/>
      <c r="M23" s="13"/>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1:54" x14ac:dyDescent="0.2">
      <c r="A24" s="2"/>
      <c r="B24" s="82" t="s">
        <v>12</v>
      </c>
      <c r="C24" s="83"/>
      <c r="D24" s="82" t="s">
        <v>13</v>
      </c>
      <c r="E24" s="83"/>
      <c r="F24" s="83"/>
      <c r="G24" s="83"/>
      <c r="H24" s="83"/>
      <c r="I24" s="83"/>
      <c r="J24" s="88"/>
      <c r="K24" s="83" t="s">
        <v>12</v>
      </c>
      <c r="L24" s="83"/>
      <c r="M24" s="1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row>
    <row r="25" spans="1:54" ht="13.5" thickBot="1" x14ac:dyDescent="0.25">
      <c r="A25" s="2"/>
      <c r="B25" s="79" t="s">
        <v>14</v>
      </c>
      <c r="C25" s="80"/>
      <c r="D25" s="79" t="s">
        <v>14</v>
      </c>
      <c r="E25" s="80"/>
      <c r="F25" s="80"/>
      <c r="G25" s="80"/>
      <c r="H25" s="80"/>
      <c r="I25" s="80"/>
      <c r="J25" s="81"/>
      <c r="K25" s="80" t="s">
        <v>14</v>
      </c>
      <c r="L25" s="80"/>
      <c r="M25" s="13"/>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row>
    <row r="26" spans="1:54" ht="13.5" thickBo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row>
    <row r="27" spans="1:54" ht="13.5" thickTop="1" x14ac:dyDescent="0.2">
      <c r="A27" s="89" t="s">
        <v>20</v>
      </c>
      <c r="B27" s="90"/>
      <c r="C27" s="90"/>
      <c r="D27" s="90"/>
      <c r="E27" s="91"/>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spans="1:54" ht="13.5" thickBot="1" x14ac:dyDescent="0.25">
      <c r="A28" s="92"/>
      <c r="B28" s="93"/>
      <c r="C28" s="93"/>
      <c r="D28" s="93"/>
      <c r="E28" s="94"/>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ht="13.5" thickTop="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row>
    <row r="30" spans="1:54"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row>
    <row r="31" spans="1:54"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spans="1:54"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row>
    <row r="33" spans="1:54"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54"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1:54"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1:54"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4"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1:54"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1:54"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1:54"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4"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4"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1:54"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1:54"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1:54"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1:54"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1:54"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spans="1:54"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row>
    <row r="56" spans="1:54"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row>
    <row r="57" spans="1:54"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spans="1:54"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row>
    <row r="59" spans="1:54"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spans="1:54"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row>
    <row r="61" spans="1:54"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spans="1:54"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row>
  </sheetData>
  <sheetProtection algorithmName="SHA-512" hashValue="Vy9KaJz+U7Kc3Hjm4dWq5oHVACocxrVLrCExKp2AlW4scJCnO9kcm+ebIGecD6Ij4QUTsKsceAKFv51iRp4IVA==" saltValue="De9yHdFhc8HYr6EJP53aWQ==" spinCount="100000" sheet="1" objects="1" scenarios="1" selectLockedCells="1" selectUnlockedCells="1"/>
  <mergeCells count="25">
    <mergeCell ref="K24:L24"/>
    <mergeCell ref="B25:C25"/>
    <mergeCell ref="D25:J25"/>
    <mergeCell ref="K25:L25"/>
    <mergeCell ref="A12:A14"/>
    <mergeCell ref="A15:A17"/>
    <mergeCell ref="A18:A20"/>
    <mergeCell ref="B24:C24"/>
    <mergeCell ref="D24:J24"/>
    <mergeCell ref="A27:E28"/>
    <mergeCell ref="L1:L2"/>
    <mergeCell ref="A3:A5"/>
    <mergeCell ref="B1:B2"/>
    <mergeCell ref="C1:C2"/>
    <mergeCell ref="D1:D2"/>
    <mergeCell ref="E1:E2"/>
    <mergeCell ref="F1:F2"/>
    <mergeCell ref="G1:G2"/>
    <mergeCell ref="A21:A23"/>
    <mergeCell ref="H1:H2"/>
    <mergeCell ref="I1:I2"/>
    <mergeCell ref="J1:J2"/>
    <mergeCell ref="K1:K2"/>
    <mergeCell ref="A6:A8"/>
    <mergeCell ref="A9:A11"/>
  </mergeCells>
  <conditionalFormatting sqref="C10:D10">
    <cfRule type="cellIs" dxfId="743" priority="93" operator="between">
      <formula>$K$15</formula>
      <formula>$K$17</formula>
    </cfRule>
    <cfRule type="cellIs" dxfId="742" priority="94" operator="lessThan">
      <formula>$K$15</formula>
    </cfRule>
    <cfRule type="cellIs" dxfId="741" priority="95" operator="greaterThan">
      <formula>$K$17</formula>
    </cfRule>
    <cfRule type="cellIs" dxfId="740" priority="96" operator="between">
      <formula>$K$15</formula>
      <formula>$K$17</formula>
    </cfRule>
  </conditionalFormatting>
  <conditionalFormatting sqref="C13:D13">
    <cfRule type="cellIs" dxfId="739" priority="12" operator="between">
      <formula>$C$12</formula>
      <formula>$C$14</formula>
    </cfRule>
    <cfRule type="cellIs" dxfId="738" priority="10" operator="lessThan">
      <formula>$C$12</formula>
    </cfRule>
    <cfRule type="cellIs" dxfId="737" priority="11" operator="greaterThan">
      <formula>$C$14</formula>
    </cfRule>
  </conditionalFormatting>
  <conditionalFormatting sqref="C16:D16">
    <cfRule type="cellIs" dxfId="736" priority="87" operator="greaterThan">
      <formula>$K$17</formula>
    </cfRule>
    <cfRule type="cellIs" dxfId="735" priority="85" operator="between">
      <formula>$K$15</formula>
      <formula>$K$17</formula>
    </cfRule>
    <cfRule type="cellIs" dxfId="734" priority="86" operator="lessThan">
      <formula>$K$15</formula>
    </cfRule>
    <cfRule type="cellIs" dxfId="733" priority="88" operator="between">
      <formula>$K$15</formula>
      <formula>$K$17</formula>
    </cfRule>
  </conditionalFormatting>
  <conditionalFormatting sqref="D13">
    <cfRule type="cellIs" dxfId="732" priority="7" operator="between">
      <formula>$D$12</formula>
      <formula>$D$14</formula>
    </cfRule>
    <cfRule type="cellIs" dxfId="731" priority="8" operator="lessThan">
      <formula>$D$12</formula>
    </cfRule>
    <cfRule type="cellIs" dxfId="730" priority="9" operator="greaterThan">
      <formula>$D$14</formula>
    </cfRule>
  </conditionalFormatting>
  <conditionalFormatting sqref="E7">
    <cfRule type="cellIs" dxfId="729" priority="108" operator="lessThan">
      <formula>$F$3</formula>
    </cfRule>
    <cfRule type="cellIs" dxfId="728" priority="111" operator="between">
      <formula>$F$3</formula>
      <formula>$F$5</formula>
    </cfRule>
    <cfRule type="cellIs" dxfId="727" priority="110" operator="between">
      <formula>$F$3</formula>
      <formula>$F$5</formula>
    </cfRule>
    <cfRule type="cellIs" dxfId="726" priority="109" operator="greaterThan">
      <formula>$F$5</formula>
    </cfRule>
  </conditionalFormatting>
  <conditionalFormatting sqref="E13">
    <cfRule type="cellIs" dxfId="725" priority="103" operator="between">
      <formula>$G$18</formula>
      <formula>$G$20</formula>
    </cfRule>
    <cfRule type="cellIs" dxfId="724" priority="101" operator="lessThan">
      <formula>$G$18</formula>
    </cfRule>
    <cfRule type="cellIs" dxfId="723" priority="102" operator="greaterThan">
      <formula>$G$20</formula>
    </cfRule>
  </conditionalFormatting>
  <conditionalFormatting sqref="E19">
    <cfRule type="cellIs" dxfId="722" priority="107" operator="between">
      <formula>$F$3</formula>
      <formula>$F$5</formula>
    </cfRule>
    <cfRule type="cellIs" dxfId="721" priority="106" operator="between">
      <formula>$F$3</formula>
      <formula>$F$5</formula>
    </cfRule>
    <cfRule type="cellIs" dxfId="720" priority="105" operator="greaterThan">
      <formula>$F$5</formula>
    </cfRule>
    <cfRule type="cellIs" dxfId="719" priority="104" operator="lessThan">
      <formula>$F$3</formula>
    </cfRule>
  </conditionalFormatting>
  <conditionalFormatting sqref="F4">
    <cfRule type="cellIs" dxfId="718" priority="115" operator="between">
      <formula>$F$3</formula>
      <formula>$F$5</formula>
    </cfRule>
    <cfRule type="cellIs" dxfId="717" priority="112" operator="lessThan">
      <formula>$F$3</formula>
    </cfRule>
    <cfRule type="cellIs" dxfId="716" priority="113" operator="greaterThan">
      <formula>$F$5</formula>
    </cfRule>
    <cfRule type="cellIs" dxfId="715" priority="114" operator="between">
      <formula>$F$3</formula>
      <formula>$F$5</formula>
    </cfRule>
  </conditionalFormatting>
  <conditionalFormatting sqref="F10">
    <cfRule type="cellIs" dxfId="714" priority="78" operator="greaterThan">
      <formula>$H$11</formula>
    </cfRule>
    <cfRule type="cellIs" dxfId="713" priority="77" operator="lessThan">
      <formula>$H$9</formula>
    </cfRule>
    <cfRule type="cellIs" dxfId="712" priority="76" operator="between">
      <formula>$H$9</formula>
      <formula>$H$11</formula>
    </cfRule>
  </conditionalFormatting>
  <conditionalFormatting sqref="F16">
    <cfRule type="cellIs" dxfId="711" priority="81" operator="greaterThan">
      <formula>$H$11</formula>
    </cfRule>
    <cfRule type="cellIs" dxfId="710" priority="80" operator="lessThan">
      <formula>$H$9</formula>
    </cfRule>
    <cfRule type="cellIs" dxfId="709" priority="79" operator="between">
      <formula>$H$9</formula>
      <formula>$H$11</formula>
    </cfRule>
  </conditionalFormatting>
  <conditionalFormatting sqref="F22">
    <cfRule type="cellIs" dxfId="708" priority="65" operator="lessThan">
      <formula>$F$3</formula>
    </cfRule>
    <cfRule type="cellIs" dxfId="707" priority="66" operator="greaterThan">
      <formula>$F$5</formula>
    </cfRule>
    <cfRule type="cellIs" dxfId="706" priority="67" operator="between">
      <formula>$F$3</formula>
      <formula>$F$5</formula>
    </cfRule>
    <cfRule type="cellIs" dxfId="705" priority="68" operator="between">
      <formula>$F$3</formula>
      <formula>$F$5</formula>
    </cfRule>
  </conditionalFormatting>
  <conditionalFormatting sqref="G7">
    <cfRule type="cellIs" dxfId="704" priority="18" operator="between">
      <formula>$G$18</formula>
      <formula>$G$20</formula>
    </cfRule>
    <cfRule type="cellIs" dxfId="703" priority="17" operator="greaterThan">
      <formula>$G$20</formula>
    </cfRule>
    <cfRule type="cellIs" dxfId="702" priority="16" operator="lessThan">
      <formula>$G$18</formula>
    </cfRule>
    <cfRule type="cellIs" dxfId="701" priority="15" operator="greaterThan">
      <formula>$G$8</formula>
    </cfRule>
    <cfRule type="cellIs" dxfId="700" priority="14" operator="lessThan">
      <formula>$G$6</formula>
    </cfRule>
    <cfRule type="cellIs" dxfId="699" priority="13" operator="between">
      <formula>$G$6</formula>
      <formula>$G$8</formula>
    </cfRule>
  </conditionalFormatting>
  <conditionalFormatting sqref="G13">
    <cfRule type="cellIs" dxfId="698" priority="73" operator="between">
      <formula>$H$9</formula>
      <formula>$H$11</formula>
    </cfRule>
    <cfRule type="cellIs" dxfId="697" priority="75" operator="greaterThan">
      <formula>$H$11</formula>
    </cfRule>
    <cfRule type="cellIs" dxfId="696" priority="74" operator="lessThan">
      <formula>$H$9</formula>
    </cfRule>
  </conditionalFormatting>
  <conditionalFormatting sqref="G19">
    <cfRule type="cellIs" dxfId="695" priority="20" operator="lessThan">
      <formula>$G$6</formula>
    </cfRule>
    <cfRule type="cellIs" dxfId="694" priority="21" operator="greaterThan">
      <formula>$G$8</formula>
    </cfRule>
    <cfRule type="cellIs" dxfId="693" priority="22" operator="lessThan">
      <formula>$G$18</formula>
    </cfRule>
    <cfRule type="cellIs" dxfId="692" priority="24" operator="between">
      <formula>$G$18</formula>
      <formula>$G$20</formula>
    </cfRule>
    <cfRule type="cellIs" dxfId="691" priority="23" operator="greaterThan">
      <formula>$G$20</formula>
    </cfRule>
    <cfRule type="cellIs" dxfId="690" priority="19" operator="between">
      <formula>$G$6</formula>
      <formula>$G$8</formula>
    </cfRule>
  </conditionalFormatting>
  <conditionalFormatting sqref="H4">
    <cfRule type="cellIs" dxfId="689" priority="70" operator="greaterThan">
      <formula>$F$5</formula>
    </cfRule>
    <cfRule type="cellIs" dxfId="688" priority="71" operator="between">
      <formula>$F$3</formula>
      <formula>$F$5</formula>
    </cfRule>
    <cfRule type="cellIs" dxfId="687" priority="72" operator="between">
      <formula>$F$3</formula>
      <formula>$F$5</formula>
    </cfRule>
    <cfRule type="cellIs" dxfId="686" priority="69" operator="lessThan">
      <formula>$F$3</formula>
    </cfRule>
  </conditionalFormatting>
  <conditionalFormatting sqref="H10">
    <cfRule type="cellIs" dxfId="685" priority="30" operator="greaterThan">
      <formula>$H$11</formula>
    </cfRule>
    <cfRule type="cellIs" dxfId="684" priority="28" operator="between">
      <formula>$H$9</formula>
      <formula>$H$11</formula>
    </cfRule>
    <cfRule type="cellIs" dxfId="683" priority="29" operator="lessThan">
      <formula>$H$9</formula>
    </cfRule>
  </conditionalFormatting>
  <conditionalFormatting sqref="H16">
    <cfRule type="cellIs" dxfId="682" priority="25" operator="between">
      <formula>$H$9</formula>
      <formula>$H$11</formula>
    </cfRule>
    <cfRule type="cellIs" dxfId="681" priority="26" operator="lessThan">
      <formula>$H$9</formula>
    </cfRule>
    <cfRule type="cellIs" dxfId="680" priority="27" operator="greaterThan">
      <formula>$H$11</formula>
    </cfRule>
  </conditionalFormatting>
  <conditionalFormatting sqref="H22">
    <cfRule type="cellIs" dxfId="679" priority="64" operator="between">
      <formula>$F$3</formula>
      <formula>$F$5</formula>
    </cfRule>
    <cfRule type="cellIs" dxfId="678" priority="63" operator="between">
      <formula>$F$3</formula>
      <formula>$F$5</formula>
    </cfRule>
    <cfRule type="cellIs" dxfId="677" priority="62" operator="greaterThan">
      <formula>$F$5</formula>
    </cfRule>
    <cfRule type="cellIs" dxfId="676" priority="61" operator="lessThan">
      <formula>$F$3</formula>
    </cfRule>
  </conditionalFormatting>
  <conditionalFormatting sqref="I7">
    <cfRule type="cellIs" dxfId="675" priority="60" operator="between">
      <formula>$F$3</formula>
      <formula>$F$5</formula>
    </cfRule>
    <cfRule type="cellIs" dxfId="674" priority="57" operator="lessThan">
      <formula>$F$3</formula>
    </cfRule>
    <cfRule type="cellIs" dxfId="673" priority="58" operator="greaterThan">
      <formula>$F$5</formula>
    </cfRule>
    <cfRule type="cellIs" dxfId="672" priority="59" operator="between">
      <formula>$F$3</formula>
      <formula>$F$5</formula>
    </cfRule>
  </conditionalFormatting>
  <conditionalFormatting sqref="I13">
    <cfRule type="cellIs" dxfId="671" priority="31" operator="lessThan">
      <formula>$G$18</formula>
    </cfRule>
    <cfRule type="cellIs" dxfId="670" priority="32" operator="greaterThan">
      <formula>$G$20</formula>
    </cfRule>
    <cfRule type="cellIs" dxfId="669" priority="33" operator="between">
      <formula>$G$18</formula>
      <formula>$G$20</formula>
    </cfRule>
  </conditionalFormatting>
  <conditionalFormatting sqref="I19">
    <cfRule type="cellIs" dxfId="668" priority="55" operator="between">
      <formula>$F$3</formula>
      <formula>$F$5</formula>
    </cfRule>
    <cfRule type="cellIs" dxfId="667" priority="54" operator="greaterThan">
      <formula>$F$5</formula>
    </cfRule>
    <cfRule type="cellIs" dxfId="666" priority="53" operator="lessThan">
      <formula>$F$3</formula>
    </cfRule>
    <cfRule type="cellIs" dxfId="665" priority="56" operator="between">
      <formula>$F$3</formula>
      <formula>$F$5</formula>
    </cfRule>
  </conditionalFormatting>
  <conditionalFormatting sqref="J13">
    <cfRule type="cellIs" dxfId="664" priority="1" operator="between">
      <formula>$D$12</formula>
      <formula>$D$14</formula>
    </cfRule>
    <cfRule type="cellIs" dxfId="663" priority="3" operator="greaterThan">
      <formula>$D$14</formula>
    </cfRule>
    <cfRule type="cellIs" dxfId="662" priority="2" operator="lessThan">
      <formula>$D$12</formula>
    </cfRule>
  </conditionalFormatting>
  <conditionalFormatting sqref="J10:K10">
    <cfRule type="cellIs" dxfId="661" priority="41" operator="between">
      <formula>$K$15</formula>
      <formula>$K$17</formula>
    </cfRule>
    <cfRule type="cellIs" dxfId="660" priority="38" operator="between">
      <formula>$K$15</formula>
      <formula>$K$17</formula>
    </cfRule>
    <cfRule type="cellIs" dxfId="659" priority="39" operator="lessThan">
      <formula>$K$15</formula>
    </cfRule>
    <cfRule type="cellIs" dxfId="658" priority="40" operator="greaterThan">
      <formula>$K$17</formula>
    </cfRule>
  </conditionalFormatting>
  <conditionalFormatting sqref="J13:K13">
    <cfRule type="cellIs" dxfId="657" priority="6" operator="between">
      <formula>$C$12</formula>
      <formula>$C$14</formula>
    </cfRule>
    <cfRule type="cellIs" dxfId="656" priority="5" operator="greaterThan">
      <formula>$C$14</formula>
    </cfRule>
    <cfRule type="cellIs" dxfId="655" priority="4" operator="lessThan">
      <formula>$C$12</formula>
    </cfRule>
  </conditionalFormatting>
  <conditionalFormatting sqref="J16:K16">
    <cfRule type="cellIs" dxfId="654" priority="36" operator="greaterThan">
      <formula>$K$17</formula>
    </cfRule>
    <cfRule type="cellIs" dxfId="653" priority="34" operator="between">
      <formula>$K$15</formula>
      <formula>$K$17</formula>
    </cfRule>
    <cfRule type="cellIs" dxfId="652" priority="35" operator="lessThan">
      <formula>$K$15</formula>
    </cfRule>
    <cfRule type="cellIs" dxfId="651" priority="37" operator="between">
      <formula>$K$15</formula>
      <formula>$K$17</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BB62"/>
  <sheetViews>
    <sheetView workbookViewId="0">
      <selection activeCell="A28" sqref="A28:E29"/>
    </sheetView>
  </sheetViews>
  <sheetFormatPr defaultRowHeight="12.75" x14ac:dyDescent="0.2"/>
  <cols>
    <col min="7" max="7" width="9.140625" customWidth="1"/>
  </cols>
  <sheetData>
    <row r="1" spans="1:54" x14ac:dyDescent="0.2">
      <c r="A1" s="1" t="s">
        <v>0</v>
      </c>
      <c r="B1" s="84" t="s">
        <v>1</v>
      </c>
      <c r="C1" s="84" t="s">
        <v>2</v>
      </c>
      <c r="D1" s="84" t="s">
        <v>3</v>
      </c>
      <c r="E1" s="84" t="s">
        <v>4</v>
      </c>
      <c r="F1" s="84" t="s">
        <v>5</v>
      </c>
      <c r="G1" s="84" t="s">
        <v>6</v>
      </c>
      <c r="H1" s="84" t="s">
        <v>5</v>
      </c>
      <c r="I1" s="84" t="s">
        <v>4</v>
      </c>
      <c r="J1" s="84" t="s">
        <v>3</v>
      </c>
      <c r="K1" s="84" t="s">
        <v>2</v>
      </c>
      <c r="L1" s="95" t="s">
        <v>1</v>
      </c>
      <c r="M1" s="13"/>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13.5" thickBot="1" x14ac:dyDescent="0.25">
      <c r="A2" s="3" t="s">
        <v>7</v>
      </c>
      <c r="B2" s="85"/>
      <c r="C2" s="85"/>
      <c r="D2" s="85"/>
      <c r="E2" s="85"/>
      <c r="F2" s="85"/>
      <c r="G2" s="85"/>
      <c r="H2" s="85"/>
      <c r="I2" s="85"/>
      <c r="J2" s="85"/>
      <c r="K2" s="85"/>
      <c r="L2" s="96"/>
      <c r="M2" s="13"/>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x14ac:dyDescent="0.2">
      <c r="A3" s="97" t="s">
        <v>8</v>
      </c>
      <c r="B3" s="14"/>
      <c r="C3" s="14"/>
      <c r="D3" s="14"/>
      <c r="E3" s="14"/>
      <c r="F3" s="15">
        <v>100</v>
      </c>
      <c r="G3" s="14"/>
      <c r="H3" s="15">
        <v>100</v>
      </c>
      <c r="I3" s="14"/>
      <c r="J3" s="14"/>
      <c r="K3" s="14"/>
      <c r="L3" s="16"/>
      <c r="M3" s="1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x14ac:dyDescent="0.2">
      <c r="A4" s="98"/>
      <c r="B4" s="17"/>
      <c r="C4" s="17"/>
      <c r="D4" s="17"/>
      <c r="E4" s="17"/>
      <c r="F4" s="18">
        <f>('Officieel ECE R65 testrapport'!F3/100)*38.43</f>
        <v>0</v>
      </c>
      <c r="G4" s="17"/>
      <c r="H4" s="18">
        <f>('Officieel ECE R65 testrapport'!H3/100)*38.43</f>
        <v>0</v>
      </c>
      <c r="I4" s="17"/>
      <c r="J4" s="17"/>
      <c r="K4" s="17"/>
      <c r="L4" s="19"/>
      <c r="M4" s="1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3.5" thickBot="1" x14ac:dyDescent="0.25">
      <c r="A5" s="99"/>
      <c r="B5" s="20"/>
      <c r="C5" s="20"/>
      <c r="D5" s="20"/>
      <c r="E5" s="20"/>
      <c r="F5" s="21">
        <v>1500</v>
      </c>
      <c r="G5" s="20"/>
      <c r="H5" s="21">
        <v>1500</v>
      </c>
      <c r="I5" s="20"/>
      <c r="J5" s="20"/>
      <c r="K5" s="20"/>
      <c r="L5" s="22"/>
      <c r="M5" s="13"/>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x14ac:dyDescent="0.2">
      <c r="A6" s="97" t="s">
        <v>9</v>
      </c>
      <c r="B6" s="14"/>
      <c r="C6" s="14"/>
      <c r="D6" s="14"/>
      <c r="E6" s="15">
        <v>100</v>
      </c>
      <c r="F6" s="14"/>
      <c r="G6" s="15">
        <v>150</v>
      </c>
      <c r="H6" s="14"/>
      <c r="I6" s="15">
        <v>100</v>
      </c>
      <c r="J6" s="14"/>
      <c r="K6" s="14"/>
      <c r="L6" s="16"/>
      <c r="M6" s="1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x14ac:dyDescent="0.2">
      <c r="A7" s="98"/>
      <c r="B7" s="17"/>
      <c r="C7" s="17"/>
      <c r="D7" s="17"/>
      <c r="E7" s="18">
        <f>('Officieel ECE R65 testrapport'!E4/100)*38.35</f>
        <v>0</v>
      </c>
      <c r="F7" s="17"/>
      <c r="G7" s="18">
        <f>('Officieel ECE R65 testrapport'!G4/100)*38.5</f>
        <v>0</v>
      </c>
      <c r="H7" s="17"/>
      <c r="I7" s="18">
        <f>('Officieel ECE R65 testrapport'!I4/100)*38.35</f>
        <v>0</v>
      </c>
      <c r="J7" s="17"/>
      <c r="K7" s="17"/>
      <c r="L7" s="19"/>
      <c r="M7" s="13"/>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3.5" thickBot="1" x14ac:dyDescent="0.25">
      <c r="A8" s="99"/>
      <c r="B8" s="20"/>
      <c r="C8" s="20"/>
      <c r="D8" s="20"/>
      <c r="E8" s="21">
        <v>1500</v>
      </c>
      <c r="F8" s="20"/>
      <c r="G8" s="21">
        <v>1500</v>
      </c>
      <c r="H8" s="20"/>
      <c r="I8" s="21">
        <v>1500</v>
      </c>
      <c r="J8" s="20"/>
      <c r="K8" s="20"/>
      <c r="L8" s="22"/>
      <c r="M8" s="13"/>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x14ac:dyDescent="0.2">
      <c r="A9" s="97" t="s">
        <v>10</v>
      </c>
      <c r="B9" s="15">
        <v>40</v>
      </c>
      <c r="C9" s="15">
        <v>40</v>
      </c>
      <c r="D9" s="15">
        <v>40</v>
      </c>
      <c r="E9" s="14"/>
      <c r="F9" s="15">
        <v>200</v>
      </c>
      <c r="G9" s="14"/>
      <c r="H9" s="15">
        <v>200</v>
      </c>
      <c r="I9" s="14"/>
      <c r="J9" s="15">
        <v>40</v>
      </c>
      <c r="K9" s="15">
        <v>40</v>
      </c>
      <c r="L9" s="23">
        <v>40</v>
      </c>
      <c r="M9" s="13"/>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x14ac:dyDescent="0.2">
      <c r="A10" s="98"/>
      <c r="B10" s="24" t="s">
        <v>11</v>
      </c>
      <c r="C10" s="18">
        <f>('Officieel ECE R65 testrapport'!C5/100)*35.98</f>
        <v>0</v>
      </c>
      <c r="D10" s="18">
        <f>('Officieel ECE R65 testrapport'!D5/100)*37.97</f>
        <v>0</v>
      </c>
      <c r="E10" s="17"/>
      <c r="F10" s="18">
        <f>('Officieel ECE R65 testrapport'!F5/100)*38.45</f>
        <v>0</v>
      </c>
      <c r="G10" s="17"/>
      <c r="H10" s="18">
        <f>('Officieel ECE R65 testrapport'!H5/100)*38.45</f>
        <v>0</v>
      </c>
      <c r="I10" s="17"/>
      <c r="J10" s="18">
        <f>('Officieel ECE R65 testrapport'!J5/100)*37.97</f>
        <v>0</v>
      </c>
      <c r="K10" s="18">
        <f>('Officieel ECE R65 testrapport'!K5/100)*35.98</f>
        <v>0</v>
      </c>
      <c r="L10" s="25" t="s">
        <v>11</v>
      </c>
      <c r="M10" s="13"/>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ht="13.5" thickBot="1" x14ac:dyDescent="0.25">
      <c r="A11" s="99"/>
      <c r="B11" s="21">
        <v>1000</v>
      </c>
      <c r="C11" s="21">
        <v>1000</v>
      </c>
      <c r="D11" s="21">
        <v>1000</v>
      </c>
      <c r="E11" s="26"/>
      <c r="F11" s="21">
        <v>3000</v>
      </c>
      <c r="G11" s="26"/>
      <c r="H11" s="21">
        <v>3000</v>
      </c>
      <c r="I11" s="26"/>
      <c r="J11" s="21">
        <v>1000</v>
      </c>
      <c r="K11" s="21">
        <v>1000</v>
      </c>
      <c r="L11" s="27">
        <v>1000</v>
      </c>
      <c r="M11" s="13"/>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x14ac:dyDescent="0.2">
      <c r="A12" s="97" t="s">
        <v>6</v>
      </c>
      <c r="B12" s="15">
        <v>100</v>
      </c>
      <c r="C12" s="15">
        <v>100</v>
      </c>
      <c r="D12" s="15">
        <v>100</v>
      </c>
      <c r="E12" s="28">
        <v>150</v>
      </c>
      <c r="F12" s="14"/>
      <c r="G12" s="15">
        <v>200</v>
      </c>
      <c r="H12" s="14"/>
      <c r="I12" s="23">
        <v>150</v>
      </c>
      <c r="J12" s="15">
        <v>100</v>
      </c>
      <c r="K12" s="15">
        <v>100</v>
      </c>
      <c r="L12" s="23">
        <v>100</v>
      </c>
      <c r="M12" s="13"/>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x14ac:dyDescent="0.2">
      <c r="A13" s="98"/>
      <c r="B13" s="24" t="s">
        <v>11</v>
      </c>
      <c r="C13" s="18">
        <f>('Officieel ECE R65 testrapport'!C6/100)*36.01</f>
        <v>0</v>
      </c>
      <c r="D13" s="18">
        <f>('Officieel ECE R65 testrapport'!D6/100)*37.99</f>
        <v>0</v>
      </c>
      <c r="E13" s="18">
        <f>('Officieel ECE R65 testrapport'!E6/100)*38.36</f>
        <v>0</v>
      </c>
      <c r="F13" s="17"/>
      <c r="G13" s="18">
        <f>('Officieel ECE R65 testrapport'!G6/100)*38.66</f>
        <v>0</v>
      </c>
      <c r="H13" s="17"/>
      <c r="I13" s="18">
        <f>('Officieel ECE R65 testrapport'!I6/100)*38.36</f>
        <v>0</v>
      </c>
      <c r="J13" s="18">
        <f>('Officieel ECE R65 testrapport'!J6/100)*37.99</f>
        <v>0</v>
      </c>
      <c r="K13" s="18">
        <f>('Officieel ECE R65 testrapport'!K6/100)*36.01</f>
        <v>0</v>
      </c>
      <c r="L13" s="25" t="s">
        <v>11</v>
      </c>
      <c r="M13" s="13"/>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ht="13.5" thickBot="1" x14ac:dyDescent="0.25">
      <c r="A14" s="99"/>
      <c r="B14" s="21">
        <v>1000</v>
      </c>
      <c r="C14" s="21">
        <v>1000</v>
      </c>
      <c r="D14" s="21">
        <v>1000</v>
      </c>
      <c r="E14" s="29">
        <v>1500</v>
      </c>
      <c r="F14" s="20"/>
      <c r="G14" s="21">
        <v>3000</v>
      </c>
      <c r="H14" s="20"/>
      <c r="I14" s="27">
        <v>1500</v>
      </c>
      <c r="J14" s="21">
        <v>1000</v>
      </c>
      <c r="K14" s="21">
        <v>1000</v>
      </c>
      <c r="L14" s="27">
        <v>1000</v>
      </c>
      <c r="M14" s="13"/>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x14ac:dyDescent="0.2">
      <c r="A15" s="97" t="s">
        <v>10</v>
      </c>
      <c r="B15" s="15">
        <v>40</v>
      </c>
      <c r="C15" s="15">
        <v>40</v>
      </c>
      <c r="D15" s="15">
        <v>40</v>
      </c>
      <c r="E15" s="14"/>
      <c r="F15" s="15">
        <v>200</v>
      </c>
      <c r="G15" s="14"/>
      <c r="H15" s="15">
        <v>200</v>
      </c>
      <c r="I15" s="14"/>
      <c r="J15" s="15">
        <v>40</v>
      </c>
      <c r="K15" s="15">
        <v>40</v>
      </c>
      <c r="L15" s="23">
        <v>40</v>
      </c>
      <c r="M15" s="13"/>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x14ac:dyDescent="0.2">
      <c r="A16" s="98"/>
      <c r="B16" s="24" t="s">
        <v>11</v>
      </c>
      <c r="C16" s="18">
        <f>('Officieel ECE R65 testrapport'!C7/100)*35.98</f>
        <v>0</v>
      </c>
      <c r="D16" s="18">
        <f>('Officieel ECE R65 testrapport'!D7/100)*37.97</f>
        <v>0</v>
      </c>
      <c r="E16" s="17"/>
      <c r="F16" s="18">
        <f>('Officieel ECE R65 testrapport'!F7/100)*38.45</f>
        <v>0</v>
      </c>
      <c r="G16" s="17"/>
      <c r="H16" s="18">
        <f>('Officieel ECE R65 testrapport'!H7/100)*38.45</f>
        <v>0</v>
      </c>
      <c r="I16" s="17"/>
      <c r="J16" s="18">
        <f>('Officieel ECE R65 testrapport'!J7/100)*37.97</f>
        <v>0</v>
      </c>
      <c r="K16" s="18">
        <f>('Officieel ECE R65 testrapport'!K7/100)*35.98</f>
        <v>0</v>
      </c>
      <c r="L16" s="25" t="s">
        <v>11</v>
      </c>
      <c r="M16" s="13"/>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ht="13.5" thickBot="1" x14ac:dyDescent="0.25">
      <c r="A17" s="99"/>
      <c r="B17" s="21">
        <v>1000</v>
      </c>
      <c r="C17" s="21">
        <v>1000</v>
      </c>
      <c r="D17" s="21">
        <v>1000</v>
      </c>
      <c r="E17" s="20"/>
      <c r="F17" s="21">
        <v>3000</v>
      </c>
      <c r="G17" s="30"/>
      <c r="H17" s="21">
        <v>3000</v>
      </c>
      <c r="I17" s="20"/>
      <c r="J17" s="21">
        <v>1000</v>
      </c>
      <c r="K17" s="21">
        <v>1000</v>
      </c>
      <c r="L17" s="27">
        <v>1000</v>
      </c>
      <c r="M17" s="13"/>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x14ac:dyDescent="0.2">
      <c r="A18" s="97" t="s">
        <v>9</v>
      </c>
      <c r="B18" s="14"/>
      <c r="C18" s="14"/>
      <c r="D18" s="14"/>
      <c r="E18" s="15">
        <v>100</v>
      </c>
      <c r="F18" s="14"/>
      <c r="G18" s="31">
        <v>150</v>
      </c>
      <c r="H18" s="14"/>
      <c r="I18" s="15">
        <v>100</v>
      </c>
      <c r="J18" s="14"/>
      <c r="K18" s="14"/>
      <c r="L18" s="16"/>
      <c r="M18" s="13"/>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x14ac:dyDescent="0.2">
      <c r="A19" s="98"/>
      <c r="B19" s="17"/>
      <c r="C19" s="17"/>
      <c r="D19" s="17"/>
      <c r="E19" s="18">
        <f>('Officieel ECE R65 testrapport'!E8/100)*38.35</f>
        <v>0</v>
      </c>
      <c r="F19" s="17"/>
      <c r="G19" s="18">
        <f>('Officieel ECE R65 testrapport'!G8/100)*38.5</f>
        <v>0</v>
      </c>
      <c r="H19" s="17"/>
      <c r="I19" s="18">
        <f>('Officieel ECE R65 testrapport'!I8/100)*38.35</f>
        <v>0</v>
      </c>
      <c r="J19" s="17"/>
      <c r="K19" s="17"/>
      <c r="L19" s="19"/>
      <c r="M19" s="13"/>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ht="13.5" thickBot="1" x14ac:dyDescent="0.25">
      <c r="A20" s="99"/>
      <c r="B20" s="20"/>
      <c r="C20" s="20"/>
      <c r="D20" s="20"/>
      <c r="E20" s="21">
        <v>1500</v>
      </c>
      <c r="F20" s="20"/>
      <c r="G20" s="21">
        <v>1500</v>
      </c>
      <c r="H20" s="20"/>
      <c r="I20" s="21">
        <v>1500</v>
      </c>
      <c r="J20" s="20"/>
      <c r="K20" s="20"/>
      <c r="L20" s="22"/>
      <c r="M20" s="13"/>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x14ac:dyDescent="0.2">
      <c r="A21" s="97" t="s">
        <v>8</v>
      </c>
      <c r="B21" s="14"/>
      <c r="C21" s="14"/>
      <c r="D21" s="14"/>
      <c r="E21" s="14"/>
      <c r="F21" s="15">
        <v>100</v>
      </c>
      <c r="G21" s="14"/>
      <c r="H21" s="15">
        <v>100</v>
      </c>
      <c r="I21" s="14"/>
      <c r="J21" s="14"/>
      <c r="K21" s="14"/>
      <c r="L21" s="16"/>
      <c r="M21" s="13"/>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x14ac:dyDescent="0.2">
      <c r="A22" s="98"/>
      <c r="B22" s="17"/>
      <c r="C22" s="17"/>
      <c r="D22" s="17"/>
      <c r="E22" s="17"/>
      <c r="F22" s="18">
        <f>('Officieel ECE R65 testrapport'!F9/100)*38.43</f>
        <v>0</v>
      </c>
      <c r="G22" s="17"/>
      <c r="H22" s="18">
        <f>('Officieel ECE R65 testrapport'!H9/100)*38.43</f>
        <v>0</v>
      </c>
      <c r="I22" s="17"/>
      <c r="J22" s="17"/>
      <c r="K22" s="17"/>
      <c r="L22" s="19"/>
      <c r="M22" s="13"/>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13.5" thickBot="1" x14ac:dyDescent="0.25">
      <c r="A23" s="99"/>
      <c r="B23" s="20"/>
      <c r="C23" s="20"/>
      <c r="D23" s="20"/>
      <c r="E23" s="20"/>
      <c r="F23" s="21">
        <v>1500</v>
      </c>
      <c r="G23" s="20"/>
      <c r="H23" s="21">
        <v>1500</v>
      </c>
      <c r="I23" s="20"/>
      <c r="J23" s="20"/>
      <c r="K23" s="20"/>
      <c r="L23" s="22"/>
      <c r="M23" s="13"/>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1:54" x14ac:dyDescent="0.2">
      <c r="A24" s="2"/>
      <c r="B24" s="82" t="s">
        <v>12</v>
      </c>
      <c r="C24" s="83"/>
      <c r="D24" s="82" t="s">
        <v>13</v>
      </c>
      <c r="E24" s="83"/>
      <c r="F24" s="83"/>
      <c r="G24" s="83"/>
      <c r="H24" s="83"/>
      <c r="I24" s="83"/>
      <c r="J24" s="88"/>
      <c r="K24" s="83" t="s">
        <v>12</v>
      </c>
      <c r="L24" s="83"/>
      <c r="M24" s="1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row>
    <row r="25" spans="1:54" ht="13.5" thickBot="1" x14ac:dyDescent="0.25">
      <c r="A25" s="2"/>
      <c r="B25" s="79" t="s">
        <v>14</v>
      </c>
      <c r="C25" s="80"/>
      <c r="D25" s="79" t="s">
        <v>14</v>
      </c>
      <c r="E25" s="80"/>
      <c r="F25" s="80"/>
      <c r="G25" s="80"/>
      <c r="H25" s="80"/>
      <c r="I25" s="80"/>
      <c r="J25" s="81"/>
      <c r="K25" s="80" t="s">
        <v>14</v>
      </c>
      <c r="L25" s="80"/>
      <c r="M25" s="13"/>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row>
    <row r="26" spans="1:54"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row>
    <row r="27" spans="1:54" ht="13.5" thickBo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spans="1:54" ht="13.5" thickTop="1" x14ac:dyDescent="0.2">
      <c r="A28" s="89" t="s">
        <v>20</v>
      </c>
      <c r="B28" s="90"/>
      <c r="C28" s="90"/>
      <c r="D28" s="90"/>
      <c r="E28" s="91"/>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ht="13.5" thickBot="1" x14ac:dyDescent="0.25">
      <c r="A29" s="92"/>
      <c r="B29" s="93"/>
      <c r="C29" s="93"/>
      <c r="D29" s="93"/>
      <c r="E29" s="94"/>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row>
    <row r="30" spans="1:54" ht="13.5" thickTop="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row>
    <row r="31" spans="1:54"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spans="1:54"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row>
    <row r="33" spans="1:54"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54"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1:54"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1:54"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4"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1:54"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1:54"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1:54"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4"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4"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1:54"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1:54"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1:54"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1:54"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1:54"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spans="1:54"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row>
    <row r="56" spans="1:54"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row>
    <row r="57" spans="1:54"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spans="1:54"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row>
    <row r="59" spans="1:54"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spans="1:54"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row>
    <row r="61" spans="1:54"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spans="1:54"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row>
  </sheetData>
  <sheetProtection algorithmName="SHA-512" hashValue="i52X/7tHY85tN0UJWW0sUSHRQnn8sPZvKQ5YtMoF5qIlnex3UoUX9iBrwOTThIUPGwPyD5Q5Z2gV5JrrqXg80g==" saltValue="aOHAHamBWe9gNWT0F+OmOQ==" spinCount="100000" sheet="1" objects="1" scenarios="1" selectLockedCells="1" selectUnlockedCells="1"/>
  <mergeCells count="25">
    <mergeCell ref="K24:L24"/>
    <mergeCell ref="B25:C25"/>
    <mergeCell ref="D25:J25"/>
    <mergeCell ref="K25:L25"/>
    <mergeCell ref="A12:A14"/>
    <mergeCell ref="A15:A17"/>
    <mergeCell ref="A18:A20"/>
    <mergeCell ref="B24:C24"/>
    <mergeCell ref="D24:J24"/>
    <mergeCell ref="A28:E29"/>
    <mergeCell ref="L1:L2"/>
    <mergeCell ref="A3:A5"/>
    <mergeCell ref="B1:B2"/>
    <mergeCell ref="C1:C2"/>
    <mergeCell ref="D1:D2"/>
    <mergeCell ref="E1:E2"/>
    <mergeCell ref="F1:F2"/>
    <mergeCell ref="G1:G2"/>
    <mergeCell ref="A21:A23"/>
    <mergeCell ref="H1:H2"/>
    <mergeCell ref="I1:I2"/>
    <mergeCell ref="J1:J2"/>
    <mergeCell ref="K1:K2"/>
    <mergeCell ref="A6:A8"/>
    <mergeCell ref="A9:A11"/>
  </mergeCells>
  <conditionalFormatting sqref="C10:D10">
    <cfRule type="cellIs" dxfId="650" priority="93" operator="between">
      <formula>$K$15</formula>
      <formula>$K$17</formula>
    </cfRule>
    <cfRule type="cellIs" dxfId="649" priority="94" operator="lessThan">
      <formula>$K$15</formula>
    </cfRule>
    <cfRule type="cellIs" dxfId="648" priority="95" operator="greaterThan">
      <formula>$K$17</formula>
    </cfRule>
    <cfRule type="cellIs" dxfId="647" priority="96" operator="between">
      <formula>$K$15</formula>
      <formula>$K$17</formula>
    </cfRule>
  </conditionalFormatting>
  <conditionalFormatting sqref="C13:D13">
    <cfRule type="cellIs" dxfId="646" priority="12" operator="between">
      <formula>$C$12</formula>
      <formula>$C$14</formula>
    </cfRule>
    <cfRule type="cellIs" dxfId="645" priority="10" operator="lessThan">
      <formula>$C$12</formula>
    </cfRule>
    <cfRule type="cellIs" dxfId="644" priority="11" operator="greaterThan">
      <formula>$C$14</formula>
    </cfRule>
  </conditionalFormatting>
  <conditionalFormatting sqref="C16:D16">
    <cfRule type="cellIs" dxfId="643" priority="87" operator="greaterThan">
      <formula>$K$17</formula>
    </cfRule>
    <cfRule type="cellIs" dxfId="642" priority="85" operator="between">
      <formula>$K$15</formula>
      <formula>$K$17</formula>
    </cfRule>
    <cfRule type="cellIs" dxfId="641" priority="86" operator="lessThan">
      <formula>$K$15</formula>
    </cfRule>
    <cfRule type="cellIs" dxfId="640" priority="88" operator="between">
      <formula>$K$15</formula>
      <formula>$K$17</formula>
    </cfRule>
  </conditionalFormatting>
  <conditionalFormatting sqref="D13">
    <cfRule type="cellIs" dxfId="639" priority="7" operator="between">
      <formula>$D$12</formula>
      <formula>$D$14</formula>
    </cfRule>
    <cfRule type="cellIs" dxfId="638" priority="8" operator="lessThan">
      <formula>$D$12</formula>
    </cfRule>
    <cfRule type="cellIs" dxfId="637" priority="9" operator="greaterThan">
      <formula>$D$14</formula>
    </cfRule>
  </conditionalFormatting>
  <conditionalFormatting sqref="E7">
    <cfRule type="cellIs" dxfId="636" priority="108" operator="lessThan">
      <formula>$F$3</formula>
    </cfRule>
    <cfRule type="cellIs" dxfId="635" priority="111" operator="between">
      <formula>$F$3</formula>
      <formula>$F$5</formula>
    </cfRule>
    <cfRule type="cellIs" dxfId="634" priority="110" operator="between">
      <formula>$F$3</formula>
      <formula>$F$5</formula>
    </cfRule>
    <cfRule type="cellIs" dxfId="633" priority="109" operator="greaterThan">
      <formula>$F$5</formula>
    </cfRule>
  </conditionalFormatting>
  <conditionalFormatting sqref="E13">
    <cfRule type="cellIs" dxfId="632" priority="103" operator="between">
      <formula>$G$18</formula>
      <formula>$G$20</formula>
    </cfRule>
    <cfRule type="cellIs" dxfId="631" priority="101" operator="lessThan">
      <formula>$G$18</formula>
    </cfRule>
    <cfRule type="cellIs" dxfId="630" priority="102" operator="greaterThan">
      <formula>$G$20</formula>
    </cfRule>
  </conditionalFormatting>
  <conditionalFormatting sqref="E19">
    <cfRule type="cellIs" dxfId="629" priority="107" operator="between">
      <formula>$F$3</formula>
      <formula>$F$5</formula>
    </cfRule>
    <cfRule type="cellIs" dxfId="628" priority="106" operator="between">
      <formula>$F$3</formula>
      <formula>$F$5</formula>
    </cfRule>
    <cfRule type="cellIs" dxfId="627" priority="105" operator="greaterThan">
      <formula>$F$5</formula>
    </cfRule>
    <cfRule type="cellIs" dxfId="626" priority="104" operator="lessThan">
      <formula>$F$3</formula>
    </cfRule>
  </conditionalFormatting>
  <conditionalFormatting sqref="F4">
    <cfRule type="cellIs" dxfId="625" priority="115" operator="between">
      <formula>$F$3</formula>
      <formula>$F$5</formula>
    </cfRule>
    <cfRule type="cellIs" dxfId="624" priority="112" operator="lessThan">
      <formula>$F$3</formula>
    </cfRule>
    <cfRule type="cellIs" dxfId="623" priority="113" operator="greaterThan">
      <formula>$F$5</formula>
    </cfRule>
    <cfRule type="cellIs" dxfId="622" priority="114" operator="between">
      <formula>$F$3</formula>
      <formula>$F$5</formula>
    </cfRule>
  </conditionalFormatting>
  <conditionalFormatting sqref="F10">
    <cfRule type="cellIs" dxfId="621" priority="78" operator="greaterThan">
      <formula>$H$11</formula>
    </cfRule>
    <cfRule type="cellIs" dxfId="620" priority="77" operator="lessThan">
      <formula>$H$9</formula>
    </cfRule>
    <cfRule type="cellIs" dxfId="619" priority="76" operator="between">
      <formula>$H$9</formula>
      <formula>$H$11</formula>
    </cfRule>
  </conditionalFormatting>
  <conditionalFormatting sqref="F16">
    <cfRule type="cellIs" dxfId="618" priority="81" operator="greaterThan">
      <formula>$H$11</formula>
    </cfRule>
    <cfRule type="cellIs" dxfId="617" priority="80" operator="lessThan">
      <formula>$H$9</formula>
    </cfRule>
    <cfRule type="cellIs" dxfId="616" priority="79" operator="between">
      <formula>$H$9</formula>
      <formula>$H$11</formula>
    </cfRule>
  </conditionalFormatting>
  <conditionalFormatting sqref="F22">
    <cfRule type="cellIs" dxfId="615" priority="65" operator="lessThan">
      <formula>$F$3</formula>
    </cfRule>
    <cfRule type="cellIs" dxfId="614" priority="66" operator="greaterThan">
      <formula>$F$5</formula>
    </cfRule>
    <cfRule type="cellIs" dxfId="613" priority="67" operator="between">
      <formula>$F$3</formula>
      <formula>$F$5</formula>
    </cfRule>
    <cfRule type="cellIs" dxfId="612" priority="68" operator="between">
      <formula>$F$3</formula>
      <formula>$F$5</formula>
    </cfRule>
  </conditionalFormatting>
  <conditionalFormatting sqref="G7">
    <cfRule type="cellIs" dxfId="611" priority="18" operator="between">
      <formula>$G$18</formula>
      <formula>$G$20</formula>
    </cfRule>
    <cfRule type="cellIs" dxfId="610" priority="17" operator="greaterThan">
      <formula>$G$20</formula>
    </cfRule>
    <cfRule type="cellIs" dxfId="609" priority="16" operator="lessThan">
      <formula>$G$18</formula>
    </cfRule>
    <cfRule type="cellIs" dxfId="608" priority="15" operator="greaterThan">
      <formula>$G$8</formula>
    </cfRule>
    <cfRule type="cellIs" dxfId="607" priority="14" operator="lessThan">
      <formula>$G$6</formula>
    </cfRule>
    <cfRule type="cellIs" dxfId="606" priority="13" operator="between">
      <formula>$G$6</formula>
      <formula>$G$8</formula>
    </cfRule>
  </conditionalFormatting>
  <conditionalFormatting sqref="G13">
    <cfRule type="cellIs" dxfId="605" priority="73" operator="between">
      <formula>$H$9</formula>
      <formula>$H$11</formula>
    </cfRule>
    <cfRule type="cellIs" dxfId="604" priority="75" operator="greaterThan">
      <formula>$H$11</formula>
    </cfRule>
    <cfRule type="cellIs" dxfId="603" priority="74" operator="lessThan">
      <formula>$H$9</formula>
    </cfRule>
  </conditionalFormatting>
  <conditionalFormatting sqref="G19">
    <cfRule type="cellIs" dxfId="602" priority="20" operator="lessThan">
      <formula>$G$6</formula>
    </cfRule>
    <cfRule type="cellIs" dxfId="601" priority="21" operator="greaterThan">
      <formula>$G$8</formula>
    </cfRule>
    <cfRule type="cellIs" dxfId="600" priority="22" operator="lessThan">
      <formula>$G$18</formula>
    </cfRule>
    <cfRule type="cellIs" dxfId="599" priority="24" operator="between">
      <formula>$G$18</formula>
      <formula>$G$20</formula>
    </cfRule>
    <cfRule type="cellIs" dxfId="598" priority="23" operator="greaterThan">
      <formula>$G$20</formula>
    </cfRule>
    <cfRule type="cellIs" dxfId="597" priority="19" operator="between">
      <formula>$G$6</formula>
      <formula>$G$8</formula>
    </cfRule>
  </conditionalFormatting>
  <conditionalFormatting sqref="H4">
    <cfRule type="cellIs" dxfId="596" priority="70" operator="greaterThan">
      <formula>$F$5</formula>
    </cfRule>
    <cfRule type="cellIs" dxfId="595" priority="71" operator="between">
      <formula>$F$3</formula>
      <formula>$F$5</formula>
    </cfRule>
    <cfRule type="cellIs" dxfId="594" priority="72" operator="between">
      <formula>$F$3</formula>
      <formula>$F$5</formula>
    </cfRule>
    <cfRule type="cellIs" dxfId="593" priority="69" operator="lessThan">
      <formula>$F$3</formula>
    </cfRule>
  </conditionalFormatting>
  <conditionalFormatting sqref="H10">
    <cfRule type="cellIs" dxfId="592" priority="30" operator="greaterThan">
      <formula>$H$11</formula>
    </cfRule>
    <cfRule type="cellIs" dxfId="591" priority="28" operator="between">
      <formula>$H$9</formula>
      <formula>$H$11</formula>
    </cfRule>
    <cfRule type="cellIs" dxfId="590" priority="29" operator="lessThan">
      <formula>$H$9</formula>
    </cfRule>
  </conditionalFormatting>
  <conditionalFormatting sqref="H16">
    <cfRule type="cellIs" dxfId="589" priority="25" operator="between">
      <formula>$H$9</formula>
      <formula>$H$11</formula>
    </cfRule>
    <cfRule type="cellIs" dxfId="588" priority="26" operator="lessThan">
      <formula>$H$9</formula>
    </cfRule>
    <cfRule type="cellIs" dxfId="587" priority="27" operator="greaterThan">
      <formula>$H$11</formula>
    </cfRule>
  </conditionalFormatting>
  <conditionalFormatting sqref="H22">
    <cfRule type="cellIs" dxfId="586" priority="64" operator="between">
      <formula>$F$3</formula>
      <formula>$F$5</formula>
    </cfRule>
    <cfRule type="cellIs" dxfId="585" priority="63" operator="between">
      <formula>$F$3</formula>
      <formula>$F$5</formula>
    </cfRule>
    <cfRule type="cellIs" dxfId="584" priority="62" operator="greaterThan">
      <formula>$F$5</formula>
    </cfRule>
    <cfRule type="cellIs" dxfId="583" priority="61" operator="lessThan">
      <formula>$F$3</formula>
    </cfRule>
  </conditionalFormatting>
  <conditionalFormatting sqref="I7">
    <cfRule type="cellIs" dxfId="582" priority="60" operator="between">
      <formula>$F$3</formula>
      <formula>$F$5</formula>
    </cfRule>
    <cfRule type="cellIs" dxfId="581" priority="57" operator="lessThan">
      <formula>$F$3</formula>
    </cfRule>
    <cfRule type="cellIs" dxfId="580" priority="58" operator="greaterThan">
      <formula>$F$5</formula>
    </cfRule>
    <cfRule type="cellIs" dxfId="579" priority="59" operator="between">
      <formula>$F$3</formula>
      <formula>$F$5</formula>
    </cfRule>
  </conditionalFormatting>
  <conditionalFormatting sqref="I13">
    <cfRule type="cellIs" dxfId="578" priority="31" operator="lessThan">
      <formula>$G$18</formula>
    </cfRule>
    <cfRule type="cellIs" dxfId="577" priority="32" operator="greaterThan">
      <formula>$G$20</formula>
    </cfRule>
    <cfRule type="cellIs" dxfId="576" priority="33" operator="between">
      <formula>$G$18</formula>
      <formula>$G$20</formula>
    </cfRule>
  </conditionalFormatting>
  <conditionalFormatting sqref="I19">
    <cfRule type="cellIs" dxfId="575" priority="55" operator="between">
      <formula>$F$3</formula>
      <formula>$F$5</formula>
    </cfRule>
    <cfRule type="cellIs" dxfId="574" priority="54" operator="greaterThan">
      <formula>$F$5</formula>
    </cfRule>
    <cfRule type="cellIs" dxfId="573" priority="53" operator="lessThan">
      <formula>$F$3</formula>
    </cfRule>
    <cfRule type="cellIs" dxfId="572" priority="56" operator="between">
      <formula>$F$3</formula>
      <formula>$F$5</formula>
    </cfRule>
  </conditionalFormatting>
  <conditionalFormatting sqref="J13">
    <cfRule type="cellIs" dxfId="571" priority="1" operator="between">
      <formula>$D$12</formula>
      <formula>$D$14</formula>
    </cfRule>
    <cfRule type="cellIs" dxfId="570" priority="3" operator="greaterThan">
      <formula>$D$14</formula>
    </cfRule>
    <cfRule type="cellIs" dxfId="569" priority="2" operator="lessThan">
      <formula>$D$12</formula>
    </cfRule>
  </conditionalFormatting>
  <conditionalFormatting sqref="J10:K10">
    <cfRule type="cellIs" dxfId="568" priority="41" operator="between">
      <formula>$K$15</formula>
      <formula>$K$17</formula>
    </cfRule>
    <cfRule type="cellIs" dxfId="567" priority="38" operator="between">
      <formula>$K$15</formula>
      <formula>$K$17</formula>
    </cfRule>
    <cfRule type="cellIs" dxfId="566" priority="39" operator="lessThan">
      <formula>$K$15</formula>
    </cfRule>
    <cfRule type="cellIs" dxfId="565" priority="40" operator="greaterThan">
      <formula>$K$17</formula>
    </cfRule>
  </conditionalFormatting>
  <conditionalFormatting sqref="J13:K13">
    <cfRule type="cellIs" dxfId="564" priority="6" operator="between">
      <formula>$C$12</formula>
      <formula>$C$14</formula>
    </cfRule>
    <cfRule type="cellIs" dxfId="563" priority="5" operator="greaterThan">
      <formula>$C$14</formula>
    </cfRule>
    <cfRule type="cellIs" dxfId="562" priority="4" operator="lessThan">
      <formula>$C$12</formula>
    </cfRule>
  </conditionalFormatting>
  <conditionalFormatting sqref="J16:K16">
    <cfRule type="cellIs" dxfId="561" priority="36" operator="greaterThan">
      <formula>$K$17</formula>
    </cfRule>
    <cfRule type="cellIs" dxfId="560" priority="34" operator="between">
      <formula>$K$15</formula>
      <formula>$K$17</formula>
    </cfRule>
    <cfRule type="cellIs" dxfId="559" priority="35" operator="lessThan">
      <formula>$K$15</formula>
    </cfRule>
    <cfRule type="cellIs" dxfId="558" priority="37" operator="between">
      <formula>$K$15</formula>
      <formula>$K$17</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BB62"/>
  <sheetViews>
    <sheetView workbookViewId="0">
      <selection activeCell="A28" sqref="A28:E29"/>
    </sheetView>
  </sheetViews>
  <sheetFormatPr defaultRowHeight="12.75" x14ac:dyDescent="0.2"/>
  <cols>
    <col min="7" max="7" width="9.140625" customWidth="1"/>
  </cols>
  <sheetData>
    <row r="1" spans="1:54" x14ac:dyDescent="0.2">
      <c r="A1" s="1" t="s">
        <v>0</v>
      </c>
      <c r="B1" s="84" t="s">
        <v>1</v>
      </c>
      <c r="C1" s="84" t="s">
        <v>2</v>
      </c>
      <c r="D1" s="84" t="s">
        <v>3</v>
      </c>
      <c r="E1" s="84" t="s">
        <v>4</v>
      </c>
      <c r="F1" s="84" t="s">
        <v>5</v>
      </c>
      <c r="G1" s="84" t="s">
        <v>6</v>
      </c>
      <c r="H1" s="84" t="s">
        <v>5</v>
      </c>
      <c r="I1" s="84" t="s">
        <v>4</v>
      </c>
      <c r="J1" s="84" t="s">
        <v>3</v>
      </c>
      <c r="K1" s="84" t="s">
        <v>2</v>
      </c>
      <c r="L1" s="95" t="s">
        <v>1</v>
      </c>
      <c r="M1" s="13"/>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13.5" thickBot="1" x14ac:dyDescent="0.25">
      <c r="A2" s="3" t="s">
        <v>7</v>
      </c>
      <c r="B2" s="85"/>
      <c r="C2" s="85"/>
      <c r="D2" s="85"/>
      <c r="E2" s="85"/>
      <c r="F2" s="85"/>
      <c r="G2" s="85"/>
      <c r="H2" s="85"/>
      <c r="I2" s="85"/>
      <c r="J2" s="85"/>
      <c r="K2" s="85"/>
      <c r="L2" s="96"/>
      <c r="M2" s="13"/>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x14ac:dyDescent="0.2">
      <c r="A3" s="97" t="s">
        <v>8</v>
      </c>
      <c r="B3" s="14"/>
      <c r="C3" s="14"/>
      <c r="D3" s="14"/>
      <c r="E3" s="14"/>
      <c r="F3" s="15">
        <v>100</v>
      </c>
      <c r="G3" s="14"/>
      <c r="H3" s="15">
        <v>100</v>
      </c>
      <c r="I3" s="14"/>
      <c r="J3" s="14"/>
      <c r="K3" s="14"/>
      <c r="L3" s="16"/>
      <c r="M3" s="1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x14ac:dyDescent="0.2">
      <c r="A4" s="98"/>
      <c r="B4" s="17"/>
      <c r="C4" s="17"/>
      <c r="D4" s="17"/>
      <c r="E4" s="17"/>
      <c r="F4" s="18">
        <f>('Officieel ECE R65 testrapport'!F3/100)*55.72</f>
        <v>0</v>
      </c>
      <c r="G4" s="17"/>
      <c r="H4" s="18">
        <f>('Officieel ECE R65 testrapport'!H3/100)*55.72</f>
        <v>0</v>
      </c>
      <c r="I4" s="17"/>
      <c r="J4" s="17"/>
      <c r="K4" s="17"/>
      <c r="L4" s="19"/>
      <c r="M4" s="1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3.5" thickBot="1" x14ac:dyDescent="0.25">
      <c r="A5" s="99"/>
      <c r="B5" s="20"/>
      <c r="C5" s="20"/>
      <c r="D5" s="20"/>
      <c r="E5" s="20"/>
      <c r="F5" s="21">
        <v>1500</v>
      </c>
      <c r="G5" s="20"/>
      <c r="H5" s="21">
        <v>1500</v>
      </c>
      <c r="I5" s="20"/>
      <c r="J5" s="20"/>
      <c r="K5" s="20"/>
      <c r="L5" s="22"/>
      <c r="M5" s="13"/>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x14ac:dyDescent="0.2">
      <c r="A6" s="97" t="s">
        <v>9</v>
      </c>
      <c r="B6" s="14"/>
      <c r="C6" s="14"/>
      <c r="D6" s="14"/>
      <c r="E6" s="15">
        <v>100</v>
      </c>
      <c r="F6" s="14"/>
      <c r="G6" s="15">
        <v>150</v>
      </c>
      <c r="H6" s="14"/>
      <c r="I6" s="15">
        <v>100</v>
      </c>
      <c r="J6" s="14"/>
      <c r="K6" s="14"/>
      <c r="L6" s="16"/>
      <c r="M6" s="1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x14ac:dyDescent="0.2">
      <c r="A7" s="98"/>
      <c r="B7" s="17"/>
      <c r="C7" s="17"/>
      <c r="D7" s="17"/>
      <c r="E7" s="18">
        <f>('Officieel ECE R65 testrapport'!E4/100)*55.45</f>
        <v>0</v>
      </c>
      <c r="F7" s="17"/>
      <c r="G7" s="18">
        <f>('Officieel ECE R65 testrapport'!G4/100)*55.94</f>
        <v>0</v>
      </c>
      <c r="H7" s="17"/>
      <c r="I7" s="18">
        <f>('Officieel ECE R65 testrapport'!I4/100)*55.45</f>
        <v>0</v>
      </c>
      <c r="J7" s="17"/>
      <c r="K7" s="17"/>
      <c r="L7" s="19"/>
      <c r="M7" s="13"/>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3.5" thickBot="1" x14ac:dyDescent="0.25">
      <c r="A8" s="99"/>
      <c r="B8" s="20"/>
      <c r="C8" s="20"/>
      <c r="D8" s="20"/>
      <c r="E8" s="21">
        <v>1500</v>
      </c>
      <c r="F8" s="20"/>
      <c r="G8" s="21">
        <v>1500</v>
      </c>
      <c r="H8" s="20"/>
      <c r="I8" s="21">
        <v>1500</v>
      </c>
      <c r="J8" s="20"/>
      <c r="K8" s="20"/>
      <c r="L8" s="22"/>
      <c r="M8" s="13"/>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x14ac:dyDescent="0.2">
      <c r="A9" s="97" t="s">
        <v>10</v>
      </c>
      <c r="B9" s="15">
        <v>40</v>
      </c>
      <c r="C9" s="15">
        <v>40</v>
      </c>
      <c r="D9" s="15">
        <v>40</v>
      </c>
      <c r="E9" s="14"/>
      <c r="F9" s="15">
        <v>200</v>
      </c>
      <c r="G9" s="14"/>
      <c r="H9" s="15">
        <v>200</v>
      </c>
      <c r="I9" s="14"/>
      <c r="J9" s="15">
        <v>40</v>
      </c>
      <c r="K9" s="15">
        <v>40</v>
      </c>
      <c r="L9" s="23">
        <v>40</v>
      </c>
      <c r="M9" s="13"/>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x14ac:dyDescent="0.2">
      <c r="A10" s="98"/>
      <c r="B10" s="24" t="s">
        <v>11</v>
      </c>
      <c r="C10" s="18">
        <f>('Officieel ECE R65 testrapport'!C5/100)*51.71</f>
        <v>0</v>
      </c>
      <c r="D10" s="18">
        <f>('Officieel ECE R65 testrapport'!D5/100)*54.76</f>
        <v>0</v>
      </c>
      <c r="E10" s="17"/>
      <c r="F10" s="18">
        <f>('Officieel ECE R65 testrapport'!F5/100)*55.78</f>
        <v>0</v>
      </c>
      <c r="G10" s="17"/>
      <c r="H10" s="18">
        <f>('Officieel ECE R65 testrapport'!H5/100)*55.78</f>
        <v>0</v>
      </c>
      <c r="I10" s="17"/>
      <c r="J10" s="18">
        <f>('Officieel ECE R65 testrapport'!J5/100)*54.76</f>
        <v>0</v>
      </c>
      <c r="K10" s="18">
        <f>('Officieel ECE R65 testrapport'!K5/100)*51.71</f>
        <v>0</v>
      </c>
      <c r="L10" s="25" t="s">
        <v>11</v>
      </c>
      <c r="M10" s="13"/>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ht="13.5" thickBot="1" x14ac:dyDescent="0.25">
      <c r="A11" s="99"/>
      <c r="B11" s="21">
        <v>1000</v>
      </c>
      <c r="C11" s="21">
        <v>1000</v>
      </c>
      <c r="D11" s="21">
        <v>1000</v>
      </c>
      <c r="E11" s="26"/>
      <c r="F11" s="21">
        <v>3000</v>
      </c>
      <c r="G11" s="26"/>
      <c r="H11" s="21">
        <v>3000</v>
      </c>
      <c r="I11" s="26"/>
      <c r="J11" s="21">
        <v>1000</v>
      </c>
      <c r="K11" s="21">
        <v>1000</v>
      </c>
      <c r="L11" s="27">
        <v>1000</v>
      </c>
      <c r="M11" s="13"/>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x14ac:dyDescent="0.2">
      <c r="A12" s="97" t="s">
        <v>6</v>
      </c>
      <c r="B12" s="15">
        <v>100</v>
      </c>
      <c r="C12" s="15">
        <v>100</v>
      </c>
      <c r="D12" s="15">
        <v>100</v>
      </c>
      <c r="E12" s="28">
        <v>150</v>
      </c>
      <c r="F12" s="14"/>
      <c r="G12" s="15">
        <v>200</v>
      </c>
      <c r="H12" s="14"/>
      <c r="I12" s="23">
        <v>150</v>
      </c>
      <c r="J12" s="15">
        <v>100</v>
      </c>
      <c r="K12" s="15">
        <v>100</v>
      </c>
      <c r="L12" s="23">
        <v>100</v>
      </c>
      <c r="M12" s="13"/>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x14ac:dyDescent="0.2">
      <c r="A13" s="98"/>
      <c r="B13" s="24" t="s">
        <v>11</v>
      </c>
      <c r="C13" s="18">
        <f>('Officieel ECE R65 testrapport'!C6/100)*51.76</f>
        <v>0</v>
      </c>
      <c r="D13" s="18">
        <f>('Officieel ECE R65 testrapport'!D6/100)*54.78</f>
        <v>0</v>
      </c>
      <c r="E13" s="18">
        <f>('Officieel ECE R65 testrapport'!E6/100)*55.49</f>
        <v>0</v>
      </c>
      <c r="F13" s="17"/>
      <c r="G13" s="18">
        <f>('Officieel ECE R65 testrapport'!G6/100)*56.28</f>
        <v>0</v>
      </c>
      <c r="H13" s="17"/>
      <c r="I13" s="18">
        <f>('Officieel ECE R65 testrapport'!I6/100)*55.49</f>
        <v>0</v>
      </c>
      <c r="J13" s="18">
        <f>('Officieel ECE R65 testrapport'!J6/100)*54.78</f>
        <v>0</v>
      </c>
      <c r="K13" s="18">
        <f>('Officieel ECE R65 testrapport'!K6/100)*51.76</f>
        <v>0</v>
      </c>
      <c r="L13" s="25" t="s">
        <v>11</v>
      </c>
      <c r="M13" s="13"/>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ht="13.5" thickBot="1" x14ac:dyDescent="0.25">
      <c r="A14" s="99"/>
      <c r="B14" s="21">
        <v>1000</v>
      </c>
      <c r="C14" s="21">
        <v>1000</v>
      </c>
      <c r="D14" s="21">
        <v>1000</v>
      </c>
      <c r="E14" s="29">
        <v>1500</v>
      </c>
      <c r="F14" s="20"/>
      <c r="G14" s="21">
        <v>3000</v>
      </c>
      <c r="H14" s="20"/>
      <c r="I14" s="27">
        <v>1500</v>
      </c>
      <c r="J14" s="21">
        <v>1000</v>
      </c>
      <c r="K14" s="21">
        <v>1000</v>
      </c>
      <c r="L14" s="27">
        <v>1000</v>
      </c>
      <c r="M14" s="13"/>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x14ac:dyDescent="0.2">
      <c r="A15" s="97" t="s">
        <v>10</v>
      </c>
      <c r="B15" s="15">
        <v>40</v>
      </c>
      <c r="C15" s="15">
        <v>40</v>
      </c>
      <c r="D15" s="15">
        <v>40</v>
      </c>
      <c r="E15" s="14"/>
      <c r="F15" s="15">
        <v>200</v>
      </c>
      <c r="G15" s="14"/>
      <c r="H15" s="15">
        <v>200</v>
      </c>
      <c r="I15" s="14"/>
      <c r="J15" s="15">
        <v>40</v>
      </c>
      <c r="K15" s="15">
        <v>40</v>
      </c>
      <c r="L15" s="23">
        <v>40</v>
      </c>
      <c r="M15" s="13"/>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x14ac:dyDescent="0.2">
      <c r="A16" s="98"/>
      <c r="B16" s="24" t="s">
        <v>11</v>
      </c>
      <c r="C16" s="18">
        <f>('Officieel ECE R65 testrapport'!C7/100)*51.71</f>
        <v>0</v>
      </c>
      <c r="D16" s="18">
        <f>('Officieel ECE R65 testrapport'!D7/100)*54.76</f>
        <v>0</v>
      </c>
      <c r="E16" s="17"/>
      <c r="F16" s="18">
        <f>('Officieel ECE R65 testrapport'!F7/100)*55.78</f>
        <v>0</v>
      </c>
      <c r="G16" s="17"/>
      <c r="H16" s="18">
        <f>('Officieel ECE R65 testrapport'!H7/100)*55.78</f>
        <v>0</v>
      </c>
      <c r="I16" s="17"/>
      <c r="J16" s="18">
        <f>('Officieel ECE R65 testrapport'!J7/100)*54.76</f>
        <v>0</v>
      </c>
      <c r="K16" s="18">
        <f>('Officieel ECE R65 testrapport'!K7/100)*51.71</f>
        <v>0</v>
      </c>
      <c r="L16" s="25" t="s">
        <v>11</v>
      </c>
      <c r="M16" s="13"/>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ht="13.5" thickBot="1" x14ac:dyDescent="0.25">
      <c r="A17" s="99"/>
      <c r="B17" s="21">
        <v>1000</v>
      </c>
      <c r="C17" s="21">
        <v>1000</v>
      </c>
      <c r="D17" s="21">
        <v>1000</v>
      </c>
      <c r="E17" s="20"/>
      <c r="F17" s="21">
        <v>3000</v>
      </c>
      <c r="G17" s="30"/>
      <c r="H17" s="21">
        <v>3000</v>
      </c>
      <c r="I17" s="20"/>
      <c r="J17" s="21">
        <v>1000</v>
      </c>
      <c r="K17" s="21">
        <v>1000</v>
      </c>
      <c r="L17" s="27">
        <v>1000</v>
      </c>
      <c r="M17" s="13"/>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x14ac:dyDescent="0.2">
      <c r="A18" s="97" t="s">
        <v>9</v>
      </c>
      <c r="B18" s="14"/>
      <c r="C18" s="14"/>
      <c r="D18" s="14"/>
      <c r="E18" s="15">
        <v>100</v>
      </c>
      <c r="F18" s="14"/>
      <c r="G18" s="31">
        <v>150</v>
      </c>
      <c r="H18" s="14"/>
      <c r="I18" s="15">
        <v>100</v>
      </c>
      <c r="J18" s="14"/>
      <c r="K18" s="14"/>
      <c r="L18" s="16"/>
      <c r="M18" s="13"/>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x14ac:dyDescent="0.2">
      <c r="A19" s="98"/>
      <c r="B19" s="17"/>
      <c r="C19" s="17"/>
      <c r="D19" s="17"/>
      <c r="E19" s="18">
        <f>('Officieel ECE R65 testrapport'!E8/100)*55.45</f>
        <v>0</v>
      </c>
      <c r="F19" s="17"/>
      <c r="G19" s="18">
        <f>('Officieel ECE R65 testrapport'!G8/100)*55.94</f>
        <v>0</v>
      </c>
      <c r="H19" s="17"/>
      <c r="I19" s="18">
        <f>('Officieel ECE R65 testrapport'!I8/100)*55.45</f>
        <v>0</v>
      </c>
      <c r="J19" s="17"/>
      <c r="K19" s="17"/>
      <c r="L19" s="19"/>
      <c r="M19" s="13"/>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ht="13.5" thickBot="1" x14ac:dyDescent="0.25">
      <c r="A20" s="99"/>
      <c r="B20" s="20"/>
      <c r="C20" s="20"/>
      <c r="D20" s="20"/>
      <c r="E20" s="21">
        <v>1500</v>
      </c>
      <c r="F20" s="20"/>
      <c r="G20" s="21">
        <v>1500</v>
      </c>
      <c r="H20" s="20"/>
      <c r="I20" s="21">
        <v>1500</v>
      </c>
      <c r="J20" s="20"/>
      <c r="K20" s="20"/>
      <c r="L20" s="22"/>
      <c r="M20" s="13"/>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x14ac:dyDescent="0.2">
      <c r="A21" s="97" t="s">
        <v>8</v>
      </c>
      <c r="B21" s="14"/>
      <c r="C21" s="14"/>
      <c r="D21" s="14"/>
      <c r="E21" s="14"/>
      <c r="F21" s="15">
        <v>100</v>
      </c>
      <c r="G21" s="14"/>
      <c r="H21" s="15">
        <v>100</v>
      </c>
      <c r="I21" s="14"/>
      <c r="J21" s="14"/>
      <c r="K21" s="14"/>
      <c r="L21" s="16"/>
      <c r="M21" s="13"/>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x14ac:dyDescent="0.2">
      <c r="A22" s="98"/>
      <c r="B22" s="17"/>
      <c r="C22" s="17"/>
      <c r="D22" s="17"/>
      <c r="E22" s="17"/>
      <c r="F22" s="18">
        <f>('Officieel ECE R65 testrapport'!F9/100)*55.72</f>
        <v>0</v>
      </c>
      <c r="G22" s="17"/>
      <c r="H22" s="18">
        <f>('Officieel ECE R65 testrapport'!H9/100)*55.72</f>
        <v>0</v>
      </c>
      <c r="I22" s="17"/>
      <c r="J22" s="17"/>
      <c r="K22" s="17"/>
      <c r="L22" s="19"/>
      <c r="M22" s="13"/>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13.5" thickBot="1" x14ac:dyDescent="0.25">
      <c r="A23" s="99"/>
      <c r="B23" s="20"/>
      <c r="C23" s="20"/>
      <c r="D23" s="20"/>
      <c r="E23" s="20"/>
      <c r="F23" s="21">
        <v>1500</v>
      </c>
      <c r="G23" s="20"/>
      <c r="H23" s="21">
        <v>1500</v>
      </c>
      <c r="I23" s="20"/>
      <c r="J23" s="20"/>
      <c r="K23" s="20"/>
      <c r="L23" s="22"/>
      <c r="M23" s="13"/>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1:54" x14ac:dyDescent="0.2">
      <c r="A24" s="2"/>
      <c r="B24" s="82" t="s">
        <v>12</v>
      </c>
      <c r="C24" s="83"/>
      <c r="D24" s="82" t="s">
        <v>13</v>
      </c>
      <c r="E24" s="83"/>
      <c r="F24" s="83"/>
      <c r="G24" s="83"/>
      <c r="H24" s="83"/>
      <c r="I24" s="83"/>
      <c r="J24" s="88"/>
      <c r="K24" s="83" t="s">
        <v>12</v>
      </c>
      <c r="L24" s="83"/>
      <c r="M24" s="1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row>
    <row r="25" spans="1:54" ht="13.5" thickBot="1" x14ac:dyDescent="0.25">
      <c r="A25" s="2"/>
      <c r="B25" s="79" t="s">
        <v>14</v>
      </c>
      <c r="C25" s="80"/>
      <c r="D25" s="79" t="s">
        <v>14</v>
      </c>
      <c r="E25" s="80"/>
      <c r="F25" s="80"/>
      <c r="G25" s="80"/>
      <c r="H25" s="80"/>
      <c r="I25" s="80"/>
      <c r="J25" s="81"/>
      <c r="K25" s="80" t="s">
        <v>14</v>
      </c>
      <c r="L25" s="80"/>
      <c r="M25" s="13"/>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row>
    <row r="26" spans="1:54"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row>
    <row r="27" spans="1:54" ht="13.5" thickBo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spans="1:54" ht="13.5" thickTop="1" x14ac:dyDescent="0.2">
      <c r="A28" s="89" t="s">
        <v>21</v>
      </c>
      <c r="B28" s="90"/>
      <c r="C28" s="90"/>
      <c r="D28" s="90"/>
      <c r="E28" s="91"/>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ht="13.5" thickBot="1" x14ac:dyDescent="0.25">
      <c r="A29" s="92"/>
      <c r="B29" s="93"/>
      <c r="C29" s="93"/>
      <c r="D29" s="93"/>
      <c r="E29" s="94"/>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row>
    <row r="30" spans="1:54" ht="13.5" thickTop="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row>
    <row r="31" spans="1:54"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spans="1:54"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row>
    <row r="33" spans="1:54"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54"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1:54"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1:54"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4"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1:54"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1:54"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1:54"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4"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4"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1:54"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1:54"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1:54"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1:54"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1:54"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spans="1:54"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row>
    <row r="56" spans="1:54"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row>
    <row r="57" spans="1:54"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spans="1:54"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row>
    <row r="59" spans="1:54"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spans="1:54"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row>
    <row r="61" spans="1:54"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spans="1:54"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row>
  </sheetData>
  <sheetProtection algorithmName="SHA-512" hashValue="c+5Hcyv4eH9YvUWftblcfLqk2eAnO4bidd+Jb/0KZZKBw3L0nTRNJZI86EtFz76BDO8WIdNx4hI9JzbKtFZ4fA==" saltValue="6/IEJiMQBs7wbR7YmdmE5g==" spinCount="100000" sheet="1" objects="1" scenarios="1" selectLockedCells="1" selectUnlockedCells="1"/>
  <mergeCells count="25">
    <mergeCell ref="K24:L24"/>
    <mergeCell ref="B25:C25"/>
    <mergeCell ref="D25:J25"/>
    <mergeCell ref="K25:L25"/>
    <mergeCell ref="A12:A14"/>
    <mergeCell ref="A15:A17"/>
    <mergeCell ref="A18:A20"/>
    <mergeCell ref="B24:C24"/>
    <mergeCell ref="D24:J24"/>
    <mergeCell ref="A28:E29"/>
    <mergeCell ref="L1:L2"/>
    <mergeCell ref="A3:A5"/>
    <mergeCell ref="B1:B2"/>
    <mergeCell ref="C1:C2"/>
    <mergeCell ref="D1:D2"/>
    <mergeCell ref="E1:E2"/>
    <mergeCell ref="F1:F2"/>
    <mergeCell ref="G1:G2"/>
    <mergeCell ref="A21:A23"/>
    <mergeCell ref="H1:H2"/>
    <mergeCell ref="I1:I2"/>
    <mergeCell ref="J1:J2"/>
    <mergeCell ref="K1:K2"/>
    <mergeCell ref="A6:A8"/>
    <mergeCell ref="A9:A11"/>
  </mergeCells>
  <conditionalFormatting sqref="C10:D10">
    <cfRule type="cellIs" dxfId="557" priority="93" operator="between">
      <formula>$K$15</formula>
      <formula>$K$17</formula>
    </cfRule>
    <cfRule type="cellIs" dxfId="556" priority="94" operator="lessThan">
      <formula>$K$15</formula>
    </cfRule>
    <cfRule type="cellIs" dxfId="555" priority="95" operator="greaterThan">
      <formula>$K$17</formula>
    </cfRule>
    <cfRule type="cellIs" dxfId="554" priority="96" operator="between">
      <formula>$K$15</formula>
      <formula>$K$17</formula>
    </cfRule>
  </conditionalFormatting>
  <conditionalFormatting sqref="C13:D13">
    <cfRule type="cellIs" dxfId="553" priority="12" operator="between">
      <formula>$C$12</formula>
      <formula>$C$14</formula>
    </cfRule>
    <cfRule type="cellIs" dxfId="552" priority="10" operator="lessThan">
      <formula>$C$12</formula>
    </cfRule>
    <cfRule type="cellIs" dxfId="551" priority="11" operator="greaterThan">
      <formula>$C$14</formula>
    </cfRule>
  </conditionalFormatting>
  <conditionalFormatting sqref="C16:D16">
    <cfRule type="cellIs" dxfId="550" priority="87" operator="greaterThan">
      <formula>$K$17</formula>
    </cfRule>
    <cfRule type="cellIs" dxfId="549" priority="85" operator="between">
      <formula>$K$15</formula>
      <formula>$K$17</formula>
    </cfRule>
    <cfRule type="cellIs" dxfId="548" priority="86" operator="lessThan">
      <formula>$K$15</formula>
    </cfRule>
    <cfRule type="cellIs" dxfId="547" priority="88" operator="between">
      <formula>$K$15</formula>
      <formula>$K$17</formula>
    </cfRule>
  </conditionalFormatting>
  <conditionalFormatting sqref="D13">
    <cfRule type="cellIs" dxfId="546" priority="7" operator="between">
      <formula>$D$12</formula>
      <formula>$D$14</formula>
    </cfRule>
    <cfRule type="cellIs" dxfId="545" priority="8" operator="lessThan">
      <formula>$D$12</formula>
    </cfRule>
    <cfRule type="cellIs" dxfId="544" priority="9" operator="greaterThan">
      <formula>$D$14</formula>
    </cfRule>
  </conditionalFormatting>
  <conditionalFormatting sqref="E7">
    <cfRule type="cellIs" dxfId="543" priority="108" operator="lessThan">
      <formula>$F$3</formula>
    </cfRule>
    <cfRule type="cellIs" dxfId="542" priority="111" operator="between">
      <formula>$F$3</formula>
      <formula>$F$5</formula>
    </cfRule>
    <cfRule type="cellIs" dxfId="541" priority="110" operator="between">
      <formula>$F$3</formula>
      <formula>$F$5</formula>
    </cfRule>
    <cfRule type="cellIs" dxfId="540" priority="109" operator="greaterThan">
      <formula>$F$5</formula>
    </cfRule>
  </conditionalFormatting>
  <conditionalFormatting sqref="E13">
    <cfRule type="cellIs" dxfId="539" priority="103" operator="between">
      <formula>$G$18</formula>
      <formula>$G$20</formula>
    </cfRule>
    <cfRule type="cellIs" dxfId="538" priority="101" operator="lessThan">
      <formula>$G$18</formula>
    </cfRule>
    <cfRule type="cellIs" dxfId="537" priority="102" operator="greaterThan">
      <formula>$G$20</formula>
    </cfRule>
  </conditionalFormatting>
  <conditionalFormatting sqref="E19">
    <cfRule type="cellIs" dxfId="536" priority="107" operator="between">
      <formula>$F$3</formula>
      <formula>$F$5</formula>
    </cfRule>
    <cfRule type="cellIs" dxfId="535" priority="106" operator="between">
      <formula>$F$3</formula>
      <formula>$F$5</formula>
    </cfRule>
    <cfRule type="cellIs" dxfId="534" priority="105" operator="greaterThan">
      <formula>$F$5</formula>
    </cfRule>
    <cfRule type="cellIs" dxfId="533" priority="104" operator="lessThan">
      <formula>$F$3</formula>
    </cfRule>
  </conditionalFormatting>
  <conditionalFormatting sqref="F4">
    <cfRule type="cellIs" dxfId="532" priority="115" operator="between">
      <formula>$F$3</formula>
      <formula>$F$5</formula>
    </cfRule>
    <cfRule type="cellIs" dxfId="531" priority="112" operator="lessThan">
      <formula>$F$3</formula>
    </cfRule>
    <cfRule type="cellIs" dxfId="530" priority="113" operator="greaterThan">
      <formula>$F$5</formula>
    </cfRule>
    <cfRule type="cellIs" dxfId="529" priority="114" operator="between">
      <formula>$F$3</formula>
      <formula>$F$5</formula>
    </cfRule>
  </conditionalFormatting>
  <conditionalFormatting sqref="F10">
    <cfRule type="cellIs" dxfId="528" priority="78" operator="greaterThan">
      <formula>$H$11</formula>
    </cfRule>
    <cfRule type="cellIs" dxfId="527" priority="77" operator="lessThan">
      <formula>$H$9</formula>
    </cfRule>
    <cfRule type="cellIs" dxfId="526" priority="76" operator="between">
      <formula>$H$9</formula>
      <formula>$H$11</formula>
    </cfRule>
  </conditionalFormatting>
  <conditionalFormatting sqref="F16">
    <cfRule type="cellIs" dxfId="525" priority="81" operator="greaterThan">
      <formula>$H$11</formula>
    </cfRule>
    <cfRule type="cellIs" dxfId="524" priority="80" operator="lessThan">
      <formula>$H$9</formula>
    </cfRule>
    <cfRule type="cellIs" dxfId="523" priority="79" operator="between">
      <formula>$H$9</formula>
      <formula>$H$11</formula>
    </cfRule>
  </conditionalFormatting>
  <conditionalFormatting sqref="F22">
    <cfRule type="cellIs" dxfId="522" priority="65" operator="lessThan">
      <formula>$F$3</formula>
    </cfRule>
    <cfRule type="cellIs" dxfId="521" priority="66" operator="greaterThan">
      <formula>$F$5</formula>
    </cfRule>
    <cfRule type="cellIs" dxfId="520" priority="67" operator="between">
      <formula>$F$3</formula>
      <formula>$F$5</formula>
    </cfRule>
    <cfRule type="cellIs" dxfId="519" priority="68" operator="between">
      <formula>$F$3</formula>
      <formula>$F$5</formula>
    </cfRule>
  </conditionalFormatting>
  <conditionalFormatting sqref="G7">
    <cfRule type="cellIs" dxfId="518" priority="18" operator="between">
      <formula>$G$18</formula>
      <formula>$G$20</formula>
    </cfRule>
    <cfRule type="cellIs" dxfId="517" priority="17" operator="greaterThan">
      <formula>$G$20</formula>
    </cfRule>
    <cfRule type="cellIs" dxfId="516" priority="16" operator="lessThan">
      <formula>$G$18</formula>
    </cfRule>
    <cfRule type="cellIs" dxfId="515" priority="15" operator="greaterThan">
      <formula>$G$8</formula>
    </cfRule>
    <cfRule type="cellIs" dxfId="514" priority="14" operator="lessThan">
      <formula>$G$6</formula>
    </cfRule>
    <cfRule type="cellIs" dxfId="513" priority="13" operator="between">
      <formula>$G$6</formula>
      <formula>$G$8</formula>
    </cfRule>
  </conditionalFormatting>
  <conditionalFormatting sqref="G13">
    <cfRule type="cellIs" dxfId="512" priority="73" operator="between">
      <formula>$H$9</formula>
      <formula>$H$11</formula>
    </cfRule>
    <cfRule type="cellIs" dxfId="511" priority="75" operator="greaterThan">
      <formula>$H$11</formula>
    </cfRule>
    <cfRule type="cellIs" dxfId="510" priority="74" operator="lessThan">
      <formula>$H$9</formula>
    </cfRule>
  </conditionalFormatting>
  <conditionalFormatting sqref="G19">
    <cfRule type="cellIs" dxfId="509" priority="20" operator="lessThan">
      <formula>$G$6</formula>
    </cfRule>
    <cfRule type="cellIs" dxfId="508" priority="21" operator="greaterThan">
      <formula>$G$8</formula>
    </cfRule>
    <cfRule type="cellIs" dxfId="507" priority="22" operator="lessThan">
      <formula>$G$18</formula>
    </cfRule>
    <cfRule type="cellIs" dxfId="506" priority="24" operator="between">
      <formula>$G$18</formula>
      <formula>$G$20</formula>
    </cfRule>
    <cfRule type="cellIs" dxfId="505" priority="23" operator="greaterThan">
      <formula>$G$20</formula>
    </cfRule>
    <cfRule type="cellIs" dxfId="504" priority="19" operator="between">
      <formula>$G$6</formula>
      <formula>$G$8</formula>
    </cfRule>
  </conditionalFormatting>
  <conditionalFormatting sqref="H4">
    <cfRule type="cellIs" dxfId="503" priority="70" operator="greaterThan">
      <formula>$F$5</formula>
    </cfRule>
    <cfRule type="cellIs" dxfId="502" priority="71" operator="between">
      <formula>$F$3</formula>
      <formula>$F$5</formula>
    </cfRule>
    <cfRule type="cellIs" dxfId="501" priority="72" operator="between">
      <formula>$F$3</formula>
      <formula>$F$5</formula>
    </cfRule>
    <cfRule type="cellIs" dxfId="500" priority="69" operator="lessThan">
      <formula>$F$3</formula>
    </cfRule>
  </conditionalFormatting>
  <conditionalFormatting sqref="H10">
    <cfRule type="cellIs" dxfId="499" priority="30" operator="greaterThan">
      <formula>$H$11</formula>
    </cfRule>
    <cfRule type="cellIs" dxfId="498" priority="28" operator="between">
      <formula>$H$9</formula>
      <formula>$H$11</formula>
    </cfRule>
    <cfRule type="cellIs" dxfId="497" priority="29" operator="lessThan">
      <formula>$H$9</formula>
    </cfRule>
  </conditionalFormatting>
  <conditionalFormatting sqref="H16">
    <cfRule type="cellIs" dxfId="496" priority="25" operator="between">
      <formula>$H$9</formula>
      <formula>$H$11</formula>
    </cfRule>
    <cfRule type="cellIs" dxfId="495" priority="26" operator="lessThan">
      <formula>$H$9</formula>
    </cfRule>
    <cfRule type="cellIs" dxfId="494" priority="27" operator="greaterThan">
      <formula>$H$11</formula>
    </cfRule>
  </conditionalFormatting>
  <conditionalFormatting sqref="H22">
    <cfRule type="cellIs" dxfId="493" priority="64" operator="between">
      <formula>$F$3</formula>
      <formula>$F$5</formula>
    </cfRule>
    <cfRule type="cellIs" dxfId="492" priority="63" operator="between">
      <formula>$F$3</formula>
      <formula>$F$5</formula>
    </cfRule>
    <cfRule type="cellIs" dxfId="491" priority="62" operator="greaterThan">
      <formula>$F$5</formula>
    </cfRule>
    <cfRule type="cellIs" dxfId="490" priority="61" operator="lessThan">
      <formula>$F$3</formula>
    </cfRule>
  </conditionalFormatting>
  <conditionalFormatting sqref="I7">
    <cfRule type="cellIs" dxfId="489" priority="60" operator="between">
      <formula>$F$3</formula>
      <formula>$F$5</formula>
    </cfRule>
    <cfRule type="cellIs" dxfId="488" priority="57" operator="lessThan">
      <formula>$F$3</formula>
    </cfRule>
    <cfRule type="cellIs" dxfId="487" priority="58" operator="greaterThan">
      <formula>$F$5</formula>
    </cfRule>
    <cfRule type="cellIs" dxfId="486" priority="59" operator="between">
      <formula>$F$3</formula>
      <formula>$F$5</formula>
    </cfRule>
  </conditionalFormatting>
  <conditionalFormatting sqref="I13">
    <cfRule type="cellIs" dxfId="485" priority="31" operator="lessThan">
      <formula>$G$18</formula>
    </cfRule>
    <cfRule type="cellIs" dxfId="484" priority="32" operator="greaterThan">
      <formula>$G$20</formula>
    </cfRule>
    <cfRule type="cellIs" dxfId="483" priority="33" operator="between">
      <formula>$G$18</formula>
      <formula>$G$20</formula>
    </cfRule>
  </conditionalFormatting>
  <conditionalFormatting sqref="I19">
    <cfRule type="cellIs" dxfId="482" priority="55" operator="between">
      <formula>$F$3</formula>
      <formula>$F$5</formula>
    </cfRule>
    <cfRule type="cellIs" dxfId="481" priority="54" operator="greaterThan">
      <formula>$F$5</formula>
    </cfRule>
    <cfRule type="cellIs" dxfId="480" priority="53" operator="lessThan">
      <formula>$F$3</formula>
    </cfRule>
    <cfRule type="cellIs" dxfId="479" priority="56" operator="between">
      <formula>$F$3</formula>
      <formula>$F$5</formula>
    </cfRule>
  </conditionalFormatting>
  <conditionalFormatting sqref="J13">
    <cfRule type="cellIs" dxfId="478" priority="1" operator="between">
      <formula>$D$12</formula>
      <formula>$D$14</formula>
    </cfRule>
    <cfRule type="cellIs" dxfId="477" priority="3" operator="greaterThan">
      <formula>$D$14</formula>
    </cfRule>
    <cfRule type="cellIs" dxfId="476" priority="2" operator="lessThan">
      <formula>$D$12</formula>
    </cfRule>
  </conditionalFormatting>
  <conditionalFormatting sqref="J10:K10">
    <cfRule type="cellIs" dxfId="475" priority="41" operator="between">
      <formula>$K$15</formula>
      <formula>$K$17</formula>
    </cfRule>
    <cfRule type="cellIs" dxfId="474" priority="38" operator="between">
      <formula>$K$15</formula>
      <formula>$K$17</formula>
    </cfRule>
    <cfRule type="cellIs" dxfId="473" priority="39" operator="lessThan">
      <formula>$K$15</formula>
    </cfRule>
    <cfRule type="cellIs" dxfId="472" priority="40" operator="greaterThan">
      <formula>$K$17</formula>
    </cfRule>
  </conditionalFormatting>
  <conditionalFormatting sqref="J13:K13">
    <cfRule type="cellIs" dxfId="471" priority="6" operator="between">
      <formula>$C$12</formula>
      <formula>$C$14</formula>
    </cfRule>
    <cfRule type="cellIs" dxfId="470" priority="5" operator="greaterThan">
      <formula>$C$14</formula>
    </cfRule>
    <cfRule type="cellIs" dxfId="469" priority="4" operator="lessThan">
      <formula>$C$12</formula>
    </cfRule>
  </conditionalFormatting>
  <conditionalFormatting sqref="J16:K16">
    <cfRule type="cellIs" dxfId="468" priority="36" operator="greaterThan">
      <formula>$K$17</formula>
    </cfRule>
    <cfRule type="cellIs" dxfId="467" priority="34" operator="between">
      <formula>$K$15</formula>
      <formula>$K$17</formula>
    </cfRule>
    <cfRule type="cellIs" dxfId="466" priority="35" operator="lessThan">
      <formula>$K$15</formula>
    </cfRule>
    <cfRule type="cellIs" dxfId="465" priority="37" operator="between">
      <formula>$K$15</formula>
      <formula>$K$17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BB62"/>
  <sheetViews>
    <sheetView workbookViewId="0">
      <selection activeCell="A28" sqref="A28:E29"/>
    </sheetView>
  </sheetViews>
  <sheetFormatPr defaultRowHeight="12.75" x14ac:dyDescent="0.2"/>
  <cols>
    <col min="7" max="7" width="9.140625" customWidth="1"/>
  </cols>
  <sheetData>
    <row r="1" spans="1:54" x14ac:dyDescent="0.2">
      <c r="A1" s="1" t="s">
        <v>0</v>
      </c>
      <c r="B1" s="84" t="s">
        <v>1</v>
      </c>
      <c r="C1" s="84" t="s">
        <v>2</v>
      </c>
      <c r="D1" s="84" t="s">
        <v>3</v>
      </c>
      <c r="E1" s="84" t="s">
        <v>4</v>
      </c>
      <c r="F1" s="84" t="s">
        <v>5</v>
      </c>
      <c r="G1" s="84" t="s">
        <v>6</v>
      </c>
      <c r="H1" s="84" t="s">
        <v>5</v>
      </c>
      <c r="I1" s="84" t="s">
        <v>4</v>
      </c>
      <c r="J1" s="84" t="s">
        <v>3</v>
      </c>
      <c r="K1" s="84" t="s">
        <v>2</v>
      </c>
      <c r="L1" s="95" t="s">
        <v>1</v>
      </c>
      <c r="M1" s="13"/>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13.5" thickBot="1" x14ac:dyDescent="0.25">
      <c r="A2" s="3" t="s">
        <v>7</v>
      </c>
      <c r="B2" s="85"/>
      <c r="C2" s="85"/>
      <c r="D2" s="85"/>
      <c r="E2" s="85"/>
      <c r="F2" s="85"/>
      <c r="G2" s="85"/>
      <c r="H2" s="85"/>
      <c r="I2" s="85"/>
      <c r="J2" s="85"/>
      <c r="K2" s="85"/>
      <c r="L2" s="96"/>
      <c r="M2" s="13"/>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x14ac:dyDescent="0.2">
      <c r="A3" s="97" t="s">
        <v>8</v>
      </c>
      <c r="B3" s="14"/>
      <c r="C3" s="14"/>
      <c r="D3" s="14"/>
      <c r="E3" s="14"/>
      <c r="F3" s="15">
        <v>100</v>
      </c>
      <c r="G3" s="14"/>
      <c r="H3" s="15">
        <v>100</v>
      </c>
      <c r="I3" s="14"/>
      <c r="J3" s="14"/>
      <c r="K3" s="14"/>
      <c r="L3" s="16"/>
      <c r="M3" s="1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x14ac:dyDescent="0.2">
      <c r="A4" s="98"/>
      <c r="B4" s="17"/>
      <c r="C4" s="17"/>
      <c r="D4" s="17"/>
      <c r="E4" s="17"/>
      <c r="F4" s="18">
        <f>('Officieel ECE R65 testrapport'!F3/100)*52.65</f>
        <v>0</v>
      </c>
      <c r="G4" s="17"/>
      <c r="H4" s="18">
        <f>('Officieel ECE R65 testrapport'!H3/100)*52.65</f>
        <v>0</v>
      </c>
      <c r="I4" s="17"/>
      <c r="J4" s="17"/>
      <c r="K4" s="17"/>
      <c r="L4" s="19"/>
      <c r="M4" s="1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3.5" thickBot="1" x14ac:dyDescent="0.25">
      <c r="A5" s="99"/>
      <c r="B5" s="20"/>
      <c r="C5" s="20"/>
      <c r="D5" s="20"/>
      <c r="E5" s="20"/>
      <c r="F5" s="21">
        <v>1500</v>
      </c>
      <c r="G5" s="20"/>
      <c r="H5" s="21">
        <v>1500</v>
      </c>
      <c r="I5" s="20"/>
      <c r="J5" s="20"/>
      <c r="K5" s="20"/>
      <c r="L5" s="22"/>
      <c r="M5" s="13"/>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x14ac:dyDescent="0.2">
      <c r="A6" s="97" t="s">
        <v>9</v>
      </c>
      <c r="B6" s="14"/>
      <c r="C6" s="14"/>
      <c r="D6" s="14"/>
      <c r="E6" s="15">
        <v>100</v>
      </c>
      <c r="F6" s="14"/>
      <c r="G6" s="15">
        <v>150</v>
      </c>
      <c r="H6" s="14"/>
      <c r="I6" s="15">
        <v>100</v>
      </c>
      <c r="J6" s="14"/>
      <c r="K6" s="14"/>
      <c r="L6" s="16"/>
      <c r="M6" s="1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x14ac:dyDescent="0.2">
      <c r="A7" s="98"/>
      <c r="B7" s="17"/>
      <c r="C7" s="17"/>
      <c r="D7" s="17"/>
      <c r="E7" s="18">
        <f>('Officieel ECE R65 testrapport'!E4/100)*52.32</f>
        <v>0</v>
      </c>
      <c r="F7" s="17"/>
      <c r="G7" s="18">
        <f>('Officieel ECE R65 testrapport'!G4/100)*52.93</f>
        <v>0</v>
      </c>
      <c r="H7" s="17"/>
      <c r="I7" s="18">
        <f>('Officieel ECE R65 testrapport'!I4/100)*52.32</f>
        <v>0</v>
      </c>
      <c r="J7" s="17"/>
      <c r="K7" s="17"/>
      <c r="L7" s="19"/>
      <c r="M7" s="13"/>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3.5" thickBot="1" x14ac:dyDescent="0.25">
      <c r="A8" s="99"/>
      <c r="B8" s="20"/>
      <c r="C8" s="20"/>
      <c r="D8" s="20"/>
      <c r="E8" s="21">
        <v>1500</v>
      </c>
      <c r="F8" s="20"/>
      <c r="G8" s="21">
        <v>1500</v>
      </c>
      <c r="H8" s="20"/>
      <c r="I8" s="21">
        <v>1500</v>
      </c>
      <c r="J8" s="20"/>
      <c r="K8" s="20"/>
      <c r="L8" s="22"/>
      <c r="M8" s="13"/>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x14ac:dyDescent="0.2">
      <c r="A9" s="97" t="s">
        <v>10</v>
      </c>
      <c r="B9" s="15">
        <v>40</v>
      </c>
      <c r="C9" s="15">
        <v>40</v>
      </c>
      <c r="D9" s="15">
        <v>40</v>
      </c>
      <c r="E9" s="14"/>
      <c r="F9" s="15">
        <v>200</v>
      </c>
      <c r="G9" s="14"/>
      <c r="H9" s="15">
        <v>200</v>
      </c>
      <c r="I9" s="14"/>
      <c r="J9" s="15">
        <v>40</v>
      </c>
      <c r="K9" s="15">
        <v>40</v>
      </c>
      <c r="L9" s="23">
        <v>40</v>
      </c>
      <c r="M9" s="13"/>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x14ac:dyDescent="0.2">
      <c r="A10" s="98"/>
      <c r="B10" s="24" t="s">
        <v>11</v>
      </c>
      <c r="C10" s="18">
        <f>('Officieel ECE R65 testrapport'!C5/100)*48.56</f>
        <v>0</v>
      </c>
      <c r="D10" s="18">
        <f>('Officieel ECE R65 testrapport'!D5/100)*51.58</f>
        <v>0</v>
      </c>
      <c r="E10" s="17"/>
      <c r="F10" s="18">
        <f>('Officieel ECE R65 testrapport'!F5/100)*52.73</f>
        <v>0</v>
      </c>
      <c r="G10" s="17"/>
      <c r="H10" s="18">
        <f>('Officieel ECE R65 testrapport'!H5/100)*52.73</f>
        <v>0</v>
      </c>
      <c r="I10" s="17"/>
      <c r="J10" s="18">
        <f>('Officieel ECE R65 testrapport'!J5/100)*51.58</f>
        <v>0</v>
      </c>
      <c r="K10" s="18">
        <f>('Officieel ECE R65 testrapport'!K5/100)*48.56</f>
        <v>0</v>
      </c>
      <c r="L10" s="25" t="s">
        <v>11</v>
      </c>
      <c r="M10" s="13"/>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ht="13.5" thickBot="1" x14ac:dyDescent="0.25">
      <c r="A11" s="99"/>
      <c r="B11" s="21">
        <v>1000</v>
      </c>
      <c r="C11" s="21">
        <v>1000</v>
      </c>
      <c r="D11" s="21">
        <v>1000</v>
      </c>
      <c r="E11" s="26"/>
      <c r="F11" s="21">
        <v>3000</v>
      </c>
      <c r="G11" s="26"/>
      <c r="H11" s="21">
        <v>3000</v>
      </c>
      <c r="I11" s="26"/>
      <c r="J11" s="21">
        <v>1000</v>
      </c>
      <c r="K11" s="21">
        <v>1000</v>
      </c>
      <c r="L11" s="27">
        <v>1000</v>
      </c>
      <c r="M11" s="13"/>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x14ac:dyDescent="0.2">
      <c r="A12" s="97" t="s">
        <v>6</v>
      </c>
      <c r="B12" s="15">
        <v>100</v>
      </c>
      <c r="C12" s="15">
        <v>100</v>
      </c>
      <c r="D12" s="15">
        <v>100</v>
      </c>
      <c r="E12" s="28">
        <v>150</v>
      </c>
      <c r="F12" s="14"/>
      <c r="G12" s="15">
        <v>200</v>
      </c>
      <c r="H12" s="14"/>
      <c r="I12" s="23">
        <v>150</v>
      </c>
      <c r="J12" s="15">
        <v>100</v>
      </c>
      <c r="K12" s="15">
        <v>100</v>
      </c>
      <c r="L12" s="23">
        <v>100</v>
      </c>
      <c r="M12" s="13"/>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x14ac:dyDescent="0.2">
      <c r="A13" s="98"/>
      <c r="B13" s="24" t="s">
        <v>11</v>
      </c>
      <c r="C13" s="18">
        <f>('Officieel ECE R65 testrapport'!C6/100)*48.6</f>
        <v>0</v>
      </c>
      <c r="D13" s="18">
        <f>('Officieel ECE R65 testrapport'!D6/100)*51.6</f>
        <v>0</v>
      </c>
      <c r="E13" s="18">
        <f>('Officieel ECE R65 testrapport'!E6/100)*52.36</f>
        <v>0</v>
      </c>
      <c r="F13" s="17"/>
      <c r="G13" s="18">
        <f>('Officieel ECE R65 testrapport'!G6/100)*53.31</f>
        <v>0</v>
      </c>
      <c r="H13" s="17"/>
      <c r="I13" s="18">
        <f>('Officieel ECE R65 testrapport'!I6/100)*52.36</f>
        <v>0</v>
      </c>
      <c r="J13" s="18">
        <f>('Officieel ECE R65 testrapport'!J6/100)*51.6</f>
        <v>0</v>
      </c>
      <c r="K13" s="18">
        <f>('Officieel ECE R65 testrapport'!K6/100)*48.6</f>
        <v>0</v>
      </c>
      <c r="L13" s="25" t="s">
        <v>11</v>
      </c>
      <c r="M13" s="13"/>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ht="13.5" thickBot="1" x14ac:dyDescent="0.25">
      <c r="A14" s="99"/>
      <c r="B14" s="21">
        <v>1000</v>
      </c>
      <c r="C14" s="21">
        <v>1000</v>
      </c>
      <c r="D14" s="21">
        <v>1000</v>
      </c>
      <c r="E14" s="29">
        <v>1500</v>
      </c>
      <c r="F14" s="20"/>
      <c r="G14" s="21">
        <v>3000</v>
      </c>
      <c r="H14" s="20"/>
      <c r="I14" s="27">
        <v>1500</v>
      </c>
      <c r="J14" s="21">
        <v>1000</v>
      </c>
      <c r="K14" s="21">
        <v>1000</v>
      </c>
      <c r="L14" s="27">
        <v>1000</v>
      </c>
      <c r="M14" s="13"/>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x14ac:dyDescent="0.2">
      <c r="A15" s="97" t="s">
        <v>10</v>
      </c>
      <c r="B15" s="15">
        <v>40</v>
      </c>
      <c r="C15" s="15">
        <v>40</v>
      </c>
      <c r="D15" s="15">
        <v>40</v>
      </c>
      <c r="E15" s="14"/>
      <c r="F15" s="15">
        <v>200</v>
      </c>
      <c r="G15" s="14"/>
      <c r="H15" s="15">
        <v>200</v>
      </c>
      <c r="I15" s="14"/>
      <c r="J15" s="15">
        <v>40</v>
      </c>
      <c r="K15" s="15">
        <v>40</v>
      </c>
      <c r="L15" s="23">
        <v>40</v>
      </c>
      <c r="M15" s="13"/>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x14ac:dyDescent="0.2">
      <c r="A16" s="98"/>
      <c r="B16" s="24" t="s">
        <v>11</v>
      </c>
      <c r="C16" s="18">
        <f>('Officieel ECE R65 testrapport'!C7/100)*48.56</f>
        <v>0</v>
      </c>
      <c r="D16" s="18">
        <f>('Officieel ECE R65 testrapport'!D7/100)*51.58</f>
        <v>0</v>
      </c>
      <c r="E16" s="17"/>
      <c r="F16" s="18">
        <f>('Officieel ECE R65 testrapport'!F7/100)*52.73</f>
        <v>0</v>
      </c>
      <c r="G16" s="17"/>
      <c r="H16" s="18">
        <f>('Officieel ECE R65 testrapport'!H7/100)*52.73</f>
        <v>0</v>
      </c>
      <c r="I16" s="17"/>
      <c r="J16" s="18">
        <f>('Officieel ECE R65 testrapport'!J7/100)*51.58</f>
        <v>0</v>
      </c>
      <c r="K16" s="18">
        <f>('Officieel ECE R65 testrapport'!K7/100)*48.56</f>
        <v>0</v>
      </c>
      <c r="L16" s="25" t="s">
        <v>11</v>
      </c>
      <c r="M16" s="13"/>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ht="13.5" thickBot="1" x14ac:dyDescent="0.25">
      <c r="A17" s="99"/>
      <c r="B17" s="21">
        <v>1000</v>
      </c>
      <c r="C17" s="21">
        <v>1000</v>
      </c>
      <c r="D17" s="21">
        <v>1000</v>
      </c>
      <c r="E17" s="20"/>
      <c r="F17" s="21">
        <v>3000</v>
      </c>
      <c r="G17" s="30"/>
      <c r="H17" s="21">
        <v>3000</v>
      </c>
      <c r="I17" s="20"/>
      <c r="J17" s="21">
        <v>1000</v>
      </c>
      <c r="K17" s="21">
        <v>1000</v>
      </c>
      <c r="L17" s="27">
        <v>1000</v>
      </c>
      <c r="M17" s="13"/>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x14ac:dyDescent="0.2">
      <c r="A18" s="97" t="s">
        <v>9</v>
      </c>
      <c r="B18" s="14"/>
      <c r="C18" s="14"/>
      <c r="D18" s="14"/>
      <c r="E18" s="15">
        <v>100</v>
      </c>
      <c r="F18" s="14"/>
      <c r="G18" s="31">
        <v>150</v>
      </c>
      <c r="H18" s="14"/>
      <c r="I18" s="15">
        <v>100</v>
      </c>
      <c r="J18" s="14"/>
      <c r="K18" s="14"/>
      <c r="L18" s="16"/>
      <c r="M18" s="13"/>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x14ac:dyDescent="0.2">
      <c r="A19" s="98"/>
      <c r="B19" s="17"/>
      <c r="C19" s="17"/>
      <c r="D19" s="17"/>
      <c r="E19" s="18">
        <f>('Officieel ECE R65 testrapport'!E8/100)*52.32</f>
        <v>0</v>
      </c>
      <c r="F19" s="17"/>
      <c r="G19" s="18">
        <f>('Officieel ECE R65 testrapport'!G8/100)*52.93</f>
        <v>0</v>
      </c>
      <c r="H19" s="17"/>
      <c r="I19" s="18">
        <f>('Officieel ECE R65 testrapport'!I8/100)*52.32</f>
        <v>0</v>
      </c>
      <c r="J19" s="17"/>
      <c r="K19" s="17"/>
      <c r="L19" s="19"/>
      <c r="M19" s="13"/>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ht="13.5" thickBot="1" x14ac:dyDescent="0.25">
      <c r="A20" s="99"/>
      <c r="B20" s="20"/>
      <c r="C20" s="20"/>
      <c r="D20" s="20"/>
      <c r="E20" s="21">
        <v>1500</v>
      </c>
      <c r="F20" s="20"/>
      <c r="G20" s="21">
        <v>1500</v>
      </c>
      <c r="H20" s="20"/>
      <c r="I20" s="21">
        <v>1500</v>
      </c>
      <c r="J20" s="20"/>
      <c r="K20" s="20"/>
      <c r="L20" s="22"/>
      <c r="M20" s="13"/>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x14ac:dyDescent="0.2">
      <c r="A21" s="97" t="s">
        <v>8</v>
      </c>
      <c r="B21" s="14"/>
      <c r="C21" s="14"/>
      <c r="D21" s="14"/>
      <c r="E21" s="14"/>
      <c r="F21" s="15">
        <v>100</v>
      </c>
      <c r="G21" s="14"/>
      <c r="H21" s="15">
        <v>100</v>
      </c>
      <c r="I21" s="14"/>
      <c r="J21" s="14"/>
      <c r="K21" s="14"/>
      <c r="L21" s="16"/>
      <c r="M21" s="13"/>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x14ac:dyDescent="0.2">
      <c r="A22" s="98"/>
      <c r="B22" s="17"/>
      <c r="C22" s="17"/>
      <c r="D22" s="17"/>
      <c r="E22" s="17"/>
      <c r="F22" s="18">
        <f>('Officieel ECE R65 testrapport'!F9/100)*52.65</f>
        <v>0</v>
      </c>
      <c r="G22" s="17"/>
      <c r="H22" s="18">
        <f>('Officieel ECE R65 testrapport'!H9/100)*52.65</f>
        <v>0</v>
      </c>
      <c r="I22" s="17"/>
      <c r="J22" s="17"/>
      <c r="K22" s="17"/>
      <c r="L22" s="19"/>
      <c r="M22" s="13"/>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13.5" thickBot="1" x14ac:dyDescent="0.25">
      <c r="A23" s="99"/>
      <c r="B23" s="20"/>
      <c r="C23" s="20"/>
      <c r="D23" s="20"/>
      <c r="E23" s="20"/>
      <c r="F23" s="21">
        <v>1500</v>
      </c>
      <c r="G23" s="20"/>
      <c r="H23" s="21">
        <v>1500</v>
      </c>
      <c r="I23" s="20"/>
      <c r="J23" s="20"/>
      <c r="K23" s="20"/>
      <c r="L23" s="22"/>
      <c r="M23" s="13"/>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1:54" x14ac:dyDescent="0.2">
      <c r="A24" s="2"/>
      <c r="B24" s="82" t="s">
        <v>12</v>
      </c>
      <c r="C24" s="83"/>
      <c r="D24" s="82" t="s">
        <v>13</v>
      </c>
      <c r="E24" s="83"/>
      <c r="F24" s="83"/>
      <c r="G24" s="83"/>
      <c r="H24" s="83"/>
      <c r="I24" s="83"/>
      <c r="J24" s="88"/>
      <c r="K24" s="83" t="s">
        <v>12</v>
      </c>
      <c r="L24" s="83"/>
      <c r="M24" s="1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row>
    <row r="25" spans="1:54" ht="13.5" thickBot="1" x14ac:dyDescent="0.25">
      <c r="A25" s="2"/>
      <c r="B25" s="79" t="s">
        <v>14</v>
      </c>
      <c r="C25" s="80"/>
      <c r="D25" s="79" t="s">
        <v>14</v>
      </c>
      <c r="E25" s="80"/>
      <c r="F25" s="80"/>
      <c r="G25" s="80"/>
      <c r="H25" s="80"/>
      <c r="I25" s="80"/>
      <c r="J25" s="81"/>
      <c r="K25" s="80" t="s">
        <v>14</v>
      </c>
      <c r="L25" s="80"/>
      <c r="M25" s="13"/>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row>
    <row r="26" spans="1:54"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row>
    <row r="27" spans="1:54" ht="13.5" thickBo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spans="1:54" ht="13.5" thickTop="1" x14ac:dyDescent="0.2">
      <c r="A28" s="89" t="s">
        <v>21</v>
      </c>
      <c r="B28" s="90"/>
      <c r="C28" s="90"/>
      <c r="D28" s="90"/>
      <c r="E28" s="91"/>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ht="13.5" thickBot="1" x14ac:dyDescent="0.25">
      <c r="A29" s="92"/>
      <c r="B29" s="93"/>
      <c r="C29" s="93"/>
      <c r="D29" s="93"/>
      <c r="E29" s="94"/>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row>
    <row r="30" spans="1:54" ht="13.5" thickTop="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row>
    <row r="31" spans="1:54"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spans="1:54"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row>
    <row r="33" spans="1:54"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54"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1:54"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1:54"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4"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1:54"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1:54"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1:54"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4"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4"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1:54"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1:54"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1:54"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1:54"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1:54"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spans="1:54"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row>
    <row r="56" spans="1:54"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row>
    <row r="57" spans="1:54"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spans="1:54"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row>
    <row r="59" spans="1:54"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spans="1:54"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row>
    <row r="61" spans="1:54"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spans="1:54"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row>
  </sheetData>
  <sheetProtection algorithmName="SHA-512" hashValue="LUhvzTzvB+P1N/Dk9kYdZnAyg+tbHyQckqTpCQJEsvGdhT5HuKiO6RjDUdZ/PepyZde6HImt+ftOMKJNHtUiWg==" saltValue="tvJOG1oqo8LsnNdcky2UuA==" spinCount="100000" sheet="1" objects="1" scenarios="1" selectLockedCells="1" selectUnlockedCells="1"/>
  <mergeCells count="25">
    <mergeCell ref="K24:L24"/>
    <mergeCell ref="B25:C25"/>
    <mergeCell ref="D25:J25"/>
    <mergeCell ref="K25:L25"/>
    <mergeCell ref="A12:A14"/>
    <mergeCell ref="A15:A17"/>
    <mergeCell ref="A18:A20"/>
    <mergeCell ref="B24:C24"/>
    <mergeCell ref="D24:J24"/>
    <mergeCell ref="A28:E29"/>
    <mergeCell ref="L1:L2"/>
    <mergeCell ref="A3:A5"/>
    <mergeCell ref="B1:B2"/>
    <mergeCell ref="C1:C2"/>
    <mergeCell ref="D1:D2"/>
    <mergeCell ref="E1:E2"/>
    <mergeCell ref="F1:F2"/>
    <mergeCell ref="G1:G2"/>
    <mergeCell ref="A21:A23"/>
    <mergeCell ref="H1:H2"/>
    <mergeCell ref="I1:I2"/>
    <mergeCell ref="J1:J2"/>
    <mergeCell ref="K1:K2"/>
    <mergeCell ref="A6:A8"/>
    <mergeCell ref="A9:A11"/>
  </mergeCells>
  <conditionalFormatting sqref="C10:D10">
    <cfRule type="cellIs" dxfId="464" priority="93" operator="between">
      <formula>$K$15</formula>
      <formula>$K$17</formula>
    </cfRule>
    <cfRule type="cellIs" dxfId="463" priority="94" operator="lessThan">
      <formula>$K$15</formula>
    </cfRule>
    <cfRule type="cellIs" dxfId="462" priority="95" operator="greaterThan">
      <formula>$K$17</formula>
    </cfRule>
    <cfRule type="cellIs" dxfId="461" priority="96" operator="between">
      <formula>$K$15</formula>
      <formula>$K$17</formula>
    </cfRule>
  </conditionalFormatting>
  <conditionalFormatting sqref="C13:D13">
    <cfRule type="cellIs" dxfId="460" priority="12" operator="between">
      <formula>$C$12</formula>
      <formula>$C$14</formula>
    </cfRule>
    <cfRule type="cellIs" dxfId="459" priority="10" operator="lessThan">
      <formula>$C$12</formula>
    </cfRule>
    <cfRule type="cellIs" dxfId="458" priority="11" operator="greaterThan">
      <formula>$C$14</formula>
    </cfRule>
  </conditionalFormatting>
  <conditionalFormatting sqref="C16:D16">
    <cfRule type="cellIs" dxfId="457" priority="87" operator="greaterThan">
      <formula>$K$17</formula>
    </cfRule>
    <cfRule type="cellIs" dxfId="456" priority="85" operator="between">
      <formula>$K$15</formula>
      <formula>$K$17</formula>
    </cfRule>
    <cfRule type="cellIs" dxfId="455" priority="86" operator="lessThan">
      <formula>$K$15</formula>
    </cfRule>
    <cfRule type="cellIs" dxfId="454" priority="88" operator="between">
      <formula>$K$15</formula>
      <formula>$K$17</formula>
    </cfRule>
  </conditionalFormatting>
  <conditionalFormatting sqref="D13">
    <cfRule type="cellIs" dxfId="453" priority="7" operator="between">
      <formula>$D$12</formula>
      <formula>$D$14</formula>
    </cfRule>
    <cfRule type="cellIs" dxfId="452" priority="8" operator="lessThan">
      <formula>$D$12</formula>
    </cfRule>
    <cfRule type="cellIs" dxfId="451" priority="9" operator="greaterThan">
      <formula>$D$14</formula>
    </cfRule>
  </conditionalFormatting>
  <conditionalFormatting sqref="E7">
    <cfRule type="cellIs" dxfId="450" priority="108" operator="lessThan">
      <formula>$F$3</formula>
    </cfRule>
    <cfRule type="cellIs" dxfId="449" priority="111" operator="between">
      <formula>$F$3</formula>
      <formula>$F$5</formula>
    </cfRule>
    <cfRule type="cellIs" dxfId="448" priority="110" operator="between">
      <formula>$F$3</formula>
      <formula>$F$5</formula>
    </cfRule>
    <cfRule type="cellIs" dxfId="447" priority="109" operator="greaterThan">
      <formula>$F$5</formula>
    </cfRule>
  </conditionalFormatting>
  <conditionalFormatting sqref="E13">
    <cfRule type="cellIs" dxfId="446" priority="103" operator="between">
      <formula>$G$18</formula>
      <formula>$G$20</formula>
    </cfRule>
    <cfRule type="cellIs" dxfId="445" priority="101" operator="lessThan">
      <formula>$G$18</formula>
    </cfRule>
    <cfRule type="cellIs" dxfId="444" priority="102" operator="greaterThan">
      <formula>$G$20</formula>
    </cfRule>
  </conditionalFormatting>
  <conditionalFormatting sqref="E19">
    <cfRule type="cellIs" dxfId="443" priority="107" operator="between">
      <formula>$F$3</formula>
      <formula>$F$5</formula>
    </cfRule>
    <cfRule type="cellIs" dxfId="442" priority="106" operator="between">
      <formula>$F$3</formula>
      <formula>$F$5</formula>
    </cfRule>
    <cfRule type="cellIs" dxfId="441" priority="105" operator="greaterThan">
      <formula>$F$5</formula>
    </cfRule>
    <cfRule type="cellIs" dxfId="440" priority="104" operator="lessThan">
      <formula>$F$3</formula>
    </cfRule>
  </conditionalFormatting>
  <conditionalFormatting sqref="F4">
    <cfRule type="cellIs" dxfId="439" priority="115" operator="between">
      <formula>$F$3</formula>
      <formula>$F$5</formula>
    </cfRule>
    <cfRule type="cellIs" dxfId="438" priority="112" operator="lessThan">
      <formula>$F$3</formula>
    </cfRule>
    <cfRule type="cellIs" dxfId="437" priority="113" operator="greaterThan">
      <formula>$F$5</formula>
    </cfRule>
    <cfRule type="cellIs" dxfId="436" priority="114" operator="between">
      <formula>$F$3</formula>
      <formula>$F$5</formula>
    </cfRule>
  </conditionalFormatting>
  <conditionalFormatting sqref="F10">
    <cfRule type="cellIs" dxfId="435" priority="78" operator="greaterThan">
      <formula>$H$11</formula>
    </cfRule>
    <cfRule type="cellIs" dxfId="434" priority="77" operator="lessThan">
      <formula>$H$9</formula>
    </cfRule>
    <cfRule type="cellIs" dxfId="433" priority="76" operator="between">
      <formula>$H$9</formula>
      <formula>$H$11</formula>
    </cfRule>
  </conditionalFormatting>
  <conditionalFormatting sqref="F16">
    <cfRule type="cellIs" dxfId="432" priority="81" operator="greaterThan">
      <formula>$H$11</formula>
    </cfRule>
    <cfRule type="cellIs" dxfId="431" priority="80" operator="lessThan">
      <formula>$H$9</formula>
    </cfRule>
    <cfRule type="cellIs" dxfId="430" priority="79" operator="between">
      <formula>$H$9</formula>
      <formula>$H$11</formula>
    </cfRule>
  </conditionalFormatting>
  <conditionalFormatting sqref="F22">
    <cfRule type="cellIs" dxfId="429" priority="65" operator="lessThan">
      <formula>$F$3</formula>
    </cfRule>
    <cfRule type="cellIs" dxfId="428" priority="66" operator="greaterThan">
      <formula>$F$5</formula>
    </cfRule>
    <cfRule type="cellIs" dxfId="427" priority="67" operator="between">
      <formula>$F$3</formula>
      <formula>$F$5</formula>
    </cfRule>
    <cfRule type="cellIs" dxfId="426" priority="68" operator="between">
      <formula>$F$3</formula>
      <formula>$F$5</formula>
    </cfRule>
  </conditionalFormatting>
  <conditionalFormatting sqref="G7">
    <cfRule type="cellIs" dxfId="425" priority="18" operator="between">
      <formula>$G$18</formula>
      <formula>$G$20</formula>
    </cfRule>
    <cfRule type="cellIs" dxfId="424" priority="17" operator="greaterThan">
      <formula>$G$20</formula>
    </cfRule>
    <cfRule type="cellIs" dxfId="423" priority="16" operator="lessThan">
      <formula>$G$18</formula>
    </cfRule>
    <cfRule type="cellIs" dxfId="422" priority="15" operator="greaterThan">
      <formula>$G$8</formula>
    </cfRule>
    <cfRule type="cellIs" dxfId="421" priority="14" operator="lessThan">
      <formula>$G$6</formula>
    </cfRule>
    <cfRule type="cellIs" dxfId="420" priority="13" operator="between">
      <formula>$G$6</formula>
      <formula>$G$8</formula>
    </cfRule>
  </conditionalFormatting>
  <conditionalFormatting sqref="G13">
    <cfRule type="cellIs" dxfId="419" priority="73" operator="between">
      <formula>$H$9</formula>
      <formula>$H$11</formula>
    </cfRule>
    <cfRule type="cellIs" dxfId="418" priority="75" operator="greaterThan">
      <formula>$H$11</formula>
    </cfRule>
    <cfRule type="cellIs" dxfId="417" priority="74" operator="lessThan">
      <formula>$H$9</formula>
    </cfRule>
  </conditionalFormatting>
  <conditionalFormatting sqref="G19">
    <cfRule type="cellIs" dxfId="416" priority="20" operator="lessThan">
      <formula>$G$6</formula>
    </cfRule>
    <cfRule type="cellIs" dxfId="415" priority="21" operator="greaterThan">
      <formula>$G$8</formula>
    </cfRule>
    <cfRule type="cellIs" dxfId="414" priority="22" operator="lessThan">
      <formula>$G$18</formula>
    </cfRule>
    <cfRule type="cellIs" dxfId="413" priority="24" operator="between">
      <formula>$G$18</formula>
      <formula>$G$20</formula>
    </cfRule>
    <cfRule type="cellIs" dxfId="412" priority="23" operator="greaterThan">
      <formula>$G$20</formula>
    </cfRule>
    <cfRule type="cellIs" dxfId="411" priority="19" operator="between">
      <formula>$G$6</formula>
      <formula>$G$8</formula>
    </cfRule>
  </conditionalFormatting>
  <conditionalFormatting sqref="H4">
    <cfRule type="cellIs" dxfId="410" priority="70" operator="greaterThan">
      <formula>$F$5</formula>
    </cfRule>
    <cfRule type="cellIs" dxfId="409" priority="71" operator="between">
      <formula>$F$3</formula>
      <formula>$F$5</formula>
    </cfRule>
    <cfRule type="cellIs" dxfId="408" priority="72" operator="between">
      <formula>$F$3</formula>
      <formula>$F$5</formula>
    </cfRule>
    <cfRule type="cellIs" dxfId="407" priority="69" operator="lessThan">
      <formula>$F$3</formula>
    </cfRule>
  </conditionalFormatting>
  <conditionalFormatting sqref="H10">
    <cfRule type="cellIs" dxfId="406" priority="30" operator="greaterThan">
      <formula>$H$11</formula>
    </cfRule>
    <cfRule type="cellIs" dxfId="405" priority="28" operator="between">
      <formula>$H$9</formula>
      <formula>$H$11</formula>
    </cfRule>
    <cfRule type="cellIs" dxfId="404" priority="29" operator="lessThan">
      <formula>$H$9</formula>
    </cfRule>
  </conditionalFormatting>
  <conditionalFormatting sqref="H16">
    <cfRule type="cellIs" dxfId="403" priority="25" operator="between">
      <formula>$H$9</formula>
      <formula>$H$11</formula>
    </cfRule>
    <cfRule type="cellIs" dxfId="402" priority="26" operator="lessThan">
      <formula>$H$9</formula>
    </cfRule>
    <cfRule type="cellIs" dxfId="401" priority="27" operator="greaterThan">
      <formula>$H$11</formula>
    </cfRule>
  </conditionalFormatting>
  <conditionalFormatting sqref="H22">
    <cfRule type="cellIs" dxfId="400" priority="64" operator="between">
      <formula>$F$3</formula>
      <formula>$F$5</formula>
    </cfRule>
    <cfRule type="cellIs" dxfId="399" priority="63" operator="between">
      <formula>$F$3</formula>
      <formula>$F$5</formula>
    </cfRule>
    <cfRule type="cellIs" dxfId="398" priority="62" operator="greaterThan">
      <formula>$F$5</formula>
    </cfRule>
    <cfRule type="cellIs" dxfId="397" priority="61" operator="lessThan">
      <formula>$F$3</formula>
    </cfRule>
  </conditionalFormatting>
  <conditionalFormatting sqref="I7">
    <cfRule type="cellIs" dxfId="396" priority="60" operator="between">
      <formula>$F$3</formula>
      <formula>$F$5</formula>
    </cfRule>
    <cfRule type="cellIs" dxfId="395" priority="57" operator="lessThan">
      <formula>$F$3</formula>
    </cfRule>
    <cfRule type="cellIs" dxfId="394" priority="58" operator="greaterThan">
      <formula>$F$5</formula>
    </cfRule>
    <cfRule type="cellIs" dxfId="393" priority="59" operator="between">
      <formula>$F$3</formula>
      <formula>$F$5</formula>
    </cfRule>
  </conditionalFormatting>
  <conditionalFormatting sqref="I13">
    <cfRule type="cellIs" dxfId="392" priority="31" operator="lessThan">
      <formula>$G$18</formula>
    </cfRule>
    <cfRule type="cellIs" dxfId="391" priority="32" operator="greaterThan">
      <formula>$G$20</formula>
    </cfRule>
    <cfRule type="cellIs" dxfId="390" priority="33" operator="between">
      <formula>$G$18</formula>
      <formula>$G$20</formula>
    </cfRule>
  </conditionalFormatting>
  <conditionalFormatting sqref="I19">
    <cfRule type="cellIs" dxfId="389" priority="55" operator="between">
      <formula>$F$3</formula>
      <formula>$F$5</formula>
    </cfRule>
    <cfRule type="cellIs" dxfId="388" priority="54" operator="greaterThan">
      <formula>$F$5</formula>
    </cfRule>
    <cfRule type="cellIs" dxfId="387" priority="53" operator="lessThan">
      <formula>$F$3</formula>
    </cfRule>
    <cfRule type="cellIs" dxfId="386" priority="56" operator="between">
      <formula>$F$3</formula>
      <formula>$F$5</formula>
    </cfRule>
  </conditionalFormatting>
  <conditionalFormatting sqref="J13">
    <cfRule type="cellIs" dxfId="385" priority="1" operator="between">
      <formula>$D$12</formula>
      <formula>$D$14</formula>
    </cfRule>
    <cfRule type="cellIs" dxfId="384" priority="3" operator="greaterThan">
      <formula>$D$14</formula>
    </cfRule>
    <cfRule type="cellIs" dxfId="383" priority="2" operator="lessThan">
      <formula>$D$12</formula>
    </cfRule>
  </conditionalFormatting>
  <conditionalFormatting sqref="J10:K10">
    <cfRule type="cellIs" dxfId="382" priority="41" operator="between">
      <formula>$K$15</formula>
      <formula>$K$17</formula>
    </cfRule>
    <cfRule type="cellIs" dxfId="381" priority="38" operator="between">
      <formula>$K$15</formula>
      <formula>$K$17</formula>
    </cfRule>
    <cfRule type="cellIs" dxfId="380" priority="39" operator="lessThan">
      <formula>$K$15</formula>
    </cfRule>
    <cfRule type="cellIs" dxfId="379" priority="40" operator="greaterThan">
      <formula>$K$17</formula>
    </cfRule>
  </conditionalFormatting>
  <conditionalFormatting sqref="J13:K13">
    <cfRule type="cellIs" dxfId="378" priority="6" operator="between">
      <formula>$C$12</formula>
      <formula>$C$14</formula>
    </cfRule>
    <cfRule type="cellIs" dxfId="377" priority="5" operator="greaterThan">
      <formula>$C$14</formula>
    </cfRule>
    <cfRule type="cellIs" dxfId="376" priority="4" operator="lessThan">
      <formula>$C$12</formula>
    </cfRule>
  </conditionalFormatting>
  <conditionalFormatting sqref="J16:K16">
    <cfRule type="cellIs" dxfId="375" priority="36" operator="greaterThan">
      <formula>$K$17</formula>
    </cfRule>
    <cfRule type="cellIs" dxfId="374" priority="34" operator="between">
      <formula>$K$15</formula>
      <formula>$K$17</formula>
    </cfRule>
    <cfRule type="cellIs" dxfId="373" priority="35" operator="lessThan">
      <formula>$K$15</formula>
    </cfRule>
    <cfRule type="cellIs" dxfId="372" priority="37" operator="between">
      <formula>$K$15</formula>
      <formula>$K$17</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BB62"/>
  <sheetViews>
    <sheetView workbookViewId="0">
      <selection activeCell="A28" sqref="A28:E29"/>
    </sheetView>
  </sheetViews>
  <sheetFormatPr defaultRowHeight="12.75" x14ac:dyDescent="0.2"/>
  <cols>
    <col min="7" max="7" width="9.140625" customWidth="1"/>
  </cols>
  <sheetData>
    <row r="1" spans="1:54" x14ac:dyDescent="0.2">
      <c r="A1" s="1" t="s">
        <v>0</v>
      </c>
      <c r="B1" s="84" t="s">
        <v>1</v>
      </c>
      <c r="C1" s="84" t="s">
        <v>2</v>
      </c>
      <c r="D1" s="84" t="s">
        <v>3</v>
      </c>
      <c r="E1" s="84" t="s">
        <v>4</v>
      </c>
      <c r="F1" s="84" t="s">
        <v>5</v>
      </c>
      <c r="G1" s="84" t="s">
        <v>6</v>
      </c>
      <c r="H1" s="84" t="s">
        <v>5</v>
      </c>
      <c r="I1" s="84" t="s">
        <v>4</v>
      </c>
      <c r="J1" s="84" t="s">
        <v>3</v>
      </c>
      <c r="K1" s="84" t="s">
        <v>2</v>
      </c>
      <c r="L1" s="95" t="s">
        <v>1</v>
      </c>
      <c r="M1" s="13"/>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13.5" thickBot="1" x14ac:dyDescent="0.25">
      <c r="A2" s="3" t="s">
        <v>7</v>
      </c>
      <c r="B2" s="85"/>
      <c r="C2" s="85"/>
      <c r="D2" s="85"/>
      <c r="E2" s="85"/>
      <c r="F2" s="85"/>
      <c r="G2" s="85"/>
      <c r="H2" s="85"/>
      <c r="I2" s="85"/>
      <c r="J2" s="85"/>
      <c r="K2" s="85"/>
      <c r="L2" s="96"/>
      <c r="M2" s="13"/>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x14ac:dyDescent="0.2">
      <c r="A3" s="97" t="s">
        <v>8</v>
      </c>
      <c r="B3" s="14"/>
      <c r="C3" s="14"/>
      <c r="D3" s="14"/>
      <c r="E3" s="14"/>
      <c r="F3" s="15">
        <v>100</v>
      </c>
      <c r="G3" s="14"/>
      <c r="H3" s="15">
        <v>100</v>
      </c>
      <c r="I3" s="14"/>
      <c r="J3" s="14"/>
      <c r="K3" s="14"/>
      <c r="L3" s="16"/>
      <c r="M3" s="1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x14ac:dyDescent="0.2">
      <c r="A4" s="98"/>
      <c r="B4" s="17"/>
      <c r="C4" s="17"/>
      <c r="D4" s="17"/>
      <c r="E4" s="17"/>
      <c r="F4" s="18">
        <f>('Officieel ECE R65 testrapport'!F3/100)*76.54</f>
        <v>0</v>
      </c>
      <c r="G4" s="17"/>
      <c r="H4" s="18">
        <f>('Officieel ECE R65 testrapport'!H3/100)*76.54</f>
        <v>0</v>
      </c>
      <c r="I4" s="17"/>
      <c r="J4" s="17"/>
      <c r="K4" s="17"/>
      <c r="L4" s="19"/>
      <c r="M4" s="1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3.5" thickBot="1" x14ac:dyDescent="0.25">
      <c r="A5" s="99"/>
      <c r="B5" s="20"/>
      <c r="C5" s="20"/>
      <c r="D5" s="20"/>
      <c r="E5" s="20"/>
      <c r="F5" s="21">
        <v>1500</v>
      </c>
      <c r="G5" s="20"/>
      <c r="H5" s="21">
        <v>1500</v>
      </c>
      <c r="I5" s="20"/>
      <c r="J5" s="20"/>
      <c r="K5" s="20"/>
      <c r="L5" s="22"/>
      <c r="M5" s="13"/>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x14ac:dyDescent="0.2">
      <c r="A6" s="97" t="s">
        <v>9</v>
      </c>
      <c r="B6" s="14"/>
      <c r="C6" s="14"/>
      <c r="D6" s="14"/>
      <c r="E6" s="15">
        <v>100</v>
      </c>
      <c r="F6" s="14"/>
      <c r="G6" s="15">
        <v>150</v>
      </c>
      <c r="H6" s="14"/>
      <c r="I6" s="15">
        <v>100</v>
      </c>
      <c r="J6" s="14"/>
      <c r="K6" s="14"/>
      <c r="L6" s="16"/>
      <c r="M6" s="1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x14ac:dyDescent="0.2">
      <c r="A7" s="98"/>
      <c r="B7" s="17"/>
      <c r="C7" s="17"/>
      <c r="D7" s="17"/>
      <c r="E7" s="18">
        <f>('Officieel ECE R65 testrapport'!E4/100)*76.55</f>
        <v>0</v>
      </c>
      <c r="F7" s="17"/>
      <c r="G7" s="18">
        <f>('Officieel ECE R65 testrapport'!G4/100)*76.77</f>
        <v>0</v>
      </c>
      <c r="H7" s="17"/>
      <c r="I7" s="18">
        <f>('Officieel ECE R65 testrapport'!I4/100)*76.55</f>
        <v>0</v>
      </c>
      <c r="J7" s="17"/>
      <c r="K7" s="17"/>
      <c r="L7" s="19"/>
      <c r="M7" s="13"/>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3.5" thickBot="1" x14ac:dyDescent="0.25">
      <c r="A8" s="99"/>
      <c r="B8" s="20"/>
      <c r="C8" s="20"/>
      <c r="D8" s="20"/>
      <c r="E8" s="21">
        <v>1500</v>
      </c>
      <c r="F8" s="20"/>
      <c r="G8" s="21">
        <v>1500</v>
      </c>
      <c r="H8" s="20"/>
      <c r="I8" s="21">
        <v>1500</v>
      </c>
      <c r="J8" s="20"/>
      <c r="K8" s="20"/>
      <c r="L8" s="22"/>
      <c r="M8" s="13"/>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x14ac:dyDescent="0.2">
      <c r="A9" s="97" t="s">
        <v>10</v>
      </c>
      <c r="B9" s="15">
        <v>40</v>
      </c>
      <c r="C9" s="15">
        <v>40</v>
      </c>
      <c r="D9" s="15">
        <v>40</v>
      </c>
      <c r="E9" s="14"/>
      <c r="F9" s="15">
        <v>200</v>
      </c>
      <c r="G9" s="14"/>
      <c r="H9" s="15">
        <v>200</v>
      </c>
      <c r="I9" s="14"/>
      <c r="J9" s="15">
        <v>40</v>
      </c>
      <c r="K9" s="15">
        <v>40</v>
      </c>
      <c r="L9" s="23">
        <v>40</v>
      </c>
      <c r="M9" s="13"/>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x14ac:dyDescent="0.2">
      <c r="A10" s="98"/>
      <c r="B10" s="24" t="s">
        <v>11</v>
      </c>
      <c r="C10" s="18">
        <f>('Officieel ECE R65 testrapport'!C5/100)*74.24</f>
        <v>0</v>
      </c>
      <c r="D10" s="18">
        <f>('Officieel ECE R65 testrapport'!D5/100)*76.41</f>
        <v>0</v>
      </c>
      <c r="E10" s="17"/>
      <c r="F10" s="18">
        <f>('Officieel ECE R65 testrapport'!F5/100)*76.58</f>
        <v>0</v>
      </c>
      <c r="G10" s="17"/>
      <c r="H10" s="18">
        <f>('Officieel ECE R65 testrapport'!H5/100)*76.58</f>
        <v>0</v>
      </c>
      <c r="I10" s="17"/>
      <c r="J10" s="18">
        <f>('Officieel ECE R65 testrapport'!J5/100)*76.41</f>
        <v>0</v>
      </c>
      <c r="K10" s="18">
        <f>('Officieel ECE R65 testrapport'!K5/100)*74.24</f>
        <v>0</v>
      </c>
      <c r="L10" s="25" t="s">
        <v>11</v>
      </c>
      <c r="M10" s="13"/>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ht="13.5" thickBot="1" x14ac:dyDescent="0.25">
      <c r="A11" s="99"/>
      <c r="B11" s="21">
        <v>1000</v>
      </c>
      <c r="C11" s="21">
        <v>1000</v>
      </c>
      <c r="D11" s="21">
        <v>1000</v>
      </c>
      <c r="E11" s="26"/>
      <c r="F11" s="21">
        <v>3000</v>
      </c>
      <c r="G11" s="26"/>
      <c r="H11" s="21">
        <v>3000</v>
      </c>
      <c r="I11" s="26"/>
      <c r="J11" s="21">
        <v>1000</v>
      </c>
      <c r="K11" s="21">
        <v>1000</v>
      </c>
      <c r="L11" s="27">
        <v>1000</v>
      </c>
      <c r="M11" s="13"/>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x14ac:dyDescent="0.2">
      <c r="A12" s="97" t="s">
        <v>6</v>
      </c>
      <c r="B12" s="15">
        <v>100</v>
      </c>
      <c r="C12" s="15">
        <v>100</v>
      </c>
      <c r="D12" s="15">
        <v>100</v>
      </c>
      <c r="E12" s="28">
        <v>150</v>
      </c>
      <c r="F12" s="14"/>
      <c r="G12" s="15">
        <v>200</v>
      </c>
      <c r="H12" s="14"/>
      <c r="I12" s="23">
        <v>150</v>
      </c>
      <c r="J12" s="15">
        <v>100</v>
      </c>
      <c r="K12" s="15">
        <v>100</v>
      </c>
      <c r="L12" s="23">
        <v>100</v>
      </c>
      <c r="M12" s="13"/>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x14ac:dyDescent="0.2">
      <c r="A13" s="98"/>
      <c r="B13" s="24" t="s">
        <v>11</v>
      </c>
      <c r="C13" s="18">
        <f>('Officieel ECE R65 testrapport'!C6/100)*74.28</f>
        <v>0</v>
      </c>
      <c r="D13" s="18">
        <f>('Officieel ECE R65 testrapport'!D6/100)*76.42</f>
        <v>0</v>
      </c>
      <c r="E13" s="18">
        <f>('Officieel ECE R65 testrapport'!E6/100)*76.55</f>
        <v>0</v>
      </c>
      <c r="F13" s="17"/>
      <c r="G13" s="18">
        <f>('Officieel ECE R65 testrapport'!G6/100)*77.38</f>
        <v>0</v>
      </c>
      <c r="H13" s="17"/>
      <c r="I13" s="18">
        <f>('Officieel ECE R65 testrapport'!I6/100)*76.55</f>
        <v>0</v>
      </c>
      <c r="J13" s="18">
        <f>('Officieel ECE R65 testrapport'!J6/100)*76.42</f>
        <v>0</v>
      </c>
      <c r="K13" s="18">
        <f>('Officieel ECE R65 testrapport'!K6/100)*74.28</f>
        <v>0</v>
      </c>
      <c r="L13" s="25" t="s">
        <v>11</v>
      </c>
      <c r="M13" s="13"/>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ht="13.5" thickBot="1" x14ac:dyDescent="0.25">
      <c r="A14" s="99"/>
      <c r="B14" s="21">
        <v>1000</v>
      </c>
      <c r="C14" s="21">
        <v>1000</v>
      </c>
      <c r="D14" s="21">
        <v>1000</v>
      </c>
      <c r="E14" s="29">
        <v>1500</v>
      </c>
      <c r="F14" s="20"/>
      <c r="G14" s="21">
        <v>3000</v>
      </c>
      <c r="H14" s="20"/>
      <c r="I14" s="27">
        <v>1500</v>
      </c>
      <c r="J14" s="21">
        <v>1000</v>
      </c>
      <c r="K14" s="21">
        <v>1000</v>
      </c>
      <c r="L14" s="27">
        <v>1000</v>
      </c>
      <c r="M14" s="13"/>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x14ac:dyDescent="0.2">
      <c r="A15" s="97" t="s">
        <v>10</v>
      </c>
      <c r="B15" s="15">
        <v>40</v>
      </c>
      <c r="C15" s="15">
        <v>40</v>
      </c>
      <c r="D15" s="15">
        <v>40</v>
      </c>
      <c r="E15" s="14"/>
      <c r="F15" s="15">
        <v>200</v>
      </c>
      <c r="G15" s="14"/>
      <c r="H15" s="15">
        <v>200</v>
      </c>
      <c r="I15" s="14"/>
      <c r="J15" s="15">
        <v>40</v>
      </c>
      <c r="K15" s="15">
        <v>40</v>
      </c>
      <c r="L15" s="23">
        <v>40</v>
      </c>
      <c r="M15" s="13"/>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x14ac:dyDescent="0.2">
      <c r="A16" s="98"/>
      <c r="B16" s="24" t="s">
        <v>11</v>
      </c>
      <c r="C16" s="18">
        <f>('Officieel ECE R65 testrapport'!C7/100)*74.24</f>
        <v>0</v>
      </c>
      <c r="D16" s="18">
        <f>('Officieel ECE R65 testrapport'!D7/100)*76.41</f>
        <v>0</v>
      </c>
      <c r="E16" s="17"/>
      <c r="F16" s="18">
        <f>('Officieel ECE R65 testrapport'!F7/100)*76.58</f>
        <v>0</v>
      </c>
      <c r="G16" s="17"/>
      <c r="H16" s="18">
        <f>('Officieel ECE R65 testrapport'!H7/100)*76.58</f>
        <v>0</v>
      </c>
      <c r="I16" s="17"/>
      <c r="J16" s="18">
        <f>('Officieel ECE R65 testrapport'!J7/100)*76.41</f>
        <v>0</v>
      </c>
      <c r="K16" s="18">
        <f>('Officieel ECE R65 testrapport'!K7/100)*74.24</f>
        <v>0</v>
      </c>
      <c r="L16" s="25" t="s">
        <v>11</v>
      </c>
      <c r="M16" s="13"/>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ht="13.5" thickBot="1" x14ac:dyDescent="0.25">
      <c r="A17" s="99"/>
      <c r="B17" s="21">
        <v>1000</v>
      </c>
      <c r="C17" s="21">
        <v>1000</v>
      </c>
      <c r="D17" s="21">
        <v>1000</v>
      </c>
      <c r="E17" s="20"/>
      <c r="F17" s="21">
        <v>3000</v>
      </c>
      <c r="G17" s="30"/>
      <c r="H17" s="21">
        <v>3000</v>
      </c>
      <c r="I17" s="20"/>
      <c r="J17" s="21">
        <v>1000</v>
      </c>
      <c r="K17" s="21">
        <v>1000</v>
      </c>
      <c r="L17" s="27">
        <v>1000</v>
      </c>
      <c r="M17" s="13"/>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x14ac:dyDescent="0.2">
      <c r="A18" s="97" t="s">
        <v>9</v>
      </c>
      <c r="B18" s="14"/>
      <c r="C18" s="14"/>
      <c r="D18" s="14"/>
      <c r="E18" s="15">
        <v>100</v>
      </c>
      <c r="F18" s="14"/>
      <c r="G18" s="31">
        <v>150</v>
      </c>
      <c r="H18" s="14"/>
      <c r="I18" s="15">
        <v>100</v>
      </c>
      <c r="J18" s="14"/>
      <c r="K18" s="14"/>
      <c r="L18" s="16"/>
      <c r="M18" s="13"/>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x14ac:dyDescent="0.2">
      <c r="A19" s="98"/>
      <c r="B19" s="17"/>
      <c r="C19" s="17"/>
      <c r="D19" s="17"/>
      <c r="E19" s="18">
        <f>('Officieel ECE R65 testrapport'!E8/100)*76.55</f>
        <v>0</v>
      </c>
      <c r="F19" s="17"/>
      <c r="G19" s="18">
        <f>('Officieel ECE R65 testrapport'!G8/100)*76.77</f>
        <v>0</v>
      </c>
      <c r="H19" s="17"/>
      <c r="I19" s="18">
        <f>('Officieel ECE R65 testrapport'!I8/100)*76.55</f>
        <v>0</v>
      </c>
      <c r="J19" s="17"/>
      <c r="K19" s="17"/>
      <c r="L19" s="19"/>
      <c r="M19" s="13"/>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ht="13.5" thickBot="1" x14ac:dyDescent="0.25">
      <c r="A20" s="99"/>
      <c r="B20" s="20"/>
      <c r="C20" s="20"/>
      <c r="D20" s="20"/>
      <c r="E20" s="21">
        <v>1500</v>
      </c>
      <c r="F20" s="20"/>
      <c r="G20" s="21">
        <v>1500</v>
      </c>
      <c r="H20" s="20"/>
      <c r="I20" s="21">
        <v>1500</v>
      </c>
      <c r="J20" s="20"/>
      <c r="K20" s="20"/>
      <c r="L20" s="22"/>
      <c r="M20" s="13"/>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x14ac:dyDescent="0.2">
      <c r="A21" s="97" t="s">
        <v>8</v>
      </c>
      <c r="B21" s="14"/>
      <c r="C21" s="14"/>
      <c r="D21" s="14"/>
      <c r="E21" s="14"/>
      <c r="F21" s="15">
        <v>100</v>
      </c>
      <c r="G21" s="14"/>
      <c r="H21" s="15">
        <v>100</v>
      </c>
      <c r="I21" s="14"/>
      <c r="J21" s="14"/>
      <c r="K21" s="14"/>
      <c r="L21" s="16"/>
      <c r="M21" s="13"/>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x14ac:dyDescent="0.2">
      <c r="A22" s="98"/>
      <c r="B22" s="17"/>
      <c r="C22" s="17"/>
      <c r="D22" s="17"/>
      <c r="E22" s="17"/>
      <c r="F22" s="18">
        <f>('Officieel ECE R65 testrapport'!F9/100)*76.54</f>
        <v>0</v>
      </c>
      <c r="G22" s="17"/>
      <c r="H22" s="18">
        <f>('Officieel ECE R65 testrapport'!H9/100)*76.54</f>
        <v>0</v>
      </c>
      <c r="I22" s="17"/>
      <c r="J22" s="17"/>
      <c r="K22" s="17"/>
      <c r="L22" s="19"/>
      <c r="M22" s="13"/>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13.5" thickBot="1" x14ac:dyDescent="0.25">
      <c r="A23" s="99"/>
      <c r="B23" s="20"/>
      <c r="C23" s="20"/>
      <c r="D23" s="20"/>
      <c r="E23" s="20"/>
      <c r="F23" s="21">
        <v>1500</v>
      </c>
      <c r="G23" s="20"/>
      <c r="H23" s="21">
        <v>1500</v>
      </c>
      <c r="I23" s="20"/>
      <c r="J23" s="20"/>
      <c r="K23" s="20"/>
      <c r="L23" s="22"/>
      <c r="M23" s="13"/>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1:54" x14ac:dyDescent="0.2">
      <c r="A24" s="2"/>
      <c r="B24" s="82" t="s">
        <v>12</v>
      </c>
      <c r="C24" s="83"/>
      <c r="D24" s="82" t="s">
        <v>13</v>
      </c>
      <c r="E24" s="83"/>
      <c r="F24" s="83"/>
      <c r="G24" s="83"/>
      <c r="H24" s="83"/>
      <c r="I24" s="83"/>
      <c r="J24" s="88"/>
      <c r="K24" s="83" t="s">
        <v>12</v>
      </c>
      <c r="L24" s="83"/>
      <c r="M24" s="1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row>
    <row r="25" spans="1:54" ht="13.5" thickBot="1" x14ac:dyDescent="0.25">
      <c r="A25" s="2"/>
      <c r="B25" s="79" t="s">
        <v>14</v>
      </c>
      <c r="C25" s="80"/>
      <c r="D25" s="79" t="s">
        <v>14</v>
      </c>
      <c r="E25" s="80"/>
      <c r="F25" s="80"/>
      <c r="G25" s="80"/>
      <c r="H25" s="80"/>
      <c r="I25" s="80"/>
      <c r="J25" s="81"/>
      <c r="K25" s="80" t="s">
        <v>14</v>
      </c>
      <c r="L25" s="80"/>
      <c r="M25" s="13"/>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row>
    <row r="26" spans="1:54"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row>
    <row r="27" spans="1:54" ht="13.5" thickBo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spans="1:54" ht="13.5" thickTop="1" x14ac:dyDescent="0.2">
      <c r="A28" s="89" t="s">
        <v>22</v>
      </c>
      <c r="B28" s="90"/>
      <c r="C28" s="90"/>
      <c r="D28" s="90"/>
      <c r="E28" s="91"/>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ht="13.5" thickBot="1" x14ac:dyDescent="0.25">
      <c r="A29" s="92"/>
      <c r="B29" s="93"/>
      <c r="C29" s="93"/>
      <c r="D29" s="93"/>
      <c r="E29" s="94"/>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row>
    <row r="30" spans="1:54" ht="13.5" thickTop="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row>
    <row r="31" spans="1:54"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spans="1:54"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row>
    <row r="33" spans="1:54"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54"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1:54"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1:54"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4"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1:54"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1:54"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1:54"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4"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4"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1:54"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1:54"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1:54"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1:54"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1:54"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spans="1:54"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row>
    <row r="56" spans="1:54"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row>
    <row r="57" spans="1:54"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spans="1:54"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row>
    <row r="59" spans="1:54"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spans="1:54"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row>
    <row r="61" spans="1:54"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spans="1:54"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row>
  </sheetData>
  <sheetProtection algorithmName="SHA-512" hashValue="N90P07bo2UlcdwsbLECoX27ZyFn7v1/WX70vPh03BqjEIqWROsdlvzONRnzQeQ+W9ah8pE/rEoeQQdo1StGODw==" saltValue="dMqlcBqZ2cwpRWEmhjz5Rg==" spinCount="100000" sheet="1" objects="1" scenarios="1" selectLockedCells="1" selectUnlockedCells="1"/>
  <mergeCells count="25">
    <mergeCell ref="K24:L24"/>
    <mergeCell ref="B25:C25"/>
    <mergeCell ref="D25:J25"/>
    <mergeCell ref="K25:L25"/>
    <mergeCell ref="A12:A14"/>
    <mergeCell ref="A15:A17"/>
    <mergeCell ref="A18:A20"/>
    <mergeCell ref="B24:C24"/>
    <mergeCell ref="D24:J24"/>
    <mergeCell ref="A28:E29"/>
    <mergeCell ref="L1:L2"/>
    <mergeCell ref="A3:A5"/>
    <mergeCell ref="B1:B2"/>
    <mergeCell ref="C1:C2"/>
    <mergeCell ref="D1:D2"/>
    <mergeCell ref="E1:E2"/>
    <mergeCell ref="F1:F2"/>
    <mergeCell ref="G1:G2"/>
    <mergeCell ref="A21:A23"/>
    <mergeCell ref="H1:H2"/>
    <mergeCell ref="I1:I2"/>
    <mergeCell ref="J1:J2"/>
    <mergeCell ref="K1:K2"/>
    <mergeCell ref="A6:A8"/>
    <mergeCell ref="A9:A11"/>
  </mergeCells>
  <conditionalFormatting sqref="C10:D10">
    <cfRule type="cellIs" dxfId="371" priority="93" operator="between">
      <formula>$K$15</formula>
      <formula>$K$17</formula>
    </cfRule>
    <cfRule type="cellIs" dxfId="370" priority="94" operator="lessThan">
      <formula>$K$15</formula>
    </cfRule>
    <cfRule type="cellIs" dxfId="369" priority="95" operator="greaterThan">
      <formula>$K$17</formula>
    </cfRule>
    <cfRule type="cellIs" dxfId="368" priority="96" operator="between">
      <formula>$K$15</formula>
      <formula>$K$17</formula>
    </cfRule>
  </conditionalFormatting>
  <conditionalFormatting sqref="C13:D13">
    <cfRule type="cellIs" dxfId="367" priority="12" operator="between">
      <formula>$C$12</formula>
      <formula>$C$14</formula>
    </cfRule>
    <cfRule type="cellIs" dxfId="366" priority="10" operator="lessThan">
      <formula>$C$12</formula>
    </cfRule>
    <cfRule type="cellIs" dxfId="365" priority="11" operator="greaterThan">
      <formula>$C$14</formula>
    </cfRule>
  </conditionalFormatting>
  <conditionalFormatting sqref="C16:D16">
    <cfRule type="cellIs" dxfId="364" priority="87" operator="greaterThan">
      <formula>$K$17</formula>
    </cfRule>
    <cfRule type="cellIs" dxfId="363" priority="85" operator="between">
      <formula>$K$15</formula>
      <formula>$K$17</formula>
    </cfRule>
    <cfRule type="cellIs" dxfId="362" priority="86" operator="lessThan">
      <formula>$K$15</formula>
    </cfRule>
    <cfRule type="cellIs" dxfId="361" priority="88" operator="between">
      <formula>$K$15</formula>
      <formula>$K$17</formula>
    </cfRule>
  </conditionalFormatting>
  <conditionalFormatting sqref="D13">
    <cfRule type="cellIs" dxfId="360" priority="7" operator="between">
      <formula>$D$12</formula>
      <formula>$D$14</formula>
    </cfRule>
    <cfRule type="cellIs" dxfId="359" priority="8" operator="lessThan">
      <formula>$D$12</formula>
    </cfRule>
    <cfRule type="cellIs" dxfId="358" priority="9" operator="greaterThan">
      <formula>$D$14</formula>
    </cfRule>
  </conditionalFormatting>
  <conditionalFormatting sqref="E7">
    <cfRule type="cellIs" dxfId="357" priority="108" operator="lessThan">
      <formula>$F$3</formula>
    </cfRule>
    <cfRule type="cellIs" dxfId="356" priority="111" operator="between">
      <formula>$F$3</formula>
      <formula>$F$5</formula>
    </cfRule>
    <cfRule type="cellIs" dxfId="355" priority="110" operator="between">
      <formula>$F$3</formula>
      <formula>$F$5</formula>
    </cfRule>
    <cfRule type="cellIs" dxfId="354" priority="109" operator="greaterThan">
      <formula>$F$5</formula>
    </cfRule>
  </conditionalFormatting>
  <conditionalFormatting sqref="E13">
    <cfRule type="cellIs" dxfId="353" priority="103" operator="between">
      <formula>$G$18</formula>
      <formula>$G$20</formula>
    </cfRule>
    <cfRule type="cellIs" dxfId="352" priority="101" operator="lessThan">
      <formula>$G$18</formula>
    </cfRule>
    <cfRule type="cellIs" dxfId="351" priority="102" operator="greaterThan">
      <formula>$G$20</formula>
    </cfRule>
  </conditionalFormatting>
  <conditionalFormatting sqref="E19">
    <cfRule type="cellIs" dxfId="350" priority="107" operator="between">
      <formula>$F$3</formula>
      <formula>$F$5</formula>
    </cfRule>
    <cfRule type="cellIs" dxfId="349" priority="106" operator="between">
      <formula>$F$3</formula>
      <formula>$F$5</formula>
    </cfRule>
    <cfRule type="cellIs" dxfId="348" priority="105" operator="greaterThan">
      <formula>$F$5</formula>
    </cfRule>
    <cfRule type="cellIs" dxfId="347" priority="104" operator="lessThan">
      <formula>$F$3</formula>
    </cfRule>
  </conditionalFormatting>
  <conditionalFormatting sqref="F4">
    <cfRule type="cellIs" dxfId="346" priority="115" operator="between">
      <formula>$F$3</formula>
      <formula>$F$5</formula>
    </cfRule>
    <cfRule type="cellIs" dxfId="345" priority="112" operator="lessThan">
      <formula>$F$3</formula>
    </cfRule>
    <cfRule type="cellIs" dxfId="344" priority="113" operator="greaterThan">
      <formula>$F$5</formula>
    </cfRule>
    <cfRule type="cellIs" dxfId="343" priority="114" operator="between">
      <formula>$F$3</formula>
      <formula>$F$5</formula>
    </cfRule>
  </conditionalFormatting>
  <conditionalFormatting sqref="F10">
    <cfRule type="cellIs" dxfId="342" priority="78" operator="greaterThan">
      <formula>$H$11</formula>
    </cfRule>
    <cfRule type="cellIs" dxfId="341" priority="77" operator="lessThan">
      <formula>$H$9</formula>
    </cfRule>
    <cfRule type="cellIs" dxfId="340" priority="76" operator="between">
      <formula>$H$9</formula>
      <formula>$H$11</formula>
    </cfRule>
  </conditionalFormatting>
  <conditionalFormatting sqref="F16">
    <cfRule type="cellIs" dxfId="339" priority="81" operator="greaterThan">
      <formula>$H$11</formula>
    </cfRule>
    <cfRule type="cellIs" dxfId="338" priority="80" operator="lessThan">
      <formula>$H$9</formula>
    </cfRule>
    <cfRule type="cellIs" dxfId="337" priority="79" operator="between">
      <formula>$H$9</formula>
      <formula>$H$11</formula>
    </cfRule>
  </conditionalFormatting>
  <conditionalFormatting sqref="F22">
    <cfRule type="cellIs" dxfId="336" priority="65" operator="lessThan">
      <formula>$F$3</formula>
    </cfRule>
    <cfRule type="cellIs" dxfId="335" priority="66" operator="greaterThan">
      <formula>$F$5</formula>
    </cfRule>
    <cfRule type="cellIs" dxfId="334" priority="67" operator="between">
      <formula>$F$3</formula>
      <formula>$F$5</formula>
    </cfRule>
    <cfRule type="cellIs" dxfId="333" priority="68" operator="between">
      <formula>$F$3</formula>
      <formula>$F$5</formula>
    </cfRule>
  </conditionalFormatting>
  <conditionalFormatting sqref="G7">
    <cfRule type="cellIs" dxfId="332" priority="18" operator="between">
      <formula>$G$18</formula>
      <formula>$G$20</formula>
    </cfRule>
    <cfRule type="cellIs" dxfId="331" priority="17" operator="greaterThan">
      <formula>$G$20</formula>
    </cfRule>
    <cfRule type="cellIs" dxfId="330" priority="16" operator="lessThan">
      <formula>$G$18</formula>
    </cfRule>
    <cfRule type="cellIs" dxfId="329" priority="15" operator="greaterThan">
      <formula>$G$8</formula>
    </cfRule>
    <cfRule type="cellIs" dxfId="328" priority="14" operator="lessThan">
      <formula>$G$6</formula>
    </cfRule>
    <cfRule type="cellIs" dxfId="327" priority="13" operator="between">
      <formula>$G$6</formula>
      <formula>$G$8</formula>
    </cfRule>
  </conditionalFormatting>
  <conditionalFormatting sqref="G13">
    <cfRule type="cellIs" dxfId="326" priority="73" operator="between">
      <formula>$H$9</formula>
      <formula>$H$11</formula>
    </cfRule>
    <cfRule type="cellIs" dxfId="325" priority="75" operator="greaterThan">
      <formula>$H$11</formula>
    </cfRule>
    <cfRule type="cellIs" dxfId="324" priority="74" operator="lessThan">
      <formula>$H$9</formula>
    </cfRule>
  </conditionalFormatting>
  <conditionalFormatting sqref="G19">
    <cfRule type="cellIs" dxfId="323" priority="20" operator="lessThan">
      <formula>$G$6</formula>
    </cfRule>
    <cfRule type="cellIs" dxfId="322" priority="21" operator="greaterThan">
      <formula>$G$8</formula>
    </cfRule>
    <cfRule type="cellIs" dxfId="321" priority="22" operator="lessThan">
      <formula>$G$18</formula>
    </cfRule>
    <cfRule type="cellIs" dxfId="320" priority="24" operator="between">
      <formula>$G$18</formula>
      <formula>$G$20</formula>
    </cfRule>
    <cfRule type="cellIs" dxfId="319" priority="23" operator="greaterThan">
      <formula>$G$20</formula>
    </cfRule>
    <cfRule type="cellIs" dxfId="318" priority="19" operator="between">
      <formula>$G$6</formula>
      <formula>$G$8</formula>
    </cfRule>
  </conditionalFormatting>
  <conditionalFormatting sqref="H4">
    <cfRule type="cellIs" dxfId="317" priority="70" operator="greaterThan">
      <formula>$F$5</formula>
    </cfRule>
    <cfRule type="cellIs" dxfId="316" priority="71" operator="between">
      <formula>$F$3</formula>
      <formula>$F$5</formula>
    </cfRule>
    <cfRule type="cellIs" dxfId="315" priority="72" operator="between">
      <formula>$F$3</formula>
      <formula>$F$5</formula>
    </cfRule>
    <cfRule type="cellIs" dxfId="314" priority="69" operator="lessThan">
      <formula>$F$3</formula>
    </cfRule>
  </conditionalFormatting>
  <conditionalFormatting sqref="H10">
    <cfRule type="cellIs" dxfId="313" priority="30" operator="greaterThan">
      <formula>$H$11</formula>
    </cfRule>
    <cfRule type="cellIs" dxfId="312" priority="28" operator="between">
      <formula>$H$9</formula>
      <formula>$H$11</formula>
    </cfRule>
    <cfRule type="cellIs" dxfId="311" priority="29" operator="lessThan">
      <formula>$H$9</formula>
    </cfRule>
  </conditionalFormatting>
  <conditionalFormatting sqref="H16">
    <cfRule type="cellIs" dxfId="310" priority="25" operator="between">
      <formula>$H$9</formula>
      <formula>$H$11</formula>
    </cfRule>
    <cfRule type="cellIs" dxfId="309" priority="26" operator="lessThan">
      <formula>$H$9</formula>
    </cfRule>
    <cfRule type="cellIs" dxfId="308" priority="27" operator="greaterThan">
      <formula>$H$11</formula>
    </cfRule>
  </conditionalFormatting>
  <conditionalFormatting sqref="H22">
    <cfRule type="cellIs" dxfId="307" priority="64" operator="between">
      <formula>$F$3</formula>
      <formula>$F$5</formula>
    </cfRule>
    <cfRule type="cellIs" dxfId="306" priority="63" operator="between">
      <formula>$F$3</formula>
      <formula>$F$5</formula>
    </cfRule>
    <cfRule type="cellIs" dxfId="305" priority="62" operator="greaterThan">
      <formula>$F$5</formula>
    </cfRule>
    <cfRule type="cellIs" dxfId="304" priority="61" operator="lessThan">
      <formula>$F$3</formula>
    </cfRule>
  </conditionalFormatting>
  <conditionalFormatting sqref="I7">
    <cfRule type="cellIs" dxfId="303" priority="60" operator="between">
      <formula>$F$3</formula>
      <formula>$F$5</formula>
    </cfRule>
    <cfRule type="cellIs" dxfId="302" priority="57" operator="lessThan">
      <formula>$F$3</formula>
    </cfRule>
    <cfRule type="cellIs" dxfId="301" priority="58" operator="greaterThan">
      <formula>$F$5</formula>
    </cfRule>
    <cfRule type="cellIs" dxfId="300" priority="59" operator="between">
      <formula>$F$3</formula>
      <formula>$F$5</formula>
    </cfRule>
  </conditionalFormatting>
  <conditionalFormatting sqref="I13">
    <cfRule type="cellIs" dxfId="299" priority="31" operator="lessThan">
      <formula>$G$18</formula>
    </cfRule>
    <cfRule type="cellIs" dxfId="298" priority="32" operator="greaterThan">
      <formula>$G$20</formula>
    </cfRule>
    <cfRule type="cellIs" dxfId="297" priority="33" operator="between">
      <formula>$G$18</formula>
      <formula>$G$20</formula>
    </cfRule>
  </conditionalFormatting>
  <conditionalFormatting sqref="I19">
    <cfRule type="cellIs" dxfId="296" priority="55" operator="between">
      <formula>$F$3</formula>
      <formula>$F$5</formula>
    </cfRule>
    <cfRule type="cellIs" dxfId="295" priority="54" operator="greaterThan">
      <formula>$F$5</formula>
    </cfRule>
    <cfRule type="cellIs" dxfId="294" priority="53" operator="lessThan">
      <formula>$F$3</formula>
    </cfRule>
    <cfRule type="cellIs" dxfId="293" priority="56" operator="between">
      <formula>$F$3</formula>
      <formula>$F$5</formula>
    </cfRule>
  </conditionalFormatting>
  <conditionalFormatting sqref="J13">
    <cfRule type="cellIs" dxfId="292" priority="1" operator="between">
      <formula>$D$12</formula>
      <formula>$D$14</formula>
    </cfRule>
    <cfRule type="cellIs" dxfId="291" priority="3" operator="greaterThan">
      <formula>$D$14</formula>
    </cfRule>
    <cfRule type="cellIs" dxfId="290" priority="2" operator="lessThan">
      <formula>$D$12</formula>
    </cfRule>
  </conditionalFormatting>
  <conditionalFormatting sqref="J10:K10">
    <cfRule type="cellIs" dxfId="289" priority="41" operator="between">
      <formula>$K$15</formula>
      <formula>$K$17</formula>
    </cfRule>
    <cfRule type="cellIs" dxfId="288" priority="38" operator="between">
      <formula>$K$15</formula>
      <formula>$K$17</formula>
    </cfRule>
    <cfRule type="cellIs" dxfId="287" priority="39" operator="lessThan">
      <formula>$K$15</formula>
    </cfRule>
    <cfRule type="cellIs" dxfId="286" priority="40" operator="greaterThan">
      <formula>$K$17</formula>
    </cfRule>
  </conditionalFormatting>
  <conditionalFormatting sqref="J13:K13">
    <cfRule type="cellIs" dxfId="285" priority="6" operator="between">
      <formula>$C$12</formula>
      <formula>$C$14</formula>
    </cfRule>
    <cfRule type="cellIs" dxfId="284" priority="5" operator="greaterThan">
      <formula>$C$14</formula>
    </cfRule>
    <cfRule type="cellIs" dxfId="283" priority="4" operator="lessThan">
      <formula>$C$12</formula>
    </cfRule>
  </conditionalFormatting>
  <conditionalFormatting sqref="J16:K16">
    <cfRule type="cellIs" dxfId="282" priority="36" operator="greaterThan">
      <formula>$K$17</formula>
    </cfRule>
    <cfRule type="cellIs" dxfId="281" priority="34" operator="between">
      <formula>$K$15</formula>
      <formula>$K$17</formula>
    </cfRule>
    <cfRule type="cellIs" dxfId="280" priority="35" operator="lessThan">
      <formula>$K$15</formula>
    </cfRule>
    <cfRule type="cellIs" dxfId="279" priority="37" operator="between">
      <formula>$K$15</formula>
      <formula>$K$17</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BB62"/>
  <sheetViews>
    <sheetView workbookViewId="0">
      <selection activeCell="A28" sqref="A28:E29"/>
    </sheetView>
  </sheetViews>
  <sheetFormatPr defaultRowHeight="12.75" x14ac:dyDescent="0.2"/>
  <cols>
    <col min="7" max="7" width="9.140625" customWidth="1"/>
  </cols>
  <sheetData>
    <row r="1" spans="1:54" x14ac:dyDescent="0.2">
      <c r="A1" s="1" t="s">
        <v>0</v>
      </c>
      <c r="B1" s="84" t="s">
        <v>1</v>
      </c>
      <c r="C1" s="84" t="s">
        <v>2</v>
      </c>
      <c r="D1" s="84" t="s">
        <v>3</v>
      </c>
      <c r="E1" s="84" t="s">
        <v>4</v>
      </c>
      <c r="F1" s="84" t="s">
        <v>5</v>
      </c>
      <c r="G1" s="84" t="s">
        <v>6</v>
      </c>
      <c r="H1" s="84" t="s">
        <v>5</v>
      </c>
      <c r="I1" s="84" t="s">
        <v>4</v>
      </c>
      <c r="J1" s="84" t="s">
        <v>3</v>
      </c>
      <c r="K1" s="84" t="s">
        <v>2</v>
      </c>
      <c r="L1" s="95" t="s">
        <v>1</v>
      </c>
      <c r="M1" s="13"/>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13.5" thickBot="1" x14ac:dyDescent="0.25">
      <c r="A2" s="3" t="s">
        <v>7</v>
      </c>
      <c r="B2" s="85"/>
      <c r="C2" s="85"/>
      <c r="D2" s="85"/>
      <c r="E2" s="85"/>
      <c r="F2" s="85"/>
      <c r="G2" s="85"/>
      <c r="H2" s="85"/>
      <c r="I2" s="85"/>
      <c r="J2" s="85"/>
      <c r="K2" s="85"/>
      <c r="L2" s="96"/>
      <c r="M2" s="13"/>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x14ac:dyDescent="0.2">
      <c r="A3" s="97" t="s">
        <v>8</v>
      </c>
      <c r="B3" s="14"/>
      <c r="C3" s="14"/>
      <c r="D3" s="14"/>
      <c r="E3" s="14"/>
      <c r="F3" s="15">
        <v>100</v>
      </c>
      <c r="G3" s="14"/>
      <c r="H3" s="15">
        <v>100</v>
      </c>
      <c r="I3" s="14"/>
      <c r="J3" s="14"/>
      <c r="K3" s="14"/>
      <c r="L3" s="16"/>
      <c r="M3" s="1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x14ac:dyDescent="0.2">
      <c r="A4" s="98"/>
      <c r="B4" s="17"/>
      <c r="C4" s="17"/>
      <c r="D4" s="17"/>
      <c r="E4" s="17"/>
      <c r="F4" s="18">
        <f>('Officieel ECE R65 testrapport'!F3/100)*71.81</f>
        <v>0</v>
      </c>
      <c r="G4" s="17"/>
      <c r="H4" s="18">
        <f>('Officieel ECE R65 testrapport'!H3/100)*71.81</f>
        <v>0</v>
      </c>
      <c r="I4" s="17"/>
      <c r="J4" s="17"/>
      <c r="K4" s="17"/>
      <c r="L4" s="19"/>
      <c r="M4" s="1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3.5" thickBot="1" x14ac:dyDescent="0.25">
      <c r="A5" s="99"/>
      <c r="B5" s="20"/>
      <c r="C5" s="20"/>
      <c r="D5" s="20"/>
      <c r="E5" s="20"/>
      <c r="F5" s="21">
        <v>1500</v>
      </c>
      <c r="G5" s="20"/>
      <c r="H5" s="21">
        <v>1500</v>
      </c>
      <c r="I5" s="20"/>
      <c r="J5" s="20"/>
      <c r="K5" s="20"/>
      <c r="L5" s="22"/>
      <c r="M5" s="13"/>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x14ac:dyDescent="0.2">
      <c r="A6" s="97" t="s">
        <v>9</v>
      </c>
      <c r="B6" s="14"/>
      <c r="C6" s="14"/>
      <c r="D6" s="14"/>
      <c r="E6" s="15">
        <v>100</v>
      </c>
      <c r="F6" s="14"/>
      <c r="G6" s="15">
        <v>150</v>
      </c>
      <c r="H6" s="14"/>
      <c r="I6" s="15">
        <v>100</v>
      </c>
      <c r="J6" s="14"/>
      <c r="K6" s="14"/>
      <c r="L6" s="16"/>
      <c r="M6" s="1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x14ac:dyDescent="0.2">
      <c r="A7" s="98"/>
      <c r="B7" s="17"/>
      <c r="C7" s="17"/>
      <c r="D7" s="17"/>
      <c r="E7" s="18">
        <f>('Officieel ECE R65 testrapport'!E4/100)*71.74</f>
        <v>0</v>
      </c>
      <c r="F7" s="17"/>
      <c r="G7" s="18">
        <f>('Officieel ECE R65 testrapport'!G4/100)*72.07</f>
        <v>0</v>
      </c>
      <c r="H7" s="17"/>
      <c r="I7" s="18">
        <f>('Officieel ECE R65 testrapport'!I4/100)*71.74</f>
        <v>0</v>
      </c>
      <c r="J7" s="17"/>
      <c r="K7" s="17"/>
      <c r="L7" s="19"/>
      <c r="M7" s="13"/>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3.5" thickBot="1" x14ac:dyDescent="0.25">
      <c r="A8" s="99"/>
      <c r="B8" s="20"/>
      <c r="C8" s="20"/>
      <c r="D8" s="20"/>
      <c r="E8" s="21">
        <v>1500</v>
      </c>
      <c r="F8" s="20"/>
      <c r="G8" s="21">
        <v>1500</v>
      </c>
      <c r="H8" s="20"/>
      <c r="I8" s="21">
        <v>1500</v>
      </c>
      <c r="J8" s="20"/>
      <c r="K8" s="20"/>
      <c r="L8" s="22"/>
      <c r="M8" s="13"/>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x14ac:dyDescent="0.2">
      <c r="A9" s="97" t="s">
        <v>10</v>
      </c>
      <c r="B9" s="15">
        <v>40</v>
      </c>
      <c r="C9" s="15">
        <v>40</v>
      </c>
      <c r="D9" s="15">
        <v>40</v>
      </c>
      <c r="E9" s="14"/>
      <c r="F9" s="15">
        <v>200</v>
      </c>
      <c r="G9" s="14"/>
      <c r="H9" s="15">
        <v>200</v>
      </c>
      <c r="I9" s="14"/>
      <c r="J9" s="15">
        <v>40</v>
      </c>
      <c r="K9" s="15">
        <v>40</v>
      </c>
      <c r="L9" s="23">
        <v>40</v>
      </c>
      <c r="M9" s="13"/>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x14ac:dyDescent="0.2">
      <c r="A10" s="98"/>
      <c r="B10" s="24" t="s">
        <v>11</v>
      </c>
      <c r="C10" s="18">
        <f>('Officieel ECE R65 testrapport'!C5/100)*69.22</f>
        <v>0</v>
      </c>
      <c r="D10" s="18">
        <f>('Officieel ECE R65 testrapport'!D5/100)*71.48</f>
        <v>0</v>
      </c>
      <c r="E10" s="17"/>
      <c r="F10" s="18">
        <f>('Officieel ECE R65 testrapport'!F5/100)*71.86</f>
        <v>0</v>
      </c>
      <c r="G10" s="17"/>
      <c r="H10" s="18">
        <f>('Officieel ECE R65 testrapport'!H5/100)*71.86</f>
        <v>0</v>
      </c>
      <c r="I10" s="17"/>
      <c r="J10" s="18">
        <f>('Officieel ECE R65 testrapport'!J5/100)*71.48</f>
        <v>0</v>
      </c>
      <c r="K10" s="18">
        <f>('Officieel ECE R65 testrapport'!K5/100)*69.22</f>
        <v>0</v>
      </c>
      <c r="L10" s="25" t="s">
        <v>11</v>
      </c>
      <c r="M10" s="13"/>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ht="13.5" thickBot="1" x14ac:dyDescent="0.25">
      <c r="A11" s="99"/>
      <c r="B11" s="21">
        <v>1000</v>
      </c>
      <c r="C11" s="21">
        <v>1000</v>
      </c>
      <c r="D11" s="21">
        <v>1000</v>
      </c>
      <c r="E11" s="26"/>
      <c r="F11" s="21">
        <v>3000</v>
      </c>
      <c r="G11" s="26"/>
      <c r="H11" s="21">
        <v>3000</v>
      </c>
      <c r="I11" s="26"/>
      <c r="J11" s="21">
        <v>1000</v>
      </c>
      <c r="K11" s="21">
        <v>1000</v>
      </c>
      <c r="L11" s="27">
        <v>1000</v>
      </c>
      <c r="M11" s="13"/>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x14ac:dyDescent="0.2">
      <c r="A12" s="97" t="s">
        <v>6</v>
      </c>
      <c r="B12" s="15">
        <v>100</v>
      </c>
      <c r="C12" s="15">
        <v>100</v>
      </c>
      <c r="D12" s="15">
        <v>100</v>
      </c>
      <c r="E12" s="28">
        <v>150</v>
      </c>
      <c r="F12" s="14"/>
      <c r="G12" s="15">
        <v>200</v>
      </c>
      <c r="H12" s="14"/>
      <c r="I12" s="23">
        <v>150</v>
      </c>
      <c r="J12" s="15">
        <v>100</v>
      </c>
      <c r="K12" s="15">
        <v>100</v>
      </c>
      <c r="L12" s="23">
        <v>100</v>
      </c>
      <c r="M12" s="13"/>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x14ac:dyDescent="0.2">
      <c r="A13" s="98"/>
      <c r="B13" s="24" t="s">
        <v>11</v>
      </c>
      <c r="C13" s="18">
        <f>('Officieel ECE R65 testrapport'!C6/100)*69.26</f>
        <v>0</v>
      </c>
      <c r="D13" s="18">
        <f>('Officieel ECE R65 testrapport'!D6/100)*71.49</f>
        <v>0</v>
      </c>
      <c r="E13" s="18">
        <f>('Officieel ECE R65 testrapport'!E6/100)*71.74</f>
        <v>0</v>
      </c>
      <c r="F13" s="17"/>
      <c r="G13" s="18">
        <f>('Officieel ECE R65 testrapport'!G6/100)*72.65</f>
        <v>0</v>
      </c>
      <c r="H13" s="17"/>
      <c r="I13" s="18">
        <f>('Officieel ECE R65 testrapport'!I6/100)*71.74</f>
        <v>0</v>
      </c>
      <c r="J13" s="18">
        <f>('Officieel ECE R65 testrapport'!J6/100)*71.49</f>
        <v>0</v>
      </c>
      <c r="K13" s="18">
        <f>('Officieel ECE R65 testrapport'!K6/100)*69.26</f>
        <v>0</v>
      </c>
      <c r="L13" s="25" t="s">
        <v>11</v>
      </c>
      <c r="M13" s="13"/>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ht="13.5" thickBot="1" x14ac:dyDescent="0.25">
      <c r="A14" s="99"/>
      <c r="B14" s="21">
        <v>1000</v>
      </c>
      <c r="C14" s="21">
        <v>1000</v>
      </c>
      <c r="D14" s="21">
        <v>1000</v>
      </c>
      <c r="E14" s="29">
        <v>1500</v>
      </c>
      <c r="F14" s="20"/>
      <c r="G14" s="21">
        <v>3000</v>
      </c>
      <c r="H14" s="20"/>
      <c r="I14" s="27">
        <v>1500</v>
      </c>
      <c r="J14" s="21">
        <v>1000</v>
      </c>
      <c r="K14" s="21">
        <v>1000</v>
      </c>
      <c r="L14" s="27">
        <v>1000</v>
      </c>
      <c r="M14" s="13"/>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x14ac:dyDescent="0.2">
      <c r="A15" s="97" t="s">
        <v>10</v>
      </c>
      <c r="B15" s="15">
        <v>40</v>
      </c>
      <c r="C15" s="15">
        <v>40</v>
      </c>
      <c r="D15" s="15">
        <v>40</v>
      </c>
      <c r="E15" s="14"/>
      <c r="F15" s="15">
        <v>200</v>
      </c>
      <c r="G15" s="14"/>
      <c r="H15" s="15">
        <v>200</v>
      </c>
      <c r="I15" s="14"/>
      <c r="J15" s="15">
        <v>40</v>
      </c>
      <c r="K15" s="15">
        <v>40</v>
      </c>
      <c r="L15" s="23">
        <v>40</v>
      </c>
      <c r="M15" s="13"/>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x14ac:dyDescent="0.2">
      <c r="A16" s="98"/>
      <c r="B16" s="24" t="s">
        <v>11</v>
      </c>
      <c r="C16" s="18">
        <f>('Officieel ECE R65 testrapport'!C7/100)*69.22</f>
        <v>0</v>
      </c>
      <c r="D16" s="18">
        <f>('Officieel ECE R65 testrapport'!D7/100)*71.48</f>
        <v>0</v>
      </c>
      <c r="E16" s="17"/>
      <c r="F16" s="18">
        <f>('Officieel ECE R65 testrapport'!F7/100)*71.86</f>
        <v>0</v>
      </c>
      <c r="G16" s="17"/>
      <c r="H16" s="18">
        <f>('Officieel ECE R65 testrapport'!H7/100)*71.86</f>
        <v>0</v>
      </c>
      <c r="I16" s="17"/>
      <c r="J16" s="18">
        <f>('Officieel ECE R65 testrapport'!J7/100)*71.48</f>
        <v>0</v>
      </c>
      <c r="K16" s="18">
        <f>('Officieel ECE R65 testrapport'!K7/100)*69.22</f>
        <v>0</v>
      </c>
      <c r="L16" s="25" t="s">
        <v>11</v>
      </c>
      <c r="M16" s="13"/>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ht="13.5" thickBot="1" x14ac:dyDescent="0.25">
      <c r="A17" s="99"/>
      <c r="B17" s="21">
        <v>1000</v>
      </c>
      <c r="C17" s="21">
        <v>1000</v>
      </c>
      <c r="D17" s="21">
        <v>1000</v>
      </c>
      <c r="E17" s="20"/>
      <c r="F17" s="21">
        <v>3000</v>
      </c>
      <c r="G17" s="30"/>
      <c r="H17" s="21">
        <v>3000</v>
      </c>
      <c r="I17" s="20"/>
      <c r="J17" s="21">
        <v>1000</v>
      </c>
      <c r="K17" s="21">
        <v>1000</v>
      </c>
      <c r="L17" s="27">
        <v>1000</v>
      </c>
      <c r="M17" s="13"/>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x14ac:dyDescent="0.2">
      <c r="A18" s="97" t="s">
        <v>9</v>
      </c>
      <c r="B18" s="14"/>
      <c r="C18" s="14"/>
      <c r="D18" s="14"/>
      <c r="E18" s="15">
        <v>100</v>
      </c>
      <c r="F18" s="14"/>
      <c r="G18" s="31">
        <v>150</v>
      </c>
      <c r="H18" s="14"/>
      <c r="I18" s="15">
        <v>100</v>
      </c>
      <c r="J18" s="14"/>
      <c r="K18" s="14"/>
      <c r="L18" s="16"/>
      <c r="M18" s="13"/>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x14ac:dyDescent="0.2">
      <c r="A19" s="98"/>
      <c r="B19" s="17"/>
      <c r="C19" s="17"/>
      <c r="D19" s="17"/>
      <c r="E19" s="18">
        <f>('Officieel ECE R65 testrapport'!E8/100)*71.74</f>
        <v>0</v>
      </c>
      <c r="F19" s="17"/>
      <c r="G19" s="18">
        <f>('Officieel ECE R65 testrapport'!G8/100)*72.07</f>
        <v>0</v>
      </c>
      <c r="H19" s="17"/>
      <c r="I19" s="18">
        <f>('Officieel ECE R65 testrapport'!I8/100)*71.74</f>
        <v>0</v>
      </c>
      <c r="J19" s="17"/>
      <c r="K19" s="17"/>
      <c r="L19" s="19"/>
      <c r="M19" s="13"/>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ht="13.5" thickBot="1" x14ac:dyDescent="0.25">
      <c r="A20" s="99"/>
      <c r="B20" s="20"/>
      <c r="C20" s="20"/>
      <c r="D20" s="20"/>
      <c r="E20" s="21">
        <v>1500</v>
      </c>
      <c r="F20" s="20"/>
      <c r="G20" s="21">
        <v>1500</v>
      </c>
      <c r="H20" s="20"/>
      <c r="I20" s="21">
        <v>1500</v>
      </c>
      <c r="J20" s="20"/>
      <c r="K20" s="20"/>
      <c r="L20" s="22"/>
      <c r="M20" s="13"/>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x14ac:dyDescent="0.2">
      <c r="A21" s="97" t="s">
        <v>8</v>
      </c>
      <c r="B21" s="14"/>
      <c r="C21" s="14"/>
      <c r="D21" s="14"/>
      <c r="E21" s="14"/>
      <c r="F21" s="15">
        <v>100</v>
      </c>
      <c r="G21" s="14"/>
      <c r="H21" s="15">
        <v>100</v>
      </c>
      <c r="I21" s="14"/>
      <c r="J21" s="14"/>
      <c r="K21" s="14"/>
      <c r="L21" s="16"/>
      <c r="M21" s="13"/>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x14ac:dyDescent="0.2">
      <c r="A22" s="98"/>
      <c r="B22" s="17"/>
      <c r="C22" s="17"/>
      <c r="D22" s="17"/>
      <c r="E22" s="17"/>
      <c r="F22" s="18">
        <f>('Officieel ECE R65 testrapport'!F9/100)*71.81</f>
        <v>0</v>
      </c>
      <c r="G22" s="17"/>
      <c r="H22" s="18">
        <f>('Officieel ECE R65 testrapport'!H9/100)*71.81</f>
        <v>0</v>
      </c>
      <c r="I22" s="17"/>
      <c r="J22" s="17"/>
      <c r="K22" s="17"/>
      <c r="L22" s="19"/>
      <c r="M22" s="13"/>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13.5" thickBot="1" x14ac:dyDescent="0.25">
      <c r="A23" s="99"/>
      <c r="B23" s="20"/>
      <c r="C23" s="20"/>
      <c r="D23" s="20"/>
      <c r="E23" s="20"/>
      <c r="F23" s="21">
        <v>1500</v>
      </c>
      <c r="G23" s="20"/>
      <c r="H23" s="21">
        <v>1500</v>
      </c>
      <c r="I23" s="20"/>
      <c r="J23" s="20"/>
      <c r="K23" s="20"/>
      <c r="L23" s="22"/>
      <c r="M23" s="13"/>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1:54" x14ac:dyDescent="0.2">
      <c r="A24" s="2"/>
      <c r="B24" s="82" t="s">
        <v>12</v>
      </c>
      <c r="C24" s="83"/>
      <c r="D24" s="82" t="s">
        <v>13</v>
      </c>
      <c r="E24" s="83"/>
      <c r="F24" s="83"/>
      <c r="G24" s="83"/>
      <c r="H24" s="83"/>
      <c r="I24" s="83"/>
      <c r="J24" s="88"/>
      <c r="K24" s="83" t="s">
        <v>12</v>
      </c>
      <c r="L24" s="83"/>
      <c r="M24" s="1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row>
    <row r="25" spans="1:54" ht="13.5" thickBot="1" x14ac:dyDescent="0.25">
      <c r="A25" s="2"/>
      <c r="B25" s="79" t="s">
        <v>14</v>
      </c>
      <c r="C25" s="80"/>
      <c r="D25" s="79" t="s">
        <v>14</v>
      </c>
      <c r="E25" s="80"/>
      <c r="F25" s="80"/>
      <c r="G25" s="80"/>
      <c r="H25" s="80"/>
      <c r="I25" s="80"/>
      <c r="J25" s="81"/>
      <c r="K25" s="80" t="s">
        <v>14</v>
      </c>
      <c r="L25" s="80"/>
      <c r="M25" s="13"/>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row>
    <row r="26" spans="1:54"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row>
    <row r="27" spans="1:54" ht="13.5" thickBo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spans="1:54" ht="13.5" thickTop="1" x14ac:dyDescent="0.2">
      <c r="A28" s="89" t="s">
        <v>22</v>
      </c>
      <c r="B28" s="90"/>
      <c r="C28" s="90"/>
      <c r="D28" s="90"/>
      <c r="E28" s="91"/>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ht="13.5" thickBot="1" x14ac:dyDescent="0.25">
      <c r="A29" s="92"/>
      <c r="B29" s="93"/>
      <c r="C29" s="93"/>
      <c r="D29" s="93"/>
      <c r="E29" s="94"/>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row>
    <row r="30" spans="1:54" ht="13.5" thickTop="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row>
    <row r="31" spans="1:54"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spans="1:54"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row>
    <row r="33" spans="1:54"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54"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1:54"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1:54"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4"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1:54"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1:54"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1:54"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4"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4"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1:54"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1:54"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1:54"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1:54"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1:54"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spans="1:54"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row>
    <row r="56" spans="1:54"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row>
    <row r="57" spans="1:54"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spans="1:54"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row>
    <row r="59" spans="1:54"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spans="1:54"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row>
    <row r="61" spans="1:54"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spans="1:54"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row>
  </sheetData>
  <sheetProtection algorithmName="SHA-512" hashValue="88nwr9rIx1FluktZF/iv6PUc+QugM17Mh68oOdI4Xdjaism/iTHMSXx+EVKpo3nvibrElP6E6WP/oYNSCkYSZA==" saltValue="IbGvxdBj2CF0aRXCXOMiYQ==" spinCount="100000" sheet="1" objects="1" scenarios="1" selectLockedCells="1" selectUnlockedCells="1"/>
  <mergeCells count="25">
    <mergeCell ref="K24:L24"/>
    <mergeCell ref="B25:C25"/>
    <mergeCell ref="D25:J25"/>
    <mergeCell ref="K25:L25"/>
    <mergeCell ref="A12:A14"/>
    <mergeCell ref="A15:A17"/>
    <mergeCell ref="A18:A20"/>
    <mergeCell ref="B24:C24"/>
    <mergeCell ref="D24:J24"/>
    <mergeCell ref="A28:E29"/>
    <mergeCell ref="L1:L2"/>
    <mergeCell ref="A3:A5"/>
    <mergeCell ref="B1:B2"/>
    <mergeCell ref="C1:C2"/>
    <mergeCell ref="D1:D2"/>
    <mergeCell ref="E1:E2"/>
    <mergeCell ref="F1:F2"/>
    <mergeCell ref="G1:G2"/>
    <mergeCell ref="A21:A23"/>
    <mergeCell ref="H1:H2"/>
    <mergeCell ref="I1:I2"/>
    <mergeCell ref="J1:J2"/>
    <mergeCell ref="K1:K2"/>
    <mergeCell ref="A6:A8"/>
    <mergeCell ref="A9:A11"/>
  </mergeCells>
  <conditionalFormatting sqref="C10:D10">
    <cfRule type="cellIs" dxfId="278" priority="93" operator="between">
      <formula>$K$15</formula>
      <formula>$K$17</formula>
    </cfRule>
    <cfRule type="cellIs" dxfId="277" priority="94" operator="lessThan">
      <formula>$K$15</formula>
    </cfRule>
    <cfRule type="cellIs" dxfId="276" priority="95" operator="greaterThan">
      <formula>$K$17</formula>
    </cfRule>
    <cfRule type="cellIs" dxfId="275" priority="96" operator="between">
      <formula>$K$15</formula>
      <formula>$K$17</formula>
    </cfRule>
  </conditionalFormatting>
  <conditionalFormatting sqref="C13:D13">
    <cfRule type="cellIs" dxfId="274" priority="12" operator="between">
      <formula>$C$12</formula>
      <formula>$C$14</formula>
    </cfRule>
    <cfRule type="cellIs" dxfId="273" priority="10" operator="lessThan">
      <formula>$C$12</formula>
    </cfRule>
    <cfRule type="cellIs" dxfId="272" priority="11" operator="greaterThan">
      <formula>$C$14</formula>
    </cfRule>
  </conditionalFormatting>
  <conditionalFormatting sqref="C16:D16">
    <cfRule type="cellIs" dxfId="271" priority="87" operator="greaterThan">
      <formula>$K$17</formula>
    </cfRule>
    <cfRule type="cellIs" dxfId="270" priority="85" operator="between">
      <formula>$K$15</formula>
      <formula>$K$17</formula>
    </cfRule>
    <cfRule type="cellIs" dxfId="269" priority="86" operator="lessThan">
      <formula>$K$15</formula>
    </cfRule>
    <cfRule type="cellIs" dxfId="268" priority="88" operator="between">
      <formula>$K$15</formula>
      <formula>$K$17</formula>
    </cfRule>
  </conditionalFormatting>
  <conditionalFormatting sqref="D13">
    <cfRule type="cellIs" dxfId="267" priority="7" operator="between">
      <formula>$D$12</formula>
      <formula>$D$14</formula>
    </cfRule>
    <cfRule type="cellIs" dxfId="266" priority="8" operator="lessThan">
      <formula>$D$12</formula>
    </cfRule>
    <cfRule type="cellIs" dxfId="265" priority="9" operator="greaterThan">
      <formula>$D$14</formula>
    </cfRule>
  </conditionalFormatting>
  <conditionalFormatting sqref="E7">
    <cfRule type="cellIs" dxfId="264" priority="108" operator="lessThan">
      <formula>$F$3</formula>
    </cfRule>
    <cfRule type="cellIs" dxfId="263" priority="111" operator="between">
      <formula>$F$3</formula>
      <formula>$F$5</formula>
    </cfRule>
    <cfRule type="cellIs" dxfId="262" priority="110" operator="between">
      <formula>$F$3</formula>
      <formula>$F$5</formula>
    </cfRule>
    <cfRule type="cellIs" dxfId="261" priority="109" operator="greaterThan">
      <formula>$F$5</formula>
    </cfRule>
  </conditionalFormatting>
  <conditionalFormatting sqref="E13">
    <cfRule type="cellIs" dxfId="260" priority="103" operator="between">
      <formula>$G$18</formula>
      <formula>$G$20</formula>
    </cfRule>
    <cfRule type="cellIs" dxfId="259" priority="101" operator="lessThan">
      <formula>$G$18</formula>
    </cfRule>
    <cfRule type="cellIs" dxfId="258" priority="102" operator="greaterThan">
      <formula>$G$20</formula>
    </cfRule>
  </conditionalFormatting>
  <conditionalFormatting sqref="E19">
    <cfRule type="cellIs" dxfId="257" priority="107" operator="between">
      <formula>$F$3</formula>
      <formula>$F$5</formula>
    </cfRule>
    <cfRule type="cellIs" dxfId="256" priority="106" operator="between">
      <formula>$F$3</formula>
      <formula>$F$5</formula>
    </cfRule>
    <cfRule type="cellIs" dxfId="255" priority="105" operator="greaterThan">
      <formula>$F$5</formula>
    </cfRule>
    <cfRule type="cellIs" dxfId="254" priority="104" operator="lessThan">
      <formula>$F$3</formula>
    </cfRule>
  </conditionalFormatting>
  <conditionalFormatting sqref="F4">
    <cfRule type="cellIs" dxfId="253" priority="115" operator="between">
      <formula>$F$3</formula>
      <formula>$F$5</formula>
    </cfRule>
    <cfRule type="cellIs" dxfId="252" priority="112" operator="lessThan">
      <formula>$F$3</formula>
    </cfRule>
    <cfRule type="cellIs" dxfId="251" priority="113" operator="greaterThan">
      <formula>$F$5</formula>
    </cfRule>
    <cfRule type="cellIs" dxfId="250" priority="114" operator="between">
      <formula>$F$3</formula>
      <formula>$F$5</formula>
    </cfRule>
  </conditionalFormatting>
  <conditionalFormatting sqref="F10">
    <cfRule type="cellIs" dxfId="249" priority="78" operator="greaterThan">
      <formula>$H$11</formula>
    </cfRule>
    <cfRule type="cellIs" dxfId="248" priority="77" operator="lessThan">
      <formula>$H$9</formula>
    </cfRule>
    <cfRule type="cellIs" dxfId="247" priority="76" operator="between">
      <formula>$H$9</formula>
      <formula>$H$11</formula>
    </cfRule>
  </conditionalFormatting>
  <conditionalFormatting sqref="F16">
    <cfRule type="cellIs" dxfId="246" priority="81" operator="greaterThan">
      <formula>$H$11</formula>
    </cfRule>
    <cfRule type="cellIs" dxfId="245" priority="80" operator="lessThan">
      <formula>$H$9</formula>
    </cfRule>
    <cfRule type="cellIs" dxfId="244" priority="79" operator="between">
      <formula>$H$9</formula>
      <formula>$H$11</formula>
    </cfRule>
  </conditionalFormatting>
  <conditionalFormatting sqref="F22">
    <cfRule type="cellIs" dxfId="243" priority="65" operator="lessThan">
      <formula>$F$3</formula>
    </cfRule>
    <cfRule type="cellIs" dxfId="242" priority="66" operator="greaterThan">
      <formula>$F$5</formula>
    </cfRule>
    <cfRule type="cellIs" dxfId="241" priority="67" operator="between">
      <formula>$F$3</formula>
      <formula>$F$5</formula>
    </cfRule>
    <cfRule type="cellIs" dxfId="240" priority="68" operator="between">
      <formula>$F$3</formula>
      <formula>$F$5</formula>
    </cfRule>
  </conditionalFormatting>
  <conditionalFormatting sqref="G7">
    <cfRule type="cellIs" dxfId="239" priority="18" operator="between">
      <formula>$G$18</formula>
      <formula>$G$20</formula>
    </cfRule>
    <cfRule type="cellIs" dxfId="238" priority="17" operator="greaterThan">
      <formula>$G$20</formula>
    </cfRule>
    <cfRule type="cellIs" dxfId="237" priority="16" operator="lessThan">
      <formula>$G$18</formula>
    </cfRule>
    <cfRule type="cellIs" dxfId="236" priority="15" operator="greaterThan">
      <formula>$G$8</formula>
    </cfRule>
    <cfRule type="cellIs" dxfId="235" priority="14" operator="lessThan">
      <formula>$G$6</formula>
    </cfRule>
    <cfRule type="cellIs" dxfId="234" priority="13" operator="between">
      <formula>$G$6</formula>
      <formula>$G$8</formula>
    </cfRule>
  </conditionalFormatting>
  <conditionalFormatting sqref="G13">
    <cfRule type="cellIs" dxfId="233" priority="73" operator="between">
      <formula>$H$9</formula>
      <formula>$H$11</formula>
    </cfRule>
    <cfRule type="cellIs" dxfId="232" priority="75" operator="greaterThan">
      <formula>$H$11</formula>
    </cfRule>
    <cfRule type="cellIs" dxfId="231" priority="74" operator="lessThan">
      <formula>$H$9</formula>
    </cfRule>
  </conditionalFormatting>
  <conditionalFormatting sqref="G19">
    <cfRule type="cellIs" dxfId="230" priority="20" operator="lessThan">
      <formula>$G$6</formula>
    </cfRule>
    <cfRule type="cellIs" dxfId="229" priority="21" operator="greaterThan">
      <formula>$G$8</formula>
    </cfRule>
    <cfRule type="cellIs" dxfId="228" priority="22" operator="lessThan">
      <formula>$G$18</formula>
    </cfRule>
    <cfRule type="cellIs" dxfId="227" priority="24" operator="between">
      <formula>$G$18</formula>
      <formula>$G$20</formula>
    </cfRule>
    <cfRule type="cellIs" dxfId="226" priority="23" operator="greaterThan">
      <formula>$G$20</formula>
    </cfRule>
    <cfRule type="cellIs" dxfId="225" priority="19" operator="between">
      <formula>$G$6</formula>
      <formula>$G$8</formula>
    </cfRule>
  </conditionalFormatting>
  <conditionalFormatting sqref="H4">
    <cfRule type="cellIs" dxfId="224" priority="70" operator="greaterThan">
      <formula>$F$5</formula>
    </cfRule>
    <cfRule type="cellIs" dxfId="223" priority="71" operator="between">
      <formula>$F$3</formula>
      <formula>$F$5</formula>
    </cfRule>
    <cfRule type="cellIs" dxfId="222" priority="72" operator="between">
      <formula>$F$3</formula>
      <formula>$F$5</formula>
    </cfRule>
    <cfRule type="cellIs" dxfId="221" priority="69" operator="lessThan">
      <formula>$F$3</formula>
    </cfRule>
  </conditionalFormatting>
  <conditionalFormatting sqref="H10">
    <cfRule type="cellIs" dxfId="220" priority="30" operator="greaterThan">
      <formula>$H$11</formula>
    </cfRule>
    <cfRule type="cellIs" dxfId="219" priority="28" operator="between">
      <formula>$H$9</formula>
      <formula>$H$11</formula>
    </cfRule>
    <cfRule type="cellIs" dxfId="218" priority="29" operator="lessThan">
      <formula>$H$9</formula>
    </cfRule>
  </conditionalFormatting>
  <conditionalFormatting sqref="H16">
    <cfRule type="cellIs" dxfId="217" priority="25" operator="between">
      <formula>$H$9</formula>
      <formula>$H$11</formula>
    </cfRule>
    <cfRule type="cellIs" dxfId="216" priority="26" operator="lessThan">
      <formula>$H$9</formula>
    </cfRule>
    <cfRule type="cellIs" dxfId="215" priority="27" operator="greaterThan">
      <formula>$H$11</formula>
    </cfRule>
  </conditionalFormatting>
  <conditionalFormatting sqref="H22">
    <cfRule type="cellIs" dxfId="214" priority="64" operator="between">
      <formula>$F$3</formula>
      <formula>$F$5</formula>
    </cfRule>
    <cfRule type="cellIs" dxfId="213" priority="63" operator="between">
      <formula>$F$3</formula>
      <formula>$F$5</formula>
    </cfRule>
    <cfRule type="cellIs" dxfId="212" priority="62" operator="greaterThan">
      <formula>$F$5</formula>
    </cfRule>
    <cfRule type="cellIs" dxfId="211" priority="61" operator="lessThan">
      <formula>$F$3</formula>
    </cfRule>
  </conditionalFormatting>
  <conditionalFormatting sqref="I7">
    <cfRule type="cellIs" dxfId="210" priority="60" operator="between">
      <formula>$F$3</formula>
      <formula>$F$5</formula>
    </cfRule>
    <cfRule type="cellIs" dxfId="209" priority="57" operator="lessThan">
      <formula>$F$3</formula>
    </cfRule>
    <cfRule type="cellIs" dxfId="208" priority="58" operator="greaterThan">
      <formula>$F$5</formula>
    </cfRule>
    <cfRule type="cellIs" dxfId="207" priority="59" operator="between">
      <formula>$F$3</formula>
      <formula>$F$5</formula>
    </cfRule>
  </conditionalFormatting>
  <conditionalFormatting sqref="I13">
    <cfRule type="cellIs" dxfId="206" priority="31" operator="lessThan">
      <formula>$G$18</formula>
    </cfRule>
    <cfRule type="cellIs" dxfId="205" priority="32" operator="greaterThan">
      <formula>$G$20</formula>
    </cfRule>
    <cfRule type="cellIs" dxfId="204" priority="33" operator="between">
      <formula>$G$18</formula>
      <formula>$G$20</formula>
    </cfRule>
  </conditionalFormatting>
  <conditionalFormatting sqref="I19">
    <cfRule type="cellIs" dxfId="203" priority="55" operator="between">
      <formula>$F$3</formula>
      <formula>$F$5</formula>
    </cfRule>
    <cfRule type="cellIs" dxfId="202" priority="54" operator="greaterThan">
      <formula>$F$5</formula>
    </cfRule>
    <cfRule type="cellIs" dxfId="201" priority="53" operator="lessThan">
      <formula>$F$3</formula>
    </cfRule>
    <cfRule type="cellIs" dxfId="200" priority="56" operator="between">
      <formula>$F$3</formula>
      <formula>$F$5</formula>
    </cfRule>
  </conditionalFormatting>
  <conditionalFormatting sqref="J13">
    <cfRule type="cellIs" dxfId="199" priority="1" operator="between">
      <formula>$D$12</formula>
      <formula>$D$14</formula>
    </cfRule>
    <cfRule type="cellIs" dxfId="198" priority="3" operator="greaterThan">
      <formula>$D$14</formula>
    </cfRule>
    <cfRule type="cellIs" dxfId="197" priority="2" operator="lessThan">
      <formula>$D$12</formula>
    </cfRule>
  </conditionalFormatting>
  <conditionalFormatting sqref="J10:K10">
    <cfRule type="cellIs" dxfId="196" priority="41" operator="between">
      <formula>$K$15</formula>
      <formula>$K$17</formula>
    </cfRule>
    <cfRule type="cellIs" dxfId="195" priority="38" operator="between">
      <formula>$K$15</formula>
      <formula>$K$17</formula>
    </cfRule>
    <cfRule type="cellIs" dxfId="194" priority="39" operator="lessThan">
      <formula>$K$15</formula>
    </cfRule>
    <cfRule type="cellIs" dxfId="193" priority="40" operator="greaterThan">
      <formula>$K$17</formula>
    </cfRule>
  </conditionalFormatting>
  <conditionalFormatting sqref="J13:K13">
    <cfRule type="cellIs" dxfId="192" priority="6" operator="between">
      <formula>$C$12</formula>
      <formula>$C$14</formula>
    </cfRule>
    <cfRule type="cellIs" dxfId="191" priority="5" operator="greaterThan">
      <formula>$C$14</formula>
    </cfRule>
    <cfRule type="cellIs" dxfId="190" priority="4" operator="lessThan">
      <formula>$C$12</formula>
    </cfRule>
  </conditionalFormatting>
  <conditionalFormatting sqref="J16:K16">
    <cfRule type="cellIs" dxfId="189" priority="36" operator="greaterThan">
      <formula>$K$17</formula>
    </cfRule>
    <cfRule type="cellIs" dxfId="188" priority="34" operator="between">
      <formula>$K$15</formula>
      <formula>$K$17</formula>
    </cfRule>
    <cfRule type="cellIs" dxfId="187" priority="35" operator="lessThan">
      <formula>$K$15</formula>
    </cfRule>
    <cfRule type="cellIs" dxfId="186" priority="37" operator="between">
      <formula>$K$15</formula>
      <formula>$K$17</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BB62"/>
  <sheetViews>
    <sheetView workbookViewId="0">
      <selection activeCell="A28" sqref="A28:E29"/>
    </sheetView>
  </sheetViews>
  <sheetFormatPr defaultRowHeight="12.75" x14ac:dyDescent="0.2"/>
  <cols>
    <col min="7" max="7" width="9.140625" customWidth="1"/>
  </cols>
  <sheetData>
    <row r="1" spans="1:54" x14ac:dyDescent="0.2">
      <c r="A1" s="1" t="s">
        <v>0</v>
      </c>
      <c r="B1" s="84" t="s">
        <v>1</v>
      </c>
      <c r="C1" s="84" t="s">
        <v>2</v>
      </c>
      <c r="D1" s="84" t="s">
        <v>3</v>
      </c>
      <c r="E1" s="84" t="s">
        <v>4</v>
      </c>
      <c r="F1" s="84" t="s">
        <v>5</v>
      </c>
      <c r="G1" s="84" t="s">
        <v>6</v>
      </c>
      <c r="H1" s="84" t="s">
        <v>5</v>
      </c>
      <c r="I1" s="84" t="s">
        <v>4</v>
      </c>
      <c r="J1" s="84" t="s">
        <v>3</v>
      </c>
      <c r="K1" s="84" t="s">
        <v>2</v>
      </c>
      <c r="L1" s="95" t="s">
        <v>1</v>
      </c>
      <c r="M1" s="13"/>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13.5" thickBot="1" x14ac:dyDescent="0.25">
      <c r="A2" s="3" t="s">
        <v>7</v>
      </c>
      <c r="B2" s="85"/>
      <c r="C2" s="85"/>
      <c r="D2" s="85"/>
      <c r="E2" s="85"/>
      <c r="F2" s="85"/>
      <c r="G2" s="85"/>
      <c r="H2" s="85"/>
      <c r="I2" s="85"/>
      <c r="J2" s="85"/>
      <c r="K2" s="85"/>
      <c r="L2" s="96"/>
      <c r="M2" s="13"/>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x14ac:dyDescent="0.2">
      <c r="A3" s="97" t="s">
        <v>8</v>
      </c>
      <c r="B3" s="14"/>
      <c r="C3" s="14"/>
      <c r="D3" s="14"/>
      <c r="E3" s="14"/>
      <c r="F3" s="15">
        <v>100</v>
      </c>
      <c r="G3" s="14"/>
      <c r="H3" s="15">
        <v>100</v>
      </c>
      <c r="I3" s="14"/>
      <c r="J3" s="14"/>
      <c r="K3" s="14"/>
      <c r="L3" s="16"/>
      <c r="M3" s="1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x14ac:dyDescent="0.2">
      <c r="A4" s="98"/>
      <c r="B4" s="17"/>
      <c r="C4" s="17"/>
      <c r="D4" s="17"/>
      <c r="E4" s="17"/>
      <c r="F4" s="18">
        <f>('Officieel ECE R65 testrapport'!F3/100)*86.28</f>
        <v>0</v>
      </c>
      <c r="G4" s="17"/>
      <c r="H4" s="18">
        <f>('Officieel ECE R65 testrapport'!H3/100)*86.28</f>
        <v>0</v>
      </c>
      <c r="I4" s="17"/>
      <c r="J4" s="17"/>
      <c r="K4" s="17"/>
      <c r="L4" s="19"/>
      <c r="M4" s="1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3.5" thickBot="1" x14ac:dyDescent="0.25">
      <c r="A5" s="99"/>
      <c r="B5" s="20"/>
      <c r="C5" s="20"/>
      <c r="D5" s="20"/>
      <c r="E5" s="20"/>
      <c r="F5" s="21">
        <v>1500</v>
      </c>
      <c r="G5" s="20"/>
      <c r="H5" s="21">
        <v>1500</v>
      </c>
      <c r="I5" s="20"/>
      <c r="J5" s="20"/>
      <c r="K5" s="20"/>
      <c r="L5" s="22"/>
      <c r="M5" s="13"/>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x14ac:dyDescent="0.2">
      <c r="A6" s="97" t="s">
        <v>9</v>
      </c>
      <c r="B6" s="14"/>
      <c r="C6" s="14"/>
      <c r="D6" s="14"/>
      <c r="E6" s="15">
        <v>100</v>
      </c>
      <c r="F6" s="14"/>
      <c r="G6" s="15">
        <v>150</v>
      </c>
      <c r="H6" s="14"/>
      <c r="I6" s="15">
        <v>100</v>
      </c>
      <c r="J6" s="14"/>
      <c r="K6" s="14"/>
      <c r="L6" s="16"/>
      <c r="M6" s="1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x14ac:dyDescent="0.2">
      <c r="A7" s="98"/>
      <c r="B7" s="17"/>
      <c r="C7" s="17"/>
      <c r="D7" s="17"/>
      <c r="E7" s="18">
        <f>('Officieel ECE R65 testrapport'!E4/100)*86.44</f>
        <v>0</v>
      </c>
      <c r="F7" s="17"/>
      <c r="G7" s="18">
        <f>('Officieel ECE R65 testrapport'!G4/100)*86.42</f>
        <v>0</v>
      </c>
      <c r="H7" s="17"/>
      <c r="I7" s="18">
        <f>('Officieel ECE R65 testrapport'!I4/100)*86.44</f>
        <v>0</v>
      </c>
      <c r="J7" s="17"/>
      <c r="K7" s="17"/>
      <c r="L7" s="19"/>
      <c r="M7" s="13"/>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3.5" thickBot="1" x14ac:dyDescent="0.25">
      <c r="A8" s="99"/>
      <c r="B8" s="20"/>
      <c r="C8" s="20"/>
      <c r="D8" s="20"/>
      <c r="E8" s="21">
        <v>1500</v>
      </c>
      <c r="F8" s="20"/>
      <c r="G8" s="21">
        <v>1500</v>
      </c>
      <c r="H8" s="20"/>
      <c r="I8" s="21">
        <v>1500</v>
      </c>
      <c r="J8" s="20"/>
      <c r="K8" s="20"/>
      <c r="L8" s="22"/>
      <c r="M8" s="13"/>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x14ac:dyDescent="0.2">
      <c r="A9" s="97" t="s">
        <v>10</v>
      </c>
      <c r="B9" s="15">
        <v>40</v>
      </c>
      <c r="C9" s="15">
        <v>40</v>
      </c>
      <c r="D9" s="15">
        <v>40</v>
      </c>
      <c r="E9" s="14"/>
      <c r="F9" s="15">
        <v>200</v>
      </c>
      <c r="G9" s="14"/>
      <c r="H9" s="15">
        <v>200</v>
      </c>
      <c r="I9" s="14"/>
      <c r="J9" s="15">
        <v>40</v>
      </c>
      <c r="K9" s="15">
        <v>40</v>
      </c>
      <c r="L9" s="23">
        <v>40</v>
      </c>
      <c r="M9" s="13"/>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x14ac:dyDescent="0.2">
      <c r="A10" s="98"/>
      <c r="B10" s="24" t="s">
        <v>11</v>
      </c>
      <c r="C10" s="18">
        <f>('Officieel ECE R65 testrapport'!C5/100)*85.15</f>
        <v>0</v>
      </c>
      <c r="D10" s="18">
        <f>('Officieel ECE R65 testrapport'!D5/100)*86.56</f>
        <v>0</v>
      </c>
      <c r="E10" s="17"/>
      <c r="F10" s="18">
        <f>('Officieel ECE R65 testrapport'!F5/100)*86.28</f>
        <v>0</v>
      </c>
      <c r="G10" s="17"/>
      <c r="H10" s="18">
        <f>('Officieel ECE R65 testrapport'!H5/100)*86.28</f>
        <v>0</v>
      </c>
      <c r="I10" s="17"/>
      <c r="J10" s="18">
        <f>('Officieel ECE R65 testrapport'!J5/100)*86.56</f>
        <v>0</v>
      </c>
      <c r="K10" s="18">
        <f>('Officieel ECE R65 testrapport'!K5/100)*85.15</f>
        <v>0</v>
      </c>
      <c r="L10" s="25" t="s">
        <v>11</v>
      </c>
      <c r="M10" s="13"/>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ht="13.5" thickBot="1" x14ac:dyDescent="0.25">
      <c r="A11" s="99"/>
      <c r="B11" s="21">
        <v>1000</v>
      </c>
      <c r="C11" s="21">
        <v>1000</v>
      </c>
      <c r="D11" s="21">
        <v>1000</v>
      </c>
      <c r="E11" s="26"/>
      <c r="F11" s="21">
        <v>3000</v>
      </c>
      <c r="G11" s="26"/>
      <c r="H11" s="21">
        <v>3000</v>
      </c>
      <c r="I11" s="26"/>
      <c r="J11" s="21">
        <v>1000</v>
      </c>
      <c r="K11" s="21">
        <v>1000</v>
      </c>
      <c r="L11" s="27">
        <v>1000</v>
      </c>
      <c r="M11" s="13"/>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x14ac:dyDescent="0.2">
      <c r="A12" s="97" t="s">
        <v>6</v>
      </c>
      <c r="B12" s="15">
        <v>100</v>
      </c>
      <c r="C12" s="15">
        <v>100</v>
      </c>
      <c r="D12" s="15">
        <v>100</v>
      </c>
      <c r="E12" s="28">
        <v>150</v>
      </c>
      <c r="F12" s="14"/>
      <c r="G12" s="15">
        <v>200</v>
      </c>
      <c r="H12" s="14"/>
      <c r="I12" s="23">
        <v>150</v>
      </c>
      <c r="J12" s="15">
        <v>100</v>
      </c>
      <c r="K12" s="15">
        <v>100</v>
      </c>
      <c r="L12" s="23">
        <v>100</v>
      </c>
      <c r="M12" s="13"/>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x14ac:dyDescent="0.2">
      <c r="A13" s="98"/>
      <c r="B13" s="24" t="s">
        <v>11</v>
      </c>
      <c r="C13" s="18">
        <f>('Officieel ECE R65 testrapport'!C6/100)*85.18</f>
        <v>0</v>
      </c>
      <c r="D13" s="18">
        <f>('Officieel ECE R65 testrapport'!D6/100)*86.56</f>
        <v>0</v>
      </c>
      <c r="E13" s="18">
        <f>('Officieel ECE R65 testrapport'!E6/100)*86.41</f>
        <v>0</v>
      </c>
      <c r="F13" s="17"/>
      <c r="G13" s="18">
        <f>('Officieel ECE R65 testrapport'!G6/100)*86.97</f>
        <v>0</v>
      </c>
      <c r="H13" s="17"/>
      <c r="I13" s="18">
        <f>('Officieel ECE R65 testrapport'!I6/100)*86.41</f>
        <v>0</v>
      </c>
      <c r="J13" s="18">
        <f>('Officieel ECE R65 testrapport'!J6/100)*86.56</f>
        <v>0</v>
      </c>
      <c r="K13" s="18">
        <f>('Officieel ECE R65 testrapport'!K6/100)*85.18</f>
        <v>0</v>
      </c>
      <c r="L13" s="25" t="s">
        <v>11</v>
      </c>
      <c r="M13" s="13"/>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ht="13.5" thickBot="1" x14ac:dyDescent="0.25">
      <c r="A14" s="99"/>
      <c r="B14" s="21">
        <v>1000</v>
      </c>
      <c r="C14" s="21">
        <v>1000</v>
      </c>
      <c r="D14" s="21">
        <v>1000</v>
      </c>
      <c r="E14" s="29">
        <v>1500</v>
      </c>
      <c r="F14" s="20"/>
      <c r="G14" s="21">
        <v>3000</v>
      </c>
      <c r="H14" s="20"/>
      <c r="I14" s="27">
        <v>1500</v>
      </c>
      <c r="J14" s="21">
        <v>1000</v>
      </c>
      <c r="K14" s="21">
        <v>1000</v>
      </c>
      <c r="L14" s="27">
        <v>1000</v>
      </c>
      <c r="M14" s="13"/>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x14ac:dyDescent="0.2">
      <c r="A15" s="97" t="s">
        <v>10</v>
      </c>
      <c r="B15" s="15">
        <v>40</v>
      </c>
      <c r="C15" s="15">
        <v>40</v>
      </c>
      <c r="D15" s="15">
        <v>40</v>
      </c>
      <c r="E15" s="14"/>
      <c r="F15" s="15">
        <v>200</v>
      </c>
      <c r="G15" s="14"/>
      <c r="H15" s="15">
        <v>200</v>
      </c>
      <c r="I15" s="14"/>
      <c r="J15" s="15">
        <v>40</v>
      </c>
      <c r="K15" s="15">
        <v>40</v>
      </c>
      <c r="L15" s="23">
        <v>40</v>
      </c>
      <c r="M15" s="13"/>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x14ac:dyDescent="0.2">
      <c r="A16" s="98"/>
      <c r="B16" s="24" t="s">
        <v>11</v>
      </c>
      <c r="C16" s="18">
        <f>('Officieel ECE R65 testrapport'!C7/100)*85.15</f>
        <v>0</v>
      </c>
      <c r="D16" s="18">
        <f>('Officieel ECE R65 testrapport'!D7/100)*86.56</f>
        <v>0</v>
      </c>
      <c r="E16" s="17"/>
      <c r="F16" s="18">
        <f>('Officieel ECE R65 testrapport'!F7/100)*86.28</f>
        <v>0</v>
      </c>
      <c r="G16" s="17"/>
      <c r="H16" s="18">
        <f>('Officieel ECE R65 testrapport'!H7/100)*86.28</f>
        <v>0</v>
      </c>
      <c r="I16" s="17"/>
      <c r="J16" s="18">
        <f>('Officieel ECE R65 testrapport'!J7/100)*86.56</f>
        <v>0</v>
      </c>
      <c r="K16" s="18">
        <f>('Officieel ECE R65 testrapport'!K7/100)*85.15</f>
        <v>0</v>
      </c>
      <c r="L16" s="25" t="s">
        <v>11</v>
      </c>
      <c r="M16" s="13"/>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ht="13.5" thickBot="1" x14ac:dyDescent="0.25">
      <c r="A17" s="99"/>
      <c r="B17" s="21">
        <v>1000</v>
      </c>
      <c r="C17" s="21">
        <v>1000</v>
      </c>
      <c r="D17" s="21">
        <v>1000</v>
      </c>
      <c r="E17" s="20"/>
      <c r="F17" s="21">
        <v>3000</v>
      </c>
      <c r="G17" s="30"/>
      <c r="H17" s="21">
        <v>3000</v>
      </c>
      <c r="I17" s="20"/>
      <c r="J17" s="21">
        <v>1000</v>
      </c>
      <c r="K17" s="21">
        <v>1000</v>
      </c>
      <c r="L17" s="27">
        <v>1000</v>
      </c>
      <c r="M17" s="13"/>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x14ac:dyDescent="0.2">
      <c r="A18" s="97" t="s">
        <v>9</v>
      </c>
      <c r="B18" s="14"/>
      <c r="C18" s="14"/>
      <c r="D18" s="14"/>
      <c r="E18" s="15">
        <v>100</v>
      </c>
      <c r="F18" s="14"/>
      <c r="G18" s="31">
        <v>150</v>
      </c>
      <c r="H18" s="14"/>
      <c r="I18" s="15">
        <v>100</v>
      </c>
      <c r="J18" s="14"/>
      <c r="K18" s="14"/>
      <c r="L18" s="16"/>
      <c r="M18" s="13"/>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x14ac:dyDescent="0.2">
      <c r="A19" s="98"/>
      <c r="B19" s="17"/>
      <c r="C19" s="17"/>
      <c r="D19" s="17"/>
      <c r="E19" s="18">
        <f>('Officieel ECE R65 testrapport'!E8/100)*86.44</f>
        <v>0</v>
      </c>
      <c r="F19" s="17"/>
      <c r="G19" s="18">
        <f>('Officieel ECE R65 testrapport'!G8/100)*86.42</f>
        <v>0</v>
      </c>
      <c r="H19" s="17"/>
      <c r="I19" s="18">
        <f>('Officieel ECE R65 testrapport'!I8/100)*86.44</f>
        <v>0</v>
      </c>
      <c r="J19" s="17"/>
      <c r="K19" s="17"/>
      <c r="L19" s="19"/>
      <c r="M19" s="13"/>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ht="13.5" thickBot="1" x14ac:dyDescent="0.25">
      <c r="A20" s="99"/>
      <c r="B20" s="20"/>
      <c r="C20" s="20"/>
      <c r="D20" s="20"/>
      <c r="E20" s="21">
        <v>1500</v>
      </c>
      <c r="F20" s="20"/>
      <c r="G20" s="21">
        <v>1500</v>
      </c>
      <c r="H20" s="20"/>
      <c r="I20" s="21">
        <v>1500</v>
      </c>
      <c r="J20" s="20"/>
      <c r="K20" s="20"/>
      <c r="L20" s="22"/>
      <c r="M20" s="13"/>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x14ac:dyDescent="0.2">
      <c r="A21" s="97" t="s">
        <v>8</v>
      </c>
      <c r="B21" s="14"/>
      <c r="C21" s="14"/>
      <c r="D21" s="14"/>
      <c r="E21" s="14"/>
      <c r="F21" s="15">
        <v>100</v>
      </c>
      <c r="G21" s="14"/>
      <c r="H21" s="15">
        <v>100</v>
      </c>
      <c r="I21" s="14"/>
      <c r="J21" s="14"/>
      <c r="K21" s="14"/>
      <c r="L21" s="16"/>
      <c r="M21" s="13"/>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x14ac:dyDescent="0.2">
      <c r="A22" s="98"/>
      <c r="B22" s="17"/>
      <c r="C22" s="17"/>
      <c r="D22" s="17"/>
      <c r="E22" s="17"/>
      <c r="F22" s="18">
        <f>('Officieel ECE R65 testrapport'!F9/100)*86.28</f>
        <v>0</v>
      </c>
      <c r="G22" s="17"/>
      <c r="H22" s="18">
        <f>('Officieel ECE R65 testrapport'!H9/100)*86.28</f>
        <v>0</v>
      </c>
      <c r="I22" s="17"/>
      <c r="J22" s="17"/>
      <c r="K22" s="17"/>
      <c r="L22" s="19"/>
      <c r="M22" s="13"/>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13.5" thickBot="1" x14ac:dyDescent="0.25">
      <c r="A23" s="99"/>
      <c r="B23" s="20"/>
      <c r="C23" s="20"/>
      <c r="D23" s="20"/>
      <c r="E23" s="20"/>
      <c r="F23" s="21">
        <v>1500</v>
      </c>
      <c r="G23" s="20"/>
      <c r="H23" s="21">
        <v>1500</v>
      </c>
      <c r="I23" s="20"/>
      <c r="J23" s="20"/>
      <c r="K23" s="20"/>
      <c r="L23" s="22"/>
      <c r="M23" s="13"/>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1:54" x14ac:dyDescent="0.2">
      <c r="A24" s="2"/>
      <c r="B24" s="82" t="s">
        <v>12</v>
      </c>
      <c r="C24" s="83"/>
      <c r="D24" s="82" t="s">
        <v>13</v>
      </c>
      <c r="E24" s="83"/>
      <c r="F24" s="83"/>
      <c r="G24" s="83"/>
      <c r="H24" s="83"/>
      <c r="I24" s="83"/>
      <c r="J24" s="88"/>
      <c r="K24" s="83" t="s">
        <v>12</v>
      </c>
      <c r="L24" s="83"/>
      <c r="M24" s="1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row>
    <row r="25" spans="1:54" ht="13.5" thickBot="1" x14ac:dyDescent="0.25">
      <c r="A25" s="2"/>
      <c r="B25" s="79" t="s">
        <v>14</v>
      </c>
      <c r="C25" s="80"/>
      <c r="D25" s="79" t="s">
        <v>14</v>
      </c>
      <c r="E25" s="80"/>
      <c r="F25" s="80"/>
      <c r="G25" s="80"/>
      <c r="H25" s="80"/>
      <c r="I25" s="80"/>
      <c r="J25" s="81"/>
      <c r="K25" s="80" t="s">
        <v>14</v>
      </c>
      <c r="L25" s="80"/>
      <c r="M25" s="13"/>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row>
    <row r="26" spans="1:54"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row>
    <row r="27" spans="1:54" ht="13.5" thickBo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spans="1:54" ht="13.5" thickTop="1" x14ac:dyDescent="0.2">
      <c r="A28" s="89" t="s">
        <v>23</v>
      </c>
      <c r="B28" s="90"/>
      <c r="C28" s="90"/>
      <c r="D28" s="90"/>
      <c r="E28" s="91"/>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ht="13.5" thickBot="1" x14ac:dyDescent="0.25">
      <c r="A29" s="92"/>
      <c r="B29" s="93"/>
      <c r="C29" s="93"/>
      <c r="D29" s="93"/>
      <c r="E29" s="94"/>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row>
    <row r="30" spans="1:54" ht="13.5" thickTop="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row>
    <row r="31" spans="1:54"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spans="1:54"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row>
    <row r="33" spans="1:54"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54"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1:54"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1:54"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4"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1:54"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1:54"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1:54"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4"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4"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1:54"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1:54"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1:54"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1:54"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1:54"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spans="1:54"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row>
    <row r="56" spans="1:54"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row>
    <row r="57" spans="1:54"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spans="1:54"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row>
    <row r="59" spans="1:54"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spans="1:54"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row>
    <row r="61" spans="1:54"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spans="1:54"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row>
  </sheetData>
  <sheetProtection algorithmName="SHA-512" hashValue="gTeo27uIrWyAQ85O5xe0fgBCqBrULzFQDKlgdxNr6cg+eYquHBZ9VX9jJWAx+nNwAuQ8fDha5yD6g0Tl5DHngQ==" saltValue="InWooopUmh1L4hn0y8NB8g==" spinCount="100000" sheet="1" objects="1" scenarios="1" selectLockedCells="1" selectUnlockedCells="1"/>
  <mergeCells count="25">
    <mergeCell ref="K24:L24"/>
    <mergeCell ref="B25:C25"/>
    <mergeCell ref="D25:J25"/>
    <mergeCell ref="K25:L25"/>
    <mergeCell ref="A12:A14"/>
    <mergeCell ref="A15:A17"/>
    <mergeCell ref="A18:A20"/>
    <mergeCell ref="B24:C24"/>
    <mergeCell ref="D24:J24"/>
    <mergeCell ref="A28:E29"/>
    <mergeCell ref="L1:L2"/>
    <mergeCell ref="A3:A5"/>
    <mergeCell ref="B1:B2"/>
    <mergeCell ref="C1:C2"/>
    <mergeCell ref="D1:D2"/>
    <mergeCell ref="E1:E2"/>
    <mergeCell ref="F1:F2"/>
    <mergeCell ref="G1:G2"/>
    <mergeCell ref="A21:A23"/>
    <mergeCell ref="H1:H2"/>
    <mergeCell ref="I1:I2"/>
    <mergeCell ref="J1:J2"/>
    <mergeCell ref="K1:K2"/>
    <mergeCell ref="A6:A8"/>
    <mergeCell ref="A9:A11"/>
  </mergeCells>
  <conditionalFormatting sqref="C10:D10">
    <cfRule type="cellIs" dxfId="185" priority="93" operator="between">
      <formula>$K$15</formula>
      <formula>$K$17</formula>
    </cfRule>
    <cfRule type="cellIs" dxfId="184" priority="94" operator="lessThan">
      <formula>$K$15</formula>
    </cfRule>
    <cfRule type="cellIs" dxfId="183" priority="95" operator="greaterThan">
      <formula>$K$17</formula>
    </cfRule>
    <cfRule type="cellIs" dxfId="182" priority="96" operator="between">
      <formula>$K$15</formula>
      <formula>$K$17</formula>
    </cfRule>
  </conditionalFormatting>
  <conditionalFormatting sqref="C13:D13">
    <cfRule type="cellIs" dxfId="181" priority="12" operator="between">
      <formula>$C$12</formula>
      <formula>$C$14</formula>
    </cfRule>
    <cfRule type="cellIs" dxfId="180" priority="10" operator="lessThan">
      <formula>$C$12</formula>
    </cfRule>
    <cfRule type="cellIs" dxfId="179" priority="11" operator="greaterThan">
      <formula>$C$14</formula>
    </cfRule>
  </conditionalFormatting>
  <conditionalFormatting sqref="C16:D16">
    <cfRule type="cellIs" dxfId="178" priority="87" operator="greaterThan">
      <formula>$K$17</formula>
    </cfRule>
    <cfRule type="cellIs" dxfId="177" priority="85" operator="between">
      <formula>$K$15</formula>
      <formula>$K$17</formula>
    </cfRule>
    <cfRule type="cellIs" dxfId="176" priority="86" operator="lessThan">
      <formula>$K$15</formula>
    </cfRule>
    <cfRule type="cellIs" dxfId="175" priority="88" operator="between">
      <formula>$K$15</formula>
      <formula>$K$17</formula>
    </cfRule>
  </conditionalFormatting>
  <conditionalFormatting sqref="D13">
    <cfRule type="cellIs" dxfId="174" priority="7" operator="between">
      <formula>$D$12</formula>
      <formula>$D$14</formula>
    </cfRule>
    <cfRule type="cellIs" dxfId="173" priority="8" operator="lessThan">
      <formula>$D$12</formula>
    </cfRule>
    <cfRule type="cellIs" dxfId="172" priority="9" operator="greaterThan">
      <formula>$D$14</formula>
    </cfRule>
  </conditionalFormatting>
  <conditionalFormatting sqref="E7">
    <cfRule type="cellIs" dxfId="171" priority="108" operator="lessThan">
      <formula>$F$3</formula>
    </cfRule>
    <cfRule type="cellIs" dxfId="170" priority="111" operator="between">
      <formula>$F$3</formula>
      <formula>$F$5</formula>
    </cfRule>
    <cfRule type="cellIs" dxfId="169" priority="110" operator="between">
      <formula>$F$3</formula>
      <formula>$F$5</formula>
    </cfRule>
    <cfRule type="cellIs" dxfId="168" priority="109" operator="greaterThan">
      <formula>$F$5</formula>
    </cfRule>
  </conditionalFormatting>
  <conditionalFormatting sqref="E13">
    <cfRule type="cellIs" dxfId="167" priority="103" operator="between">
      <formula>$G$18</formula>
      <formula>$G$20</formula>
    </cfRule>
    <cfRule type="cellIs" dxfId="166" priority="101" operator="lessThan">
      <formula>$G$18</formula>
    </cfRule>
    <cfRule type="cellIs" dxfId="165" priority="102" operator="greaterThan">
      <formula>$G$20</formula>
    </cfRule>
  </conditionalFormatting>
  <conditionalFormatting sqref="E19">
    <cfRule type="cellIs" dxfId="164" priority="107" operator="between">
      <formula>$F$3</formula>
      <formula>$F$5</formula>
    </cfRule>
    <cfRule type="cellIs" dxfId="163" priority="106" operator="between">
      <formula>$F$3</formula>
      <formula>$F$5</formula>
    </cfRule>
    <cfRule type="cellIs" dxfId="162" priority="105" operator="greaterThan">
      <formula>$F$5</formula>
    </cfRule>
    <cfRule type="cellIs" dxfId="161" priority="104" operator="lessThan">
      <formula>$F$3</formula>
    </cfRule>
  </conditionalFormatting>
  <conditionalFormatting sqref="F4">
    <cfRule type="cellIs" dxfId="160" priority="115" operator="between">
      <formula>$F$3</formula>
      <formula>$F$5</formula>
    </cfRule>
    <cfRule type="cellIs" dxfId="159" priority="112" operator="lessThan">
      <formula>$F$3</formula>
    </cfRule>
    <cfRule type="cellIs" dxfId="158" priority="113" operator="greaterThan">
      <formula>$F$5</formula>
    </cfRule>
    <cfRule type="cellIs" dxfId="157" priority="114" operator="between">
      <formula>$F$3</formula>
      <formula>$F$5</formula>
    </cfRule>
  </conditionalFormatting>
  <conditionalFormatting sqref="F10">
    <cfRule type="cellIs" dxfId="156" priority="78" operator="greaterThan">
      <formula>$H$11</formula>
    </cfRule>
    <cfRule type="cellIs" dxfId="155" priority="77" operator="lessThan">
      <formula>$H$9</formula>
    </cfRule>
    <cfRule type="cellIs" dxfId="154" priority="76" operator="between">
      <formula>$H$9</formula>
      <formula>$H$11</formula>
    </cfRule>
  </conditionalFormatting>
  <conditionalFormatting sqref="F16">
    <cfRule type="cellIs" dxfId="153" priority="81" operator="greaterThan">
      <formula>$H$11</formula>
    </cfRule>
    <cfRule type="cellIs" dxfId="152" priority="80" operator="lessThan">
      <formula>$H$9</formula>
    </cfRule>
    <cfRule type="cellIs" dxfId="151" priority="79" operator="between">
      <formula>$H$9</formula>
      <formula>$H$11</formula>
    </cfRule>
  </conditionalFormatting>
  <conditionalFormatting sqref="F22">
    <cfRule type="cellIs" dxfId="150" priority="65" operator="lessThan">
      <formula>$F$3</formula>
    </cfRule>
    <cfRule type="cellIs" dxfId="149" priority="66" operator="greaterThan">
      <formula>$F$5</formula>
    </cfRule>
    <cfRule type="cellIs" dxfId="148" priority="67" operator="between">
      <formula>$F$3</formula>
      <formula>$F$5</formula>
    </cfRule>
    <cfRule type="cellIs" dxfId="147" priority="68" operator="between">
      <formula>$F$3</formula>
      <formula>$F$5</formula>
    </cfRule>
  </conditionalFormatting>
  <conditionalFormatting sqref="G7">
    <cfRule type="cellIs" dxfId="146" priority="18" operator="between">
      <formula>$G$18</formula>
      <formula>$G$20</formula>
    </cfRule>
    <cfRule type="cellIs" dxfId="145" priority="17" operator="greaterThan">
      <formula>$G$20</formula>
    </cfRule>
    <cfRule type="cellIs" dxfId="144" priority="16" operator="lessThan">
      <formula>$G$18</formula>
    </cfRule>
    <cfRule type="cellIs" dxfId="143" priority="15" operator="greaterThan">
      <formula>$G$8</formula>
    </cfRule>
    <cfRule type="cellIs" dxfId="142" priority="14" operator="lessThan">
      <formula>$G$6</formula>
    </cfRule>
    <cfRule type="cellIs" dxfId="141" priority="13" operator="between">
      <formula>$G$6</formula>
      <formula>$G$8</formula>
    </cfRule>
  </conditionalFormatting>
  <conditionalFormatting sqref="G13">
    <cfRule type="cellIs" dxfId="140" priority="73" operator="between">
      <formula>$H$9</formula>
      <formula>$H$11</formula>
    </cfRule>
    <cfRule type="cellIs" dxfId="139" priority="75" operator="greaterThan">
      <formula>$H$11</formula>
    </cfRule>
    <cfRule type="cellIs" dxfId="138" priority="74" operator="lessThan">
      <formula>$H$9</formula>
    </cfRule>
  </conditionalFormatting>
  <conditionalFormatting sqref="G19">
    <cfRule type="cellIs" dxfId="137" priority="20" operator="lessThan">
      <formula>$G$6</formula>
    </cfRule>
    <cfRule type="cellIs" dxfId="136" priority="21" operator="greaterThan">
      <formula>$G$8</formula>
    </cfRule>
    <cfRule type="cellIs" dxfId="135" priority="22" operator="lessThan">
      <formula>$G$18</formula>
    </cfRule>
    <cfRule type="cellIs" dxfId="134" priority="24" operator="between">
      <formula>$G$18</formula>
      <formula>$G$20</formula>
    </cfRule>
    <cfRule type="cellIs" dxfId="133" priority="23" operator="greaterThan">
      <formula>$G$20</formula>
    </cfRule>
    <cfRule type="cellIs" dxfId="132" priority="19" operator="between">
      <formula>$G$6</formula>
      <formula>$G$8</formula>
    </cfRule>
  </conditionalFormatting>
  <conditionalFormatting sqref="H4">
    <cfRule type="cellIs" dxfId="131" priority="70" operator="greaterThan">
      <formula>$F$5</formula>
    </cfRule>
    <cfRule type="cellIs" dxfId="130" priority="71" operator="between">
      <formula>$F$3</formula>
      <formula>$F$5</formula>
    </cfRule>
    <cfRule type="cellIs" dxfId="129" priority="72" operator="between">
      <formula>$F$3</formula>
      <formula>$F$5</formula>
    </cfRule>
    <cfRule type="cellIs" dxfId="128" priority="69" operator="lessThan">
      <formula>$F$3</formula>
    </cfRule>
  </conditionalFormatting>
  <conditionalFormatting sqref="H10">
    <cfRule type="cellIs" dxfId="127" priority="30" operator="greaterThan">
      <formula>$H$11</formula>
    </cfRule>
    <cfRule type="cellIs" dxfId="126" priority="28" operator="between">
      <formula>$H$9</formula>
      <formula>$H$11</formula>
    </cfRule>
    <cfRule type="cellIs" dxfId="125" priority="29" operator="lessThan">
      <formula>$H$9</formula>
    </cfRule>
  </conditionalFormatting>
  <conditionalFormatting sqref="H16">
    <cfRule type="cellIs" dxfId="124" priority="25" operator="between">
      <formula>$H$9</formula>
      <formula>$H$11</formula>
    </cfRule>
    <cfRule type="cellIs" dxfId="123" priority="26" operator="lessThan">
      <formula>$H$9</formula>
    </cfRule>
    <cfRule type="cellIs" dxfId="122" priority="27" operator="greaterThan">
      <formula>$H$11</formula>
    </cfRule>
  </conditionalFormatting>
  <conditionalFormatting sqref="H22">
    <cfRule type="cellIs" dxfId="121" priority="64" operator="between">
      <formula>$F$3</formula>
      <formula>$F$5</formula>
    </cfRule>
    <cfRule type="cellIs" dxfId="120" priority="63" operator="between">
      <formula>$F$3</formula>
      <formula>$F$5</formula>
    </cfRule>
    <cfRule type="cellIs" dxfId="119" priority="62" operator="greaterThan">
      <formula>$F$5</formula>
    </cfRule>
    <cfRule type="cellIs" dxfId="118" priority="61" operator="lessThan">
      <formula>$F$3</formula>
    </cfRule>
  </conditionalFormatting>
  <conditionalFormatting sqref="I7">
    <cfRule type="cellIs" dxfId="117" priority="60" operator="between">
      <formula>$F$3</formula>
      <formula>$F$5</formula>
    </cfRule>
    <cfRule type="cellIs" dxfId="116" priority="57" operator="lessThan">
      <formula>$F$3</formula>
    </cfRule>
    <cfRule type="cellIs" dxfId="115" priority="58" operator="greaterThan">
      <formula>$F$5</formula>
    </cfRule>
    <cfRule type="cellIs" dxfId="114" priority="59" operator="between">
      <formula>$F$3</formula>
      <formula>$F$5</formula>
    </cfRule>
  </conditionalFormatting>
  <conditionalFormatting sqref="I13">
    <cfRule type="cellIs" dxfId="113" priority="31" operator="lessThan">
      <formula>$G$18</formula>
    </cfRule>
    <cfRule type="cellIs" dxfId="112" priority="32" operator="greaterThan">
      <formula>$G$20</formula>
    </cfRule>
    <cfRule type="cellIs" dxfId="111" priority="33" operator="between">
      <formula>$G$18</formula>
      <formula>$G$20</formula>
    </cfRule>
  </conditionalFormatting>
  <conditionalFormatting sqref="I19">
    <cfRule type="cellIs" dxfId="110" priority="55" operator="between">
      <formula>$F$3</formula>
      <formula>$F$5</formula>
    </cfRule>
    <cfRule type="cellIs" dxfId="109" priority="54" operator="greaterThan">
      <formula>$F$5</formula>
    </cfRule>
    <cfRule type="cellIs" dxfId="108" priority="53" operator="lessThan">
      <formula>$F$3</formula>
    </cfRule>
    <cfRule type="cellIs" dxfId="107" priority="56" operator="between">
      <formula>$F$3</formula>
      <formula>$F$5</formula>
    </cfRule>
  </conditionalFormatting>
  <conditionalFormatting sqref="J13">
    <cfRule type="cellIs" dxfId="106" priority="1" operator="between">
      <formula>$D$12</formula>
      <formula>$D$14</formula>
    </cfRule>
    <cfRule type="cellIs" dxfId="105" priority="3" operator="greaterThan">
      <formula>$D$14</formula>
    </cfRule>
    <cfRule type="cellIs" dxfId="104" priority="2" operator="lessThan">
      <formula>$D$12</formula>
    </cfRule>
  </conditionalFormatting>
  <conditionalFormatting sqref="J10:K10">
    <cfRule type="cellIs" dxfId="103" priority="41" operator="between">
      <formula>$K$15</formula>
      <formula>$K$17</formula>
    </cfRule>
    <cfRule type="cellIs" dxfId="102" priority="38" operator="between">
      <formula>$K$15</formula>
      <formula>$K$17</formula>
    </cfRule>
    <cfRule type="cellIs" dxfId="101" priority="39" operator="lessThan">
      <formula>$K$15</formula>
    </cfRule>
    <cfRule type="cellIs" dxfId="100" priority="40" operator="greaterThan">
      <formula>$K$17</formula>
    </cfRule>
  </conditionalFormatting>
  <conditionalFormatting sqref="J13:K13">
    <cfRule type="cellIs" dxfId="99" priority="6" operator="between">
      <formula>$C$12</formula>
      <formula>$C$14</formula>
    </cfRule>
    <cfRule type="cellIs" dxfId="98" priority="5" operator="greaterThan">
      <formula>$C$14</formula>
    </cfRule>
    <cfRule type="cellIs" dxfId="97" priority="4" operator="lessThan">
      <formula>$C$12</formula>
    </cfRule>
  </conditionalFormatting>
  <conditionalFormatting sqref="J16:K16">
    <cfRule type="cellIs" dxfId="96" priority="36" operator="greaterThan">
      <formula>$K$17</formula>
    </cfRule>
    <cfRule type="cellIs" dxfId="95" priority="34" operator="between">
      <formula>$K$15</formula>
      <formula>$K$17</formula>
    </cfRule>
    <cfRule type="cellIs" dxfId="94" priority="35" operator="lessThan">
      <formula>$K$15</formula>
    </cfRule>
    <cfRule type="cellIs" dxfId="93" priority="37" operator="between">
      <formula>$K$15</formula>
      <formula>$K$17</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BB62"/>
  <sheetViews>
    <sheetView workbookViewId="0">
      <selection activeCell="A28" sqref="A28:E29"/>
    </sheetView>
  </sheetViews>
  <sheetFormatPr defaultRowHeight="12.75" x14ac:dyDescent="0.2"/>
  <cols>
    <col min="7" max="7" width="9.140625" customWidth="1"/>
  </cols>
  <sheetData>
    <row r="1" spans="1:54" x14ac:dyDescent="0.2">
      <c r="A1" s="1" t="s">
        <v>0</v>
      </c>
      <c r="B1" s="84" t="s">
        <v>1</v>
      </c>
      <c r="C1" s="84" t="s">
        <v>2</v>
      </c>
      <c r="D1" s="84" t="s">
        <v>3</v>
      </c>
      <c r="E1" s="84" t="s">
        <v>4</v>
      </c>
      <c r="F1" s="84" t="s">
        <v>5</v>
      </c>
      <c r="G1" s="84" t="s">
        <v>6</v>
      </c>
      <c r="H1" s="84" t="s">
        <v>5</v>
      </c>
      <c r="I1" s="84" t="s">
        <v>4</v>
      </c>
      <c r="J1" s="84" t="s">
        <v>3</v>
      </c>
      <c r="K1" s="84" t="s">
        <v>2</v>
      </c>
      <c r="L1" s="95" t="s">
        <v>1</v>
      </c>
      <c r="M1" s="13"/>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13.5" thickBot="1" x14ac:dyDescent="0.25">
      <c r="A2" s="3" t="s">
        <v>7</v>
      </c>
      <c r="B2" s="85"/>
      <c r="C2" s="85"/>
      <c r="D2" s="85"/>
      <c r="E2" s="85"/>
      <c r="F2" s="85"/>
      <c r="G2" s="85"/>
      <c r="H2" s="85"/>
      <c r="I2" s="85"/>
      <c r="J2" s="85"/>
      <c r="K2" s="85"/>
      <c r="L2" s="96"/>
      <c r="M2" s="13"/>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x14ac:dyDescent="0.2">
      <c r="A3" s="97" t="s">
        <v>8</v>
      </c>
      <c r="B3" s="14"/>
      <c r="C3" s="14"/>
      <c r="D3" s="14"/>
      <c r="E3" s="14"/>
      <c r="F3" s="15">
        <v>100</v>
      </c>
      <c r="G3" s="14"/>
      <c r="H3" s="15">
        <v>100</v>
      </c>
      <c r="I3" s="14"/>
      <c r="J3" s="14"/>
      <c r="K3" s="14"/>
      <c r="L3" s="16"/>
      <c r="M3" s="1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x14ac:dyDescent="0.2">
      <c r="A4" s="98"/>
      <c r="B4" s="17"/>
      <c r="C4" s="17"/>
      <c r="D4" s="17"/>
      <c r="E4" s="17"/>
      <c r="F4" s="18">
        <f>('Officieel ECE R65 testrapport'!F3/100)*83.01</f>
        <v>0</v>
      </c>
      <c r="G4" s="17"/>
      <c r="H4" s="18">
        <f>('Officieel ECE R65 testrapport'!H3/100)*83.01</f>
        <v>0</v>
      </c>
      <c r="I4" s="17"/>
      <c r="J4" s="17"/>
      <c r="K4" s="17"/>
      <c r="L4" s="19"/>
      <c r="M4" s="1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3.5" thickBot="1" x14ac:dyDescent="0.25">
      <c r="A5" s="99"/>
      <c r="B5" s="20"/>
      <c r="C5" s="20"/>
      <c r="D5" s="20"/>
      <c r="E5" s="20"/>
      <c r="F5" s="21">
        <v>1500</v>
      </c>
      <c r="G5" s="20"/>
      <c r="H5" s="21">
        <v>1500</v>
      </c>
      <c r="I5" s="20"/>
      <c r="J5" s="20"/>
      <c r="K5" s="20"/>
      <c r="L5" s="22"/>
      <c r="M5" s="13"/>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x14ac:dyDescent="0.2">
      <c r="A6" s="97" t="s">
        <v>9</v>
      </c>
      <c r="B6" s="14"/>
      <c r="C6" s="14"/>
      <c r="D6" s="14"/>
      <c r="E6" s="15">
        <v>100</v>
      </c>
      <c r="F6" s="14"/>
      <c r="G6" s="15">
        <v>150</v>
      </c>
      <c r="H6" s="14"/>
      <c r="I6" s="15">
        <v>100</v>
      </c>
      <c r="J6" s="14"/>
      <c r="K6" s="14"/>
      <c r="L6" s="16"/>
      <c r="M6" s="1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x14ac:dyDescent="0.2">
      <c r="A7" s="98"/>
      <c r="B7" s="17"/>
      <c r="C7" s="17"/>
      <c r="D7" s="17"/>
      <c r="E7" s="18">
        <f>('Officieel ECE R65 testrapport'!E4/100)*83.15</f>
        <v>0</v>
      </c>
      <c r="F7" s="17"/>
      <c r="G7" s="18">
        <f>('Officieel ECE R65 testrapport'!G4/100)*83.18</f>
        <v>0</v>
      </c>
      <c r="H7" s="17"/>
      <c r="I7" s="18">
        <f>('Officieel ECE R65 testrapport'!I4/100)*83.15</f>
        <v>0</v>
      </c>
      <c r="J7" s="17"/>
      <c r="K7" s="17"/>
      <c r="L7" s="19"/>
      <c r="M7" s="13"/>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3.5" thickBot="1" x14ac:dyDescent="0.25">
      <c r="A8" s="99"/>
      <c r="B8" s="20"/>
      <c r="C8" s="20"/>
      <c r="D8" s="20"/>
      <c r="E8" s="21">
        <v>1500</v>
      </c>
      <c r="F8" s="20"/>
      <c r="G8" s="21">
        <v>1500</v>
      </c>
      <c r="H8" s="20"/>
      <c r="I8" s="21">
        <v>1500</v>
      </c>
      <c r="J8" s="20"/>
      <c r="K8" s="20"/>
      <c r="L8" s="22"/>
      <c r="M8" s="13"/>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x14ac:dyDescent="0.2">
      <c r="A9" s="97" t="s">
        <v>10</v>
      </c>
      <c r="B9" s="15">
        <v>40</v>
      </c>
      <c r="C9" s="15">
        <v>40</v>
      </c>
      <c r="D9" s="15">
        <v>40</v>
      </c>
      <c r="E9" s="14"/>
      <c r="F9" s="15">
        <v>200</v>
      </c>
      <c r="G9" s="14"/>
      <c r="H9" s="15">
        <v>200</v>
      </c>
      <c r="I9" s="14"/>
      <c r="J9" s="15">
        <v>40</v>
      </c>
      <c r="K9" s="15">
        <v>40</v>
      </c>
      <c r="L9" s="23">
        <v>40</v>
      </c>
      <c r="M9" s="13"/>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x14ac:dyDescent="0.2">
      <c r="A10" s="98"/>
      <c r="B10" s="24" t="s">
        <v>11</v>
      </c>
      <c r="C10" s="18">
        <f>('Officieel ECE R65 testrapport'!C5/100)*81.94</f>
        <v>0</v>
      </c>
      <c r="D10" s="18">
        <f>('Officieel ECE R65 testrapport'!D5/100)*83.27</f>
        <v>0</v>
      </c>
      <c r="E10" s="17"/>
      <c r="F10" s="18">
        <f>('Officieel ECE R65 testrapport'!F5/100)*83.02</f>
        <v>0</v>
      </c>
      <c r="G10" s="17"/>
      <c r="H10" s="18">
        <f>('Officieel ECE R65 testrapport'!H5/100)*83.02</f>
        <v>0</v>
      </c>
      <c r="I10" s="17"/>
      <c r="J10" s="18">
        <f>('Officieel ECE R65 testrapport'!J5/100)*83.27</f>
        <v>0</v>
      </c>
      <c r="K10" s="18">
        <f>('Officieel ECE R65 testrapport'!K5/100)*81.94</f>
        <v>0</v>
      </c>
      <c r="L10" s="25" t="s">
        <v>11</v>
      </c>
      <c r="M10" s="13"/>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ht="13.5" thickBot="1" x14ac:dyDescent="0.25">
      <c r="A11" s="99"/>
      <c r="B11" s="21">
        <v>1000</v>
      </c>
      <c r="C11" s="21">
        <v>1000</v>
      </c>
      <c r="D11" s="21">
        <v>1000</v>
      </c>
      <c r="E11" s="26"/>
      <c r="F11" s="21">
        <v>3000</v>
      </c>
      <c r="G11" s="26"/>
      <c r="H11" s="21">
        <v>3000</v>
      </c>
      <c r="I11" s="26"/>
      <c r="J11" s="21">
        <v>1000</v>
      </c>
      <c r="K11" s="21">
        <v>1000</v>
      </c>
      <c r="L11" s="27">
        <v>1000</v>
      </c>
      <c r="M11" s="13"/>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x14ac:dyDescent="0.2">
      <c r="A12" s="97" t="s">
        <v>6</v>
      </c>
      <c r="B12" s="15">
        <v>100</v>
      </c>
      <c r="C12" s="15">
        <v>100</v>
      </c>
      <c r="D12" s="15">
        <v>100</v>
      </c>
      <c r="E12" s="28">
        <v>150</v>
      </c>
      <c r="F12" s="14"/>
      <c r="G12" s="15">
        <v>200</v>
      </c>
      <c r="H12" s="14"/>
      <c r="I12" s="23">
        <v>150</v>
      </c>
      <c r="J12" s="15">
        <v>100</v>
      </c>
      <c r="K12" s="15">
        <v>100</v>
      </c>
      <c r="L12" s="23">
        <v>100</v>
      </c>
      <c r="M12" s="13"/>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x14ac:dyDescent="0.2">
      <c r="A13" s="98"/>
      <c r="B13" s="24" t="s">
        <v>11</v>
      </c>
      <c r="C13" s="18">
        <f>('Officieel ECE R65 testrapport'!C6/100)*81.97</f>
        <v>0</v>
      </c>
      <c r="D13" s="18">
        <f>('Officieel ECE R65 testrapport'!D6/100)*83.28</f>
        <v>0</v>
      </c>
      <c r="E13" s="18">
        <f>('Officieel ECE R65 testrapport'!E6/100)*83.13</f>
        <v>0</v>
      </c>
      <c r="F13" s="17"/>
      <c r="G13" s="18">
        <f>('Officieel ECE R65 testrapport'!G6/100)*83.73</f>
        <v>0</v>
      </c>
      <c r="H13" s="17"/>
      <c r="I13" s="18">
        <f>('Officieel ECE R65 testrapport'!I6/100)*83.13</f>
        <v>0</v>
      </c>
      <c r="J13" s="18">
        <f>('Officieel ECE R65 testrapport'!J6/100)*83.28</f>
        <v>0</v>
      </c>
      <c r="K13" s="18">
        <f>('Officieel ECE R65 testrapport'!K6/100)*81.97</f>
        <v>0</v>
      </c>
      <c r="L13" s="25" t="s">
        <v>11</v>
      </c>
      <c r="M13" s="13"/>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ht="13.5" thickBot="1" x14ac:dyDescent="0.25">
      <c r="A14" s="99"/>
      <c r="B14" s="21">
        <v>1000</v>
      </c>
      <c r="C14" s="21">
        <v>1000</v>
      </c>
      <c r="D14" s="21">
        <v>1000</v>
      </c>
      <c r="E14" s="29">
        <v>1500</v>
      </c>
      <c r="F14" s="20"/>
      <c r="G14" s="21">
        <v>3000</v>
      </c>
      <c r="H14" s="20"/>
      <c r="I14" s="27">
        <v>1500</v>
      </c>
      <c r="J14" s="21">
        <v>1000</v>
      </c>
      <c r="K14" s="21">
        <v>1000</v>
      </c>
      <c r="L14" s="27">
        <v>1000</v>
      </c>
      <c r="M14" s="13"/>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x14ac:dyDescent="0.2">
      <c r="A15" s="97" t="s">
        <v>10</v>
      </c>
      <c r="B15" s="15">
        <v>40</v>
      </c>
      <c r="C15" s="15">
        <v>40</v>
      </c>
      <c r="D15" s="15">
        <v>40</v>
      </c>
      <c r="E15" s="14"/>
      <c r="F15" s="15">
        <v>200</v>
      </c>
      <c r="G15" s="14"/>
      <c r="H15" s="15">
        <v>200</v>
      </c>
      <c r="I15" s="14"/>
      <c r="J15" s="15">
        <v>40</v>
      </c>
      <c r="K15" s="15">
        <v>40</v>
      </c>
      <c r="L15" s="23">
        <v>40</v>
      </c>
      <c r="M15" s="13"/>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x14ac:dyDescent="0.2">
      <c r="A16" s="98"/>
      <c r="B16" s="24" t="s">
        <v>11</v>
      </c>
      <c r="C16" s="18">
        <f>('Officieel ECE R65 testrapport'!C7/100)*81.94</f>
        <v>0</v>
      </c>
      <c r="D16" s="18">
        <f>('Officieel ECE R65 testrapport'!D7/100)*83.27</f>
        <v>0</v>
      </c>
      <c r="E16" s="17"/>
      <c r="F16" s="18">
        <f>('Officieel ECE R65 testrapport'!F7/100)*83.02</f>
        <v>0</v>
      </c>
      <c r="G16" s="17"/>
      <c r="H16" s="18">
        <f>('Officieel ECE R65 testrapport'!H7/100)*83.02</f>
        <v>0</v>
      </c>
      <c r="I16" s="17"/>
      <c r="J16" s="18">
        <f>('Officieel ECE R65 testrapport'!J7/100)*83.27</f>
        <v>0</v>
      </c>
      <c r="K16" s="18">
        <f>('Officieel ECE R65 testrapport'!K7/100)*81.94</f>
        <v>0</v>
      </c>
      <c r="L16" s="25" t="s">
        <v>11</v>
      </c>
      <c r="M16" s="13"/>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ht="13.5" thickBot="1" x14ac:dyDescent="0.25">
      <c r="A17" s="99"/>
      <c r="B17" s="21">
        <v>1000</v>
      </c>
      <c r="C17" s="21">
        <v>1000</v>
      </c>
      <c r="D17" s="21">
        <v>1000</v>
      </c>
      <c r="E17" s="20"/>
      <c r="F17" s="21">
        <v>3000</v>
      </c>
      <c r="G17" s="30"/>
      <c r="H17" s="21">
        <v>3000</v>
      </c>
      <c r="I17" s="20"/>
      <c r="J17" s="21">
        <v>1000</v>
      </c>
      <c r="K17" s="21">
        <v>1000</v>
      </c>
      <c r="L17" s="27">
        <v>1000</v>
      </c>
      <c r="M17" s="13"/>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x14ac:dyDescent="0.2">
      <c r="A18" s="97" t="s">
        <v>9</v>
      </c>
      <c r="B18" s="14"/>
      <c r="C18" s="14"/>
      <c r="D18" s="14"/>
      <c r="E18" s="15">
        <v>100</v>
      </c>
      <c r="F18" s="14"/>
      <c r="G18" s="31">
        <v>150</v>
      </c>
      <c r="H18" s="14"/>
      <c r="I18" s="15">
        <v>100</v>
      </c>
      <c r="J18" s="14"/>
      <c r="K18" s="14"/>
      <c r="L18" s="16"/>
      <c r="M18" s="13"/>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x14ac:dyDescent="0.2">
      <c r="A19" s="98"/>
      <c r="B19" s="17"/>
      <c r="C19" s="17"/>
      <c r="D19" s="17"/>
      <c r="E19" s="18">
        <f>('Officieel ECE R65 testrapport'!E8/100)*83.15</f>
        <v>0</v>
      </c>
      <c r="F19" s="17"/>
      <c r="G19" s="18">
        <f>('Officieel ECE R65 testrapport'!G8/100)*83.18</f>
        <v>0</v>
      </c>
      <c r="H19" s="17"/>
      <c r="I19" s="18">
        <f>('Officieel ECE R65 testrapport'!I8/100)*83.15</f>
        <v>0</v>
      </c>
      <c r="J19" s="17"/>
      <c r="K19" s="17"/>
      <c r="L19" s="19"/>
      <c r="M19" s="13"/>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ht="13.5" thickBot="1" x14ac:dyDescent="0.25">
      <c r="A20" s="99"/>
      <c r="B20" s="20"/>
      <c r="C20" s="20"/>
      <c r="D20" s="20"/>
      <c r="E20" s="21">
        <v>1500</v>
      </c>
      <c r="F20" s="20"/>
      <c r="G20" s="21">
        <v>1500</v>
      </c>
      <c r="H20" s="20"/>
      <c r="I20" s="21">
        <v>1500</v>
      </c>
      <c r="J20" s="20"/>
      <c r="K20" s="20"/>
      <c r="L20" s="22"/>
      <c r="M20" s="13"/>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x14ac:dyDescent="0.2">
      <c r="A21" s="97" t="s">
        <v>8</v>
      </c>
      <c r="B21" s="14"/>
      <c r="C21" s="14"/>
      <c r="D21" s="14"/>
      <c r="E21" s="14"/>
      <c r="F21" s="15">
        <v>100</v>
      </c>
      <c r="G21" s="14"/>
      <c r="H21" s="15">
        <v>100</v>
      </c>
      <c r="I21" s="14"/>
      <c r="J21" s="14"/>
      <c r="K21" s="14"/>
      <c r="L21" s="16"/>
      <c r="M21" s="13"/>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x14ac:dyDescent="0.2">
      <c r="A22" s="98"/>
      <c r="B22" s="17"/>
      <c r="C22" s="17"/>
      <c r="D22" s="17"/>
      <c r="E22" s="17"/>
      <c r="F22" s="18">
        <f>('Officieel ECE R65 testrapport'!F9/100)*83.01</f>
        <v>0</v>
      </c>
      <c r="G22" s="17"/>
      <c r="H22" s="18">
        <f>('Officieel ECE R65 testrapport'!H9/100)*83.01</f>
        <v>0</v>
      </c>
      <c r="I22" s="17"/>
      <c r="J22" s="17"/>
      <c r="K22" s="17"/>
      <c r="L22" s="19"/>
      <c r="M22" s="13"/>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13.5" thickBot="1" x14ac:dyDescent="0.25">
      <c r="A23" s="99"/>
      <c r="B23" s="20"/>
      <c r="C23" s="20"/>
      <c r="D23" s="20"/>
      <c r="E23" s="20"/>
      <c r="F23" s="21">
        <v>1500</v>
      </c>
      <c r="G23" s="20"/>
      <c r="H23" s="21">
        <v>1500</v>
      </c>
      <c r="I23" s="20"/>
      <c r="J23" s="20"/>
      <c r="K23" s="20"/>
      <c r="L23" s="22"/>
      <c r="M23" s="13"/>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1:54" x14ac:dyDescent="0.2">
      <c r="A24" s="2"/>
      <c r="B24" s="82" t="s">
        <v>12</v>
      </c>
      <c r="C24" s="83"/>
      <c r="D24" s="82" t="s">
        <v>13</v>
      </c>
      <c r="E24" s="83"/>
      <c r="F24" s="83"/>
      <c r="G24" s="83"/>
      <c r="H24" s="83"/>
      <c r="I24" s="83"/>
      <c r="J24" s="88"/>
      <c r="K24" s="83" t="s">
        <v>12</v>
      </c>
      <c r="L24" s="83"/>
      <c r="M24" s="1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row>
    <row r="25" spans="1:54" ht="13.5" thickBot="1" x14ac:dyDescent="0.25">
      <c r="A25" s="2"/>
      <c r="B25" s="79" t="s">
        <v>14</v>
      </c>
      <c r="C25" s="80"/>
      <c r="D25" s="79" t="s">
        <v>14</v>
      </c>
      <c r="E25" s="80"/>
      <c r="F25" s="80"/>
      <c r="G25" s="80"/>
      <c r="H25" s="80"/>
      <c r="I25" s="80"/>
      <c r="J25" s="81"/>
      <c r="K25" s="80" t="s">
        <v>14</v>
      </c>
      <c r="L25" s="80"/>
      <c r="M25" s="13"/>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row>
    <row r="26" spans="1:54"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row>
    <row r="27" spans="1:54" ht="13.5" thickBo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spans="1:54" ht="13.5" thickTop="1" x14ac:dyDescent="0.2">
      <c r="A28" s="89" t="s">
        <v>23</v>
      </c>
      <c r="B28" s="90"/>
      <c r="C28" s="90"/>
      <c r="D28" s="90"/>
      <c r="E28" s="91"/>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ht="13.5" thickBot="1" x14ac:dyDescent="0.25">
      <c r="A29" s="92"/>
      <c r="B29" s="93"/>
      <c r="C29" s="93"/>
      <c r="D29" s="93"/>
      <c r="E29" s="94"/>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row>
    <row r="30" spans="1:54" ht="13.5" thickTop="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row>
    <row r="31" spans="1:54"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spans="1:54"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row>
    <row r="33" spans="1:54"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54"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1:54"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1:54"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4"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1:54"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1:54"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1:54"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4"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4"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1:54"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1:54"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1:54"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1:54"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1:54"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spans="1:54"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row>
    <row r="56" spans="1:54"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row>
    <row r="57" spans="1:54"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spans="1:54"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row>
    <row r="59" spans="1:54"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spans="1:54"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row>
    <row r="61" spans="1:54"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spans="1:54"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row>
  </sheetData>
  <sheetProtection algorithmName="SHA-512" hashValue="hovbP8r1joGw04j3heRdpJfj4HEeLcU48Bc5XOpq0zgMtlRwj6X8xqsw6z+dRrFenV/x4bhShzF0FtG7KB7GSA==" saltValue="yKI/ijOhZmp20F8ZpMc+Kw==" spinCount="100000" sheet="1" objects="1" scenarios="1" selectLockedCells="1" selectUnlockedCells="1"/>
  <mergeCells count="25">
    <mergeCell ref="K24:L24"/>
    <mergeCell ref="B25:C25"/>
    <mergeCell ref="D25:J25"/>
    <mergeCell ref="K25:L25"/>
    <mergeCell ref="A12:A14"/>
    <mergeCell ref="A15:A17"/>
    <mergeCell ref="A18:A20"/>
    <mergeCell ref="B24:C24"/>
    <mergeCell ref="D24:J24"/>
    <mergeCell ref="A28:E29"/>
    <mergeCell ref="L1:L2"/>
    <mergeCell ref="A3:A5"/>
    <mergeCell ref="B1:B2"/>
    <mergeCell ref="C1:C2"/>
    <mergeCell ref="D1:D2"/>
    <mergeCell ref="E1:E2"/>
    <mergeCell ref="F1:F2"/>
    <mergeCell ref="G1:G2"/>
    <mergeCell ref="A21:A23"/>
    <mergeCell ref="H1:H2"/>
    <mergeCell ref="I1:I2"/>
    <mergeCell ref="J1:J2"/>
    <mergeCell ref="K1:K2"/>
    <mergeCell ref="A6:A8"/>
    <mergeCell ref="A9:A11"/>
  </mergeCells>
  <conditionalFormatting sqref="C10:D10">
    <cfRule type="cellIs" dxfId="92" priority="93" operator="between">
      <formula>$K$15</formula>
      <formula>$K$17</formula>
    </cfRule>
    <cfRule type="cellIs" dxfId="91" priority="94" operator="lessThan">
      <formula>$K$15</formula>
    </cfRule>
    <cfRule type="cellIs" dxfId="90" priority="95" operator="greaterThan">
      <formula>$K$17</formula>
    </cfRule>
    <cfRule type="cellIs" dxfId="89" priority="96" operator="between">
      <formula>$K$15</formula>
      <formula>$K$17</formula>
    </cfRule>
  </conditionalFormatting>
  <conditionalFormatting sqref="C13:D13">
    <cfRule type="cellIs" dxfId="88" priority="12" operator="between">
      <formula>$C$12</formula>
      <formula>$C$14</formula>
    </cfRule>
    <cfRule type="cellIs" dxfId="87" priority="10" operator="lessThan">
      <formula>$C$12</formula>
    </cfRule>
    <cfRule type="cellIs" dxfId="86" priority="11" operator="greaterThan">
      <formula>$C$14</formula>
    </cfRule>
  </conditionalFormatting>
  <conditionalFormatting sqref="C16:D16">
    <cfRule type="cellIs" dxfId="85" priority="87" operator="greaterThan">
      <formula>$K$17</formula>
    </cfRule>
    <cfRule type="cellIs" dxfId="84" priority="85" operator="between">
      <formula>$K$15</formula>
      <formula>$K$17</formula>
    </cfRule>
    <cfRule type="cellIs" dxfId="83" priority="86" operator="lessThan">
      <formula>$K$15</formula>
    </cfRule>
    <cfRule type="cellIs" dxfId="82" priority="88" operator="between">
      <formula>$K$15</formula>
      <formula>$K$17</formula>
    </cfRule>
  </conditionalFormatting>
  <conditionalFormatting sqref="D13">
    <cfRule type="cellIs" dxfId="81" priority="7" operator="between">
      <formula>$D$12</formula>
      <formula>$D$14</formula>
    </cfRule>
    <cfRule type="cellIs" dxfId="80" priority="8" operator="lessThan">
      <formula>$D$12</formula>
    </cfRule>
    <cfRule type="cellIs" dxfId="79" priority="9" operator="greaterThan">
      <formula>$D$14</formula>
    </cfRule>
  </conditionalFormatting>
  <conditionalFormatting sqref="E7">
    <cfRule type="cellIs" dxfId="78" priority="108" operator="lessThan">
      <formula>$F$3</formula>
    </cfRule>
    <cfRule type="cellIs" dxfId="77" priority="111" operator="between">
      <formula>$F$3</formula>
      <formula>$F$5</formula>
    </cfRule>
    <cfRule type="cellIs" dxfId="76" priority="110" operator="between">
      <formula>$F$3</formula>
      <formula>$F$5</formula>
    </cfRule>
    <cfRule type="cellIs" dxfId="75" priority="109" operator="greaterThan">
      <formula>$F$5</formula>
    </cfRule>
  </conditionalFormatting>
  <conditionalFormatting sqref="E13">
    <cfRule type="cellIs" dxfId="74" priority="103" operator="between">
      <formula>$G$18</formula>
      <formula>$G$20</formula>
    </cfRule>
    <cfRule type="cellIs" dxfId="73" priority="101" operator="lessThan">
      <formula>$G$18</formula>
    </cfRule>
    <cfRule type="cellIs" dxfId="72" priority="102" operator="greaterThan">
      <formula>$G$20</formula>
    </cfRule>
  </conditionalFormatting>
  <conditionalFormatting sqref="E19">
    <cfRule type="cellIs" dxfId="71" priority="107" operator="between">
      <formula>$F$3</formula>
      <formula>$F$5</formula>
    </cfRule>
    <cfRule type="cellIs" dxfId="70" priority="106" operator="between">
      <formula>$F$3</formula>
      <formula>$F$5</formula>
    </cfRule>
    <cfRule type="cellIs" dxfId="69" priority="105" operator="greaterThan">
      <formula>$F$5</formula>
    </cfRule>
    <cfRule type="cellIs" dxfId="68" priority="104" operator="lessThan">
      <formula>$F$3</formula>
    </cfRule>
  </conditionalFormatting>
  <conditionalFormatting sqref="F4">
    <cfRule type="cellIs" dxfId="67" priority="115" operator="between">
      <formula>$F$3</formula>
      <formula>$F$5</formula>
    </cfRule>
    <cfRule type="cellIs" dxfId="66" priority="112" operator="lessThan">
      <formula>$F$3</formula>
    </cfRule>
    <cfRule type="cellIs" dxfId="65" priority="113" operator="greaterThan">
      <formula>$F$5</formula>
    </cfRule>
    <cfRule type="cellIs" dxfId="64" priority="114" operator="between">
      <formula>$F$3</formula>
      <formula>$F$5</formula>
    </cfRule>
  </conditionalFormatting>
  <conditionalFormatting sqref="F10">
    <cfRule type="cellIs" dxfId="63" priority="78" operator="greaterThan">
      <formula>$H$11</formula>
    </cfRule>
    <cfRule type="cellIs" dxfId="62" priority="77" operator="lessThan">
      <formula>$H$9</formula>
    </cfRule>
    <cfRule type="cellIs" dxfId="61" priority="76" operator="between">
      <formula>$H$9</formula>
      <formula>$H$11</formula>
    </cfRule>
  </conditionalFormatting>
  <conditionalFormatting sqref="F16">
    <cfRule type="cellIs" dxfId="60" priority="81" operator="greaterThan">
      <formula>$H$11</formula>
    </cfRule>
    <cfRule type="cellIs" dxfId="59" priority="80" operator="lessThan">
      <formula>$H$9</formula>
    </cfRule>
    <cfRule type="cellIs" dxfId="58" priority="79" operator="between">
      <formula>$H$9</formula>
      <formula>$H$11</formula>
    </cfRule>
  </conditionalFormatting>
  <conditionalFormatting sqref="F22">
    <cfRule type="cellIs" dxfId="57" priority="65" operator="lessThan">
      <formula>$F$3</formula>
    </cfRule>
    <cfRule type="cellIs" dxfId="56" priority="66" operator="greaterThan">
      <formula>$F$5</formula>
    </cfRule>
    <cfRule type="cellIs" dxfId="55" priority="67" operator="between">
      <formula>$F$3</formula>
      <formula>$F$5</formula>
    </cfRule>
    <cfRule type="cellIs" dxfId="54" priority="68" operator="between">
      <formula>$F$3</formula>
      <formula>$F$5</formula>
    </cfRule>
  </conditionalFormatting>
  <conditionalFormatting sqref="G7">
    <cfRule type="cellIs" dxfId="53" priority="18" operator="between">
      <formula>$G$18</formula>
      <formula>$G$20</formula>
    </cfRule>
    <cfRule type="cellIs" dxfId="52" priority="17" operator="greaterThan">
      <formula>$G$20</formula>
    </cfRule>
    <cfRule type="cellIs" dxfId="51" priority="16" operator="lessThan">
      <formula>$G$18</formula>
    </cfRule>
    <cfRule type="cellIs" dxfId="50" priority="15" operator="greaterThan">
      <formula>$G$8</formula>
    </cfRule>
    <cfRule type="cellIs" dxfId="49" priority="14" operator="lessThan">
      <formula>$G$6</formula>
    </cfRule>
    <cfRule type="cellIs" dxfId="48" priority="13" operator="between">
      <formula>$G$6</formula>
      <formula>$G$8</formula>
    </cfRule>
  </conditionalFormatting>
  <conditionalFormatting sqref="G13">
    <cfRule type="cellIs" dxfId="47" priority="73" operator="between">
      <formula>$H$9</formula>
      <formula>$H$11</formula>
    </cfRule>
    <cfRule type="cellIs" dxfId="46" priority="75" operator="greaterThan">
      <formula>$H$11</formula>
    </cfRule>
    <cfRule type="cellIs" dxfId="45" priority="74" operator="lessThan">
      <formula>$H$9</formula>
    </cfRule>
  </conditionalFormatting>
  <conditionalFormatting sqref="G19">
    <cfRule type="cellIs" dxfId="44" priority="20" operator="lessThan">
      <formula>$G$6</formula>
    </cfRule>
    <cfRule type="cellIs" dxfId="43" priority="21" operator="greaterThan">
      <formula>$G$8</formula>
    </cfRule>
    <cfRule type="cellIs" dxfId="42" priority="22" operator="lessThan">
      <formula>$G$18</formula>
    </cfRule>
    <cfRule type="cellIs" dxfId="41" priority="24" operator="between">
      <formula>$G$18</formula>
      <formula>$G$20</formula>
    </cfRule>
    <cfRule type="cellIs" dxfId="40" priority="23" operator="greaterThan">
      <formula>$G$20</formula>
    </cfRule>
    <cfRule type="cellIs" dxfId="39" priority="19" operator="between">
      <formula>$G$6</formula>
      <formula>$G$8</formula>
    </cfRule>
  </conditionalFormatting>
  <conditionalFormatting sqref="H4">
    <cfRule type="cellIs" dxfId="38" priority="70" operator="greaterThan">
      <formula>$F$5</formula>
    </cfRule>
    <cfRule type="cellIs" dxfId="37" priority="71" operator="between">
      <formula>$F$3</formula>
      <formula>$F$5</formula>
    </cfRule>
    <cfRule type="cellIs" dxfId="36" priority="72" operator="between">
      <formula>$F$3</formula>
      <formula>$F$5</formula>
    </cfRule>
    <cfRule type="cellIs" dxfId="35" priority="69" operator="lessThan">
      <formula>$F$3</formula>
    </cfRule>
  </conditionalFormatting>
  <conditionalFormatting sqref="H10">
    <cfRule type="cellIs" dxfId="34" priority="30" operator="greaterThan">
      <formula>$H$11</formula>
    </cfRule>
    <cfRule type="cellIs" dxfId="33" priority="28" operator="between">
      <formula>$H$9</formula>
      <formula>$H$11</formula>
    </cfRule>
    <cfRule type="cellIs" dxfId="32" priority="29" operator="lessThan">
      <formula>$H$9</formula>
    </cfRule>
  </conditionalFormatting>
  <conditionalFormatting sqref="H16">
    <cfRule type="cellIs" dxfId="31" priority="25" operator="between">
      <formula>$H$9</formula>
      <formula>$H$11</formula>
    </cfRule>
    <cfRule type="cellIs" dxfId="30" priority="26" operator="lessThan">
      <formula>$H$9</formula>
    </cfRule>
    <cfRule type="cellIs" dxfId="29" priority="27" operator="greaterThan">
      <formula>$H$11</formula>
    </cfRule>
  </conditionalFormatting>
  <conditionalFormatting sqref="H22">
    <cfRule type="cellIs" dxfId="28" priority="64" operator="between">
      <formula>$F$3</formula>
      <formula>$F$5</formula>
    </cfRule>
    <cfRule type="cellIs" dxfId="27" priority="63" operator="between">
      <formula>$F$3</formula>
      <formula>$F$5</formula>
    </cfRule>
    <cfRule type="cellIs" dxfId="26" priority="62" operator="greaterThan">
      <formula>$F$5</formula>
    </cfRule>
    <cfRule type="cellIs" dxfId="25" priority="61" operator="lessThan">
      <formula>$F$3</formula>
    </cfRule>
  </conditionalFormatting>
  <conditionalFormatting sqref="I7">
    <cfRule type="cellIs" dxfId="24" priority="60" operator="between">
      <formula>$F$3</formula>
      <formula>$F$5</formula>
    </cfRule>
    <cfRule type="cellIs" dxfId="23" priority="57" operator="lessThan">
      <formula>$F$3</formula>
    </cfRule>
    <cfRule type="cellIs" dxfId="22" priority="58" operator="greaterThan">
      <formula>$F$5</formula>
    </cfRule>
    <cfRule type="cellIs" dxfId="21" priority="59" operator="between">
      <formula>$F$3</formula>
      <formula>$F$5</formula>
    </cfRule>
  </conditionalFormatting>
  <conditionalFormatting sqref="I13">
    <cfRule type="cellIs" dxfId="20" priority="31" operator="lessThan">
      <formula>$G$18</formula>
    </cfRule>
    <cfRule type="cellIs" dxfId="19" priority="32" operator="greaterThan">
      <formula>$G$20</formula>
    </cfRule>
    <cfRule type="cellIs" dxfId="18" priority="33" operator="between">
      <formula>$G$18</formula>
      <formula>$G$20</formula>
    </cfRule>
  </conditionalFormatting>
  <conditionalFormatting sqref="I19">
    <cfRule type="cellIs" dxfId="17" priority="55" operator="between">
      <formula>$F$3</formula>
      <formula>$F$5</formula>
    </cfRule>
    <cfRule type="cellIs" dxfId="16" priority="54" operator="greaterThan">
      <formula>$F$5</formula>
    </cfRule>
    <cfRule type="cellIs" dxfId="15" priority="53" operator="lessThan">
      <formula>$F$3</formula>
    </cfRule>
    <cfRule type="cellIs" dxfId="14" priority="56" operator="between">
      <formula>$F$3</formula>
      <formula>$F$5</formula>
    </cfRule>
  </conditionalFormatting>
  <conditionalFormatting sqref="J13">
    <cfRule type="cellIs" dxfId="13" priority="1" operator="between">
      <formula>$D$12</formula>
      <formula>$D$14</formula>
    </cfRule>
    <cfRule type="cellIs" dxfId="12" priority="3" operator="greaterThan">
      <formula>$D$14</formula>
    </cfRule>
    <cfRule type="cellIs" dxfId="11" priority="2" operator="lessThan">
      <formula>$D$12</formula>
    </cfRule>
  </conditionalFormatting>
  <conditionalFormatting sqref="J10:K10">
    <cfRule type="cellIs" dxfId="10" priority="41" operator="between">
      <formula>$K$15</formula>
      <formula>$K$17</formula>
    </cfRule>
    <cfRule type="cellIs" dxfId="9" priority="38" operator="between">
      <formula>$K$15</formula>
      <formula>$K$17</formula>
    </cfRule>
    <cfRule type="cellIs" dxfId="8" priority="39" operator="lessThan">
      <formula>$K$15</formula>
    </cfRule>
    <cfRule type="cellIs" dxfId="7" priority="40" operator="greaterThan">
      <formula>$K$17</formula>
    </cfRule>
  </conditionalFormatting>
  <conditionalFormatting sqref="J13:K13">
    <cfRule type="cellIs" dxfId="6" priority="6" operator="between">
      <formula>$C$12</formula>
      <formula>$C$14</formula>
    </cfRule>
    <cfRule type="cellIs" dxfId="5" priority="5" operator="greaterThan">
      <formula>$C$14</formula>
    </cfRule>
    <cfRule type="cellIs" dxfId="4" priority="4" operator="lessThan">
      <formula>$C$12</formula>
    </cfRule>
  </conditionalFormatting>
  <conditionalFormatting sqref="J16:K16">
    <cfRule type="cellIs" dxfId="3" priority="36" operator="greaterThan">
      <formula>$K$17</formula>
    </cfRule>
    <cfRule type="cellIs" dxfId="2" priority="34" operator="between">
      <formula>$K$15</formula>
      <formula>$K$17</formula>
    </cfRule>
    <cfRule type="cellIs" dxfId="1" priority="35" operator="lessThan">
      <formula>$K$15</formula>
    </cfRule>
    <cfRule type="cellIs" dxfId="0" priority="37" operator="between">
      <formula>$K$15</formula>
      <formula>$K$17</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D51"/>
  <sheetViews>
    <sheetView workbookViewId="0">
      <selection activeCell="G6" sqref="G6"/>
    </sheetView>
  </sheetViews>
  <sheetFormatPr defaultRowHeight="12.75" x14ac:dyDescent="0.2"/>
  <cols>
    <col min="1" max="1" width="9.140625" style="2"/>
  </cols>
  <sheetData>
    <row r="1" spans="1:30" x14ac:dyDescent="0.2">
      <c r="A1" s="1" t="s">
        <v>0</v>
      </c>
      <c r="B1" s="84" t="s">
        <v>1</v>
      </c>
      <c r="C1" s="84" t="s">
        <v>2</v>
      </c>
      <c r="D1" s="84" t="s">
        <v>3</v>
      </c>
      <c r="E1" s="84" t="s">
        <v>4</v>
      </c>
      <c r="F1" s="84" t="s">
        <v>5</v>
      </c>
      <c r="G1" s="84" t="s">
        <v>6</v>
      </c>
      <c r="H1" s="84" t="s">
        <v>5</v>
      </c>
      <c r="I1" s="84" t="s">
        <v>4</v>
      </c>
      <c r="J1" s="84" t="s">
        <v>3</v>
      </c>
      <c r="K1" s="84" t="s">
        <v>2</v>
      </c>
      <c r="L1" s="86" t="s">
        <v>1</v>
      </c>
      <c r="M1" s="2"/>
      <c r="N1" s="2"/>
      <c r="O1" s="2"/>
      <c r="P1" s="2"/>
      <c r="Q1" s="2"/>
      <c r="R1" s="2"/>
      <c r="S1" s="2"/>
      <c r="T1" s="2"/>
      <c r="U1" s="2"/>
      <c r="V1" s="2"/>
      <c r="W1" s="2"/>
      <c r="X1" s="2"/>
      <c r="Y1" s="2"/>
      <c r="Z1" s="2"/>
      <c r="AA1" s="2"/>
      <c r="AB1" s="2"/>
      <c r="AC1" s="2"/>
      <c r="AD1" s="2"/>
    </row>
    <row r="2" spans="1:30" ht="13.5" thickBot="1" x14ac:dyDescent="0.25">
      <c r="A2" s="3" t="s">
        <v>7</v>
      </c>
      <c r="B2" s="85"/>
      <c r="C2" s="85"/>
      <c r="D2" s="85"/>
      <c r="E2" s="85"/>
      <c r="F2" s="85"/>
      <c r="G2" s="85"/>
      <c r="H2" s="85"/>
      <c r="I2" s="85"/>
      <c r="J2" s="85"/>
      <c r="K2" s="85"/>
      <c r="L2" s="87"/>
      <c r="M2" s="2"/>
      <c r="N2" s="2"/>
      <c r="O2" s="2"/>
      <c r="P2" s="2"/>
      <c r="Q2" s="2"/>
      <c r="R2" s="2"/>
      <c r="S2" s="2"/>
      <c r="T2" s="2"/>
      <c r="U2" s="2"/>
      <c r="V2" s="2"/>
      <c r="W2" s="2"/>
      <c r="X2" s="2"/>
      <c r="Y2" s="2"/>
      <c r="Z2" s="2"/>
      <c r="AA2" s="2"/>
      <c r="AB2" s="2"/>
      <c r="AC2" s="2"/>
      <c r="AD2" s="2"/>
    </row>
    <row r="3" spans="1:30" ht="39" customHeight="1" thickBot="1" x14ac:dyDescent="0.25">
      <c r="A3" s="4" t="s">
        <v>8</v>
      </c>
      <c r="B3" s="5"/>
      <c r="C3" s="5"/>
      <c r="D3" s="5"/>
      <c r="E3" s="5"/>
      <c r="F3" s="6">
        <v>0</v>
      </c>
      <c r="G3" s="5"/>
      <c r="H3" s="6">
        <v>0</v>
      </c>
      <c r="I3" s="5"/>
      <c r="J3" s="5"/>
      <c r="K3" s="5"/>
      <c r="L3" s="7"/>
      <c r="M3" s="2"/>
      <c r="N3" s="2"/>
      <c r="O3" s="2"/>
      <c r="P3" s="2"/>
      <c r="Q3" s="2"/>
      <c r="R3" s="2"/>
      <c r="S3" s="2"/>
      <c r="T3" s="2"/>
      <c r="U3" s="2"/>
      <c r="V3" s="2"/>
      <c r="W3" s="2"/>
      <c r="X3" s="2"/>
      <c r="Y3" s="2"/>
      <c r="Z3" s="2"/>
      <c r="AA3" s="2"/>
      <c r="AB3" s="2"/>
      <c r="AC3" s="2"/>
      <c r="AD3" s="2"/>
    </row>
    <row r="4" spans="1:30" ht="39" customHeight="1" thickBot="1" x14ac:dyDescent="0.25">
      <c r="A4" s="4" t="s">
        <v>9</v>
      </c>
      <c r="B4" s="5"/>
      <c r="C4" s="5"/>
      <c r="D4" s="5"/>
      <c r="E4" s="6">
        <v>0</v>
      </c>
      <c r="F4" s="5"/>
      <c r="G4" s="6">
        <v>0</v>
      </c>
      <c r="H4" s="5"/>
      <c r="I4" s="6">
        <v>0</v>
      </c>
      <c r="J4" s="5"/>
      <c r="K4" s="5"/>
      <c r="L4" s="7"/>
      <c r="M4" s="2"/>
      <c r="N4" s="2"/>
      <c r="O4" s="2"/>
      <c r="P4" s="2"/>
      <c r="Q4" s="2"/>
      <c r="R4" s="2"/>
      <c r="S4" s="2"/>
      <c r="T4" s="2"/>
      <c r="U4" s="2"/>
      <c r="V4" s="2"/>
      <c r="W4" s="2"/>
      <c r="X4" s="2"/>
      <c r="Y4" s="2"/>
      <c r="Z4" s="2"/>
      <c r="AA4" s="2"/>
      <c r="AB4" s="2"/>
      <c r="AC4" s="2"/>
      <c r="AD4" s="2"/>
    </row>
    <row r="5" spans="1:30" ht="39" customHeight="1" thickBot="1" x14ac:dyDescent="0.25">
      <c r="A5" s="4" t="s">
        <v>10</v>
      </c>
      <c r="B5" s="8" t="s">
        <v>11</v>
      </c>
      <c r="C5" s="6">
        <v>0</v>
      </c>
      <c r="D5" s="6">
        <v>0</v>
      </c>
      <c r="E5" s="5"/>
      <c r="F5" s="6">
        <v>0</v>
      </c>
      <c r="G5" s="32"/>
      <c r="H5" s="6">
        <v>0</v>
      </c>
      <c r="I5" s="5"/>
      <c r="J5" s="6">
        <v>0</v>
      </c>
      <c r="K5" s="6">
        <v>0</v>
      </c>
      <c r="L5" s="9" t="s">
        <v>11</v>
      </c>
      <c r="M5" s="2"/>
      <c r="N5" s="2"/>
      <c r="O5" s="2"/>
      <c r="P5" s="2"/>
      <c r="Q5" s="2"/>
      <c r="R5" s="2"/>
      <c r="S5" s="2"/>
      <c r="T5" s="2"/>
      <c r="U5" s="2"/>
      <c r="V5" s="2"/>
      <c r="W5" s="2"/>
      <c r="X5" s="2"/>
      <c r="Y5" s="2"/>
      <c r="Z5" s="2"/>
      <c r="AA5" s="2"/>
      <c r="AB5" s="2"/>
      <c r="AC5" s="2"/>
      <c r="AD5" s="2"/>
    </row>
    <row r="6" spans="1:30" ht="39" customHeight="1" thickBot="1" x14ac:dyDescent="0.25">
      <c r="A6" s="4" t="s">
        <v>6</v>
      </c>
      <c r="B6" s="8" t="s">
        <v>11</v>
      </c>
      <c r="C6" s="6">
        <v>0</v>
      </c>
      <c r="D6" s="6">
        <v>0</v>
      </c>
      <c r="E6" s="6">
        <v>0</v>
      </c>
      <c r="F6" s="5"/>
      <c r="G6" s="6">
        <v>0</v>
      </c>
      <c r="H6" s="5"/>
      <c r="I6" s="6">
        <v>0</v>
      </c>
      <c r="J6" s="6">
        <v>0</v>
      </c>
      <c r="K6" s="6">
        <v>0</v>
      </c>
      <c r="L6" s="9" t="s">
        <v>11</v>
      </c>
      <c r="M6" s="2"/>
      <c r="N6" s="2"/>
      <c r="O6" s="2"/>
      <c r="P6" s="2"/>
      <c r="Q6" s="2"/>
      <c r="R6" s="2"/>
      <c r="S6" s="2"/>
      <c r="T6" s="2"/>
      <c r="U6" s="2"/>
      <c r="V6" s="2"/>
      <c r="W6" s="2"/>
      <c r="X6" s="2"/>
      <c r="Y6" s="2"/>
      <c r="Z6" s="2"/>
      <c r="AA6" s="2"/>
      <c r="AB6" s="2"/>
      <c r="AC6" s="2"/>
      <c r="AD6" s="2"/>
    </row>
    <row r="7" spans="1:30" ht="39" customHeight="1" thickBot="1" x14ac:dyDescent="0.25">
      <c r="A7" s="4" t="s">
        <v>10</v>
      </c>
      <c r="B7" s="8" t="s">
        <v>11</v>
      </c>
      <c r="C7" s="6">
        <v>0</v>
      </c>
      <c r="D7" s="6">
        <v>0</v>
      </c>
      <c r="E7" s="5"/>
      <c r="F7" s="6">
        <v>0</v>
      </c>
      <c r="G7" s="5"/>
      <c r="H7" s="6">
        <v>0</v>
      </c>
      <c r="I7" s="5"/>
      <c r="J7" s="6">
        <v>0</v>
      </c>
      <c r="K7" s="6">
        <v>0</v>
      </c>
      <c r="L7" s="9" t="s">
        <v>11</v>
      </c>
      <c r="M7" s="2"/>
      <c r="N7" s="2"/>
      <c r="O7" s="2"/>
      <c r="P7" s="2"/>
      <c r="Q7" s="2"/>
      <c r="R7" s="2"/>
      <c r="S7" s="2"/>
      <c r="T7" s="2"/>
      <c r="U7" s="2"/>
      <c r="V7" s="2"/>
      <c r="W7" s="2"/>
      <c r="X7" s="2"/>
      <c r="Y7" s="2"/>
      <c r="Z7" s="2"/>
      <c r="AA7" s="2"/>
      <c r="AB7" s="2"/>
      <c r="AC7" s="2"/>
      <c r="AD7" s="2"/>
    </row>
    <row r="8" spans="1:30" ht="39" customHeight="1" thickBot="1" x14ac:dyDescent="0.25">
      <c r="A8" s="4" t="s">
        <v>9</v>
      </c>
      <c r="B8" s="5"/>
      <c r="C8" s="5"/>
      <c r="D8" s="5"/>
      <c r="E8" s="6">
        <v>0</v>
      </c>
      <c r="F8" s="5"/>
      <c r="G8" s="6">
        <v>0</v>
      </c>
      <c r="H8" s="5"/>
      <c r="I8" s="6">
        <v>0</v>
      </c>
      <c r="J8" s="5"/>
      <c r="K8" s="5"/>
      <c r="L8" s="7"/>
      <c r="M8" s="2"/>
      <c r="N8" s="2"/>
      <c r="O8" s="2"/>
      <c r="P8" s="2"/>
      <c r="Q8" s="2"/>
      <c r="R8" s="2"/>
      <c r="S8" s="2"/>
      <c r="T8" s="2"/>
      <c r="U8" s="2"/>
      <c r="V8" s="2"/>
      <c r="W8" s="2"/>
      <c r="X8" s="2"/>
      <c r="Y8" s="2"/>
      <c r="Z8" s="2"/>
      <c r="AA8" s="2"/>
      <c r="AB8" s="2"/>
      <c r="AC8" s="2"/>
      <c r="AD8" s="2"/>
    </row>
    <row r="9" spans="1:30" ht="39" customHeight="1" thickBot="1" x14ac:dyDescent="0.25">
      <c r="A9" s="10" t="s">
        <v>8</v>
      </c>
      <c r="B9" s="11"/>
      <c r="C9" s="11"/>
      <c r="D9" s="11"/>
      <c r="E9" s="11"/>
      <c r="F9" s="35">
        <v>0</v>
      </c>
      <c r="G9" s="11"/>
      <c r="H9" s="35">
        <v>0</v>
      </c>
      <c r="I9" s="11"/>
      <c r="J9" s="11"/>
      <c r="K9" s="11"/>
      <c r="L9" s="12"/>
      <c r="M9" s="2"/>
      <c r="N9" s="2"/>
      <c r="O9" s="2"/>
      <c r="P9" s="2"/>
      <c r="Q9" s="2"/>
      <c r="R9" s="2"/>
      <c r="S9" s="2"/>
      <c r="T9" s="2"/>
      <c r="U9" s="2"/>
      <c r="V9" s="2"/>
      <c r="W9" s="2"/>
      <c r="X9" s="2"/>
      <c r="Y9" s="2"/>
      <c r="Z9" s="2"/>
      <c r="AA9" s="2"/>
      <c r="AB9" s="2"/>
      <c r="AC9" s="2"/>
      <c r="AD9" s="2"/>
    </row>
    <row r="10" spans="1:30" x14ac:dyDescent="0.2">
      <c r="B10" s="82" t="s">
        <v>12</v>
      </c>
      <c r="C10" s="83"/>
      <c r="D10" s="82" t="s">
        <v>13</v>
      </c>
      <c r="E10" s="83"/>
      <c r="F10" s="83"/>
      <c r="G10" s="83"/>
      <c r="H10" s="83"/>
      <c r="I10" s="83"/>
      <c r="J10" s="88"/>
      <c r="K10" s="83" t="s">
        <v>12</v>
      </c>
      <c r="L10" s="88"/>
      <c r="M10" s="2"/>
      <c r="N10" s="2"/>
      <c r="O10" s="2"/>
      <c r="P10" s="2"/>
      <c r="Q10" s="2"/>
      <c r="R10" s="2"/>
      <c r="S10" s="2"/>
      <c r="T10" s="2"/>
      <c r="U10" s="2"/>
      <c r="V10" s="2"/>
      <c r="W10" s="2"/>
      <c r="X10" s="2"/>
      <c r="Y10" s="2"/>
      <c r="Z10" s="2"/>
      <c r="AA10" s="2"/>
      <c r="AB10" s="2"/>
      <c r="AC10" s="2"/>
      <c r="AD10" s="2"/>
    </row>
    <row r="11" spans="1:30" ht="13.5" thickBot="1" x14ac:dyDescent="0.25">
      <c r="B11" s="79" t="s">
        <v>14</v>
      </c>
      <c r="C11" s="80"/>
      <c r="D11" s="79" t="s">
        <v>14</v>
      </c>
      <c r="E11" s="80"/>
      <c r="F11" s="80"/>
      <c r="G11" s="80"/>
      <c r="H11" s="80"/>
      <c r="I11" s="80"/>
      <c r="J11" s="81"/>
      <c r="K11" s="80" t="s">
        <v>14</v>
      </c>
      <c r="L11" s="81"/>
      <c r="M11" s="2"/>
      <c r="N11" s="2"/>
      <c r="O11" s="2"/>
      <c r="P11" s="2"/>
      <c r="Q11" s="2"/>
      <c r="R11" s="2"/>
      <c r="S11" s="2"/>
      <c r="T11" s="2"/>
      <c r="U11" s="2"/>
      <c r="V11" s="2"/>
      <c r="W11" s="2"/>
      <c r="X11" s="2"/>
      <c r="Y11" s="2"/>
      <c r="Z11" s="2"/>
      <c r="AA11" s="2"/>
      <c r="AB11" s="2"/>
      <c r="AC11" s="2"/>
      <c r="AD11" s="2"/>
    </row>
    <row r="12" spans="1:30" x14ac:dyDescent="0.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row>
    <row r="13" spans="1:30" x14ac:dyDescent="0.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row>
    <row r="14" spans="1:30" x14ac:dyDescent="0.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row>
    <row r="15" spans="1:30" x14ac:dyDescent="0.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row>
    <row r="16" spans="1:30" x14ac:dyDescent="0.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row>
    <row r="17" spans="2:30" x14ac:dyDescent="0.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row>
    <row r="18" spans="2:30" x14ac:dyDescent="0.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row>
    <row r="19" spans="2:30" x14ac:dyDescent="0.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row>
    <row r="20" spans="2:30" x14ac:dyDescent="0.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row>
    <row r="21" spans="2:30" x14ac:dyDescent="0.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row>
    <row r="22" spans="2:30" x14ac:dyDescent="0.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row>
    <row r="23" spans="2:30" x14ac:dyDescent="0.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row>
    <row r="24" spans="2:30" x14ac:dyDescent="0.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row>
    <row r="25" spans="2:30" x14ac:dyDescent="0.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row>
    <row r="26" spans="2:30" x14ac:dyDescent="0.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row>
    <row r="27" spans="2:30" x14ac:dyDescent="0.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row>
    <row r="28" spans="2:30" x14ac:dyDescent="0.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2:30" x14ac:dyDescent="0.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row>
    <row r="30" spans="2:30" x14ac:dyDescent="0.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2:30" x14ac:dyDescent="0.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row>
    <row r="32" spans="2:30" x14ac:dyDescent="0.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2:30" x14ac:dyDescent="0.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2:30" x14ac:dyDescent="0.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row>
    <row r="35" spans="2:30" x14ac:dyDescent="0.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row>
    <row r="36" spans="2:30" x14ac:dyDescent="0.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2:30" x14ac:dyDescent="0.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2:30" x14ac:dyDescent="0.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row>
    <row r="39" spans="2:30" x14ac:dyDescent="0.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row>
    <row r="40" spans="2:30" x14ac:dyDescent="0.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row>
    <row r="41" spans="2:30" x14ac:dyDescent="0.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row>
    <row r="42" spans="2:30" x14ac:dyDescent="0.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2:30" x14ac:dyDescent="0.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row>
    <row r="44" spans="2:30" x14ac:dyDescent="0.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spans="2:30" x14ac:dyDescent="0.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2:30" x14ac:dyDescent="0.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2:30" x14ac:dyDescent="0.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2:30" x14ac:dyDescent="0.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2:30" x14ac:dyDescent="0.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2:30" x14ac:dyDescent="0.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2:30" x14ac:dyDescent="0.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sheetData>
  <sheetProtection algorithmName="SHA-512" hashValue="9Ovlppeu4sZFsMQGsr41v8Gdb1Wi1Tm8qr28VWGUkxGzAjnJJDjLhLXmqD+JFRuoT0tkzQve1GGWJ5XKOJkLAA==" saltValue="s24f2uRO794MkIyt9Juvwg==" spinCount="100000" sheet="1" objects="1" scenarios="1" selectLockedCells="1"/>
  <mergeCells count="17">
    <mergeCell ref="K11:L11"/>
    <mergeCell ref="H1:H2"/>
    <mergeCell ref="I1:I2"/>
    <mergeCell ref="J1:J2"/>
    <mergeCell ref="K1:K2"/>
    <mergeCell ref="L1:L2"/>
    <mergeCell ref="D10:J10"/>
    <mergeCell ref="K10:L10"/>
    <mergeCell ref="D1:D2"/>
    <mergeCell ref="E1:E2"/>
    <mergeCell ref="F1:F2"/>
    <mergeCell ref="G1:G2"/>
    <mergeCell ref="B11:C11"/>
    <mergeCell ref="D11:J11"/>
    <mergeCell ref="B10:C10"/>
    <mergeCell ref="B1:B2"/>
    <mergeCell ref="C1:C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BB62"/>
  <sheetViews>
    <sheetView workbookViewId="0">
      <selection activeCell="A28" sqref="A28:E29"/>
    </sheetView>
  </sheetViews>
  <sheetFormatPr defaultRowHeight="12.75" x14ac:dyDescent="0.2"/>
  <cols>
    <col min="7" max="7" width="9.140625" customWidth="1"/>
  </cols>
  <sheetData>
    <row r="1" spans="1:54" x14ac:dyDescent="0.2">
      <c r="A1" s="1" t="s">
        <v>0</v>
      </c>
      <c r="B1" s="84" t="s">
        <v>1</v>
      </c>
      <c r="C1" s="84" t="s">
        <v>2</v>
      </c>
      <c r="D1" s="84" t="s">
        <v>3</v>
      </c>
      <c r="E1" s="84" t="s">
        <v>4</v>
      </c>
      <c r="F1" s="84" t="s">
        <v>5</v>
      </c>
      <c r="G1" s="84" t="s">
        <v>6</v>
      </c>
      <c r="H1" s="84" t="s">
        <v>5</v>
      </c>
      <c r="I1" s="84" t="s">
        <v>4</v>
      </c>
      <c r="J1" s="84" t="s">
        <v>3</v>
      </c>
      <c r="K1" s="84" t="s">
        <v>2</v>
      </c>
      <c r="L1" s="95" t="s">
        <v>1</v>
      </c>
      <c r="M1" s="13"/>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13.5" thickBot="1" x14ac:dyDescent="0.25">
      <c r="A2" s="3" t="s">
        <v>7</v>
      </c>
      <c r="B2" s="85"/>
      <c r="C2" s="85"/>
      <c r="D2" s="85"/>
      <c r="E2" s="85"/>
      <c r="F2" s="85"/>
      <c r="G2" s="85"/>
      <c r="H2" s="85"/>
      <c r="I2" s="85"/>
      <c r="J2" s="85"/>
      <c r="K2" s="85"/>
      <c r="L2" s="96"/>
      <c r="M2" s="13"/>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x14ac:dyDescent="0.2">
      <c r="A3" s="97" t="s">
        <v>8</v>
      </c>
      <c r="B3" s="14"/>
      <c r="C3" s="14"/>
      <c r="D3" s="14"/>
      <c r="E3" s="14"/>
      <c r="F3" s="15">
        <v>100</v>
      </c>
      <c r="G3" s="14"/>
      <c r="H3" s="15">
        <v>100</v>
      </c>
      <c r="I3" s="14"/>
      <c r="J3" s="14"/>
      <c r="K3" s="14"/>
      <c r="L3" s="16"/>
      <c r="M3" s="1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x14ac:dyDescent="0.2">
      <c r="A4" s="98"/>
      <c r="B4" s="17"/>
      <c r="C4" s="17"/>
      <c r="D4" s="17"/>
      <c r="E4" s="17"/>
      <c r="F4" s="18">
        <f>('Officieel ECE R65 testrapport'!F3/100)*5.49</f>
        <v>0</v>
      </c>
      <c r="G4" s="17"/>
      <c r="H4" s="18">
        <f>('Officieel ECE R65 testrapport'!H3/100)*5.49</f>
        <v>0</v>
      </c>
      <c r="I4" s="17"/>
      <c r="J4" s="17"/>
      <c r="K4" s="17"/>
      <c r="L4" s="19"/>
      <c r="M4" s="1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3.5" thickBot="1" x14ac:dyDescent="0.25">
      <c r="A5" s="99"/>
      <c r="B5" s="20"/>
      <c r="C5" s="20"/>
      <c r="D5" s="20"/>
      <c r="E5" s="20"/>
      <c r="F5" s="21">
        <v>1500</v>
      </c>
      <c r="G5" s="20"/>
      <c r="H5" s="21">
        <v>1500</v>
      </c>
      <c r="I5" s="20"/>
      <c r="J5" s="20"/>
      <c r="K5" s="20"/>
      <c r="L5" s="22"/>
      <c r="M5" s="13"/>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x14ac:dyDescent="0.2">
      <c r="A6" s="97" t="s">
        <v>9</v>
      </c>
      <c r="B6" s="14"/>
      <c r="C6" s="14"/>
      <c r="D6" s="14"/>
      <c r="E6" s="15">
        <v>100</v>
      </c>
      <c r="F6" s="14"/>
      <c r="G6" s="15">
        <v>150</v>
      </c>
      <c r="H6" s="14"/>
      <c r="I6" s="15">
        <v>100</v>
      </c>
      <c r="J6" s="14"/>
      <c r="K6" s="14"/>
      <c r="L6" s="16"/>
      <c r="M6" s="1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x14ac:dyDescent="0.2">
      <c r="A7" s="98"/>
      <c r="B7" s="17"/>
      <c r="C7" s="17"/>
      <c r="D7" s="17"/>
      <c r="E7" s="18">
        <f>('Officieel ECE R65 testrapport'!E4/100)*5.36</f>
        <v>0</v>
      </c>
      <c r="F7" s="17"/>
      <c r="G7" s="18">
        <f>('Officieel ECE R65 testrapport'!G4/100)*5.55</f>
        <v>0</v>
      </c>
      <c r="H7" s="17"/>
      <c r="I7" s="18">
        <f>('Officieel ECE R65 testrapport'!I4/100)*5.36</f>
        <v>0</v>
      </c>
      <c r="J7" s="17"/>
      <c r="K7" s="17"/>
      <c r="L7" s="19"/>
      <c r="M7" s="13"/>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3.5" thickBot="1" x14ac:dyDescent="0.25">
      <c r="A8" s="99"/>
      <c r="B8" s="20"/>
      <c r="C8" s="20"/>
      <c r="D8" s="20"/>
      <c r="E8" s="21">
        <v>1500</v>
      </c>
      <c r="F8" s="20"/>
      <c r="G8" s="21">
        <v>1500</v>
      </c>
      <c r="H8" s="20"/>
      <c r="I8" s="21">
        <v>1500</v>
      </c>
      <c r="J8" s="20"/>
      <c r="K8" s="20"/>
      <c r="L8" s="22"/>
      <c r="M8" s="13"/>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x14ac:dyDescent="0.2">
      <c r="A9" s="97" t="s">
        <v>10</v>
      </c>
      <c r="B9" s="15">
        <v>40</v>
      </c>
      <c r="C9" s="15">
        <v>40</v>
      </c>
      <c r="D9" s="15">
        <v>40</v>
      </c>
      <c r="E9" s="14"/>
      <c r="F9" s="15">
        <v>200</v>
      </c>
      <c r="G9" s="14"/>
      <c r="H9" s="15">
        <v>200</v>
      </c>
      <c r="I9" s="14"/>
      <c r="J9" s="15">
        <v>40</v>
      </c>
      <c r="K9" s="15">
        <v>40</v>
      </c>
      <c r="L9" s="23">
        <v>40</v>
      </c>
      <c r="M9" s="13"/>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x14ac:dyDescent="0.2">
      <c r="A10" s="98"/>
      <c r="B10" s="24" t="s">
        <v>11</v>
      </c>
      <c r="C10" s="18">
        <f>('Officieel ECE R65 testrapport'!C5/100)*4.54</f>
        <v>0</v>
      </c>
      <c r="D10" s="18">
        <f>('Officieel ECE R65 testrapport'!D5/100)*5.12</f>
        <v>0</v>
      </c>
      <c r="E10" s="17"/>
      <c r="F10" s="18">
        <f>('Officieel ECE R65 testrapport'!F5/100)*5.52</f>
        <v>0</v>
      </c>
      <c r="G10" s="17"/>
      <c r="H10" s="18">
        <f>('Officieel ECE R65 testrapport'!H5/100)*5.52</f>
        <v>0</v>
      </c>
      <c r="I10" s="17"/>
      <c r="J10" s="18">
        <f>('Officieel ECE R65 testrapport'!J5/100)*5.12</f>
        <v>0</v>
      </c>
      <c r="K10" s="18">
        <f>('Officieel ECE R65 testrapport'!K5/100)*4.54</f>
        <v>0</v>
      </c>
      <c r="L10" s="25" t="s">
        <v>11</v>
      </c>
      <c r="M10" s="13"/>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ht="13.5" thickBot="1" x14ac:dyDescent="0.25">
      <c r="A11" s="99"/>
      <c r="B11" s="21">
        <v>1000</v>
      </c>
      <c r="C11" s="21">
        <v>1000</v>
      </c>
      <c r="D11" s="21">
        <v>1000</v>
      </c>
      <c r="E11" s="26"/>
      <c r="F11" s="21">
        <v>3000</v>
      </c>
      <c r="G11" s="26"/>
      <c r="H11" s="21">
        <v>3000</v>
      </c>
      <c r="I11" s="26"/>
      <c r="J11" s="21">
        <v>1000</v>
      </c>
      <c r="K11" s="21">
        <v>1000</v>
      </c>
      <c r="L11" s="27">
        <v>1000</v>
      </c>
      <c r="M11" s="13"/>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x14ac:dyDescent="0.2">
      <c r="A12" s="97" t="s">
        <v>6</v>
      </c>
      <c r="B12" s="15">
        <v>100</v>
      </c>
      <c r="C12" s="15">
        <v>100</v>
      </c>
      <c r="D12" s="15">
        <v>100</v>
      </c>
      <c r="E12" s="28">
        <v>150</v>
      </c>
      <c r="F12" s="14"/>
      <c r="G12" s="15">
        <v>200</v>
      </c>
      <c r="H12" s="14"/>
      <c r="I12" s="23">
        <v>150</v>
      </c>
      <c r="J12" s="15">
        <v>100</v>
      </c>
      <c r="K12" s="15">
        <v>100</v>
      </c>
      <c r="L12" s="23">
        <v>100</v>
      </c>
      <c r="M12" s="13"/>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x14ac:dyDescent="0.2">
      <c r="A13" s="98"/>
      <c r="B13" s="24" t="s">
        <v>11</v>
      </c>
      <c r="C13" s="18">
        <f>('Officieel ECE R65 testrapport'!C6/100)*4.55</f>
        <v>0</v>
      </c>
      <c r="D13" s="18">
        <f>('Officieel ECE R65 testrapport'!D6/100)*5.12</f>
        <v>0</v>
      </c>
      <c r="E13" s="18">
        <f>('Officieel ECE R65 testrapport'!E6/100)*5.38</f>
        <v>0</v>
      </c>
      <c r="F13" s="17"/>
      <c r="G13" s="18">
        <f>('Officieel ECE R65 testrapport'!G6/100)*5.56</f>
        <v>0</v>
      </c>
      <c r="H13" s="17"/>
      <c r="I13" s="18">
        <f>('Officieel ECE R65 testrapport'!I6/100)*5.38</f>
        <v>0</v>
      </c>
      <c r="J13" s="18">
        <f>('Officieel ECE R65 testrapport'!J6/100)*5.12</f>
        <v>0</v>
      </c>
      <c r="K13" s="18">
        <f>('Officieel ECE R65 testrapport'!K6/100)*4.55</f>
        <v>0</v>
      </c>
      <c r="L13" s="25" t="s">
        <v>11</v>
      </c>
      <c r="M13" s="13"/>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ht="13.5" thickBot="1" x14ac:dyDescent="0.25">
      <c r="A14" s="99"/>
      <c r="B14" s="21">
        <v>1000</v>
      </c>
      <c r="C14" s="21">
        <v>1000</v>
      </c>
      <c r="D14" s="21">
        <v>1000</v>
      </c>
      <c r="E14" s="29">
        <v>1500</v>
      </c>
      <c r="F14" s="20"/>
      <c r="G14" s="21">
        <v>3000</v>
      </c>
      <c r="H14" s="20"/>
      <c r="I14" s="27">
        <v>1500</v>
      </c>
      <c r="J14" s="21">
        <v>1000</v>
      </c>
      <c r="K14" s="21">
        <v>1000</v>
      </c>
      <c r="L14" s="27">
        <v>1000</v>
      </c>
      <c r="M14" s="13"/>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x14ac:dyDescent="0.2">
      <c r="A15" s="97" t="s">
        <v>10</v>
      </c>
      <c r="B15" s="15">
        <v>40</v>
      </c>
      <c r="C15" s="15">
        <v>40</v>
      </c>
      <c r="D15" s="15">
        <v>40</v>
      </c>
      <c r="E15" s="14"/>
      <c r="F15" s="15">
        <v>200</v>
      </c>
      <c r="G15" s="14"/>
      <c r="H15" s="15">
        <v>200</v>
      </c>
      <c r="I15" s="14"/>
      <c r="J15" s="15">
        <v>40</v>
      </c>
      <c r="K15" s="15">
        <v>40</v>
      </c>
      <c r="L15" s="23">
        <v>40</v>
      </c>
      <c r="M15" s="13"/>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x14ac:dyDescent="0.2">
      <c r="A16" s="98"/>
      <c r="B16" s="24" t="s">
        <v>11</v>
      </c>
      <c r="C16" s="18">
        <f>('Officieel ECE R65 testrapport'!C7/100)*4.54</f>
        <v>0</v>
      </c>
      <c r="D16" s="18">
        <f>('Officieel ECE R65 testrapport'!D7/100)*5.12</f>
        <v>0</v>
      </c>
      <c r="E16" s="17"/>
      <c r="F16" s="18">
        <f>('Officieel ECE R65 testrapport'!F7/100)*5.52</f>
        <v>0</v>
      </c>
      <c r="G16" s="17"/>
      <c r="H16" s="18">
        <f>('Officieel ECE R65 testrapport'!H7/100)*5.52</f>
        <v>0</v>
      </c>
      <c r="I16" s="17"/>
      <c r="J16" s="18">
        <f>('Officieel ECE R65 testrapport'!J7/100)*5.12</f>
        <v>0</v>
      </c>
      <c r="K16" s="18">
        <f>('Officieel ECE R65 testrapport'!K7/100)*4.54</f>
        <v>0</v>
      </c>
      <c r="L16" s="25" t="s">
        <v>11</v>
      </c>
      <c r="M16" s="13"/>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ht="13.5" thickBot="1" x14ac:dyDescent="0.25">
      <c r="A17" s="99"/>
      <c r="B17" s="21">
        <v>1000</v>
      </c>
      <c r="C17" s="21">
        <v>1000</v>
      </c>
      <c r="D17" s="21">
        <v>1000</v>
      </c>
      <c r="E17" s="20"/>
      <c r="F17" s="21">
        <v>3000</v>
      </c>
      <c r="G17" s="30"/>
      <c r="H17" s="21">
        <v>3000</v>
      </c>
      <c r="I17" s="20"/>
      <c r="J17" s="21">
        <v>1000</v>
      </c>
      <c r="K17" s="21">
        <v>1000</v>
      </c>
      <c r="L17" s="27">
        <v>1000</v>
      </c>
      <c r="M17" s="13"/>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x14ac:dyDescent="0.2">
      <c r="A18" s="97" t="s">
        <v>9</v>
      </c>
      <c r="B18" s="14"/>
      <c r="C18" s="14"/>
      <c r="D18" s="14"/>
      <c r="E18" s="15">
        <v>100</v>
      </c>
      <c r="F18" s="14"/>
      <c r="G18" s="31">
        <v>150</v>
      </c>
      <c r="H18" s="14"/>
      <c r="I18" s="15">
        <v>100</v>
      </c>
      <c r="J18" s="14"/>
      <c r="K18" s="14"/>
      <c r="L18" s="16"/>
      <c r="M18" s="13"/>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x14ac:dyDescent="0.2">
      <c r="A19" s="98"/>
      <c r="B19" s="17"/>
      <c r="C19" s="17"/>
      <c r="D19" s="17"/>
      <c r="E19" s="18">
        <f>('Officieel ECE R65 testrapport'!E8/100)*5.36</f>
        <v>0</v>
      </c>
      <c r="F19" s="17"/>
      <c r="G19" s="18">
        <f>('Officieel ECE R65 testrapport'!G8/100)*5.55</f>
        <v>0</v>
      </c>
      <c r="H19" s="17"/>
      <c r="I19" s="18">
        <f>('Officieel ECE R65 testrapport'!I8/100)*5.36</f>
        <v>0</v>
      </c>
      <c r="J19" s="17"/>
      <c r="K19" s="17"/>
      <c r="L19" s="19"/>
      <c r="M19" s="13"/>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ht="13.5" thickBot="1" x14ac:dyDescent="0.25">
      <c r="A20" s="99"/>
      <c r="B20" s="20"/>
      <c r="C20" s="20"/>
      <c r="D20" s="20"/>
      <c r="E20" s="21">
        <v>1500</v>
      </c>
      <c r="F20" s="20"/>
      <c r="G20" s="21">
        <v>1500</v>
      </c>
      <c r="H20" s="20"/>
      <c r="I20" s="21">
        <v>1500</v>
      </c>
      <c r="J20" s="20"/>
      <c r="K20" s="20"/>
      <c r="L20" s="22"/>
      <c r="M20" s="13"/>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x14ac:dyDescent="0.2">
      <c r="A21" s="97" t="s">
        <v>8</v>
      </c>
      <c r="B21" s="14"/>
      <c r="C21" s="14"/>
      <c r="D21" s="14"/>
      <c r="E21" s="14"/>
      <c r="F21" s="15">
        <v>100</v>
      </c>
      <c r="G21" s="14"/>
      <c r="H21" s="15">
        <v>100</v>
      </c>
      <c r="I21" s="14"/>
      <c r="J21" s="14"/>
      <c r="K21" s="14"/>
      <c r="L21" s="16"/>
      <c r="M21" s="13"/>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x14ac:dyDescent="0.2">
      <c r="A22" s="98"/>
      <c r="B22" s="17"/>
      <c r="C22" s="17"/>
      <c r="D22" s="17"/>
      <c r="E22" s="17"/>
      <c r="F22" s="18">
        <f>('Officieel ECE R65 testrapport'!F9/100)*5.49</f>
        <v>0</v>
      </c>
      <c r="G22" s="17"/>
      <c r="H22" s="18">
        <f>('Officieel ECE R65 testrapport'!H9/100)*5.49</f>
        <v>0</v>
      </c>
      <c r="I22" s="17"/>
      <c r="J22" s="17"/>
      <c r="K22" s="17"/>
      <c r="L22" s="19"/>
      <c r="M22" s="13"/>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13.5" thickBot="1" x14ac:dyDescent="0.25">
      <c r="A23" s="99"/>
      <c r="B23" s="20"/>
      <c r="C23" s="20"/>
      <c r="D23" s="20"/>
      <c r="E23" s="20"/>
      <c r="F23" s="21">
        <v>1500</v>
      </c>
      <c r="G23" s="20"/>
      <c r="H23" s="21">
        <v>1500</v>
      </c>
      <c r="I23" s="20"/>
      <c r="J23" s="20"/>
      <c r="K23" s="20"/>
      <c r="L23" s="22"/>
      <c r="M23" s="13"/>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1:54" x14ac:dyDescent="0.2">
      <c r="A24" s="2"/>
      <c r="B24" s="82" t="s">
        <v>12</v>
      </c>
      <c r="C24" s="83"/>
      <c r="D24" s="82" t="s">
        <v>13</v>
      </c>
      <c r="E24" s="83"/>
      <c r="F24" s="83"/>
      <c r="G24" s="83"/>
      <c r="H24" s="83"/>
      <c r="I24" s="83"/>
      <c r="J24" s="88"/>
      <c r="K24" s="83" t="s">
        <v>12</v>
      </c>
      <c r="L24" s="83"/>
      <c r="M24" s="1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row>
    <row r="25" spans="1:54" ht="13.5" thickBot="1" x14ac:dyDescent="0.25">
      <c r="A25" s="2"/>
      <c r="B25" s="79" t="s">
        <v>14</v>
      </c>
      <c r="C25" s="80"/>
      <c r="D25" s="79" t="s">
        <v>14</v>
      </c>
      <c r="E25" s="80"/>
      <c r="F25" s="80"/>
      <c r="G25" s="80"/>
      <c r="H25" s="80"/>
      <c r="I25" s="80"/>
      <c r="J25" s="81"/>
      <c r="K25" s="80" t="s">
        <v>14</v>
      </c>
      <c r="L25" s="80"/>
      <c r="M25" s="13"/>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row>
    <row r="26" spans="1:54"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row>
    <row r="27" spans="1:54" ht="13.5" thickBo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spans="1:54" ht="12.75" customHeight="1" thickTop="1" x14ac:dyDescent="0.2">
      <c r="A28" s="89" t="s">
        <v>16</v>
      </c>
      <c r="B28" s="90"/>
      <c r="C28" s="90"/>
      <c r="D28" s="90"/>
      <c r="E28" s="91"/>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ht="12.75" customHeight="1" thickBot="1" x14ac:dyDescent="0.25">
      <c r="A29" s="92"/>
      <c r="B29" s="93"/>
      <c r="C29" s="93"/>
      <c r="D29" s="93"/>
      <c r="E29" s="94"/>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row>
    <row r="30" spans="1:54" ht="13.5" thickTop="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row>
    <row r="31" spans="1:54"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spans="1:54"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row>
    <row r="33" spans="1:54"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54"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1:54"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1:54"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4"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1:54"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1:54"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1:54"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4"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4"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1:54"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1:54"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1:54"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1:54"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1:54"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spans="1:54"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row>
    <row r="56" spans="1:54"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row>
    <row r="57" spans="1:54"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spans="1:54"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row>
    <row r="59" spans="1:54"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spans="1:54"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row>
    <row r="61" spans="1:54"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spans="1:54"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row>
  </sheetData>
  <sheetProtection algorithmName="SHA-512" hashValue="KgJchmmheZJhdSrg5UXdryNQSBNe8Sy3zl/r3qbi4wzbNPeT93CaScQ/0o2ld2lMtsFv50C+vEXrp3mR+kV/1g==" saltValue="9RD+JZldSrPKc7qpRFo4OA==" spinCount="100000" sheet="1" objects="1" scenarios="1" selectLockedCells="1" selectUnlockedCells="1"/>
  <mergeCells count="25">
    <mergeCell ref="K24:L24"/>
    <mergeCell ref="B25:C25"/>
    <mergeCell ref="D25:J25"/>
    <mergeCell ref="K25:L25"/>
    <mergeCell ref="A12:A14"/>
    <mergeCell ref="A15:A17"/>
    <mergeCell ref="A18:A20"/>
    <mergeCell ref="B24:C24"/>
    <mergeCell ref="D24:J24"/>
    <mergeCell ref="A28:E29"/>
    <mergeCell ref="L1:L2"/>
    <mergeCell ref="A3:A5"/>
    <mergeCell ref="B1:B2"/>
    <mergeCell ref="C1:C2"/>
    <mergeCell ref="D1:D2"/>
    <mergeCell ref="E1:E2"/>
    <mergeCell ref="F1:F2"/>
    <mergeCell ref="G1:G2"/>
    <mergeCell ref="A21:A23"/>
    <mergeCell ref="H1:H2"/>
    <mergeCell ref="I1:I2"/>
    <mergeCell ref="J1:J2"/>
    <mergeCell ref="K1:K2"/>
    <mergeCell ref="A6:A8"/>
    <mergeCell ref="A9:A11"/>
  </mergeCells>
  <conditionalFormatting sqref="C10:D10">
    <cfRule type="cellIs" dxfId="1487" priority="93" operator="between">
      <formula>$K$15</formula>
      <formula>$K$17</formula>
    </cfRule>
    <cfRule type="cellIs" dxfId="1486" priority="94" operator="lessThan">
      <formula>$K$15</formula>
    </cfRule>
    <cfRule type="cellIs" dxfId="1485" priority="95" operator="greaterThan">
      <formula>$K$17</formula>
    </cfRule>
    <cfRule type="cellIs" dxfId="1484" priority="96" operator="between">
      <formula>$K$15</formula>
      <formula>$K$17</formula>
    </cfRule>
  </conditionalFormatting>
  <conditionalFormatting sqref="C13:D13">
    <cfRule type="cellIs" dxfId="1483" priority="12" operator="between">
      <formula>$C$12</formula>
      <formula>$C$14</formula>
    </cfRule>
    <cfRule type="cellIs" dxfId="1482" priority="10" operator="lessThan">
      <formula>$C$12</formula>
    </cfRule>
    <cfRule type="cellIs" dxfId="1481" priority="11" operator="greaterThan">
      <formula>$C$14</formula>
    </cfRule>
  </conditionalFormatting>
  <conditionalFormatting sqref="C16:D16">
    <cfRule type="cellIs" dxfId="1480" priority="87" operator="greaterThan">
      <formula>$K$17</formula>
    </cfRule>
    <cfRule type="cellIs" dxfId="1479" priority="85" operator="between">
      <formula>$K$15</formula>
      <formula>$K$17</formula>
    </cfRule>
    <cfRule type="cellIs" dxfId="1478" priority="86" operator="lessThan">
      <formula>$K$15</formula>
    </cfRule>
    <cfRule type="cellIs" dxfId="1477" priority="88" operator="between">
      <formula>$K$15</formula>
      <formula>$K$17</formula>
    </cfRule>
  </conditionalFormatting>
  <conditionalFormatting sqref="D13">
    <cfRule type="cellIs" dxfId="1476" priority="7" operator="between">
      <formula>$D$12</formula>
      <formula>$D$14</formula>
    </cfRule>
    <cfRule type="cellIs" dxfId="1475" priority="8" operator="lessThan">
      <formula>$D$12</formula>
    </cfRule>
    <cfRule type="cellIs" dxfId="1474" priority="9" operator="greaterThan">
      <formula>$D$14</formula>
    </cfRule>
  </conditionalFormatting>
  <conditionalFormatting sqref="E7">
    <cfRule type="cellIs" dxfId="1473" priority="108" operator="lessThan">
      <formula>$F$3</formula>
    </cfRule>
    <cfRule type="cellIs" dxfId="1472" priority="111" operator="between">
      <formula>$F$3</formula>
      <formula>$F$5</formula>
    </cfRule>
    <cfRule type="cellIs" dxfId="1471" priority="110" operator="between">
      <formula>$F$3</formula>
      <formula>$F$5</formula>
    </cfRule>
    <cfRule type="cellIs" dxfId="1470" priority="109" operator="greaterThan">
      <formula>$F$5</formula>
    </cfRule>
  </conditionalFormatting>
  <conditionalFormatting sqref="E13">
    <cfRule type="cellIs" dxfId="1469" priority="103" operator="between">
      <formula>$G$18</formula>
      <formula>$G$20</formula>
    </cfRule>
    <cfRule type="cellIs" dxfId="1468" priority="101" operator="lessThan">
      <formula>$G$18</formula>
    </cfRule>
    <cfRule type="cellIs" dxfId="1467" priority="102" operator="greaterThan">
      <formula>$G$20</formula>
    </cfRule>
  </conditionalFormatting>
  <conditionalFormatting sqref="E19">
    <cfRule type="cellIs" dxfId="1466" priority="107" operator="between">
      <formula>$F$3</formula>
      <formula>$F$5</formula>
    </cfRule>
    <cfRule type="cellIs" dxfId="1465" priority="106" operator="between">
      <formula>$F$3</formula>
      <formula>$F$5</formula>
    </cfRule>
    <cfRule type="cellIs" dxfId="1464" priority="105" operator="greaterThan">
      <formula>$F$5</formula>
    </cfRule>
    <cfRule type="cellIs" dxfId="1463" priority="104" operator="lessThan">
      <formula>$F$3</formula>
    </cfRule>
  </conditionalFormatting>
  <conditionalFormatting sqref="F4">
    <cfRule type="cellIs" dxfId="1462" priority="115" operator="between">
      <formula>$F$3</formula>
      <formula>$F$5</formula>
    </cfRule>
    <cfRule type="cellIs" dxfId="1461" priority="112" operator="lessThan">
      <formula>$F$3</formula>
    </cfRule>
    <cfRule type="cellIs" dxfId="1460" priority="113" operator="greaterThan">
      <formula>$F$5</formula>
    </cfRule>
    <cfRule type="cellIs" dxfId="1459" priority="114" operator="between">
      <formula>$F$3</formula>
      <formula>$F$5</formula>
    </cfRule>
  </conditionalFormatting>
  <conditionalFormatting sqref="F10">
    <cfRule type="cellIs" dxfId="1458" priority="78" operator="greaterThan">
      <formula>$H$11</formula>
    </cfRule>
    <cfRule type="cellIs" dxfId="1457" priority="77" operator="lessThan">
      <formula>$H$9</formula>
    </cfRule>
    <cfRule type="cellIs" dxfId="1456" priority="76" operator="between">
      <formula>$H$9</formula>
      <formula>$H$11</formula>
    </cfRule>
  </conditionalFormatting>
  <conditionalFormatting sqref="F16">
    <cfRule type="cellIs" dxfId="1455" priority="81" operator="greaterThan">
      <formula>$H$11</formula>
    </cfRule>
    <cfRule type="cellIs" dxfId="1454" priority="80" operator="lessThan">
      <formula>$H$9</formula>
    </cfRule>
    <cfRule type="cellIs" dxfId="1453" priority="79" operator="between">
      <formula>$H$9</formula>
      <formula>$H$11</formula>
    </cfRule>
  </conditionalFormatting>
  <conditionalFormatting sqref="F22">
    <cfRule type="cellIs" dxfId="1452" priority="65" operator="lessThan">
      <formula>$F$3</formula>
    </cfRule>
    <cfRule type="cellIs" dxfId="1451" priority="66" operator="greaterThan">
      <formula>$F$5</formula>
    </cfRule>
    <cfRule type="cellIs" dxfId="1450" priority="67" operator="between">
      <formula>$F$3</formula>
      <formula>$F$5</formula>
    </cfRule>
    <cfRule type="cellIs" dxfId="1449" priority="68" operator="between">
      <formula>$F$3</formula>
      <formula>$F$5</formula>
    </cfRule>
  </conditionalFormatting>
  <conditionalFormatting sqref="G7">
    <cfRule type="cellIs" dxfId="1448" priority="18" operator="between">
      <formula>$G$18</formula>
      <formula>$G$20</formula>
    </cfRule>
    <cfRule type="cellIs" dxfId="1447" priority="17" operator="greaterThan">
      <formula>$G$20</formula>
    </cfRule>
    <cfRule type="cellIs" dxfId="1446" priority="16" operator="lessThan">
      <formula>$G$18</formula>
    </cfRule>
    <cfRule type="cellIs" dxfId="1445" priority="15" operator="greaterThan">
      <formula>$G$8</formula>
    </cfRule>
    <cfRule type="cellIs" dxfId="1444" priority="14" operator="lessThan">
      <formula>$G$6</formula>
    </cfRule>
    <cfRule type="cellIs" dxfId="1443" priority="13" operator="between">
      <formula>$G$6</formula>
      <formula>$G$8</formula>
    </cfRule>
  </conditionalFormatting>
  <conditionalFormatting sqref="G13">
    <cfRule type="cellIs" dxfId="1442" priority="73" operator="between">
      <formula>$H$9</formula>
      <formula>$H$11</formula>
    </cfRule>
    <cfRule type="cellIs" dxfId="1441" priority="75" operator="greaterThan">
      <formula>$H$11</formula>
    </cfRule>
    <cfRule type="cellIs" dxfId="1440" priority="74" operator="lessThan">
      <formula>$H$9</formula>
    </cfRule>
  </conditionalFormatting>
  <conditionalFormatting sqref="G19">
    <cfRule type="cellIs" dxfId="1439" priority="20" operator="lessThan">
      <formula>$G$6</formula>
    </cfRule>
    <cfRule type="cellIs" dxfId="1438" priority="21" operator="greaterThan">
      <formula>$G$8</formula>
    </cfRule>
    <cfRule type="cellIs" dxfId="1437" priority="22" operator="lessThan">
      <formula>$G$18</formula>
    </cfRule>
    <cfRule type="cellIs" dxfId="1436" priority="24" operator="between">
      <formula>$G$18</formula>
      <formula>$G$20</formula>
    </cfRule>
    <cfRule type="cellIs" dxfId="1435" priority="23" operator="greaterThan">
      <formula>$G$20</formula>
    </cfRule>
    <cfRule type="cellIs" dxfId="1434" priority="19" operator="between">
      <formula>$G$6</formula>
      <formula>$G$8</formula>
    </cfRule>
  </conditionalFormatting>
  <conditionalFormatting sqref="H4">
    <cfRule type="cellIs" dxfId="1433" priority="70" operator="greaterThan">
      <formula>$F$5</formula>
    </cfRule>
    <cfRule type="cellIs" dxfId="1432" priority="71" operator="between">
      <formula>$F$3</formula>
      <formula>$F$5</formula>
    </cfRule>
    <cfRule type="cellIs" dxfId="1431" priority="72" operator="between">
      <formula>$F$3</formula>
      <formula>$F$5</formula>
    </cfRule>
    <cfRule type="cellIs" dxfId="1430" priority="69" operator="lessThan">
      <formula>$F$3</formula>
    </cfRule>
  </conditionalFormatting>
  <conditionalFormatting sqref="H10">
    <cfRule type="cellIs" dxfId="1429" priority="30" operator="greaterThan">
      <formula>$H$11</formula>
    </cfRule>
    <cfRule type="cellIs" dxfId="1428" priority="28" operator="between">
      <formula>$H$9</formula>
      <formula>$H$11</formula>
    </cfRule>
    <cfRule type="cellIs" dxfId="1427" priority="29" operator="lessThan">
      <formula>$H$9</formula>
    </cfRule>
  </conditionalFormatting>
  <conditionalFormatting sqref="H16">
    <cfRule type="cellIs" dxfId="1426" priority="25" operator="between">
      <formula>$H$9</formula>
      <formula>$H$11</formula>
    </cfRule>
    <cfRule type="cellIs" dxfId="1425" priority="26" operator="lessThan">
      <formula>$H$9</formula>
    </cfRule>
    <cfRule type="cellIs" dxfId="1424" priority="27" operator="greaterThan">
      <formula>$H$11</formula>
    </cfRule>
  </conditionalFormatting>
  <conditionalFormatting sqref="H22">
    <cfRule type="cellIs" dxfId="1423" priority="64" operator="between">
      <formula>$F$3</formula>
      <formula>$F$5</formula>
    </cfRule>
    <cfRule type="cellIs" dxfId="1422" priority="63" operator="between">
      <formula>$F$3</formula>
      <formula>$F$5</formula>
    </cfRule>
    <cfRule type="cellIs" dxfId="1421" priority="62" operator="greaterThan">
      <formula>$F$5</formula>
    </cfRule>
    <cfRule type="cellIs" dxfId="1420" priority="61" operator="lessThan">
      <formula>$F$3</formula>
    </cfRule>
  </conditionalFormatting>
  <conditionalFormatting sqref="I7">
    <cfRule type="cellIs" dxfId="1419" priority="60" operator="between">
      <formula>$F$3</formula>
      <formula>$F$5</formula>
    </cfRule>
    <cfRule type="cellIs" dxfId="1418" priority="57" operator="lessThan">
      <formula>$F$3</formula>
    </cfRule>
    <cfRule type="cellIs" dxfId="1417" priority="58" operator="greaterThan">
      <formula>$F$5</formula>
    </cfRule>
    <cfRule type="cellIs" dxfId="1416" priority="59" operator="between">
      <formula>$F$3</formula>
      <formula>$F$5</formula>
    </cfRule>
  </conditionalFormatting>
  <conditionalFormatting sqref="I13">
    <cfRule type="cellIs" dxfId="1415" priority="31" operator="lessThan">
      <formula>$G$18</formula>
    </cfRule>
    <cfRule type="cellIs" dxfId="1414" priority="32" operator="greaterThan">
      <formula>$G$20</formula>
    </cfRule>
    <cfRule type="cellIs" dxfId="1413" priority="33" operator="between">
      <formula>$G$18</formula>
      <formula>$G$20</formula>
    </cfRule>
  </conditionalFormatting>
  <conditionalFormatting sqref="I19">
    <cfRule type="cellIs" dxfId="1412" priority="55" operator="between">
      <formula>$F$3</formula>
      <formula>$F$5</formula>
    </cfRule>
    <cfRule type="cellIs" dxfId="1411" priority="54" operator="greaterThan">
      <formula>$F$5</formula>
    </cfRule>
    <cfRule type="cellIs" dxfId="1410" priority="53" operator="lessThan">
      <formula>$F$3</formula>
    </cfRule>
    <cfRule type="cellIs" dxfId="1409" priority="56" operator="between">
      <formula>$F$3</formula>
      <formula>$F$5</formula>
    </cfRule>
  </conditionalFormatting>
  <conditionalFormatting sqref="J13">
    <cfRule type="cellIs" dxfId="1408" priority="1" operator="between">
      <formula>$D$12</formula>
      <formula>$D$14</formula>
    </cfRule>
    <cfRule type="cellIs" dxfId="1407" priority="3" operator="greaterThan">
      <formula>$D$14</formula>
    </cfRule>
    <cfRule type="cellIs" dxfId="1406" priority="2" operator="lessThan">
      <formula>$D$12</formula>
    </cfRule>
  </conditionalFormatting>
  <conditionalFormatting sqref="J10:K10">
    <cfRule type="cellIs" dxfId="1405" priority="41" operator="between">
      <formula>$K$15</formula>
      <formula>$K$17</formula>
    </cfRule>
    <cfRule type="cellIs" dxfId="1404" priority="38" operator="between">
      <formula>$K$15</formula>
      <formula>$K$17</formula>
    </cfRule>
    <cfRule type="cellIs" dxfId="1403" priority="39" operator="lessThan">
      <formula>$K$15</formula>
    </cfRule>
    <cfRule type="cellIs" dxfId="1402" priority="40" operator="greaterThan">
      <formula>$K$17</formula>
    </cfRule>
  </conditionalFormatting>
  <conditionalFormatting sqref="J13:K13">
    <cfRule type="cellIs" dxfId="1401" priority="6" operator="between">
      <formula>$C$12</formula>
      <formula>$C$14</formula>
    </cfRule>
    <cfRule type="cellIs" dxfId="1400" priority="5" operator="greaterThan">
      <formula>$C$14</formula>
    </cfRule>
    <cfRule type="cellIs" dxfId="1399" priority="4" operator="lessThan">
      <formula>$C$12</formula>
    </cfRule>
  </conditionalFormatting>
  <conditionalFormatting sqref="J16:K16">
    <cfRule type="cellIs" dxfId="1398" priority="36" operator="greaterThan">
      <formula>$K$17</formula>
    </cfRule>
    <cfRule type="cellIs" dxfId="1397" priority="34" operator="between">
      <formula>$K$15</formula>
      <formula>$K$17</formula>
    </cfRule>
    <cfRule type="cellIs" dxfId="1396" priority="35" operator="lessThan">
      <formula>$K$15</formula>
    </cfRule>
    <cfRule type="cellIs" dxfId="1395" priority="37" operator="between">
      <formula>$K$15</formula>
      <formula>$K$17</formula>
    </cfRule>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BB62"/>
  <sheetViews>
    <sheetView tabSelected="1" workbookViewId="0">
      <selection activeCell="A28" sqref="A28:E29"/>
    </sheetView>
  </sheetViews>
  <sheetFormatPr defaultRowHeight="12.75" x14ac:dyDescent="0.2"/>
  <cols>
    <col min="7" max="7" width="9.140625" customWidth="1"/>
  </cols>
  <sheetData>
    <row r="1" spans="1:54" x14ac:dyDescent="0.2">
      <c r="A1" s="1" t="s">
        <v>0</v>
      </c>
      <c r="B1" s="84" t="s">
        <v>1</v>
      </c>
      <c r="C1" s="84" t="s">
        <v>2</v>
      </c>
      <c r="D1" s="84" t="s">
        <v>3</v>
      </c>
      <c r="E1" s="84" t="s">
        <v>4</v>
      </c>
      <c r="F1" s="84" t="s">
        <v>5</v>
      </c>
      <c r="G1" s="84" t="s">
        <v>6</v>
      </c>
      <c r="H1" s="84" t="s">
        <v>5</v>
      </c>
      <c r="I1" s="84" t="s">
        <v>4</v>
      </c>
      <c r="J1" s="84" t="s">
        <v>3</v>
      </c>
      <c r="K1" s="84" t="s">
        <v>2</v>
      </c>
      <c r="L1" s="95" t="s">
        <v>1</v>
      </c>
      <c r="M1" s="13"/>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13.5" thickBot="1" x14ac:dyDescent="0.25">
      <c r="A2" s="3" t="s">
        <v>7</v>
      </c>
      <c r="B2" s="85"/>
      <c r="C2" s="85"/>
      <c r="D2" s="85"/>
      <c r="E2" s="85"/>
      <c r="F2" s="85"/>
      <c r="G2" s="85"/>
      <c r="H2" s="85"/>
      <c r="I2" s="85"/>
      <c r="J2" s="85"/>
      <c r="K2" s="85"/>
      <c r="L2" s="96"/>
      <c r="M2" s="13"/>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x14ac:dyDescent="0.2">
      <c r="A3" s="97" t="s">
        <v>8</v>
      </c>
      <c r="B3" s="14"/>
      <c r="C3" s="14"/>
      <c r="D3" s="14"/>
      <c r="E3" s="14"/>
      <c r="F3" s="15">
        <v>100</v>
      </c>
      <c r="G3" s="14"/>
      <c r="H3" s="15">
        <v>100</v>
      </c>
      <c r="I3" s="14"/>
      <c r="J3" s="14"/>
      <c r="K3" s="14"/>
      <c r="L3" s="16"/>
      <c r="M3" s="1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x14ac:dyDescent="0.2">
      <c r="A4" s="98"/>
      <c r="B4" s="17"/>
      <c r="C4" s="17"/>
      <c r="D4" s="17"/>
      <c r="E4" s="17"/>
      <c r="F4" s="18">
        <f>('Officieel ECE R65 testrapport'!F3/100)*3.44</f>
        <v>0</v>
      </c>
      <c r="G4" s="17"/>
      <c r="H4" s="18">
        <f>('Officieel ECE R65 testrapport'!H3/100)*3.44</f>
        <v>0</v>
      </c>
      <c r="I4" s="17"/>
      <c r="J4" s="17"/>
      <c r="K4" s="17"/>
      <c r="L4" s="19"/>
      <c r="M4" s="1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3.5" thickBot="1" x14ac:dyDescent="0.25">
      <c r="A5" s="99"/>
      <c r="B5" s="20"/>
      <c r="C5" s="20"/>
      <c r="D5" s="20"/>
      <c r="E5" s="20"/>
      <c r="F5" s="21">
        <v>1500</v>
      </c>
      <c r="G5" s="20"/>
      <c r="H5" s="21">
        <v>1500</v>
      </c>
      <c r="I5" s="20"/>
      <c r="J5" s="20"/>
      <c r="K5" s="20"/>
      <c r="L5" s="22"/>
      <c r="M5" s="13"/>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x14ac:dyDescent="0.2">
      <c r="A6" s="97" t="s">
        <v>9</v>
      </c>
      <c r="B6" s="14"/>
      <c r="C6" s="14"/>
      <c r="D6" s="14"/>
      <c r="E6" s="15">
        <v>100</v>
      </c>
      <c r="F6" s="14"/>
      <c r="G6" s="15">
        <v>150</v>
      </c>
      <c r="H6" s="14"/>
      <c r="I6" s="15">
        <v>100</v>
      </c>
      <c r="J6" s="14"/>
      <c r="K6" s="14"/>
      <c r="L6" s="16"/>
      <c r="M6" s="1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x14ac:dyDescent="0.2">
      <c r="A7" s="98"/>
      <c r="B7" s="17"/>
      <c r="C7" s="17"/>
      <c r="D7" s="17"/>
      <c r="E7" s="18">
        <f>('Officieel ECE R65 testrapport'!E4/100)*3.32</f>
        <v>0</v>
      </c>
      <c r="F7" s="17"/>
      <c r="G7" s="18">
        <f>('Officieel ECE R65 testrapport'!G4/100)*3.5</f>
        <v>0</v>
      </c>
      <c r="H7" s="17"/>
      <c r="I7" s="18">
        <f>('Officieel ECE R65 testrapport'!I4/100)*3.32</f>
        <v>0</v>
      </c>
      <c r="J7" s="17"/>
      <c r="K7" s="17"/>
      <c r="L7" s="19"/>
      <c r="M7" s="13"/>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3.5" thickBot="1" x14ac:dyDescent="0.25">
      <c r="A8" s="99"/>
      <c r="B8" s="20"/>
      <c r="C8" s="20"/>
      <c r="D8" s="20"/>
      <c r="E8" s="21">
        <v>1500</v>
      </c>
      <c r="F8" s="20"/>
      <c r="G8" s="21">
        <v>1500</v>
      </c>
      <c r="H8" s="20"/>
      <c r="I8" s="21">
        <v>1500</v>
      </c>
      <c r="J8" s="20"/>
      <c r="K8" s="20"/>
      <c r="L8" s="22"/>
      <c r="M8" s="13"/>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x14ac:dyDescent="0.2">
      <c r="A9" s="97" t="s">
        <v>10</v>
      </c>
      <c r="B9" s="15">
        <v>40</v>
      </c>
      <c r="C9" s="15">
        <v>40</v>
      </c>
      <c r="D9" s="15">
        <v>40</v>
      </c>
      <c r="E9" s="14"/>
      <c r="F9" s="15">
        <v>200</v>
      </c>
      <c r="G9" s="14"/>
      <c r="H9" s="15">
        <v>200</v>
      </c>
      <c r="I9" s="14"/>
      <c r="J9" s="15">
        <v>40</v>
      </c>
      <c r="K9" s="15">
        <v>40</v>
      </c>
      <c r="L9" s="23">
        <v>40</v>
      </c>
      <c r="M9" s="13"/>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x14ac:dyDescent="0.2">
      <c r="A10" s="98"/>
      <c r="B10" s="24" t="s">
        <v>11</v>
      </c>
      <c r="C10" s="18">
        <f>('Officieel ECE R65 testrapport'!C5/100)*2.68</f>
        <v>0</v>
      </c>
      <c r="D10" s="18">
        <f>('Officieel ECE R65 testrapport'!D5/100)*3.12</f>
        <v>0</v>
      </c>
      <c r="E10" s="17"/>
      <c r="F10" s="18">
        <f>('Officieel ECE R65 testrapport'!F5/100)*3.46</f>
        <v>0</v>
      </c>
      <c r="G10" s="17"/>
      <c r="H10" s="18">
        <f>('Officieel ECE R65 testrapport'!H5/100)*3.46</f>
        <v>0</v>
      </c>
      <c r="I10" s="17"/>
      <c r="J10" s="18">
        <f>('Officieel ECE R65 testrapport'!J5/100)*3.12</f>
        <v>0</v>
      </c>
      <c r="K10" s="18">
        <f>('Officieel ECE R65 testrapport'!K5/100)*2.68</f>
        <v>0</v>
      </c>
      <c r="L10" s="25" t="s">
        <v>11</v>
      </c>
      <c r="M10" s="13"/>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ht="13.5" thickBot="1" x14ac:dyDescent="0.25">
      <c r="A11" s="99"/>
      <c r="B11" s="21">
        <v>1000</v>
      </c>
      <c r="C11" s="21">
        <v>1000</v>
      </c>
      <c r="D11" s="21">
        <v>1000</v>
      </c>
      <c r="E11" s="26"/>
      <c r="F11" s="21">
        <v>3000</v>
      </c>
      <c r="G11" s="26"/>
      <c r="H11" s="21">
        <v>3000</v>
      </c>
      <c r="I11" s="26"/>
      <c r="J11" s="21">
        <v>1000</v>
      </c>
      <c r="K11" s="21">
        <v>1000</v>
      </c>
      <c r="L11" s="27">
        <v>1000</v>
      </c>
      <c r="M11" s="13"/>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x14ac:dyDescent="0.2">
      <c r="A12" s="97" t="s">
        <v>6</v>
      </c>
      <c r="B12" s="15">
        <v>100</v>
      </c>
      <c r="C12" s="15">
        <v>100</v>
      </c>
      <c r="D12" s="15">
        <v>100</v>
      </c>
      <c r="E12" s="28">
        <v>150</v>
      </c>
      <c r="F12" s="14"/>
      <c r="G12" s="15">
        <v>200</v>
      </c>
      <c r="H12" s="14"/>
      <c r="I12" s="23">
        <v>150</v>
      </c>
      <c r="J12" s="15">
        <v>100</v>
      </c>
      <c r="K12" s="15">
        <v>100</v>
      </c>
      <c r="L12" s="23">
        <v>100</v>
      </c>
      <c r="M12" s="13"/>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x14ac:dyDescent="0.2">
      <c r="A13" s="98"/>
      <c r="B13" s="24" t="s">
        <v>11</v>
      </c>
      <c r="C13" s="18">
        <f>('Officieel ECE R65 testrapport'!C6/100)*2.69</f>
        <v>0</v>
      </c>
      <c r="D13" s="18">
        <f>('Officieel ECE R65 testrapport'!D6/100)*3.13</f>
        <v>0</v>
      </c>
      <c r="E13" s="18">
        <f>('Officieel ECE R65 testrapport'!E6/100)*3.34</f>
        <v>0</v>
      </c>
      <c r="F13" s="17"/>
      <c r="G13" s="18">
        <f>('Officieel ECE R65 testrapport'!G6/100)*3.52</f>
        <v>0</v>
      </c>
      <c r="H13" s="17"/>
      <c r="I13" s="18">
        <f>('Officieel ECE R65 testrapport'!I6/100)*3.34</f>
        <v>0</v>
      </c>
      <c r="J13" s="18">
        <f>('Officieel ECE R65 testrapport'!J6/100)*3.13</f>
        <v>0</v>
      </c>
      <c r="K13" s="18">
        <f>('Officieel ECE R65 testrapport'!K6/100)*2.69</f>
        <v>0</v>
      </c>
      <c r="L13" s="25" t="s">
        <v>11</v>
      </c>
      <c r="M13" s="13"/>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ht="13.5" thickBot="1" x14ac:dyDescent="0.25">
      <c r="A14" s="99"/>
      <c r="B14" s="21">
        <v>1000</v>
      </c>
      <c r="C14" s="21">
        <v>1000</v>
      </c>
      <c r="D14" s="21">
        <v>1000</v>
      </c>
      <c r="E14" s="29">
        <v>1500</v>
      </c>
      <c r="F14" s="20"/>
      <c r="G14" s="21">
        <v>3000</v>
      </c>
      <c r="H14" s="20"/>
      <c r="I14" s="27">
        <v>1500</v>
      </c>
      <c r="J14" s="21">
        <v>1000</v>
      </c>
      <c r="K14" s="21">
        <v>1000</v>
      </c>
      <c r="L14" s="27">
        <v>1000</v>
      </c>
      <c r="M14" s="13"/>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x14ac:dyDescent="0.2">
      <c r="A15" s="97" t="s">
        <v>10</v>
      </c>
      <c r="B15" s="15">
        <v>40</v>
      </c>
      <c r="C15" s="15">
        <v>40</v>
      </c>
      <c r="D15" s="15">
        <v>40</v>
      </c>
      <c r="E15" s="14"/>
      <c r="F15" s="15">
        <v>200</v>
      </c>
      <c r="G15" s="14"/>
      <c r="H15" s="15">
        <v>200</v>
      </c>
      <c r="I15" s="14"/>
      <c r="J15" s="15">
        <v>40</v>
      </c>
      <c r="K15" s="15">
        <v>40</v>
      </c>
      <c r="L15" s="23">
        <v>40</v>
      </c>
      <c r="M15" s="13"/>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x14ac:dyDescent="0.2">
      <c r="A16" s="98"/>
      <c r="B16" s="24" t="s">
        <v>11</v>
      </c>
      <c r="C16" s="18">
        <f>('Officieel ECE R65 testrapport'!C7/100)*2.68</f>
        <v>0</v>
      </c>
      <c r="D16" s="18">
        <f>('Officieel ECE R65 testrapport'!D7/100)*3.12</f>
        <v>0</v>
      </c>
      <c r="E16" s="17"/>
      <c r="F16" s="18">
        <f>('Officieel ECE R65 testrapport'!F7/100)*3.46</f>
        <v>0</v>
      </c>
      <c r="G16" s="17"/>
      <c r="H16" s="18">
        <f>('Officieel ECE R65 testrapport'!H7/100)*3.46</f>
        <v>0</v>
      </c>
      <c r="I16" s="17"/>
      <c r="J16" s="18">
        <f>('Officieel ECE R65 testrapport'!J7/100)*3.12</f>
        <v>0</v>
      </c>
      <c r="K16" s="18">
        <f>('Officieel ECE R65 testrapport'!K7/100)*2.68</f>
        <v>0</v>
      </c>
      <c r="L16" s="25" t="s">
        <v>11</v>
      </c>
      <c r="M16" s="13"/>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ht="13.5" thickBot="1" x14ac:dyDescent="0.25">
      <c r="A17" s="99"/>
      <c r="B17" s="21">
        <v>1000</v>
      </c>
      <c r="C17" s="21">
        <v>1000</v>
      </c>
      <c r="D17" s="21">
        <v>1000</v>
      </c>
      <c r="E17" s="20"/>
      <c r="F17" s="21">
        <v>3000</v>
      </c>
      <c r="G17" s="30"/>
      <c r="H17" s="21">
        <v>3000</v>
      </c>
      <c r="I17" s="20"/>
      <c r="J17" s="21">
        <v>1000</v>
      </c>
      <c r="K17" s="21">
        <v>1000</v>
      </c>
      <c r="L17" s="27">
        <v>1000</v>
      </c>
      <c r="M17" s="13"/>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x14ac:dyDescent="0.2">
      <c r="A18" s="97" t="s">
        <v>9</v>
      </c>
      <c r="B18" s="14"/>
      <c r="C18" s="14"/>
      <c r="D18" s="14"/>
      <c r="E18" s="15">
        <v>100</v>
      </c>
      <c r="F18" s="14"/>
      <c r="G18" s="31">
        <v>150</v>
      </c>
      <c r="H18" s="14"/>
      <c r="I18" s="15">
        <v>100</v>
      </c>
      <c r="J18" s="14"/>
      <c r="K18" s="14"/>
      <c r="L18" s="16"/>
      <c r="M18" s="13"/>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x14ac:dyDescent="0.2">
      <c r="A19" s="98"/>
      <c r="B19" s="17"/>
      <c r="C19" s="17"/>
      <c r="D19" s="17"/>
      <c r="E19" s="18">
        <f>('Officieel ECE R65 testrapport'!E8/100)*3.32</f>
        <v>0</v>
      </c>
      <c r="F19" s="17"/>
      <c r="G19" s="18">
        <f>('Officieel ECE R65 testrapport'!G8/100)*3.5</f>
        <v>0</v>
      </c>
      <c r="H19" s="17"/>
      <c r="I19" s="18">
        <f>('Officieel ECE R65 testrapport'!I8/100)*3.32</f>
        <v>0</v>
      </c>
      <c r="J19" s="17"/>
      <c r="K19" s="17"/>
      <c r="L19" s="19"/>
      <c r="M19" s="13"/>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ht="13.5" thickBot="1" x14ac:dyDescent="0.25">
      <c r="A20" s="99"/>
      <c r="B20" s="20"/>
      <c r="C20" s="20"/>
      <c r="D20" s="20"/>
      <c r="E20" s="21">
        <v>1500</v>
      </c>
      <c r="F20" s="20"/>
      <c r="G20" s="21">
        <v>1500</v>
      </c>
      <c r="H20" s="20"/>
      <c r="I20" s="21">
        <v>1500</v>
      </c>
      <c r="J20" s="20"/>
      <c r="K20" s="20"/>
      <c r="L20" s="22"/>
      <c r="M20" s="13"/>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x14ac:dyDescent="0.2">
      <c r="A21" s="97" t="s">
        <v>8</v>
      </c>
      <c r="B21" s="14"/>
      <c r="C21" s="14"/>
      <c r="D21" s="14"/>
      <c r="E21" s="14"/>
      <c r="F21" s="15">
        <v>100</v>
      </c>
      <c r="G21" s="14"/>
      <c r="H21" s="15">
        <v>100</v>
      </c>
      <c r="I21" s="14"/>
      <c r="J21" s="14"/>
      <c r="K21" s="14"/>
      <c r="L21" s="16"/>
      <c r="M21" s="13"/>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x14ac:dyDescent="0.2">
      <c r="A22" s="98"/>
      <c r="B22" s="17"/>
      <c r="C22" s="17"/>
      <c r="D22" s="17"/>
      <c r="E22" s="17"/>
      <c r="F22" s="18">
        <f>('Officieel ECE R65 testrapport'!F9/100)*3.44</f>
        <v>0</v>
      </c>
      <c r="G22" s="17"/>
      <c r="H22" s="18">
        <f>('Officieel ECE R65 testrapport'!H9/100)*3.44</f>
        <v>0</v>
      </c>
      <c r="I22" s="17"/>
      <c r="J22" s="17"/>
      <c r="K22" s="17"/>
      <c r="L22" s="19"/>
      <c r="M22" s="13"/>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13.5" thickBot="1" x14ac:dyDescent="0.25">
      <c r="A23" s="99"/>
      <c r="B23" s="20"/>
      <c r="C23" s="20"/>
      <c r="D23" s="20"/>
      <c r="E23" s="20"/>
      <c r="F23" s="21">
        <v>1500</v>
      </c>
      <c r="G23" s="20"/>
      <c r="H23" s="21">
        <v>1500</v>
      </c>
      <c r="I23" s="20"/>
      <c r="J23" s="20"/>
      <c r="K23" s="20"/>
      <c r="L23" s="22"/>
      <c r="M23" s="13"/>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1:54" x14ac:dyDescent="0.2">
      <c r="A24" s="2"/>
      <c r="B24" s="82" t="s">
        <v>12</v>
      </c>
      <c r="C24" s="83"/>
      <c r="D24" s="82" t="s">
        <v>13</v>
      </c>
      <c r="E24" s="83"/>
      <c r="F24" s="83"/>
      <c r="G24" s="83"/>
      <c r="H24" s="83"/>
      <c r="I24" s="83"/>
      <c r="J24" s="88"/>
      <c r="K24" s="83" t="s">
        <v>12</v>
      </c>
      <c r="L24" s="83"/>
      <c r="M24" s="1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row>
    <row r="25" spans="1:54" ht="13.5" thickBot="1" x14ac:dyDescent="0.25">
      <c r="A25" s="2"/>
      <c r="B25" s="79" t="s">
        <v>14</v>
      </c>
      <c r="C25" s="80"/>
      <c r="D25" s="79" t="s">
        <v>14</v>
      </c>
      <c r="E25" s="80"/>
      <c r="F25" s="80"/>
      <c r="G25" s="80"/>
      <c r="H25" s="80"/>
      <c r="I25" s="80"/>
      <c r="J25" s="81"/>
      <c r="K25" s="80" t="s">
        <v>14</v>
      </c>
      <c r="L25" s="80"/>
      <c r="M25" s="13"/>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row>
    <row r="26" spans="1:54"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row>
    <row r="27" spans="1:54" ht="13.5" thickBo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spans="1:54" ht="13.5" thickTop="1" x14ac:dyDescent="0.2">
      <c r="A28" s="89" t="s">
        <v>16</v>
      </c>
      <c r="B28" s="90"/>
      <c r="C28" s="90"/>
      <c r="D28" s="90"/>
      <c r="E28" s="91"/>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ht="13.5" thickBot="1" x14ac:dyDescent="0.25">
      <c r="A29" s="92"/>
      <c r="B29" s="93"/>
      <c r="C29" s="93"/>
      <c r="D29" s="93"/>
      <c r="E29" s="94"/>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row>
    <row r="30" spans="1:54" ht="13.5" thickTop="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row>
    <row r="31" spans="1:54"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spans="1:54"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row>
    <row r="33" spans="1:54"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54"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1:54"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1:54"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4"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1:54"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1:54"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1:54"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4"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4"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1:54"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1:54"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1:54"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1:54"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1:54"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spans="1:54"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row>
    <row r="56" spans="1:54"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row>
    <row r="57" spans="1:54"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spans="1:54"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row>
    <row r="59" spans="1:54"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spans="1:54"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row>
    <row r="61" spans="1:54"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spans="1:54"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row>
  </sheetData>
  <sheetProtection algorithmName="SHA-512" hashValue="p7w+CjcNb7K7n7RoxrJ0cYyig7lZP59kNwe9wIFsYVDGGAWv11UsAb4AKQfZpuoWXR18fxl2PsWFowIX8vswYw==" saltValue="ZRWzbBefI4BvsmDS3WHYdA==" spinCount="100000" sheet="1" objects="1" scenarios="1" selectLockedCells="1" selectUnlockedCells="1"/>
  <mergeCells count="25">
    <mergeCell ref="K24:L24"/>
    <mergeCell ref="B25:C25"/>
    <mergeCell ref="D25:J25"/>
    <mergeCell ref="K25:L25"/>
    <mergeCell ref="A12:A14"/>
    <mergeCell ref="A15:A17"/>
    <mergeCell ref="A18:A20"/>
    <mergeCell ref="B24:C24"/>
    <mergeCell ref="D24:J24"/>
    <mergeCell ref="A28:E29"/>
    <mergeCell ref="L1:L2"/>
    <mergeCell ref="A3:A5"/>
    <mergeCell ref="B1:B2"/>
    <mergeCell ref="C1:C2"/>
    <mergeCell ref="D1:D2"/>
    <mergeCell ref="E1:E2"/>
    <mergeCell ref="F1:F2"/>
    <mergeCell ref="G1:G2"/>
    <mergeCell ref="A21:A23"/>
    <mergeCell ref="H1:H2"/>
    <mergeCell ref="I1:I2"/>
    <mergeCell ref="J1:J2"/>
    <mergeCell ref="K1:K2"/>
    <mergeCell ref="A6:A8"/>
    <mergeCell ref="A9:A11"/>
  </mergeCells>
  <conditionalFormatting sqref="C10:D10">
    <cfRule type="cellIs" dxfId="1394" priority="93" operator="between">
      <formula>$K$15</formula>
      <formula>$K$17</formula>
    </cfRule>
    <cfRule type="cellIs" dxfId="1393" priority="94" operator="lessThan">
      <formula>$K$15</formula>
    </cfRule>
    <cfRule type="cellIs" dxfId="1392" priority="95" operator="greaterThan">
      <formula>$K$17</formula>
    </cfRule>
    <cfRule type="cellIs" dxfId="1391" priority="96" operator="between">
      <formula>$K$15</formula>
      <formula>$K$17</formula>
    </cfRule>
  </conditionalFormatting>
  <conditionalFormatting sqref="C13:D13">
    <cfRule type="cellIs" dxfId="1390" priority="12" operator="between">
      <formula>$C$12</formula>
      <formula>$C$14</formula>
    </cfRule>
    <cfRule type="cellIs" dxfId="1389" priority="10" operator="lessThan">
      <formula>$C$12</formula>
    </cfRule>
    <cfRule type="cellIs" dxfId="1388" priority="11" operator="greaterThan">
      <formula>$C$14</formula>
    </cfRule>
  </conditionalFormatting>
  <conditionalFormatting sqref="C16:D16">
    <cfRule type="cellIs" dxfId="1387" priority="87" operator="greaterThan">
      <formula>$K$17</formula>
    </cfRule>
    <cfRule type="cellIs" dxfId="1386" priority="85" operator="between">
      <formula>$K$15</formula>
      <formula>$K$17</formula>
    </cfRule>
    <cfRule type="cellIs" dxfId="1385" priority="86" operator="lessThan">
      <formula>$K$15</formula>
    </cfRule>
    <cfRule type="cellIs" dxfId="1384" priority="88" operator="between">
      <formula>$K$15</formula>
      <formula>$K$17</formula>
    </cfRule>
  </conditionalFormatting>
  <conditionalFormatting sqref="D13">
    <cfRule type="cellIs" dxfId="1383" priority="7" operator="between">
      <formula>$D$12</formula>
      <formula>$D$14</formula>
    </cfRule>
    <cfRule type="cellIs" dxfId="1382" priority="8" operator="lessThan">
      <formula>$D$12</formula>
    </cfRule>
    <cfRule type="cellIs" dxfId="1381" priority="9" operator="greaterThan">
      <formula>$D$14</formula>
    </cfRule>
  </conditionalFormatting>
  <conditionalFormatting sqref="E7">
    <cfRule type="cellIs" dxfId="1380" priority="108" operator="lessThan">
      <formula>$F$3</formula>
    </cfRule>
    <cfRule type="cellIs" dxfId="1379" priority="111" operator="between">
      <formula>$F$3</formula>
      <formula>$F$5</formula>
    </cfRule>
    <cfRule type="cellIs" dxfId="1378" priority="110" operator="between">
      <formula>$F$3</formula>
      <formula>$F$5</formula>
    </cfRule>
    <cfRule type="cellIs" dxfId="1377" priority="109" operator="greaterThan">
      <formula>$F$5</formula>
    </cfRule>
  </conditionalFormatting>
  <conditionalFormatting sqref="E13">
    <cfRule type="cellIs" dxfId="1376" priority="103" operator="between">
      <formula>$G$18</formula>
      <formula>$G$20</formula>
    </cfRule>
    <cfRule type="cellIs" dxfId="1375" priority="101" operator="lessThan">
      <formula>$G$18</formula>
    </cfRule>
    <cfRule type="cellIs" dxfId="1374" priority="102" operator="greaterThan">
      <formula>$G$20</formula>
    </cfRule>
  </conditionalFormatting>
  <conditionalFormatting sqref="E19">
    <cfRule type="cellIs" dxfId="1373" priority="107" operator="between">
      <formula>$F$3</formula>
      <formula>$F$5</formula>
    </cfRule>
    <cfRule type="cellIs" dxfId="1372" priority="106" operator="between">
      <formula>$F$3</formula>
      <formula>$F$5</formula>
    </cfRule>
    <cfRule type="cellIs" dxfId="1371" priority="105" operator="greaterThan">
      <formula>$F$5</formula>
    </cfRule>
    <cfRule type="cellIs" dxfId="1370" priority="104" operator="lessThan">
      <formula>$F$3</formula>
    </cfRule>
  </conditionalFormatting>
  <conditionalFormatting sqref="F4">
    <cfRule type="cellIs" dxfId="1369" priority="115" operator="between">
      <formula>$F$3</formula>
      <formula>$F$5</formula>
    </cfRule>
    <cfRule type="cellIs" dxfId="1368" priority="112" operator="lessThan">
      <formula>$F$3</formula>
    </cfRule>
    <cfRule type="cellIs" dxfId="1367" priority="113" operator="greaterThan">
      <formula>$F$5</formula>
    </cfRule>
    <cfRule type="cellIs" dxfId="1366" priority="114" operator="between">
      <formula>$F$3</formula>
      <formula>$F$5</formula>
    </cfRule>
  </conditionalFormatting>
  <conditionalFormatting sqref="F10">
    <cfRule type="cellIs" dxfId="1365" priority="78" operator="greaterThan">
      <formula>$H$11</formula>
    </cfRule>
    <cfRule type="cellIs" dxfId="1364" priority="77" operator="lessThan">
      <formula>$H$9</formula>
    </cfRule>
    <cfRule type="cellIs" dxfId="1363" priority="76" operator="between">
      <formula>$H$9</formula>
      <formula>$H$11</formula>
    </cfRule>
  </conditionalFormatting>
  <conditionalFormatting sqref="F16">
    <cfRule type="cellIs" dxfId="1362" priority="81" operator="greaterThan">
      <formula>$H$11</formula>
    </cfRule>
    <cfRule type="cellIs" dxfId="1361" priority="80" operator="lessThan">
      <formula>$H$9</formula>
    </cfRule>
    <cfRule type="cellIs" dxfId="1360" priority="79" operator="between">
      <formula>$H$9</formula>
      <formula>$H$11</formula>
    </cfRule>
  </conditionalFormatting>
  <conditionalFormatting sqref="F22">
    <cfRule type="cellIs" dxfId="1359" priority="65" operator="lessThan">
      <formula>$F$3</formula>
    </cfRule>
    <cfRule type="cellIs" dxfId="1358" priority="66" operator="greaterThan">
      <formula>$F$5</formula>
    </cfRule>
    <cfRule type="cellIs" dxfId="1357" priority="67" operator="between">
      <formula>$F$3</formula>
      <formula>$F$5</formula>
    </cfRule>
    <cfRule type="cellIs" dxfId="1356" priority="68" operator="between">
      <formula>$F$3</formula>
      <formula>$F$5</formula>
    </cfRule>
  </conditionalFormatting>
  <conditionalFormatting sqref="G7">
    <cfRule type="cellIs" dxfId="1355" priority="18" operator="between">
      <formula>$G$18</formula>
      <formula>$G$20</formula>
    </cfRule>
    <cfRule type="cellIs" dxfId="1354" priority="17" operator="greaterThan">
      <formula>$G$20</formula>
    </cfRule>
    <cfRule type="cellIs" dxfId="1353" priority="16" operator="lessThan">
      <formula>$G$18</formula>
    </cfRule>
    <cfRule type="cellIs" dxfId="1352" priority="15" operator="greaterThan">
      <formula>$G$8</formula>
    </cfRule>
    <cfRule type="cellIs" dxfId="1351" priority="14" operator="lessThan">
      <formula>$G$6</formula>
    </cfRule>
    <cfRule type="cellIs" dxfId="1350" priority="13" operator="between">
      <formula>$G$6</formula>
      <formula>$G$8</formula>
    </cfRule>
  </conditionalFormatting>
  <conditionalFormatting sqref="G13">
    <cfRule type="cellIs" dxfId="1349" priority="73" operator="between">
      <formula>$H$9</formula>
      <formula>$H$11</formula>
    </cfRule>
    <cfRule type="cellIs" dxfId="1348" priority="75" operator="greaterThan">
      <formula>$H$11</formula>
    </cfRule>
    <cfRule type="cellIs" dxfId="1347" priority="74" operator="lessThan">
      <formula>$H$9</formula>
    </cfRule>
  </conditionalFormatting>
  <conditionalFormatting sqref="G19">
    <cfRule type="cellIs" dxfId="1346" priority="20" operator="lessThan">
      <formula>$G$6</formula>
    </cfRule>
    <cfRule type="cellIs" dxfId="1345" priority="21" operator="greaterThan">
      <formula>$G$8</formula>
    </cfRule>
    <cfRule type="cellIs" dxfId="1344" priority="22" operator="lessThan">
      <formula>$G$18</formula>
    </cfRule>
    <cfRule type="cellIs" dxfId="1343" priority="24" operator="between">
      <formula>$G$18</formula>
      <formula>$G$20</formula>
    </cfRule>
    <cfRule type="cellIs" dxfId="1342" priority="23" operator="greaterThan">
      <formula>$G$20</formula>
    </cfRule>
    <cfRule type="cellIs" dxfId="1341" priority="19" operator="between">
      <formula>$G$6</formula>
      <formula>$G$8</formula>
    </cfRule>
  </conditionalFormatting>
  <conditionalFormatting sqref="H4">
    <cfRule type="cellIs" dxfId="1340" priority="70" operator="greaterThan">
      <formula>$F$5</formula>
    </cfRule>
    <cfRule type="cellIs" dxfId="1339" priority="71" operator="between">
      <formula>$F$3</formula>
      <formula>$F$5</formula>
    </cfRule>
    <cfRule type="cellIs" dxfId="1338" priority="72" operator="between">
      <formula>$F$3</formula>
      <formula>$F$5</formula>
    </cfRule>
    <cfRule type="cellIs" dxfId="1337" priority="69" operator="lessThan">
      <formula>$F$3</formula>
    </cfRule>
  </conditionalFormatting>
  <conditionalFormatting sqref="H10">
    <cfRule type="cellIs" dxfId="1336" priority="30" operator="greaterThan">
      <formula>$H$11</formula>
    </cfRule>
    <cfRule type="cellIs" dxfId="1335" priority="28" operator="between">
      <formula>$H$9</formula>
      <formula>$H$11</formula>
    </cfRule>
    <cfRule type="cellIs" dxfId="1334" priority="29" operator="lessThan">
      <formula>$H$9</formula>
    </cfRule>
  </conditionalFormatting>
  <conditionalFormatting sqref="H16">
    <cfRule type="cellIs" dxfId="1333" priority="25" operator="between">
      <formula>$H$9</formula>
      <formula>$H$11</formula>
    </cfRule>
    <cfRule type="cellIs" dxfId="1332" priority="26" operator="lessThan">
      <formula>$H$9</formula>
    </cfRule>
    <cfRule type="cellIs" dxfId="1331" priority="27" operator="greaterThan">
      <formula>$H$11</formula>
    </cfRule>
  </conditionalFormatting>
  <conditionalFormatting sqref="H22">
    <cfRule type="cellIs" dxfId="1330" priority="64" operator="between">
      <formula>$F$3</formula>
      <formula>$F$5</formula>
    </cfRule>
    <cfRule type="cellIs" dxfId="1329" priority="63" operator="between">
      <formula>$F$3</formula>
      <formula>$F$5</formula>
    </cfRule>
    <cfRule type="cellIs" dxfId="1328" priority="62" operator="greaterThan">
      <formula>$F$5</formula>
    </cfRule>
    <cfRule type="cellIs" dxfId="1327" priority="61" operator="lessThan">
      <formula>$F$3</formula>
    </cfRule>
  </conditionalFormatting>
  <conditionalFormatting sqref="I7">
    <cfRule type="cellIs" dxfId="1326" priority="60" operator="between">
      <formula>$F$3</formula>
      <formula>$F$5</formula>
    </cfRule>
    <cfRule type="cellIs" dxfId="1325" priority="57" operator="lessThan">
      <formula>$F$3</formula>
    </cfRule>
    <cfRule type="cellIs" dxfId="1324" priority="58" operator="greaterThan">
      <formula>$F$5</formula>
    </cfRule>
    <cfRule type="cellIs" dxfId="1323" priority="59" operator="between">
      <formula>$F$3</formula>
      <formula>$F$5</formula>
    </cfRule>
  </conditionalFormatting>
  <conditionalFormatting sqref="I13">
    <cfRule type="cellIs" dxfId="1322" priority="31" operator="lessThan">
      <formula>$G$18</formula>
    </cfRule>
    <cfRule type="cellIs" dxfId="1321" priority="32" operator="greaterThan">
      <formula>$G$20</formula>
    </cfRule>
    <cfRule type="cellIs" dxfId="1320" priority="33" operator="between">
      <formula>$G$18</formula>
      <formula>$G$20</formula>
    </cfRule>
  </conditionalFormatting>
  <conditionalFormatting sqref="I19">
    <cfRule type="cellIs" dxfId="1319" priority="55" operator="between">
      <formula>$F$3</formula>
      <formula>$F$5</formula>
    </cfRule>
    <cfRule type="cellIs" dxfId="1318" priority="54" operator="greaterThan">
      <formula>$F$5</formula>
    </cfRule>
    <cfRule type="cellIs" dxfId="1317" priority="53" operator="lessThan">
      <formula>$F$3</formula>
    </cfRule>
    <cfRule type="cellIs" dxfId="1316" priority="56" operator="between">
      <formula>$F$3</formula>
      <formula>$F$5</formula>
    </cfRule>
  </conditionalFormatting>
  <conditionalFormatting sqref="J13">
    <cfRule type="cellIs" dxfId="1315" priority="1" operator="between">
      <formula>$D$12</formula>
      <formula>$D$14</formula>
    </cfRule>
    <cfRule type="cellIs" dxfId="1314" priority="3" operator="greaterThan">
      <formula>$D$14</formula>
    </cfRule>
    <cfRule type="cellIs" dxfId="1313" priority="2" operator="lessThan">
      <formula>$D$12</formula>
    </cfRule>
  </conditionalFormatting>
  <conditionalFormatting sqref="J10:K10">
    <cfRule type="cellIs" dxfId="1312" priority="41" operator="between">
      <formula>$K$15</formula>
      <formula>$K$17</formula>
    </cfRule>
    <cfRule type="cellIs" dxfId="1311" priority="38" operator="between">
      <formula>$K$15</formula>
      <formula>$K$17</formula>
    </cfRule>
    <cfRule type="cellIs" dxfId="1310" priority="39" operator="lessThan">
      <formula>$K$15</formula>
    </cfRule>
    <cfRule type="cellIs" dxfId="1309" priority="40" operator="greaterThan">
      <formula>$K$17</formula>
    </cfRule>
  </conditionalFormatting>
  <conditionalFormatting sqref="J13:K13">
    <cfRule type="cellIs" dxfId="1308" priority="6" operator="between">
      <formula>$C$12</formula>
      <formula>$C$14</formula>
    </cfRule>
    <cfRule type="cellIs" dxfId="1307" priority="5" operator="greaterThan">
      <formula>$C$14</formula>
    </cfRule>
    <cfRule type="cellIs" dxfId="1306" priority="4" operator="lessThan">
      <formula>$C$12</formula>
    </cfRule>
  </conditionalFormatting>
  <conditionalFormatting sqref="J16:K16">
    <cfRule type="cellIs" dxfId="1305" priority="36" operator="greaterThan">
      <formula>$K$17</formula>
    </cfRule>
    <cfRule type="cellIs" dxfId="1304" priority="34" operator="between">
      <formula>$K$15</formula>
      <formula>$K$17</formula>
    </cfRule>
    <cfRule type="cellIs" dxfId="1303" priority="35" operator="lessThan">
      <formula>$K$15</formula>
    </cfRule>
    <cfRule type="cellIs" dxfId="1302" priority="37" operator="between">
      <formula>$K$15</formula>
      <formula>$K$17</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BB62"/>
  <sheetViews>
    <sheetView workbookViewId="0">
      <selection activeCell="A28" sqref="A28:E29"/>
    </sheetView>
  </sheetViews>
  <sheetFormatPr defaultRowHeight="12.75" x14ac:dyDescent="0.2"/>
  <cols>
    <col min="7" max="7" width="9.140625" customWidth="1"/>
  </cols>
  <sheetData>
    <row r="1" spans="1:54" x14ac:dyDescent="0.2">
      <c r="A1" s="1" t="s">
        <v>0</v>
      </c>
      <c r="B1" s="84" t="s">
        <v>1</v>
      </c>
      <c r="C1" s="84" t="s">
        <v>2</v>
      </c>
      <c r="D1" s="84" t="s">
        <v>3</v>
      </c>
      <c r="E1" s="84" t="s">
        <v>4</v>
      </c>
      <c r="F1" s="84" t="s">
        <v>5</v>
      </c>
      <c r="G1" s="84" t="s">
        <v>6</v>
      </c>
      <c r="H1" s="84" t="s">
        <v>5</v>
      </c>
      <c r="I1" s="84" t="s">
        <v>4</v>
      </c>
      <c r="J1" s="84" t="s">
        <v>3</v>
      </c>
      <c r="K1" s="84" t="s">
        <v>2</v>
      </c>
      <c r="L1" s="95" t="s">
        <v>1</v>
      </c>
      <c r="M1" s="13"/>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13.5" thickBot="1" x14ac:dyDescent="0.25">
      <c r="A2" s="3" t="s">
        <v>7</v>
      </c>
      <c r="B2" s="85"/>
      <c r="C2" s="85"/>
      <c r="D2" s="85"/>
      <c r="E2" s="85"/>
      <c r="F2" s="85"/>
      <c r="G2" s="85"/>
      <c r="H2" s="85"/>
      <c r="I2" s="85"/>
      <c r="J2" s="85"/>
      <c r="K2" s="85"/>
      <c r="L2" s="96"/>
      <c r="M2" s="13"/>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x14ac:dyDescent="0.2">
      <c r="A3" s="97" t="s">
        <v>8</v>
      </c>
      <c r="B3" s="14"/>
      <c r="C3" s="14"/>
      <c r="D3" s="14"/>
      <c r="E3" s="14"/>
      <c r="F3" s="15">
        <v>100</v>
      </c>
      <c r="G3" s="14"/>
      <c r="H3" s="15">
        <v>100</v>
      </c>
      <c r="I3" s="14"/>
      <c r="J3" s="14"/>
      <c r="K3" s="14"/>
      <c r="L3" s="16"/>
      <c r="M3" s="1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x14ac:dyDescent="0.2">
      <c r="A4" s="98"/>
      <c r="B4" s="17"/>
      <c r="C4" s="17"/>
      <c r="D4" s="17"/>
      <c r="E4" s="17"/>
      <c r="F4" s="18">
        <f>('Officieel ECE R65 testrapport'!F3/100)*15.13</f>
        <v>0</v>
      </c>
      <c r="G4" s="17"/>
      <c r="H4" s="18">
        <f>('Officieel ECE R65 testrapport'!H3/100)*15.13</f>
        <v>0</v>
      </c>
      <c r="I4" s="17"/>
      <c r="J4" s="17"/>
      <c r="K4" s="17"/>
      <c r="L4" s="19"/>
      <c r="M4" s="1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3.5" thickBot="1" x14ac:dyDescent="0.25">
      <c r="A5" s="99"/>
      <c r="B5" s="20"/>
      <c r="C5" s="20"/>
      <c r="D5" s="20"/>
      <c r="E5" s="20"/>
      <c r="F5" s="21">
        <v>1500</v>
      </c>
      <c r="G5" s="20"/>
      <c r="H5" s="21">
        <v>1500</v>
      </c>
      <c r="I5" s="20"/>
      <c r="J5" s="20"/>
      <c r="K5" s="20"/>
      <c r="L5" s="22"/>
      <c r="M5" s="13"/>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x14ac:dyDescent="0.2">
      <c r="A6" s="97" t="s">
        <v>9</v>
      </c>
      <c r="B6" s="14"/>
      <c r="C6" s="14"/>
      <c r="D6" s="14"/>
      <c r="E6" s="15">
        <v>100</v>
      </c>
      <c r="F6" s="14"/>
      <c r="G6" s="15">
        <v>150</v>
      </c>
      <c r="H6" s="14"/>
      <c r="I6" s="15">
        <v>100</v>
      </c>
      <c r="J6" s="14"/>
      <c r="K6" s="14"/>
      <c r="L6" s="16"/>
      <c r="M6" s="1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x14ac:dyDescent="0.2">
      <c r="A7" s="98"/>
      <c r="B7" s="17"/>
      <c r="C7" s="17"/>
      <c r="D7" s="17"/>
      <c r="E7" s="18">
        <f>('Officieel ECE R65 testrapport'!E4/100)*14.84</f>
        <v>0</v>
      </c>
      <c r="F7" s="17"/>
      <c r="G7" s="18">
        <f>('Officieel ECE R65 testrapport'!G4/100)*15.32</f>
        <v>0</v>
      </c>
      <c r="H7" s="17"/>
      <c r="I7" s="18">
        <f>('Officieel ECE R65 testrapport'!I4/100)*14.84</f>
        <v>0</v>
      </c>
      <c r="J7" s="17"/>
      <c r="K7" s="17"/>
      <c r="L7" s="19"/>
      <c r="M7" s="13"/>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3.5" thickBot="1" x14ac:dyDescent="0.25">
      <c r="A8" s="99"/>
      <c r="B8" s="20"/>
      <c r="C8" s="20"/>
      <c r="D8" s="20"/>
      <c r="E8" s="21">
        <v>1500</v>
      </c>
      <c r="F8" s="20"/>
      <c r="G8" s="21">
        <v>1500</v>
      </c>
      <c r="H8" s="20"/>
      <c r="I8" s="21">
        <v>1500</v>
      </c>
      <c r="J8" s="20"/>
      <c r="K8" s="20"/>
      <c r="L8" s="22"/>
      <c r="M8" s="13"/>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x14ac:dyDescent="0.2">
      <c r="A9" s="97" t="s">
        <v>10</v>
      </c>
      <c r="B9" s="15">
        <v>40</v>
      </c>
      <c r="C9" s="15">
        <v>40</v>
      </c>
      <c r="D9" s="15">
        <v>40</v>
      </c>
      <c r="E9" s="14"/>
      <c r="F9" s="15">
        <v>200</v>
      </c>
      <c r="G9" s="14"/>
      <c r="H9" s="15">
        <v>200</v>
      </c>
      <c r="I9" s="14"/>
      <c r="J9" s="15">
        <v>40</v>
      </c>
      <c r="K9" s="15">
        <v>40</v>
      </c>
      <c r="L9" s="23">
        <v>40</v>
      </c>
      <c r="M9" s="13"/>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x14ac:dyDescent="0.2">
      <c r="A10" s="98"/>
      <c r="B10" s="24" t="s">
        <v>11</v>
      </c>
      <c r="C10" s="18">
        <f>('Officieel ECE R65 testrapport'!C5/100)*13.17</f>
        <v>0</v>
      </c>
      <c r="D10" s="18">
        <f>('Officieel ECE R65 testrapport'!D5/100)*14.38</f>
        <v>0</v>
      </c>
      <c r="E10" s="17"/>
      <c r="F10" s="18">
        <f>('Officieel ECE R65 testrapport'!F5/100)*15.19</f>
        <v>0</v>
      </c>
      <c r="G10" s="17"/>
      <c r="H10" s="18">
        <f>('Officieel ECE R65 testrapport'!H5/100)*15.19</f>
        <v>0</v>
      </c>
      <c r="I10" s="17"/>
      <c r="J10" s="18">
        <f>('Officieel ECE R65 testrapport'!J5/100)*14.38</f>
        <v>0</v>
      </c>
      <c r="K10" s="18">
        <f>('Officieel ECE R65 testrapport'!K5/100)*13.17</f>
        <v>0</v>
      </c>
      <c r="L10" s="25" t="s">
        <v>11</v>
      </c>
      <c r="M10" s="13"/>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ht="13.5" thickBot="1" x14ac:dyDescent="0.25">
      <c r="A11" s="99"/>
      <c r="B11" s="21">
        <v>1000</v>
      </c>
      <c r="C11" s="21">
        <v>1000</v>
      </c>
      <c r="D11" s="21">
        <v>1000</v>
      </c>
      <c r="E11" s="26"/>
      <c r="F11" s="21">
        <v>3000</v>
      </c>
      <c r="G11" s="26"/>
      <c r="H11" s="21">
        <v>3000</v>
      </c>
      <c r="I11" s="26"/>
      <c r="J11" s="21">
        <v>1000</v>
      </c>
      <c r="K11" s="21">
        <v>1000</v>
      </c>
      <c r="L11" s="27">
        <v>1000</v>
      </c>
      <c r="M11" s="13"/>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x14ac:dyDescent="0.2">
      <c r="A12" s="97" t="s">
        <v>6</v>
      </c>
      <c r="B12" s="15">
        <v>100</v>
      </c>
      <c r="C12" s="15">
        <v>100</v>
      </c>
      <c r="D12" s="15">
        <v>100</v>
      </c>
      <c r="E12" s="28">
        <v>150</v>
      </c>
      <c r="F12" s="14"/>
      <c r="G12" s="15">
        <v>200</v>
      </c>
      <c r="H12" s="14"/>
      <c r="I12" s="23">
        <v>150</v>
      </c>
      <c r="J12" s="15">
        <v>100</v>
      </c>
      <c r="K12" s="15">
        <v>100</v>
      </c>
      <c r="L12" s="23">
        <v>100</v>
      </c>
      <c r="M12" s="13"/>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x14ac:dyDescent="0.2">
      <c r="A13" s="98"/>
      <c r="B13" s="24" t="s">
        <v>11</v>
      </c>
      <c r="C13" s="18">
        <f>('Officieel ECE R65 testrapport'!C6/100)*13.19</f>
        <v>0</v>
      </c>
      <c r="D13" s="18">
        <f>('Officieel ECE R65 testrapport'!D6/100)*14.4</f>
        <v>0</v>
      </c>
      <c r="E13" s="18">
        <f>('Officieel ECE R65 testrapport'!E6/100)*14.88</f>
        <v>0</v>
      </c>
      <c r="F13" s="17"/>
      <c r="G13" s="18">
        <f>('Officieel ECE R65 testrapport'!G6/100)*15.48</f>
        <v>0</v>
      </c>
      <c r="H13" s="17"/>
      <c r="I13" s="18">
        <f>('Officieel ECE R65 testrapport'!I6/100)*14.88</f>
        <v>0</v>
      </c>
      <c r="J13" s="18">
        <f>('Officieel ECE R65 testrapport'!J6/100)*14.4</f>
        <v>0</v>
      </c>
      <c r="K13" s="18">
        <f>('Officieel ECE R65 testrapport'!K6/100)*13.19</f>
        <v>0</v>
      </c>
      <c r="L13" s="25" t="s">
        <v>11</v>
      </c>
      <c r="M13" s="13"/>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ht="13.5" thickBot="1" x14ac:dyDescent="0.25">
      <c r="A14" s="99"/>
      <c r="B14" s="21">
        <v>1000</v>
      </c>
      <c r="C14" s="21">
        <v>1000</v>
      </c>
      <c r="D14" s="21">
        <v>1000</v>
      </c>
      <c r="E14" s="29">
        <v>1500</v>
      </c>
      <c r="F14" s="20"/>
      <c r="G14" s="21">
        <v>3000</v>
      </c>
      <c r="H14" s="20"/>
      <c r="I14" s="27">
        <v>1500</v>
      </c>
      <c r="J14" s="21">
        <v>1000</v>
      </c>
      <c r="K14" s="21">
        <v>1000</v>
      </c>
      <c r="L14" s="27">
        <v>1000</v>
      </c>
      <c r="M14" s="13"/>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x14ac:dyDescent="0.2">
      <c r="A15" s="97" t="s">
        <v>10</v>
      </c>
      <c r="B15" s="15">
        <v>40</v>
      </c>
      <c r="C15" s="15">
        <v>40</v>
      </c>
      <c r="D15" s="15">
        <v>40</v>
      </c>
      <c r="E15" s="14"/>
      <c r="F15" s="15">
        <v>200</v>
      </c>
      <c r="G15" s="14"/>
      <c r="H15" s="15">
        <v>200</v>
      </c>
      <c r="I15" s="14"/>
      <c r="J15" s="15">
        <v>40</v>
      </c>
      <c r="K15" s="15">
        <v>40</v>
      </c>
      <c r="L15" s="23">
        <v>40</v>
      </c>
      <c r="M15" s="13"/>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x14ac:dyDescent="0.2">
      <c r="A16" s="98"/>
      <c r="B16" s="24" t="s">
        <v>11</v>
      </c>
      <c r="C16" s="18">
        <f>('Officieel ECE R65 testrapport'!C7/100)*13.17</f>
        <v>0</v>
      </c>
      <c r="D16" s="18">
        <f>('Officieel ECE R65 testrapport'!D7/100)*14.38</f>
        <v>0</v>
      </c>
      <c r="E16" s="17"/>
      <c r="F16" s="18">
        <f>('Officieel ECE R65 testrapport'!F7/100)*15.19</f>
        <v>0</v>
      </c>
      <c r="G16" s="17"/>
      <c r="H16" s="18">
        <f>('Officieel ECE R65 testrapport'!H7/100)*15.19</f>
        <v>0</v>
      </c>
      <c r="I16" s="17"/>
      <c r="J16" s="18">
        <f>('Officieel ECE R65 testrapport'!J7/100)*14.38</f>
        <v>0</v>
      </c>
      <c r="K16" s="18">
        <f>('Officieel ECE R65 testrapport'!K7/100)*13.17</f>
        <v>0</v>
      </c>
      <c r="L16" s="25" t="s">
        <v>11</v>
      </c>
      <c r="M16" s="13"/>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ht="13.5" thickBot="1" x14ac:dyDescent="0.25">
      <c r="A17" s="99"/>
      <c r="B17" s="21">
        <v>1000</v>
      </c>
      <c r="C17" s="21">
        <v>1000</v>
      </c>
      <c r="D17" s="21">
        <v>1000</v>
      </c>
      <c r="E17" s="20"/>
      <c r="F17" s="21">
        <v>3000</v>
      </c>
      <c r="G17" s="30"/>
      <c r="H17" s="21">
        <v>3000</v>
      </c>
      <c r="I17" s="20"/>
      <c r="J17" s="21">
        <v>1000</v>
      </c>
      <c r="K17" s="21">
        <v>1000</v>
      </c>
      <c r="L17" s="27">
        <v>1000</v>
      </c>
      <c r="M17" s="13"/>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x14ac:dyDescent="0.2">
      <c r="A18" s="97" t="s">
        <v>9</v>
      </c>
      <c r="B18" s="14"/>
      <c r="C18" s="14"/>
      <c r="D18" s="14"/>
      <c r="E18" s="15">
        <v>100</v>
      </c>
      <c r="F18" s="14"/>
      <c r="G18" s="31">
        <v>150</v>
      </c>
      <c r="H18" s="14"/>
      <c r="I18" s="15">
        <v>100</v>
      </c>
      <c r="J18" s="14"/>
      <c r="K18" s="14"/>
      <c r="L18" s="16"/>
      <c r="M18" s="13"/>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x14ac:dyDescent="0.2">
      <c r="A19" s="98"/>
      <c r="B19" s="17"/>
      <c r="C19" s="17"/>
      <c r="D19" s="17"/>
      <c r="E19" s="18">
        <f>('Officieel ECE R65 testrapport'!E8/100)*14.84</f>
        <v>0</v>
      </c>
      <c r="F19" s="17"/>
      <c r="G19" s="18">
        <f>('Officieel ECE R65 testrapport'!G8/100)*15.32</f>
        <v>0</v>
      </c>
      <c r="H19" s="17"/>
      <c r="I19" s="18">
        <f>('Officieel ECE R65 testrapport'!I8/100)*14.84</f>
        <v>0</v>
      </c>
      <c r="J19" s="17"/>
      <c r="K19" s="17"/>
      <c r="L19" s="19"/>
      <c r="M19" s="13"/>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ht="13.5" thickBot="1" x14ac:dyDescent="0.25">
      <c r="A20" s="99"/>
      <c r="B20" s="20"/>
      <c r="C20" s="20"/>
      <c r="D20" s="20"/>
      <c r="E20" s="21">
        <v>1500</v>
      </c>
      <c r="F20" s="20"/>
      <c r="G20" s="21">
        <v>1500</v>
      </c>
      <c r="H20" s="20"/>
      <c r="I20" s="21">
        <v>1500</v>
      </c>
      <c r="J20" s="20"/>
      <c r="K20" s="20"/>
      <c r="L20" s="22"/>
      <c r="M20" s="13"/>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x14ac:dyDescent="0.2">
      <c r="A21" s="97" t="s">
        <v>8</v>
      </c>
      <c r="B21" s="14"/>
      <c r="C21" s="14"/>
      <c r="D21" s="14"/>
      <c r="E21" s="14"/>
      <c r="F21" s="15">
        <v>100</v>
      </c>
      <c r="G21" s="14"/>
      <c r="H21" s="15">
        <v>100</v>
      </c>
      <c r="I21" s="14"/>
      <c r="J21" s="14"/>
      <c r="K21" s="14"/>
      <c r="L21" s="16"/>
      <c r="M21" s="13"/>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x14ac:dyDescent="0.2">
      <c r="A22" s="98"/>
      <c r="B22" s="17"/>
      <c r="C22" s="17"/>
      <c r="D22" s="17"/>
      <c r="E22" s="17"/>
      <c r="F22" s="18">
        <f>('Officieel ECE R65 testrapport'!F9/100)*15.13</f>
        <v>0</v>
      </c>
      <c r="G22" s="17"/>
      <c r="H22" s="18">
        <f>('Officieel ECE R65 testrapport'!H9/100)*15.13</f>
        <v>0</v>
      </c>
      <c r="I22" s="17"/>
      <c r="J22" s="17"/>
      <c r="K22" s="17"/>
      <c r="L22" s="19"/>
      <c r="M22" s="13"/>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13.5" thickBot="1" x14ac:dyDescent="0.25">
      <c r="A23" s="99"/>
      <c r="B23" s="20"/>
      <c r="C23" s="20"/>
      <c r="D23" s="20"/>
      <c r="E23" s="20"/>
      <c r="F23" s="21">
        <v>1500</v>
      </c>
      <c r="G23" s="20"/>
      <c r="H23" s="21">
        <v>1500</v>
      </c>
      <c r="I23" s="20"/>
      <c r="J23" s="20"/>
      <c r="K23" s="20"/>
      <c r="L23" s="22"/>
      <c r="M23" s="13"/>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1:54" x14ac:dyDescent="0.2">
      <c r="A24" s="2"/>
      <c r="B24" s="82" t="s">
        <v>12</v>
      </c>
      <c r="C24" s="83"/>
      <c r="D24" s="82" t="s">
        <v>13</v>
      </c>
      <c r="E24" s="83"/>
      <c r="F24" s="83"/>
      <c r="G24" s="83"/>
      <c r="H24" s="83"/>
      <c r="I24" s="83"/>
      <c r="J24" s="88"/>
      <c r="K24" s="83" t="s">
        <v>12</v>
      </c>
      <c r="L24" s="83"/>
      <c r="M24" s="1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row>
    <row r="25" spans="1:54" ht="13.5" thickBot="1" x14ac:dyDescent="0.25">
      <c r="A25" s="2"/>
      <c r="B25" s="79" t="s">
        <v>14</v>
      </c>
      <c r="C25" s="80"/>
      <c r="D25" s="79" t="s">
        <v>14</v>
      </c>
      <c r="E25" s="80"/>
      <c r="F25" s="80"/>
      <c r="G25" s="80"/>
      <c r="H25" s="80"/>
      <c r="I25" s="80"/>
      <c r="J25" s="81"/>
      <c r="K25" s="80" t="s">
        <v>14</v>
      </c>
      <c r="L25" s="80"/>
      <c r="M25" s="13"/>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row>
    <row r="26" spans="1:54"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row>
    <row r="27" spans="1:54" ht="13.5" thickBo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spans="1:54" ht="13.5" thickTop="1" x14ac:dyDescent="0.2">
      <c r="A28" s="89" t="s">
        <v>17</v>
      </c>
      <c r="B28" s="90"/>
      <c r="C28" s="90"/>
      <c r="D28" s="90"/>
      <c r="E28" s="91"/>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ht="13.5" thickBot="1" x14ac:dyDescent="0.25">
      <c r="A29" s="92"/>
      <c r="B29" s="93"/>
      <c r="C29" s="93"/>
      <c r="D29" s="93"/>
      <c r="E29" s="94"/>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row>
    <row r="30" spans="1:54" ht="13.5" thickTop="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row>
    <row r="31" spans="1:54"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spans="1:54"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row>
    <row r="33" spans="1:54"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54"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1:54"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1:54"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4"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1:54"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1:54"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1:54"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4"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4"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1:54"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1:54"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1:54"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1:54"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1:54"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spans="1:54"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row>
    <row r="56" spans="1:54"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row>
    <row r="57" spans="1:54"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spans="1:54"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row>
    <row r="59" spans="1:54"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spans="1:54"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row>
    <row r="61" spans="1:54"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spans="1:54"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row>
  </sheetData>
  <sheetProtection algorithmName="SHA-512" hashValue="h0BBunEWuMyl3E4Nuf1hIdewd/UUx1PRcKIVl9uzkbGCIbjQUFMVeD3lUT+kxhD0YS8TTB2B1+N69wQId07Uhg==" saltValue="sqNn3WogquXFMGwHenisLg==" spinCount="100000" sheet="1" objects="1" scenarios="1" selectLockedCells="1" selectUnlockedCells="1"/>
  <mergeCells count="25">
    <mergeCell ref="K24:L24"/>
    <mergeCell ref="B25:C25"/>
    <mergeCell ref="D25:J25"/>
    <mergeCell ref="K25:L25"/>
    <mergeCell ref="A12:A14"/>
    <mergeCell ref="A15:A17"/>
    <mergeCell ref="A18:A20"/>
    <mergeCell ref="B24:C24"/>
    <mergeCell ref="D24:J24"/>
    <mergeCell ref="A28:E29"/>
    <mergeCell ref="L1:L2"/>
    <mergeCell ref="A3:A5"/>
    <mergeCell ref="B1:B2"/>
    <mergeCell ref="C1:C2"/>
    <mergeCell ref="D1:D2"/>
    <mergeCell ref="E1:E2"/>
    <mergeCell ref="F1:F2"/>
    <mergeCell ref="G1:G2"/>
    <mergeCell ref="A21:A23"/>
    <mergeCell ref="H1:H2"/>
    <mergeCell ref="I1:I2"/>
    <mergeCell ref="J1:J2"/>
    <mergeCell ref="K1:K2"/>
    <mergeCell ref="A6:A8"/>
    <mergeCell ref="A9:A11"/>
  </mergeCells>
  <conditionalFormatting sqref="C10:D10">
    <cfRule type="cellIs" dxfId="1301" priority="93" operator="between">
      <formula>$K$15</formula>
      <formula>$K$17</formula>
    </cfRule>
    <cfRule type="cellIs" dxfId="1300" priority="94" operator="lessThan">
      <formula>$K$15</formula>
    </cfRule>
    <cfRule type="cellIs" dxfId="1299" priority="95" operator="greaterThan">
      <formula>$K$17</formula>
    </cfRule>
    <cfRule type="cellIs" dxfId="1298" priority="96" operator="between">
      <formula>$K$15</formula>
      <formula>$K$17</formula>
    </cfRule>
  </conditionalFormatting>
  <conditionalFormatting sqref="C13:D13">
    <cfRule type="cellIs" dxfId="1297" priority="12" operator="between">
      <formula>$C$12</formula>
      <formula>$C$14</formula>
    </cfRule>
    <cfRule type="cellIs" dxfId="1296" priority="10" operator="lessThan">
      <formula>$C$12</formula>
    </cfRule>
    <cfRule type="cellIs" dxfId="1295" priority="11" operator="greaterThan">
      <formula>$C$14</formula>
    </cfRule>
  </conditionalFormatting>
  <conditionalFormatting sqref="C16:D16">
    <cfRule type="cellIs" dxfId="1294" priority="87" operator="greaterThan">
      <formula>$K$17</formula>
    </cfRule>
    <cfRule type="cellIs" dxfId="1293" priority="85" operator="between">
      <formula>$K$15</formula>
      <formula>$K$17</formula>
    </cfRule>
    <cfRule type="cellIs" dxfId="1292" priority="86" operator="lessThan">
      <formula>$K$15</formula>
    </cfRule>
    <cfRule type="cellIs" dxfId="1291" priority="88" operator="between">
      <formula>$K$15</formula>
      <formula>$K$17</formula>
    </cfRule>
  </conditionalFormatting>
  <conditionalFormatting sqref="D13">
    <cfRule type="cellIs" dxfId="1290" priority="7" operator="between">
      <formula>$D$12</formula>
      <formula>$D$14</formula>
    </cfRule>
    <cfRule type="cellIs" dxfId="1289" priority="8" operator="lessThan">
      <formula>$D$12</formula>
    </cfRule>
    <cfRule type="cellIs" dxfId="1288" priority="9" operator="greaterThan">
      <formula>$D$14</formula>
    </cfRule>
  </conditionalFormatting>
  <conditionalFormatting sqref="E7">
    <cfRule type="cellIs" dxfId="1287" priority="108" operator="lessThan">
      <formula>$F$3</formula>
    </cfRule>
    <cfRule type="cellIs" dxfId="1286" priority="111" operator="between">
      <formula>$F$3</formula>
      <formula>$F$5</formula>
    </cfRule>
    <cfRule type="cellIs" dxfId="1285" priority="110" operator="between">
      <formula>$F$3</formula>
      <formula>$F$5</formula>
    </cfRule>
    <cfRule type="cellIs" dxfId="1284" priority="109" operator="greaterThan">
      <formula>$F$5</formula>
    </cfRule>
  </conditionalFormatting>
  <conditionalFormatting sqref="E13">
    <cfRule type="cellIs" dxfId="1283" priority="103" operator="between">
      <formula>$G$18</formula>
      <formula>$G$20</formula>
    </cfRule>
    <cfRule type="cellIs" dxfId="1282" priority="101" operator="lessThan">
      <formula>$G$18</formula>
    </cfRule>
    <cfRule type="cellIs" dxfId="1281" priority="102" operator="greaterThan">
      <formula>$G$20</formula>
    </cfRule>
  </conditionalFormatting>
  <conditionalFormatting sqref="E19">
    <cfRule type="cellIs" dxfId="1280" priority="107" operator="between">
      <formula>$F$3</formula>
      <formula>$F$5</formula>
    </cfRule>
    <cfRule type="cellIs" dxfId="1279" priority="106" operator="between">
      <formula>$F$3</formula>
      <formula>$F$5</formula>
    </cfRule>
    <cfRule type="cellIs" dxfId="1278" priority="105" operator="greaterThan">
      <formula>$F$5</formula>
    </cfRule>
    <cfRule type="cellIs" dxfId="1277" priority="104" operator="lessThan">
      <formula>$F$3</formula>
    </cfRule>
  </conditionalFormatting>
  <conditionalFormatting sqref="F4">
    <cfRule type="cellIs" dxfId="1276" priority="115" operator="between">
      <formula>$F$3</formula>
      <formula>$F$5</formula>
    </cfRule>
    <cfRule type="cellIs" dxfId="1275" priority="112" operator="lessThan">
      <formula>$F$3</formula>
    </cfRule>
    <cfRule type="cellIs" dxfId="1274" priority="113" operator="greaterThan">
      <formula>$F$5</formula>
    </cfRule>
    <cfRule type="cellIs" dxfId="1273" priority="114" operator="between">
      <formula>$F$3</formula>
      <formula>$F$5</formula>
    </cfRule>
  </conditionalFormatting>
  <conditionalFormatting sqref="F10">
    <cfRule type="cellIs" dxfId="1272" priority="78" operator="greaterThan">
      <formula>$H$11</formula>
    </cfRule>
    <cfRule type="cellIs" dxfId="1271" priority="77" operator="lessThan">
      <formula>$H$9</formula>
    </cfRule>
    <cfRule type="cellIs" dxfId="1270" priority="76" operator="between">
      <formula>$H$9</formula>
      <formula>$H$11</formula>
    </cfRule>
  </conditionalFormatting>
  <conditionalFormatting sqref="F16">
    <cfRule type="cellIs" dxfId="1269" priority="81" operator="greaterThan">
      <formula>$H$11</formula>
    </cfRule>
    <cfRule type="cellIs" dxfId="1268" priority="80" operator="lessThan">
      <formula>$H$9</formula>
    </cfRule>
    <cfRule type="cellIs" dxfId="1267" priority="79" operator="between">
      <formula>$H$9</formula>
      <formula>$H$11</formula>
    </cfRule>
  </conditionalFormatting>
  <conditionalFormatting sqref="F22">
    <cfRule type="cellIs" dxfId="1266" priority="65" operator="lessThan">
      <formula>$F$3</formula>
    </cfRule>
    <cfRule type="cellIs" dxfId="1265" priority="66" operator="greaterThan">
      <formula>$F$5</formula>
    </cfRule>
    <cfRule type="cellIs" dxfId="1264" priority="67" operator="between">
      <formula>$F$3</formula>
      <formula>$F$5</formula>
    </cfRule>
    <cfRule type="cellIs" dxfId="1263" priority="68" operator="between">
      <formula>$F$3</formula>
      <formula>$F$5</formula>
    </cfRule>
  </conditionalFormatting>
  <conditionalFormatting sqref="G7">
    <cfRule type="cellIs" dxfId="1262" priority="18" operator="between">
      <formula>$G$18</formula>
      <formula>$G$20</formula>
    </cfRule>
    <cfRule type="cellIs" dxfId="1261" priority="17" operator="greaterThan">
      <formula>$G$20</formula>
    </cfRule>
    <cfRule type="cellIs" dxfId="1260" priority="16" operator="lessThan">
      <formula>$G$18</formula>
    </cfRule>
    <cfRule type="cellIs" dxfId="1259" priority="15" operator="greaterThan">
      <formula>$G$8</formula>
    </cfRule>
    <cfRule type="cellIs" dxfId="1258" priority="14" operator="lessThan">
      <formula>$G$6</formula>
    </cfRule>
    <cfRule type="cellIs" dxfId="1257" priority="13" operator="between">
      <formula>$G$6</formula>
      <formula>$G$8</formula>
    </cfRule>
  </conditionalFormatting>
  <conditionalFormatting sqref="G13">
    <cfRule type="cellIs" dxfId="1256" priority="73" operator="between">
      <formula>$H$9</formula>
      <formula>$H$11</formula>
    </cfRule>
    <cfRule type="cellIs" dxfId="1255" priority="75" operator="greaterThan">
      <formula>$H$11</formula>
    </cfRule>
    <cfRule type="cellIs" dxfId="1254" priority="74" operator="lessThan">
      <formula>$H$9</formula>
    </cfRule>
  </conditionalFormatting>
  <conditionalFormatting sqref="G19">
    <cfRule type="cellIs" dxfId="1253" priority="20" operator="lessThan">
      <formula>$G$6</formula>
    </cfRule>
    <cfRule type="cellIs" dxfId="1252" priority="21" operator="greaterThan">
      <formula>$G$8</formula>
    </cfRule>
    <cfRule type="cellIs" dxfId="1251" priority="22" operator="lessThan">
      <formula>$G$18</formula>
    </cfRule>
    <cfRule type="cellIs" dxfId="1250" priority="24" operator="between">
      <formula>$G$18</formula>
      <formula>$G$20</formula>
    </cfRule>
    <cfRule type="cellIs" dxfId="1249" priority="23" operator="greaterThan">
      <formula>$G$20</formula>
    </cfRule>
    <cfRule type="cellIs" dxfId="1248" priority="19" operator="between">
      <formula>$G$6</formula>
      <formula>$G$8</formula>
    </cfRule>
  </conditionalFormatting>
  <conditionalFormatting sqref="H4">
    <cfRule type="cellIs" dxfId="1247" priority="70" operator="greaterThan">
      <formula>$F$5</formula>
    </cfRule>
    <cfRule type="cellIs" dxfId="1246" priority="71" operator="between">
      <formula>$F$3</formula>
      <formula>$F$5</formula>
    </cfRule>
    <cfRule type="cellIs" dxfId="1245" priority="72" operator="between">
      <formula>$F$3</formula>
      <formula>$F$5</formula>
    </cfRule>
    <cfRule type="cellIs" dxfId="1244" priority="69" operator="lessThan">
      <formula>$F$3</formula>
    </cfRule>
  </conditionalFormatting>
  <conditionalFormatting sqref="H10">
    <cfRule type="cellIs" dxfId="1243" priority="30" operator="greaterThan">
      <formula>$H$11</formula>
    </cfRule>
    <cfRule type="cellIs" dxfId="1242" priority="28" operator="between">
      <formula>$H$9</formula>
      <formula>$H$11</formula>
    </cfRule>
    <cfRule type="cellIs" dxfId="1241" priority="29" operator="lessThan">
      <formula>$H$9</formula>
    </cfRule>
  </conditionalFormatting>
  <conditionalFormatting sqref="H16">
    <cfRule type="cellIs" dxfId="1240" priority="25" operator="between">
      <formula>$H$9</formula>
      <formula>$H$11</formula>
    </cfRule>
    <cfRule type="cellIs" dxfId="1239" priority="26" operator="lessThan">
      <formula>$H$9</formula>
    </cfRule>
    <cfRule type="cellIs" dxfId="1238" priority="27" operator="greaterThan">
      <formula>$H$11</formula>
    </cfRule>
  </conditionalFormatting>
  <conditionalFormatting sqref="H22">
    <cfRule type="cellIs" dxfId="1237" priority="64" operator="between">
      <formula>$F$3</formula>
      <formula>$F$5</formula>
    </cfRule>
    <cfRule type="cellIs" dxfId="1236" priority="63" operator="between">
      <formula>$F$3</formula>
      <formula>$F$5</formula>
    </cfRule>
    <cfRule type="cellIs" dxfId="1235" priority="62" operator="greaterThan">
      <formula>$F$5</formula>
    </cfRule>
    <cfRule type="cellIs" dxfId="1234" priority="61" operator="lessThan">
      <formula>$F$3</formula>
    </cfRule>
  </conditionalFormatting>
  <conditionalFormatting sqref="I7">
    <cfRule type="cellIs" dxfId="1233" priority="60" operator="between">
      <formula>$F$3</formula>
      <formula>$F$5</formula>
    </cfRule>
    <cfRule type="cellIs" dxfId="1232" priority="57" operator="lessThan">
      <formula>$F$3</formula>
    </cfRule>
    <cfRule type="cellIs" dxfId="1231" priority="58" operator="greaterThan">
      <formula>$F$5</formula>
    </cfRule>
    <cfRule type="cellIs" dxfId="1230" priority="59" operator="between">
      <formula>$F$3</formula>
      <formula>$F$5</formula>
    </cfRule>
  </conditionalFormatting>
  <conditionalFormatting sqref="I13">
    <cfRule type="cellIs" dxfId="1229" priority="31" operator="lessThan">
      <formula>$G$18</formula>
    </cfRule>
    <cfRule type="cellIs" dxfId="1228" priority="32" operator="greaterThan">
      <formula>$G$20</formula>
    </cfRule>
    <cfRule type="cellIs" dxfId="1227" priority="33" operator="between">
      <formula>$G$18</formula>
      <formula>$G$20</formula>
    </cfRule>
  </conditionalFormatting>
  <conditionalFormatting sqref="I19">
    <cfRule type="cellIs" dxfId="1226" priority="55" operator="between">
      <formula>$F$3</formula>
      <formula>$F$5</formula>
    </cfRule>
    <cfRule type="cellIs" dxfId="1225" priority="54" operator="greaterThan">
      <formula>$F$5</formula>
    </cfRule>
    <cfRule type="cellIs" dxfId="1224" priority="53" operator="lessThan">
      <formula>$F$3</formula>
    </cfRule>
    <cfRule type="cellIs" dxfId="1223" priority="56" operator="between">
      <formula>$F$3</formula>
      <formula>$F$5</formula>
    </cfRule>
  </conditionalFormatting>
  <conditionalFormatting sqref="J13">
    <cfRule type="cellIs" dxfId="1222" priority="1" operator="between">
      <formula>$D$12</formula>
      <formula>$D$14</formula>
    </cfRule>
    <cfRule type="cellIs" dxfId="1221" priority="3" operator="greaterThan">
      <formula>$D$14</formula>
    </cfRule>
    <cfRule type="cellIs" dxfId="1220" priority="2" operator="lessThan">
      <formula>$D$12</formula>
    </cfRule>
  </conditionalFormatting>
  <conditionalFormatting sqref="J10:K10">
    <cfRule type="cellIs" dxfId="1219" priority="41" operator="between">
      <formula>$K$15</formula>
      <formula>$K$17</formula>
    </cfRule>
    <cfRule type="cellIs" dxfId="1218" priority="38" operator="between">
      <formula>$K$15</formula>
      <formula>$K$17</formula>
    </cfRule>
    <cfRule type="cellIs" dxfId="1217" priority="39" operator="lessThan">
      <formula>$K$15</formula>
    </cfRule>
    <cfRule type="cellIs" dxfId="1216" priority="40" operator="greaterThan">
      <formula>$K$17</formula>
    </cfRule>
  </conditionalFormatting>
  <conditionalFormatting sqref="J13:K13">
    <cfRule type="cellIs" dxfId="1215" priority="6" operator="between">
      <formula>$C$12</formula>
      <formula>$C$14</formula>
    </cfRule>
    <cfRule type="cellIs" dxfId="1214" priority="5" operator="greaterThan">
      <formula>$C$14</formula>
    </cfRule>
    <cfRule type="cellIs" dxfId="1213" priority="4" operator="lessThan">
      <formula>$C$12</formula>
    </cfRule>
  </conditionalFormatting>
  <conditionalFormatting sqref="J16:K16">
    <cfRule type="cellIs" dxfId="1212" priority="36" operator="greaterThan">
      <formula>$K$17</formula>
    </cfRule>
    <cfRule type="cellIs" dxfId="1211" priority="34" operator="between">
      <formula>$K$15</formula>
      <formula>$K$17</formula>
    </cfRule>
    <cfRule type="cellIs" dxfId="1210" priority="35" operator="lessThan">
      <formula>$K$15</formula>
    </cfRule>
    <cfRule type="cellIs" dxfId="1209" priority="37" operator="between">
      <formula>$K$15</formula>
      <formula>$K$17</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BB62"/>
  <sheetViews>
    <sheetView workbookViewId="0">
      <selection activeCell="A28" sqref="A28:E29"/>
    </sheetView>
  </sheetViews>
  <sheetFormatPr defaultRowHeight="12.75" x14ac:dyDescent="0.2"/>
  <cols>
    <col min="7" max="7" width="9.140625" customWidth="1"/>
  </cols>
  <sheetData>
    <row r="1" spans="1:54" x14ac:dyDescent="0.2">
      <c r="A1" s="1" t="s">
        <v>0</v>
      </c>
      <c r="B1" s="84" t="s">
        <v>1</v>
      </c>
      <c r="C1" s="84" t="s">
        <v>2</v>
      </c>
      <c r="D1" s="84" t="s">
        <v>3</v>
      </c>
      <c r="E1" s="84" t="s">
        <v>4</v>
      </c>
      <c r="F1" s="84" t="s">
        <v>5</v>
      </c>
      <c r="G1" s="84" t="s">
        <v>6</v>
      </c>
      <c r="H1" s="84" t="s">
        <v>5</v>
      </c>
      <c r="I1" s="84" t="s">
        <v>4</v>
      </c>
      <c r="J1" s="84" t="s">
        <v>3</v>
      </c>
      <c r="K1" s="84" t="s">
        <v>2</v>
      </c>
      <c r="L1" s="95" t="s">
        <v>1</v>
      </c>
      <c r="M1" s="13"/>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13.5" thickBot="1" x14ac:dyDescent="0.25">
      <c r="A2" s="3" t="s">
        <v>7</v>
      </c>
      <c r="B2" s="85"/>
      <c r="C2" s="85"/>
      <c r="D2" s="85"/>
      <c r="E2" s="85"/>
      <c r="F2" s="85"/>
      <c r="G2" s="85"/>
      <c r="H2" s="85"/>
      <c r="I2" s="85"/>
      <c r="J2" s="85"/>
      <c r="K2" s="85"/>
      <c r="L2" s="96"/>
      <c r="M2" s="13"/>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x14ac:dyDescent="0.2">
      <c r="A3" s="97" t="s">
        <v>8</v>
      </c>
      <c r="B3" s="14"/>
      <c r="C3" s="14"/>
      <c r="D3" s="14"/>
      <c r="E3" s="14"/>
      <c r="F3" s="15">
        <v>100</v>
      </c>
      <c r="G3" s="14"/>
      <c r="H3" s="15">
        <v>100</v>
      </c>
      <c r="I3" s="14"/>
      <c r="J3" s="14"/>
      <c r="K3" s="14"/>
      <c r="L3" s="16"/>
      <c r="M3" s="1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x14ac:dyDescent="0.2">
      <c r="A4" s="98"/>
      <c r="B4" s="17"/>
      <c r="C4" s="17"/>
      <c r="D4" s="17"/>
      <c r="E4" s="17"/>
      <c r="F4" s="18">
        <f>('Officieel ECE R65 testrapport'!F3/100)*13.25</f>
        <v>0</v>
      </c>
      <c r="G4" s="17"/>
      <c r="H4" s="18">
        <f>('Officieel ECE R65 testrapport'!H3/100)*13.25</f>
        <v>0</v>
      </c>
      <c r="I4" s="17"/>
      <c r="J4" s="17"/>
      <c r="K4" s="17"/>
      <c r="L4" s="19"/>
      <c r="M4" s="1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3.5" thickBot="1" x14ac:dyDescent="0.25">
      <c r="A5" s="99"/>
      <c r="B5" s="20"/>
      <c r="C5" s="20"/>
      <c r="D5" s="20"/>
      <c r="E5" s="20"/>
      <c r="F5" s="21">
        <v>1500</v>
      </c>
      <c r="G5" s="20"/>
      <c r="H5" s="21">
        <v>1500</v>
      </c>
      <c r="I5" s="20"/>
      <c r="J5" s="20"/>
      <c r="K5" s="20"/>
      <c r="L5" s="22"/>
      <c r="M5" s="13"/>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x14ac:dyDescent="0.2">
      <c r="A6" s="97" t="s">
        <v>9</v>
      </c>
      <c r="B6" s="14"/>
      <c r="C6" s="14"/>
      <c r="D6" s="14"/>
      <c r="E6" s="15">
        <v>100</v>
      </c>
      <c r="F6" s="14"/>
      <c r="G6" s="15">
        <v>150</v>
      </c>
      <c r="H6" s="14"/>
      <c r="I6" s="15">
        <v>100</v>
      </c>
      <c r="J6" s="14"/>
      <c r="K6" s="14"/>
      <c r="L6" s="16"/>
      <c r="M6" s="1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x14ac:dyDescent="0.2">
      <c r="A7" s="98"/>
      <c r="B7" s="17"/>
      <c r="C7" s="17"/>
      <c r="D7" s="17"/>
      <c r="E7" s="18">
        <f>('Officieel ECE R65 testrapport'!E4/100)*12.99</f>
        <v>0</v>
      </c>
      <c r="F7" s="17"/>
      <c r="G7" s="18">
        <f>('Officieel ECE R65 testrapport'!G4/100)*13.43</f>
        <v>0</v>
      </c>
      <c r="H7" s="17"/>
      <c r="I7" s="18">
        <f>('Officieel ECE R65 testrapport'!I4/100)*12.99</f>
        <v>0</v>
      </c>
      <c r="J7" s="17"/>
      <c r="K7" s="17"/>
      <c r="L7" s="19"/>
      <c r="M7" s="13"/>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3.5" thickBot="1" x14ac:dyDescent="0.25">
      <c r="A8" s="99"/>
      <c r="B8" s="20"/>
      <c r="C8" s="20"/>
      <c r="D8" s="20"/>
      <c r="E8" s="21">
        <v>1500</v>
      </c>
      <c r="F8" s="20"/>
      <c r="G8" s="21">
        <v>1500</v>
      </c>
      <c r="H8" s="20"/>
      <c r="I8" s="21">
        <v>1500</v>
      </c>
      <c r="J8" s="20"/>
      <c r="K8" s="20"/>
      <c r="L8" s="22"/>
      <c r="M8" s="13"/>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x14ac:dyDescent="0.2">
      <c r="A9" s="97" t="s">
        <v>10</v>
      </c>
      <c r="B9" s="15">
        <v>40</v>
      </c>
      <c r="C9" s="15">
        <v>40</v>
      </c>
      <c r="D9" s="15">
        <v>40</v>
      </c>
      <c r="E9" s="14"/>
      <c r="F9" s="15">
        <v>200</v>
      </c>
      <c r="G9" s="14"/>
      <c r="H9" s="15">
        <v>200</v>
      </c>
      <c r="I9" s="14"/>
      <c r="J9" s="15">
        <v>40</v>
      </c>
      <c r="K9" s="15">
        <v>40</v>
      </c>
      <c r="L9" s="23">
        <v>40</v>
      </c>
      <c r="M9" s="13"/>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x14ac:dyDescent="0.2">
      <c r="A10" s="98"/>
      <c r="B10" s="24" t="s">
        <v>11</v>
      </c>
      <c r="C10" s="18">
        <f>('Officieel ECE R65 testrapport'!C5/100)*11.47</f>
        <v>0</v>
      </c>
      <c r="D10" s="18">
        <f>('Officieel ECE R65 testrapport'!D5/100)*12.56</f>
        <v>0</v>
      </c>
      <c r="E10" s="17"/>
      <c r="F10" s="18">
        <f>('Officieel ECE R65 testrapport'!F5/100)*13.3</f>
        <v>0</v>
      </c>
      <c r="G10" s="17"/>
      <c r="H10" s="18">
        <f>('Officieel ECE R65 testrapport'!H5/100)*13.3</f>
        <v>0</v>
      </c>
      <c r="I10" s="17"/>
      <c r="J10" s="18">
        <f>('Officieel ECE R65 testrapport'!J5/100)*12.56</f>
        <v>0</v>
      </c>
      <c r="K10" s="18">
        <f>('Officieel ECE R65 testrapport'!K5/100)*11.47</f>
        <v>0</v>
      </c>
      <c r="L10" s="25" t="s">
        <v>11</v>
      </c>
      <c r="M10" s="13"/>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ht="13.5" thickBot="1" x14ac:dyDescent="0.25">
      <c r="A11" s="99"/>
      <c r="B11" s="21">
        <v>1000</v>
      </c>
      <c r="C11" s="21">
        <v>1000</v>
      </c>
      <c r="D11" s="21">
        <v>1000</v>
      </c>
      <c r="E11" s="26"/>
      <c r="F11" s="21">
        <v>3000</v>
      </c>
      <c r="G11" s="26"/>
      <c r="H11" s="21">
        <v>3000</v>
      </c>
      <c r="I11" s="26"/>
      <c r="J11" s="21">
        <v>1000</v>
      </c>
      <c r="K11" s="21">
        <v>1000</v>
      </c>
      <c r="L11" s="27">
        <v>1000</v>
      </c>
      <c r="M11" s="13"/>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x14ac:dyDescent="0.2">
      <c r="A12" s="97" t="s">
        <v>6</v>
      </c>
      <c r="B12" s="15">
        <v>100</v>
      </c>
      <c r="C12" s="15">
        <v>100</v>
      </c>
      <c r="D12" s="15">
        <v>100</v>
      </c>
      <c r="E12" s="28">
        <v>150</v>
      </c>
      <c r="F12" s="14"/>
      <c r="G12" s="15">
        <v>200</v>
      </c>
      <c r="H12" s="14"/>
      <c r="I12" s="23">
        <v>150</v>
      </c>
      <c r="J12" s="15">
        <v>100</v>
      </c>
      <c r="K12" s="15">
        <v>100</v>
      </c>
      <c r="L12" s="23">
        <v>100</v>
      </c>
      <c r="M12" s="13"/>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x14ac:dyDescent="0.2">
      <c r="A13" s="98"/>
      <c r="B13" s="24" t="s">
        <v>11</v>
      </c>
      <c r="C13" s="18">
        <f>('Officieel ECE R65 testrapport'!C6/100)*11.49</f>
        <v>0</v>
      </c>
      <c r="D13" s="18">
        <f>('Officieel ECE R65 testrapport'!D6/100)*12.58</f>
        <v>0</v>
      </c>
      <c r="E13" s="18">
        <f>('Officieel ECE R65 testrapport'!E6/100)*13.02</f>
        <v>0</v>
      </c>
      <c r="F13" s="17"/>
      <c r="G13" s="18">
        <f>('Officieel ECE R65 testrapport'!G6/100)*13.58</f>
        <v>0</v>
      </c>
      <c r="H13" s="17"/>
      <c r="I13" s="18">
        <f>('Officieel ECE R65 testrapport'!I6/100)*13.02</f>
        <v>0</v>
      </c>
      <c r="J13" s="18">
        <f>('Officieel ECE R65 testrapport'!J6/100)*12.58</f>
        <v>0</v>
      </c>
      <c r="K13" s="18">
        <f>('Officieel ECE R65 testrapport'!K6/100)*11.49</f>
        <v>0</v>
      </c>
      <c r="L13" s="25" t="s">
        <v>11</v>
      </c>
      <c r="M13" s="13"/>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ht="13.5" thickBot="1" x14ac:dyDescent="0.25">
      <c r="A14" s="99"/>
      <c r="B14" s="21">
        <v>1000</v>
      </c>
      <c r="C14" s="21">
        <v>1000</v>
      </c>
      <c r="D14" s="21">
        <v>1000</v>
      </c>
      <c r="E14" s="29">
        <v>1500</v>
      </c>
      <c r="F14" s="20"/>
      <c r="G14" s="21">
        <v>3000</v>
      </c>
      <c r="H14" s="20"/>
      <c r="I14" s="27">
        <v>1500</v>
      </c>
      <c r="J14" s="21">
        <v>1000</v>
      </c>
      <c r="K14" s="21">
        <v>1000</v>
      </c>
      <c r="L14" s="27">
        <v>1000</v>
      </c>
      <c r="M14" s="13"/>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x14ac:dyDescent="0.2">
      <c r="A15" s="97" t="s">
        <v>10</v>
      </c>
      <c r="B15" s="15">
        <v>40</v>
      </c>
      <c r="C15" s="15">
        <v>40</v>
      </c>
      <c r="D15" s="15">
        <v>40</v>
      </c>
      <c r="E15" s="14"/>
      <c r="F15" s="15">
        <v>200</v>
      </c>
      <c r="G15" s="14"/>
      <c r="H15" s="15">
        <v>200</v>
      </c>
      <c r="I15" s="14"/>
      <c r="J15" s="15">
        <v>40</v>
      </c>
      <c r="K15" s="15">
        <v>40</v>
      </c>
      <c r="L15" s="23">
        <v>40</v>
      </c>
      <c r="M15" s="13"/>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x14ac:dyDescent="0.2">
      <c r="A16" s="98"/>
      <c r="B16" s="24" t="s">
        <v>11</v>
      </c>
      <c r="C16" s="18">
        <f>('Officieel ECE R65 testrapport'!C7/100)*11.47</f>
        <v>0</v>
      </c>
      <c r="D16" s="18">
        <f>('Officieel ECE R65 testrapport'!D7/100)*12.56</f>
        <v>0</v>
      </c>
      <c r="E16" s="17"/>
      <c r="F16" s="18">
        <f>('Officieel ECE R65 testrapport'!F7/100)*13.3</f>
        <v>0</v>
      </c>
      <c r="G16" s="17"/>
      <c r="H16" s="18">
        <f>('Officieel ECE R65 testrapport'!H7/100)*13.3</f>
        <v>0</v>
      </c>
      <c r="I16" s="17"/>
      <c r="J16" s="18">
        <f>('Officieel ECE R65 testrapport'!J7/100)*12.56</f>
        <v>0</v>
      </c>
      <c r="K16" s="18">
        <f>('Officieel ECE R65 testrapport'!K7/100)*11.47</f>
        <v>0</v>
      </c>
      <c r="L16" s="25" t="s">
        <v>11</v>
      </c>
      <c r="M16" s="13"/>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ht="13.5" thickBot="1" x14ac:dyDescent="0.25">
      <c r="A17" s="99"/>
      <c r="B17" s="21">
        <v>1000</v>
      </c>
      <c r="C17" s="21">
        <v>1000</v>
      </c>
      <c r="D17" s="21">
        <v>1000</v>
      </c>
      <c r="E17" s="20"/>
      <c r="F17" s="21">
        <v>3000</v>
      </c>
      <c r="G17" s="30"/>
      <c r="H17" s="21">
        <v>3000</v>
      </c>
      <c r="I17" s="20"/>
      <c r="J17" s="21">
        <v>1000</v>
      </c>
      <c r="K17" s="21">
        <v>1000</v>
      </c>
      <c r="L17" s="27">
        <v>1000</v>
      </c>
      <c r="M17" s="13"/>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x14ac:dyDescent="0.2">
      <c r="A18" s="97" t="s">
        <v>9</v>
      </c>
      <c r="B18" s="14"/>
      <c r="C18" s="14"/>
      <c r="D18" s="14"/>
      <c r="E18" s="15">
        <v>100</v>
      </c>
      <c r="F18" s="14"/>
      <c r="G18" s="31">
        <v>150</v>
      </c>
      <c r="H18" s="14"/>
      <c r="I18" s="15">
        <v>100</v>
      </c>
      <c r="J18" s="14"/>
      <c r="K18" s="14"/>
      <c r="L18" s="16"/>
      <c r="M18" s="13"/>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x14ac:dyDescent="0.2">
      <c r="A19" s="98"/>
      <c r="B19" s="17"/>
      <c r="C19" s="17"/>
      <c r="D19" s="17"/>
      <c r="E19" s="18">
        <f>('Officieel ECE R65 testrapport'!E8/100)*12.99</f>
        <v>0</v>
      </c>
      <c r="F19" s="17"/>
      <c r="G19" s="18">
        <f>('Officieel ECE R65 testrapport'!G8/100)*13.43</f>
        <v>0</v>
      </c>
      <c r="H19" s="17"/>
      <c r="I19" s="18">
        <f>('Officieel ECE R65 testrapport'!I8/100)*12.99</f>
        <v>0</v>
      </c>
      <c r="J19" s="17"/>
      <c r="K19" s="17"/>
      <c r="L19" s="19"/>
      <c r="M19" s="13"/>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ht="13.5" thickBot="1" x14ac:dyDescent="0.25">
      <c r="A20" s="99"/>
      <c r="B20" s="20"/>
      <c r="C20" s="20"/>
      <c r="D20" s="20"/>
      <c r="E20" s="21">
        <v>1500</v>
      </c>
      <c r="F20" s="20"/>
      <c r="G20" s="21">
        <v>1500</v>
      </c>
      <c r="H20" s="20"/>
      <c r="I20" s="21">
        <v>1500</v>
      </c>
      <c r="J20" s="20"/>
      <c r="K20" s="20"/>
      <c r="L20" s="22"/>
      <c r="M20" s="13"/>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x14ac:dyDescent="0.2">
      <c r="A21" s="97" t="s">
        <v>8</v>
      </c>
      <c r="B21" s="14"/>
      <c r="C21" s="14"/>
      <c r="D21" s="14"/>
      <c r="E21" s="14"/>
      <c r="F21" s="15">
        <v>100</v>
      </c>
      <c r="G21" s="14"/>
      <c r="H21" s="15">
        <v>100</v>
      </c>
      <c r="I21" s="14"/>
      <c r="J21" s="14"/>
      <c r="K21" s="14"/>
      <c r="L21" s="16"/>
      <c r="M21" s="13"/>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x14ac:dyDescent="0.2">
      <c r="A22" s="98"/>
      <c r="B22" s="17"/>
      <c r="C22" s="17"/>
      <c r="D22" s="17"/>
      <c r="E22" s="17"/>
      <c r="F22" s="18">
        <f>('Officieel ECE R65 testrapport'!F9/100)*13.25</f>
        <v>0</v>
      </c>
      <c r="G22" s="17"/>
      <c r="H22" s="18">
        <f>('Officieel ECE R65 testrapport'!H9/100)*13.25</f>
        <v>0</v>
      </c>
      <c r="I22" s="17"/>
      <c r="J22" s="17"/>
      <c r="K22" s="17"/>
      <c r="L22" s="19"/>
      <c r="M22" s="13"/>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13.5" thickBot="1" x14ac:dyDescent="0.25">
      <c r="A23" s="99"/>
      <c r="B23" s="20"/>
      <c r="C23" s="20"/>
      <c r="D23" s="20"/>
      <c r="E23" s="20"/>
      <c r="F23" s="21">
        <v>1500</v>
      </c>
      <c r="G23" s="20"/>
      <c r="H23" s="21">
        <v>1500</v>
      </c>
      <c r="I23" s="20"/>
      <c r="J23" s="20"/>
      <c r="K23" s="20"/>
      <c r="L23" s="22"/>
      <c r="M23" s="13"/>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1:54" x14ac:dyDescent="0.2">
      <c r="A24" s="2"/>
      <c r="B24" s="82" t="s">
        <v>12</v>
      </c>
      <c r="C24" s="83"/>
      <c r="D24" s="82" t="s">
        <v>13</v>
      </c>
      <c r="E24" s="83"/>
      <c r="F24" s="83"/>
      <c r="G24" s="83"/>
      <c r="H24" s="83"/>
      <c r="I24" s="83"/>
      <c r="J24" s="88"/>
      <c r="K24" s="83" t="s">
        <v>12</v>
      </c>
      <c r="L24" s="83"/>
      <c r="M24" s="1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row>
    <row r="25" spans="1:54" ht="13.5" thickBot="1" x14ac:dyDescent="0.25">
      <c r="A25" s="2"/>
      <c r="B25" s="79" t="s">
        <v>14</v>
      </c>
      <c r="C25" s="80"/>
      <c r="D25" s="79" t="s">
        <v>14</v>
      </c>
      <c r="E25" s="80"/>
      <c r="F25" s="80"/>
      <c r="G25" s="80"/>
      <c r="H25" s="80"/>
      <c r="I25" s="80"/>
      <c r="J25" s="81"/>
      <c r="K25" s="80" t="s">
        <v>14</v>
      </c>
      <c r="L25" s="80"/>
      <c r="M25" s="13"/>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row>
    <row r="26" spans="1:54"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row>
    <row r="27" spans="1:54" ht="13.5" thickBo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spans="1:54" ht="13.5" thickTop="1" x14ac:dyDescent="0.2">
      <c r="A28" s="89" t="s">
        <v>17</v>
      </c>
      <c r="B28" s="90"/>
      <c r="C28" s="90"/>
      <c r="D28" s="90"/>
      <c r="E28" s="91"/>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ht="13.5" thickBot="1" x14ac:dyDescent="0.25">
      <c r="A29" s="92"/>
      <c r="B29" s="93"/>
      <c r="C29" s="93"/>
      <c r="D29" s="93"/>
      <c r="E29" s="94"/>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row>
    <row r="30" spans="1:54" ht="13.5" thickTop="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row>
    <row r="31" spans="1:54"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spans="1:54"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row>
    <row r="33" spans="1:54"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54"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1:54"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1:54"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4"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1:54"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1:54"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1:54"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4"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4"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1:54"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1:54"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1:54"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1:54"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1:54"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spans="1:54"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row>
    <row r="56" spans="1:54"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row>
    <row r="57" spans="1:54"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spans="1:54"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row>
    <row r="59" spans="1:54"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spans="1:54"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row>
    <row r="61" spans="1:54"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spans="1:54"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row>
  </sheetData>
  <sheetProtection algorithmName="SHA-512" hashValue="MrNWiK9JLrCfk47aa0C3p+QNi00YeD1NmJ4hhmsr6OZm/OCRYxGnFaBjd4YppwtP6Kt54P6xBLBhZBgN6DDqZA==" saltValue="T4xdnt2v+SNil/9l/vIGaw==" spinCount="100000" sheet="1" objects="1" scenarios="1" selectLockedCells="1" selectUnlockedCells="1"/>
  <mergeCells count="25">
    <mergeCell ref="K24:L24"/>
    <mergeCell ref="B25:C25"/>
    <mergeCell ref="D25:J25"/>
    <mergeCell ref="K25:L25"/>
    <mergeCell ref="A12:A14"/>
    <mergeCell ref="A15:A17"/>
    <mergeCell ref="A18:A20"/>
    <mergeCell ref="B24:C24"/>
    <mergeCell ref="D24:J24"/>
    <mergeCell ref="A28:E29"/>
    <mergeCell ref="L1:L2"/>
    <mergeCell ref="A3:A5"/>
    <mergeCell ref="B1:B2"/>
    <mergeCell ref="C1:C2"/>
    <mergeCell ref="D1:D2"/>
    <mergeCell ref="E1:E2"/>
    <mergeCell ref="F1:F2"/>
    <mergeCell ref="G1:G2"/>
    <mergeCell ref="A21:A23"/>
    <mergeCell ref="H1:H2"/>
    <mergeCell ref="I1:I2"/>
    <mergeCell ref="J1:J2"/>
    <mergeCell ref="K1:K2"/>
    <mergeCell ref="A6:A8"/>
    <mergeCell ref="A9:A11"/>
  </mergeCells>
  <conditionalFormatting sqref="C10:D10">
    <cfRule type="cellIs" dxfId="1208" priority="93" operator="between">
      <formula>$K$15</formula>
      <formula>$K$17</formula>
    </cfRule>
    <cfRule type="cellIs" dxfId="1207" priority="94" operator="lessThan">
      <formula>$K$15</formula>
    </cfRule>
    <cfRule type="cellIs" dxfId="1206" priority="95" operator="greaterThan">
      <formula>$K$17</formula>
    </cfRule>
    <cfRule type="cellIs" dxfId="1205" priority="96" operator="between">
      <formula>$K$15</formula>
      <formula>$K$17</formula>
    </cfRule>
  </conditionalFormatting>
  <conditionalFormatting sqref="C13:D13">
    <cfRule type="cellIs" dxfId="1204" priority="12" operator="between">
      <formula>$C$12</formula>
      <formula>$C$14</formula>
    </cfRule>
    <cfRule type="cellIs" dxfId="1203" priority="10" operator="lessThan">
      <formula>$C$12</formula>
    </cfRule>
    <cfRule type="cellIs" dxfId="1202" priority="11" operator="greaterThan">
      <formula>$C$14</formula>
    </cfRule>
  </conditionalFormatting>
  <conditionalFormatting sqref="C16:D16">
    <cfRule type="cellIs" dxfId="1201" priority="87" operator="greaterThan">
      <formula>$K$17</formula>
    </cfRule>
    <cfRule type="cellIs" dxfId="1200" priority="85" operator="between">
      <formula>$K$15</formula>
      <formula>$K$17</formula>
    </cfRule>
    <cfRule type="cellIs" dxfId="1199" priority="86" operator="lessThan">
      <formula>$K$15</formula>
    </cfRule>
    <cfRule type="cellIs" dxfId="1198" priority="88" operator="between">
      <formula>$K$15</formula>
      <formula>$K$17</formula>
    </cfRule>
  </conditionalFormatting>
  <conditionalFormatting sqref="D13">
    <cfRule type="cellIs" dxfId="1197" priority="7" operator="between">
      <formula>$D$12</formula>
      <formula>$D$14</formula>
    </cfRule>
    <cfRule type="cellIs" dxfId="1196" priority="8" operator="lessThan">
      <formula>$D$12</formula>
    </cfRule>
    <cfRule type="cellIs" dxfId="1195" priority="9" operator="greaterThan">
      <formula>$D$14</formula>
    </cfRule>
  </conditionalFormatting>
  <conditionalFormatting sqref="E7">
    <cfRule type="cellIs" dxfId="1194" priority="108" operator="lessThan">
      <formula>$F$3</formula>
    </cfRule>
    <cfRule type="cellIs" dxfId="1193" priority="111" operator="between">
      <formula>$F$3</formula>
      <formula>$F$5</formula>
    </cfRule>
    <cfRule type="cellIs" dxfId="1192" priority="110" operator="between">
      <formula>$F$3</formula>
      <formula>$F$5</formula>
    </cfRule>
    <cfRule type="cellIs" dxfId="1191" priority="109" operator="greaterThan">
      <formula>$F$5</formula>
    </cfRule>
  </conditionalFormatting>
  <conditionalFormatting sqref="E13">
    <cfRule type="cellIs" dxfId="1190" priority="103" operator="between">
      <formula>$G$18</formula>
      <formula>$G$20</formula>
    </cfRule>
    <cfRule type="cellIs" dxfId="1189" priority="101" operator="lessThan">
      <formula>$G$18</formula>
    </cfRule>
    <cfRule type="cellIs" dxfId="1188" priority="102" operator="greaterThan">
      <formula>$G$20</formula>
    </cfRule>
  </conditionalFormatting>
  <conditionalFormatting sqref="E19">
    <cfRule type="cellIs" dxfId="1187" priority="107" operator="between">
      <formula>$F$3</formula>
      <formula>$F$5</formula>
    </cfRule>
    <cfRule type="cellIs" dxfId="1186" priority="106" operator="between">
      <formula>$F$3</formula>
      <formula>$F$5</formula>
    </cfRule>
    <cfRule type="cellIs" dxfId="1185" priority="105" operator="greaterThan">
      <formula>$F$5</formula>
    </cfRule>
    <cfRule type="cellIs" dxfId="1184" priority="104" operator="lessThan">
      <formula>$F$3</formula>
    </cfRule>
  </conditionalFormatting>
  <conditionalFormatting sqref="F4">
    <cfRule type="cellIs" dxfId="1183" priority="115" operator="between">
      <formula>$F$3</formula>
      <formula>$F$5</formula>
    </cfRule>
    <cfRule type="cellIs" dxfId="1182" priority="112" operator="lessThan">
      <formula>$F$3</formula>
    </cfRule>
    <cfRule type="cellIs" dxfId="1181" priority="113" operator="greaterThan">
      <formula>$F$5</formula>
    </cfRule>
    <cfRule type="cellIs" dxfId="1180" priority="114" operator="between">
      <formula>$F$3</formula>
      <formula>$F$5</formula>
    </cfRule>
  </conditionalFormatting>
  <conditionalFormatting sqref="F10">
    <cfRule type="cellIs" dxfId="1179" priority="78" operator="greaterThan">
      <formula>$H$11</formula>
    </cfRule>
    <cfRule type="cellIs" dxfId="1178" priority="77" operator="lessThan">
      <formula>$H$9</formula>
    </cfRule>
    <cfRule type="cellIs" dxfId="1177" priority="76" operator="between">
      <formula>$H$9</formula>
      <formula>$H$11</formula>
    </cfRule>
  </conditionalFormatting>
  <conditionalFormatting sqref="F16">
    <cfRule type="cellIs" dxfId="1176" priority="81" operator="greaterThan">
      <formula>$H$11</formula>
    </cfRule>
    <cfRule type="cellIs" dxfId="1175" priority="80" operator="lessThan">
      <formula>$H$9</formula>
    </cfRule>
    <cfRule type="cellIs" dxfId="1174" priority="79" operator="between">
      <formula>$H$9</formula>
      <formula>$H$11</formula>
    </cfRule>
  </conditionalFormatting>
  <conditionalFormatting sqref="F22">
    <cfRule type="cellIs" dxfId="1173" priority="65" operator="lessThan">
      <formula>$F$3</formula>
    </cfRule>
    <cfRule type="cellIs" dxfId="1172" priority="66" operator="greaterThan">
      <formula>$F$5</formula>
    </cfRule>
    <cfRule type="cellIs" dxfId="1171" priority="67" operator="between">
      <formula>$F$3</formula>
      <formula>$F$5</formula>
    </cfRule>
    <cfRule type="cellIs" dxfId="1170" priority="68" operator="between">
      <formula>$F$3</formula>
      <formula>$F$5</formula>
    </cfRule>
  </conditionalFormatting>
  <conditionalFormatting sqref="G7">
    <cfRule type="cellIs" dxfId="1169" priority="18" operator="between">
      <formula>$G$18</formula>
      <formula>$G$20</formula>
    </cfRule>
    <cfRule type="cellIs" dxfId="1168" priority="17" operator="greaterThan">
      <formula>$G$20</formula>
    </cfRule>
    <cfRule type="cellIs" dxfId="1167" priority="16" operator="lessThan">
      <formula>$G$18</formula>
    </cfRule>
    <cfRule type="cellIs" dxfId="1166" priority="15" operator="greaterThan">
      <formula>$G$8</formula>
    </cfRule>
    <cfRule type="cellIs" dxfId="1165" priority="14" operator="lessThan">
      <formula>$G$6</formula>
    </cfRule>
    <cfRule type="cellIs" dxfId="1164" priority="13" operator="between">
      <formula>$G$6</formula>
      <formula>$G$8</formula>
    </cfRule>
  </conditionalFormatting>
  <conditionalFormatting sqref="G13">
    <cfRule type="cellIs" dxfId="1163" priority="73" operator="between">
      <formula>$H$9</formula>
      <formula>$H$11</formula>
    </cfRule>
    <cfRule type="cellIs" dxfId="1162" priority="75" operator="greaterThan">
      <formula>$H$11</formula>
    </cfRule>
    <cfRule type="cellIs" dxfId="1161" priority="74" operator="lessThan">
      <formula>$H$9</formula>
    </cfRule>
  </conditionalFormatting>
  <conditionalFormatting sqref="G19">
    <cfRule type="cellIs" dxfId="1160" priority="20" operator="lessThan">
      <formula>$G$6</formula>
    </cfRule>
    <cfRule type="cellIs" dxfId="1159" priority="21" operator="greaterThan">
      <formula>$G$8</formula>
    </cfRule>
    <cfRule type="cellIs" dxfId="1158" priority="22" operator="lessThan">
      <formula>$G$18</formula>
    </cfRule>
    <cfRule type="cellIs" dxfId="1157" priority="24" operator="between">
      <formula>$G$18</formula>
      <formula>$G$20</formula>
    </cfRule>
    <cfRule type="cellIs" dxfId="1156" priority="23" operator="greaterThan">
      <formula>$G$20</formula>
    </cfRule>
    <cfRule type="cellIs" dxfId="1155" priority="19" operator="between">
      <formula>$G$6</formula>
      <formula>$G$8</formula>
    </cfRule>
  </conditionalFormatting>
  <conditionalFormatting sqref="H4">
    <cfRule type="cellIs" dxfId="1154" priority="70" operator="greaterThan">
      <formula>$F$5</formula>
    </cfRule>
    <cfRule type="cellIs" dxfId="1153" priority="71" operator="between">
      <formula>$F$3</formula>
      <formula>$F$5</formula>
    </cfRule>
    <cfRule type="cellIs" dxfId="1152" priority="72" operator="between">
      <formula>$F$3</formula>
      <formula>$F$5</formula>
    </cfRule>
    <cfRule type="cellIs" dxfId="1151" priority="69" operator="lessThan">
      <formula>$F$3</formula>
    </cfRule>
  </conditionalFormatting>
  <conditionalFormatting sqref="H10">
    <cfRule type="cellIs" dxfId="1150" priority="30" operator="greaterThan">
      <formula>$H$11</formula>
    </cfRule>
    <cfRule type="cellIs" dxfId="1149" priority="28" operator="between">
      <formula>$H$9</formula>
      <formula>$H$11</formula>
    </cfRule>
    <cfRule type="cellIs" dxfId="1148" priority="29" operator="lessThan">
      <formula>$H$9</formula>
    </cfRule>
  </conditionalFormatting>
  <conditionalFormatting sqref="H16">
    <cfRule type="cellIs" dxfId="1147" priority="25" operator="between">
      <formula>$H$9</formula>
      <formula>$H$11</formula>
    </cfRule>
    <cfRule type="cellIs" dxfId="1146" priority="26" operator="lessThan">
      <formula>$H$9</formula>
    </cfRule>
    <cfRule type="cellIs" dxfId="1145" priority="27" operator="greaterThan">
      <formula>$H$11</formula>
    </cfRule>
  </conditionalFormatting>
  <conditionalFormatting sqref="H22">
    <cfRule type="cellIs" dxfId="1144" priority="64" operator="between">
      <formula>$F$3</formula>
      <formula>$F$5</formula>
    </cfRule>
    <cfRule type="cellIs" dxfId="1143" priority="63" operator="between">
      <formula>$F$3</formula>
      <formula>$F$5</formula>
    </cfRule>
    <cfRule type="cellIs" dxfId="1142" priority="62" operator="greaterThan">
      <formula>$F$5</formula>
    </cfRule>
    <cfRule type="cellIs" dxfId="1141" priority="61" operator="lessThan">
      <formula>$F$3</formula>
    </cfRule>
  </conditionalFormatting>
  <conditionalFormatting sqref="I7">
    <cfRule type="cellIs" dxfId="1140" priority="60" operator="between">
      <formula>$F$3</formula>
      <formula>$F$5</formula>
    </cfRule>
    <cfRule type="cellIs" dxfId="1139" priority="57" operator="lessThan">
      <formula>$F$3</formula>
    </cfRule>
    <cfRule type="cellIs" dxfId="1138" priority="58" operator="greaterThan">
      <formula>$F$5</formula>
    </cfRule>
    <cfRule type="cellIs" dxfId="1137" priority="59" operator="between">
      <formula>$F$3</formula>
      <formula>$F$5</formula>
    </cfRule>
  </conditionalFormatting>
  <conditionalFormatting sqref="I13">
    <cfRule type="cellIs" dxfId="1136" priority="31" operator="lessThan">
      <formula>$G$18</formula>
    </cfRule>
    <cfRule type="cellIs" dxfId="1135" priority="32" operator="greaterThan">
      <formula>$G$20</formula>
    </cfRule>
    <cfRule type="cellIs" dxfId="1134" priority="33" operator="between">
      <formula>$G$18</formula>
      <formula>$G$20</formula>
    </cfRule>
  </conditionalFormatting>
  <conditionalFormatting sqref="I19">
    <cfRule type="cellIs" dxfId="1133" priority="55" operator="between">
      <formula>$F$3</formula>
      <formula>$F$5</formula>
    </cfRule>
    <cfRule type="cellIs" dxfId="1132" priority="54" operator="greaterThan">
      <formula>$F$5</formula>
    </cfRule>
    <cfRule type="cellIs" dxfId="1131" priority="53" operator="lessThan">
      <formula>$F$3</formula>
    </cfRule>
    <cfRule type="cellIs" dxfId="1130" priority="56" operator="between">
      <formula>$F$3</formula>
      <formula>$F$5</formula>
    </cfRule>
  </conditionalFormatting>
  <conditionalFormatting sqref="J13">
    <cfRule type="cellIs" dxfId="1129" priority="1" operator="between">
      <formula>$D$12</formula>
      <formula>$D$14</formula>
    </cfRule>
    <cfRule type="cellIs" dxfId="1128" priority="3" operator="greaterThan">
      <formula>$D$14</formula>
    </cfRule>
    <cfRule type="cellIs" dxfId="1127" priority="2" operator="lessThan">
      <formula>$D$12</formula>
    </cfRule>
  </conditionalFormatting>
  <conditionalFormatting sqref="J10:K10">
    <cfRule type="cellIs" dxfId="1126" priority="41" operator="between">
      <formula>$K$15</formula>
      <formula>$K$17</formula>
    </cfRule>
    <cfRule type="cellIs" dxfId="1125" priority="38" operator="between">
      <formula>$K$15</formula>
      <formula>$K$17</formula>
    </cfRule>
    <cfRule type="cellIs" dxfId="1124" priority="39" operator="lessThan">
      <formula>$K$15</formula>
    </cfRule>
    <cfRule type="cellIs" dxfId="1123" priority="40" operator="greaterThan">
      <formula>$K$17</formula>
    </cfRule>
  </conditionalFormatting>
  <conditionalFormatting sqref="J13:K13">
    <cfRule type="cellIs" dxfId="1122" priority="6" operator="between">
      <formula>$C$12</formula>
      <formula>$C$14</formula>
    </cfRule>
    <cfRule type="cellIs" dxfId="1121" priority="5" operator="greaterThan">
      <formula>$C$14</formula>
    </cfRule>
    <cfRule type="cellIs" dxfId="1120" priority="4" operator="lessThan">
      <formula>$C$12</formula>
    </cfRule>
  </conditionalFormatting>
  <conditionalFormatting sqref="J16:K16">
    <cfRule type="cellIs" dxfId="1119" priority="36" operator="greaterThan">
      <formula>$K$17</formula>
    </cfRule>
    <cfRule type="cellIs" dxfId="1118" priority="34" operator="between">
      <formula>$K$15</formula>
      <formula>$K$17</formula>
    </cfRule>
    <cfRule type="cellIs" dxfId="1117" priority="35" operator="lessThan">
      <formula>$K$15</formula>
    </cfRule>
    <cfRule type="cellIs" dxfId="1116" priority="37" operator="between">
      <formula>$K$15</formula>
      <formula>$K$17</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BB62"/>
  <sheetViews>
    <sheetView workbookViewId="0">
      <selection activeCell="A28" sqref="A28:E29"/>
    </sheetView>
  </sheetViews>
  <sheetFormatPr defaultRowHeight="12.75" x14ac:dyDescent="0.2"/>
  <cols>
    <col min="7" max="7" width="9.140625" customWidth="1"/>
  </cols>
  <sheetData>
    <row r="1" spans="1:54" x14ac:dyDescent="0.2">
      <c r="A1" s="1" t="s">
        <v>0</v>
      </c>
      <c r="B1" s="84" t="s">
        <v>1</v>
      </c>
      <c r="C1" s="84" t="s">
        <v>2</v>
      </c>
      <c r="D1" s="84" t="s">
        <v>3</v>
      </c>
      <c r="E1" s="84" t="s">
        <v>4</v>
      </c>
      <c r="F1" s="84" t="s">
        <v>5</v>
      </c>
      <c r="G1" s="84" t="s">
        <v>6</v>
      </c>
      <c r="H1" s="84" t="s">
        <v>5</v>
      </c>
      <c r="I1" s="84" t="s">
        <v>4</v>
      </c>
      <c r="J1" s="84" t="s">
        <v>3</v>
      </c>
      <c r="K1" s="84" t="s">
        <v>2</v>
      </c>
      <c r="L1" s="95" t="s">
        <v>1</v>
      </c>
      <c r="M1" s="13"/>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13.5" thickBot="1" x14ac:dyDescent="0.25">
      <c r="A2" s="3" t="s">
        <v>7</v>
      </c>
      <c r="B2" s="85"/>
      <c r="C2" s="85"/>
      <c r="D2" s="85"/>
      <c r="E2" s="85"/>
      <c r="F2" s="85"/>
      <c r="G2" s="85"/>
      <c r="H2" s="85"/>
      <c r="I2" s="85"/>
      <c r="J2" s="85"/>
      <c r="K2" s="85"/>
      <c r="L2" s="96"/>
      <c r="M2" s="13"/>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x14ac:dyDescent="0.2">
      <c r="A3" s="97" t="s">
        <v>8</v>
      </c>
      <c r="B3" s="14"/>
      <c r="C3" s="14"/>
      <c r="D3" s="14"/>
      <c r="E3" s="14"/>
      <c r="F3" s="15">
        <v>100</v>
      </c>
      <c r="G3" s="14"/>
      <c r="H3" s="15">
        <v>100</v>
      </c>
      <c r="I3" s="14"/>
      <c r="J3" s="14"/>
      <c r="K3" s="14"/>
      <c r="L3" s="16"/>
      <c r="M3" s="1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x14ac:dyDescent="0.2">
      <c r="A4" s="98"/>
      <c r="B4" s="17"/>
      <c r="C4" s="17"/>
      <c r="D4" s="17"/>
      <c r="E4" s="17"/>
      <c r="F4" s="18">
        <f>('Officieel ECE R65 testrapport'!F3/100)*23.67</f>
        <v>0</v>
      </c>
      <c r="G4" s="17"/>
      <c r="H4" s="18">
        <f>('Officieel ECE R65 testrapport'!H3/100)*23.67</f>
        <v>0</v>
      </c>
      <c r="I4" s="17"/>
      <c r="J4" s="17"/>
      <c r="K4" s="17"/>
      <c r="L4" s="19"/>
      <c r="M4" s="1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3.5" thickBot="1" x14ac:dyDescent="0.25">
      <c r="A5" s="99"/>
      <c r="B5" s="20"/>
      <c r="C5" s="20"/>
      <c r="D5" s="20"/>
      <c r="E5" s="20"/>
      <c r="F5" s="21">
        <v>1500</v>
      </c>
      <c r="G5" s="20"/>
      <c r="H5" s="21">
        <v>1500</v>
      </c>
      <c r="I5" s="20"/>
      <c r="J5" s="20"/>
      <c r="K5" s="20"/>
      <c r="L5" s="22"/>
      <c r="M5" s="13"/>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x14ac:dyDescent="0.2">
      <c r="A6" s="97" t="s">
        <v>9</v>
      </c>
      <c r="B6" s="14"/>
      <c r="C6" s="14"/>
      <c r="D6" s="14"/>
      <c r="E6" s="15">
        <v>100</v>
      </c>
      <c r="F6" s="14"/>
      <c r="G6" s="15">
        <v>150</v>
      </c>
      <c r="H6" s="14"/>
      <c r="I6" s="15">
        <v>100</v>
      </c>
      <c r="J6" s="14"/>
      <c r="K6" s="14"/>
      <c r="L6" s="16"/>
      <c r="M6" s="1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x14ac:dyDescent="0.2">
      <c r="A7" s="98"/>
      <c r="B7" s="17"/>
      <c r="C7" s="17"/>
      <c r="D7" s="17"/>
      <c r="E7" s="18">
        <f>('Officieel ECE R65 testrapport'!E4/100)*23.42</f>
        <v>0</v>
      </c>
      <c r="F7" s="17"/>
      <c r="G7" s="18">
        <f>('Officieel ECE R65 testrapport'!G4/100)*23.84</f>
        <v>0</v>
      </c>
      <c r="H7" s="17"/>
      <c r="I7" s="18">
        <f>('Officieel ECE R65 testrapport'!I4/100)*23.42</f>
        <v>0</v>
      </c>
      <c r="J7" s="17"/>
      <c r="K7" s="17"/>
      <c r="L7" s="19"/>
      <c r="M7" s="13"/>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3.5" thickBot="1" x14ac:dyDescent="0.25">
      <c r="A8" s="99"/>
      <c r="B8" s="20"/>
      <c r="C8" s="20"/>
      <c r="D8" s="20"/>
      <c r="E8" s="21">
        <v>1500</v>
      </c>
      <c r="F8" s="20"/>
      <c r="G8" s="21">
        <v>1500</v>
      </c>
      <c r="H8" s="20"/>
      <c r="I8" s="21">
        <v>1500</v>
      </c>
      <c r="J8" s="20"/>
      <c r="K8" s="20"/>
      <c r="L8" s="22"/>
      <c r="M8" s="13"/>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x14ac:dyDescent="0.2">
      <c r="A9" s="97" t="s">
        <v>10</v>
      </c>
      <c r="B9" s="15">
        <v>40</v>
      </c>
      <c r="C9" s="15">
        <v>40</v>
      </c>
      <c r="D9" s="15">
        <v>40</v>
      </c>
      <c r="E9" s="14"/>
      <c r="F9" s="15">
        <v>200</v>
      </c>
      <c r="G9" s="14"/>
      <c r="H9" s="15">
        <v>200</v>
      </c>
      <c r="I9" s="14"/>
      <c r="J9" s="15">
        <v>40</v>
      </c>
      <c r="K9" s="15">
        <v>40</v>
      </c>
      <c r="L9" s="23">
        <v>40</v>
      </c>
      <c r="M9" s="13"/>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x14ac:dyDescent="0.2">
      <c r="A10" s="98"/>
      <c r="B10" s="24" t="s">
        <v>11</v>
      </c>
      <c r="C10" s="18">
        <f>('Officieel ECE R65 testrapport'!C5/100)*21.59</f>
        <v>0</v>
      </c>
      <c r="D10" s="18">
        <f>('Officieel ECE R65 testrapport'!D5/100)*22.98</f>
        <v>0</v>
      </c>
      <c r="E10" s="17"/>
      <c r="F10" s="18">
        <f>('Officieel ECE R65 testrapport'!F5/100)*23.72</f>
        <v>0</v>
      </c>
      <c r="G10" s="17"/>
      <c r="H10" s="18">
        <f>('Officieel ECE R65 testrapport'!H5/100)*23.72</f>
        <v>0</v>
      </c>
      <c r="I10" s="17"/>
      <c r="J10" s="18">
        <f>('Officieel ECE R65 testrapport'!J5/100)*22.98</f>
        <v>0</v>
      </c>
      <c r="K10" s="18">
        <f>('Officieel ECE R65 testrapport'!K5/100)*21.59</f>
        <v>0</v>
      </c>
      <c r="L10" s="25" t="s">
        <v>11</v>
      </c>
      <c r="M10" s="13"/>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ht="13.5" thickBot="1" x14ac:dyDescent="0.25">
      <c r="A11" s="99"/>
      <c r="B11" s="21">
        <v>1000</v>
      </c>
      <c r="C11" s="21">
        <v>1000</v>
      </c>
      <c r="D11" s="21">
        <v>1000</v>
      </c>
      <c r="E11" s="26"/>
      <c r="F11" s="21">
        <v>3000</v>
      </c>
      <c r="G11" s="26"/>
      <c r="H11" s="21">
        <v>3000</v>
      </c>
      <c r="I11" s="26"/>
      <c r="J11" s="21">
        <v>1000</v>
      </c>
      <c r="K11" s="21">
        <v>1000</v>
      </c>
      <c r="L11" s="27">
        <v>1000</v>
      </c>
      <c r="M11" s="13"/>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x14ac:dyDescent="0.2">
      <c r="A12" s="97" t="s">
        <v>6</v>
      </c>
      <c r="B12" s="15">
        <v>100</v>
      </c>
      <c r="C12" s="15">
        <v>100</v>
      </c>
      <c r="D12" s="15">
        <v>100</v>
      </c>
      <c r="E12" s="28">
        <v>150</v>
      </c>
      <c r="F12" s="14"/>
      <c r="G12" s="15">
        <v>200</v>
      </c>
      <c r="H12" s="14"/>
      <c r="I12" s="23">
        <v>150</v>
      </c>
      <c r="J12" s="15">
        <v>100</v>
      </c>
      <c r="K12" s="15">
        <v>100</v>
      </c>
      <c r="L12" s="23">
        <v>100</v>
      </c>
      <c r="M12" s="13"/>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x14ac:dyDescent="0.2">
      <c r="A13" s="98"/>
      <c r="B13" s="24" t="s">
        <v>11</v>
      </c>
      <c r="C13" s="18">
        <f>('Officieel ECE R65 testrapport'!C6/100)*21.61</f>
        <v>0</v>
      </c>
      <c r="D13" s="18">
        <f>('Officieel ECE R65 testrapport'!D6/100)*22.99</f>
        <v>0</v>
      </c>
      <c r="E13" s="18">
        <f>('Officieel ECE R65 testrapport'!E6/100)*23.46</f>
        <v>0</v>
      </c>
      <c r="F13" s="17"/>
      <c r="G13" s="18">
        <f>('Officieel ECE R65 testrapport'!G6/100)*24</f>
        <v>0</v>
      </c>
      <c r="H13" s="17"/>
      <c r="I13" s="18">
        <f>('Officieel ECE R65 testrapport'!I6/100)*23.46</f>
        <v>0</v>
      </c>
      <c r="J13" s="18">
        <f>('Officieel ECE R65 testrapport'!J6/100)*22.99</f>
        <v>0</v>
      </c>
      <c r="K13" s="18">
        <f>('Officieel ECE R65 testrapport'!K6/100)*21.61</f>
        <v>0</v>
      </c>
      <c r="L13" s="25" t="s">
        <v>11</v>
      </c>
      <c r="M13" s="13"/>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ht="13.5" thickBot="1" x14ac:dyDescent="0.25">
      <c r="A14" s="99"/>
      <c r="B14" s="21">
        <v>1000</v>
      </c>
      <c r="C14" s="21">
        <v>1000</v>
      </c>
      <c r="D14" s="21">
        <v>1000</v>
      </c>
      <c r="E14" s="29">
        <v>1500</v>
      </c>
      <c r="F14" s="20"/>
      <c r="G14" s="21">
        <v>3000</v>
      </c>
      <c r="H14" s="20"/>
      <c r="I14" s="27">
        <v>1500</v>
      </c>
      <c r="J14" s="21">
        <v>1000</v>
      </c>
      <c r="K14" s="21">
        <v>1000</v>
      </c>
      <c r="L14" s="27">
        <v>1000</v>
      </c>
      <c r="M14" s="13"/>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x14ac:dyDescent="0.2">
      <c r="A15" s="97" t="s">
        <v>10</v>
      </c>
      <c r="B15" s="15">
        <v>40</v>
      </c>
      <c r="C15" s="15">
        <v>40</v>
      </c>
      <c r="D15" s="15">
        <v>40</v>
      </c>
      <c r="E15" s="14"/>
      <c r="F15" s="15">
        <v>200</v>
      </c>
      <c r="G15" s="14"/>
      <c r="H15" s="15">
        <v>200</v>
      </c>
      <c r="I15" s="14"/>
      <c r="J15" s="15">
        <v>40</v>
      </c>
      <c r="K15" s="15">
        <v>40</v>
      </c>
      <c r="L15" s="23">
        <v>40</v>
      </c>
      <c r="M15" s="13"/>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x14ac:dyDescent="0.2">
      <c r="A16" s="98"/>
      <c r="B16" s="24" t="s">
        <v>11</v>
      </c>
      <c r="C16" s="18">
        <f>('Officieel ECE R65 testrapport'!C7/100)*21.59</f>
        <v>0</v>
      </c>
      <c r="D16" s="18">
        <f>('Officieel ECE R65 testrapport'!D7/100)*22.98</f>
        <v>0</v>
      </c>
      <c r="E16" s="17"/>
      <c r="F16" s="18">
        <f>('Officieel ECE R65 testrapport'!F7/100)*23.72</f>
        <v>0</v>
      </c>
      <c r="G16" s="17"/>
      <c r="H16" s="18">
        <f>('Officieel ECE R65 testrapport'!H7/100)*23.72</f>
        <v>0</v>
      </c>
      <c r="I16" s="17"/>
      <c r="J16" s="18">
        <f>('Officieel ECE R65 testrapport'!J7/100)*22.98</f>
        <v>0</v>
      </c>
      <c r="K16" s="18">
        <f>('Officieel ECE R65 testrapport'!K7/100)*21.59</f>
        <v>0</v>
      </c>
      <c r="L16" s="25" t="s">
        <v>11</v>
      </c>
      <c r="M16" s="13"/>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ht="13.5" thickBot="1" x14ac:dyDescent="0.25">
      <c r="A17" s="99"/>
      <c r="B17" s="21">
        <v>1000</v>
      </c>
      <c r="C17" s="21">
        <v>1000</v>
      </c>
      <c r="D17" s="21">
        <v>1000</v>
      </c>
      <c r="E17" s="20"/>
      <c r="F17" s="21">
        <v>3000</v>
      </c>
      <c r="G17" s="30"/>
      <c r="H17" s="21">
        <v>3000</v>
      </c>
      <c r="I17" s="20"/>
      <c r="J17" s="21">
        <v>1000</v>
      </c>
      <c r="K17" s="21">
        <v>1000</v>
      </c>
      <c r="L17" s="27">
        <v>1000</v>
      </c>
      <c r="M17" s="13"/>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x14ac:dyDescent="0.2">
      <c r="A18" s="97" t="s">
        <v>9</v>
      </c>
      <c r="B18" s="14"/>
      <c r="C18" s="14"/>
      <c r="D18" s="14"/>
      <c r="E18" s="15">
        <v>100</v>
      </c>
      <c r="F18" s="14"/>
      <c r="G18" s="31">
        <v>150</v>
      </c>
      <c r="H18" s="14"/>
      <c r="I18" s="15">
        <v>100</v>
      </c>
      <c r="J18" s="14"/>
      <c r="K18" s="14"/>
      <c r="L18" s="16"/>
      <c r="M18" s="13"/>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x14ac:dyDescent="0.2">
      <c r="A19" s="98"/>
      <c r="B19" s="17"/>
      <c r="C19" s="17"/>
      <c r="D19" s="17"/>
      <c r="E19" s="18">
        <f>('Officieel ECE R65 testrapport'!E8/100)*23.42</f>
        <v>0</v>
      </c>
      <c r="F19" s="17"/>
      <c r="G19" s="18">
        <f>('Officieel ECE R65 testrapport'!G8/100)*23.84</f>
        <v>0</v>
      </c>
      <c r="H19" s="17"/>
      <c r="I19" s="18">
        <f>('Officieel ECE R65 testrapport'!I8/100)*23.42</f>
        <v>0</v>
      </c>
      <c r="J19" s="17"/>
      <c r="K19" s="17"/>
      <c r="L19" s="19"/>
      <c r="M19" s="13"/>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ht="13.5" thickBot="1" x14ac:dyDescent="0.25">
      <c r="A20" s="99"/>
      <c r="B20" s="20"/>
      <c r="C20" s="20"/>
      <c r="D20" s="20"/>
      <c r="E20" s="21">
        <v>1500</v>
      </c>
      <c r="F20" s="20"/>
      <c r="G20" s="21">
        <v>1500</v>
      </c>
      <c r="H20" s="20"/>
      <c r="I20" s="21">
        <v>1500</v>
      </c>
      <c r="J20" s="20"/>
      <c r="K20" s="20"/>
      <c r="L20" s="22"/>
      <c r="M20" s="13"/>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x14ac:dyDescent="0.2">
      <c r="A21" s="97" t="s">
        <v>8</v>
      </c>
      <c r="B21" s="14"/>
      <c r="C21" s="14"/>
      <c r="D21" s="14"/>
      <c r="E21" s="14"/>
      <c r="F21" s="15">
        <v>100</v>
      </c>
      <c r="G21" s="14"/>
      <c r="H21" s="15">
        <v>100</v>
      </c>
      <c r="I21" s="14"/>
      <c r="J21" s="14"/>
      <c r="K21" s="14"/>
      <c r="L21" s="16"/>
      <c r="M21" s="13"/>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x14ac:dyDescent="0.2">
      <c r="A22" s="98"/>
      <c r="B22" s="17"/>
      <c r="C22" s="17"/>
      <c r="D22" s="17"/>
      <c r="E22" s="17"/>
      <c r="F22" s="18">
        <f>('Officieel ECE R65 testrapport'!F9/100)*23.67</f>
        <v>0</v>
      </c>
      <c r="G22" s="17"/>
      <c r="H22" s="18">
        <f>('Officieel ECE R65 testrapport'!H9/100)*23.67</f>
        <v>0</v>
      </c>
      <c r="I22" s="17"/>
      <c r="J22" s="17"/>
      <c r="K22" s="17"/>
      <c r="L22" s="19"/>
      <c r="M22" s="13"/>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13.5" thickBot="1" x14ac:dyDescent="0.25">
      <c r="A23" s="99"/>
      <c r="B23" s="20"/>
      <c r="C23" s="20"/>
      <c r="D23" s="20"/>
      <c r="E23" s="20"/>
      <c r="F23" s="21">
        <v>1500</v>
      </c>
      <c r="G23" s="20"/>
      <c r="H23" s="21">
        <v>1500</v>
      </c>
      <c r="I23" s="20"/>
      <c r="J23" s="20"/>
      <c r="K23" s="20"/>
      <c r="L23" s="22"/>
      <c r="M23" s="13"/>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1:54" x14ac:dyDescent="0.2">
      <c r="A24" s="2"/>
      <c r="B24" s="82" t="s">
        <v>12</v>
      </c>
      <c r="C24" s="83"/>
      <c r="D24" s="82" t="s">
        <v>13</v>
      </c>
      <c r="E24" s="83"/>
      <c r="F24" s="83"/>
      <c r="G24" s="83"/>
      <c r="H24" s="83"/>
      <c r="I24" s="83"/>
      <c r="J24" s="88"/>
      <c r="K24" s="83" t="s">
        <v>12</v>
      </c>
      <c r="L24" s="83"/>
      <c r="M24" s="1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row>
    <row r="25" spans="1:54" ht="13.5" thickBot="1" x14ac:dyDescent="0.25">
      <c r="A25" s="2"/>
      <c r="B25" s="79" t="s">
        <v>14</v>
      </c>
      <c r="C25" s="80"/>
      <c r="D25" s="79" t="s">
        <v>14</v>
      </c>
      <c r="E25" s="80"/>
      <c r="F25" s="80"/>
      <c r="G25" s="80"/>
      <c r="H25" s="80"/>
      <c r="I25" s="80"/>
      <c r="J25" s="81"/>
      <c r="K25" s="80" t="s">
        <v>14</v>
      </c>
      <c r="L25" s="80"/>
      <c r="M25" s="13"/>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row>
    <row r="26" spans="1:54"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row>
    <row r="27" spans="1:54" ht="13.5" thickBo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spans="1:54" ht="13.5" thickTop="1" x14ac:dyDescent="0.2">
      <c r="A28" s="89" t="s">
        <v>18</v>
      </c>
      <c r="B28" s="90"/>
      <c r="C28" s="90"/>
      <c r="D28" s="90"/>
      <c r="E28" s="91"/>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ht="13.5" thickBot="1" x14ac:dyDescent="0.25">
      <c r="A29" s="92"/>
      <c r="B29" s="93"/>
      <c r="C29" s="93"/>
      <c r="D29" s="93"/>
      <c r="E29" s="94"/>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row>
    <row r="30" spans="1:54" ht="13.5" thickTop="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row>
    <row r="31" spans="1:54"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spans="1:54"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row>
    <row r="33" spans="1:54"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54"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1:54"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1:54"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4"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1:54"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1:54"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1:54"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4"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4"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1:54"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1:54"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1:54"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1:54"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1:54"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spans="1:54"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row>
    <row r="56" spans="1:54"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row>
    <row r="57" spans="1:54"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spans="1:54"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row>
    <row r="59" spans="1:54"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spans="1:54"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row>
    <row r="61" spans="1:54"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spans="1:54"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row>
  </sheetData>
  <sheetProtection algorithmName="SHA-512" hashValue="3iQGgX8bpLRxr+VAeYgerzKPcORkhQ0Qa4N+3s+nRo7bxpNk8pQ4A4i0aXYUfpzKbSNEiCmM3P77Hxs7Q0n7+Q==" saltValue="gVtlhyxIQds/vNG1mqdRQA==" spinCount="100000" sheet="1" objects="1" scenarios="1" selectLockedCells="1" selectUnlockedCells="1"/>
  <mergeCells count="25">
    <mergeCell ref="K24:L24"/>
    <mergeCell ref="B25:C25"/>
    <mergeCell ref="D25:J25"/>
    <mergeCell ref="K25:L25"/>
    <mergeCell ref="A12:A14"/>
    <mergeCell ref="A15:A17"/>
    <mergeCell ref="A18:A20"/>
    <mergeCell ref="B24:C24"/>
    <mergeCell ref="D24:J24"/>
    <mergeCell ref="A28:E29"/>
    <mergeCell ref="L1:L2"/>
    <mergeCell ref="A3:A5"/>
    <mergeCell ref="B1:B2"/>
    <mergeCell ref="C1:C2"/>
    <mergeCell ref="D1:D2"/>
    <mergeCell ref="E1:E2"/>
    <mergeCell ref="F1:F2"/>
    <mergeCell ref="G1:G2"/>
    <mergeCell ref="A21:A23"/>
    <mergeCell ref="H1:H2"/>
    <mergeCell ref="I1:I2"/>
    <mergeCell ref="J1:J2"/>
    <mergeCell ref="K1:K2"/>
    <mergeCell ref="A6:A8"/>
    <mergeCell ref="A9:A11"/>
  </mergeCells>
  <conditionalFormatting sqref="C10:D10">
    <cfRule type="cellIs" dxfId="1115" priority="93" operator="between">
      <formula>$K$15</formula>
      <formula>$K$17</formula>
    </cfRule>
    <cfRule type="cellIs" dxfId="1114" priority="94" operator="lessThan">
      <formula>$K$15</formula>
    </cfRule>
    <cfRule type="cellIs" dxfId="1113" priority="95" operator="greaterThan">
      <formula>$K$17</formula>
    </cfRule>
    <cfRule type="cellIs" dxfId="1112" priority="96" operator="between">
      <formula>$K$15</formula>
      <formula>$K$17</formula>
    </cfRule>
  </conditionalFormatting>
  <conditionalFormatting sqref="C13:D13">
    <cfRule type="cellIs" dxfId="1111" priority="12" operator="between">
      <formula>$C$12</formula>
      <formula>$C$14</formula>
    </cfRule>
    <cfRule type="cellIs" dxfId="1110" priority="10" operator="lessThan">
      <formula>$C$12</formula>
    </cfRule>
    <cfRule type="cellIs" dxfId="1109" priority="11" operator="greaterThan">
      <formula>$C$14</formula>
    </cfRule>
  </conditionalFormatting>
  <conditionalFormatting sqref="C16:D16">
    <cfRule type="cellIs" dxfId="1108" priority="87" operator="greaterThan">
      <formula>$K$17</formula>
    </cfRule>
    <cfRule type="cellIs" dxfId="1107" priority="85" operator="between">
      <formula>$K$15</formula>
      <formula>$K$17</formula>
    </cfRule>
    <cfRule type="cellIs" dxfId="1106" priority="86" operator="lessThan">
      <formula>$K$15</formula>
    </cfRule>
    <cfRule type="cellIs" dxfId="1105" priority="88" operator="between">
      <formula>$K$15</formula>
      <formula>$K$17</formula>
    </cfRule>
  </conditionalFormatting>
  <conditionalFormatting sqref="D13">
    <cfRule type="cellIs" dxfId="1104" priority="7" operator="between">
      <formula>$D$12</formula>
      <formula>$D$14</formula>
    </cfRule>
    <cfRule type="cellIs" dxfId="1103" priority="8" operator="lessThan">
      <formula>$D$12</formula>
    </cfRule>
    <cfRule type="cellIs" dxfId="1102" priority="9" operator="greaterThan">
      <formula>$D$14</formula>
    </cfRule>
  </conditionalFormatting>
  <conditionalFormatting sqref="E7">
    <cfRule type="cellIs" dxfId="1101" priority="108" operator="lessThan">
      <formula>$F$3</formula>
    </cfRule>
    <cfRule type="cellIs" dxfId="1100" priority="111" operator="between">
      <formula>$F$3</formula>
      <formula>$F$5</formula>
    </cfRule>
    <cfRule type="cellIs" dxfId="1099" priority="110" operator="between">
      <formula>$F$3</formula>
      <formula>$F$5</formula>
    </cfRule>
    <cfRule type="cellIs" dxfId="1098" priority="109" operator="greaterThan">
      <formula>$F$5</formula>
    </cfRule>
  </conditionalFormatting>
  <conditionalFormatting sqref="E13">
    <cfRule type="cellIs" dxfId="1097" priority="103" operator="between">
      <formula>$G$18</formula>
      <formula>$G$20</formula>
    </cfRule>
    <cfRule type="cellIs" dxfId="1096" priority="101" operator="lessThan">
      <formula>$G$18</formula>
    </cfRule>
    <cfRule type="cellIs" dxfId="1095" priority="102" operator="greaterThan">
      <formula>$G$20</formula>
    </cfRule>
  </conditionalFormatting>
  <conditionalFormatting sqref="E19">
    <cfRule type="cellIs" dxfId="1094" priority="107" operator="between">
      <formula>$F$3</formula>
      <formula>$F$5</formula>
    </cfRule>
    <cfRule type="cellIs" dxfId="1093" priority="106" operator="between">
      <formula>$F$3</formula>
      <formula>$F$5</formula>
    </cfRule>
    <cfRule type="cellIs" dxfId="1092" priority="105" operator="greaterThan">
      <formula>$F$5</formula>
    </cfRule>
    <cfRule type="cellIs" dxfId="1091" priority="104" operator="lessThan">
      <formula>$F$3</formula>
    </cfRule>
  </conditionalFormatting>
  <conditionalFormatting sqref="F4">
    <cfRule type="cellIs" dxfId="1090" priority="115" operator="between">
      <formula>$F$3</formula>
      <formula>$F$5</formula>
    </cfRule>
    <cfRule type="cellIs" dxfId="1089" priority="112" operator="lessThan">
      <formula>$F$3</formula>
    </cfRule>
    <cfRule type="cellIs" dxfId="1088" priority="113" operator="greaterThan">
      <formula>$F$5</formula>
    </cfRule>
    <cfRule type="cellIs" dxfId="1087" priority="114" operator="between">
      <formula>$F$3</formula>
      <formula>$F$5</formula>
    </cfRule>
  </conditionalFormatting>
  <conditionalFormatting sqref="F10">
    <cfRule type="cellIs" dxfId="1086" priority="78" operator="greaterThan">
      <formula>$H$11</formula>
    </cfRule>
    <cfRule type="cellIs" dxfId="1085" priority="77" operator="lessThan">
      <formula>$H$9</formula>
    </cfRule>
    <cfRule type="cellIs" dxfId="1084" priority="76" operator="between">
      <formula>$H$9</formula>
      <formula>$H$11</formula>
    </cfRule>
  </conditionalFormatting>
  <conditionalFormatting sqref="F16">
    <cfRule type="cellIs" dxfId="1083" priority="81" operator="greaterThan">
      <formula>$H$11</formula>
    </cfRule>
    <cfRule type="cellIs" dxfId="1082" priority="80" operator="lessThan">
      <formula>$H$9</formula>
    </cfRule>
    <cfRule type="cellIs" dxfId="1081" priority="79" operator="between">
      <formula>$H$9</formula>
      <formula>$H$11</formula>
    </cfRule>
  </conditionalFormatting>
  <conditionalFormatting sqref="F22">
    <cfRule type="cellIs" dxfId="1080" priority="65" operator="lessThan">
      <formula>$F$3</formula>
    </cfRule>
    <cfRule type="cellIs" dxfId="1079" priority="66" operator="greaterThan">
      <formula>$F$5</formula>
    </cfRule>
    <cfRule type="cellIs" dxfId="1078" priority="67" operator="between">
      <formula>$F$3</formula>
      <formula>$F$5</formula>
    </cfRule>
    <cfRule type="cellIs" dxfId="1077" priority="68" operator="between">
      <formula>$F$3</formula>
      <formula>$F$5</formula>
    </cfRule>
  </conditionalFormatting>
  <conditionalFormatting sqref="G7">
    <cfRule type="cellIs" dxfId="1076" priority="18" operator="between">
      <formula>$G$18</formula>
      <formula>$G$20</formula>
    </cfRule>
    <cfRule type="cellIs" dxfId="1075" priority="17" operator="greaterThan">
      <formula>$G$20</formula>
    </cfRule>
    <cfRule type="cellIs" dxfId="1074" priority="16" operator="lessThan">
      <formula>$G$18</formula>
    </cfRule>
    <cfRule type="cellIs" dxfId="1073" priority="15" operator="greaterThan">
      <formula>$G$8</formula>
    </cfRule>
    <cfRule type="cellIs" dxfId="1072" priority="14" operator="lessThan">
      <formula>$G$6</formula>
    </cfRule>
    <cfRule type="cellIs" dxfId="1071" priority="13" operator="between">
      <formula>$G$6</formula>
      <formula>$G$8</formula>
    </cfRule>
  </conditionalFormatting>
  <conditionalFormatting sqref="G13">
    <cfRule type="cellIs" dxfId="1070" priority="73" operator="between">
      <formula>$H$9</formula>
      <formula>$H$11</formula>
    </cfRule>
    <cfRule type="cellIs" dxfId="1069" priority="75" operator="greaterThan">
      <formula>$H$11</formula>
    </cfRule>
    <cfRule type="cellIs" dxfId="1068" priority="74" operator="lessThan">
      <formula>$H$9</formula>
    </cfRule>
  </conditionalFormatting>
  <conditionalFormatting sqref="G19">
    <cfRule type="cellIs" dxfId="1067" priority="20" operator="lessThan">
      <formula>$G$6</formula>
    </cfRule>
    <cfRule type="cellIs" dxfId="1066" priority="21" operator="greaterThan">
      <formula>$G$8</formula>
    </cfRule>
    <cfRule type="cellIs" dxfId="1065" priority="22" operator="lessThan">
      <formula>$G$18</formula>
    </cfRule>
    <cfRule type="cellIs" dxfId="1064" priority="24" operator="between">
      <formula>$G$18</formula>
      <formula>$G$20</formula>
    </cfRule>
    <cfRule type="cellIs" dxfId="1063" priority="23" operator="greaterThan">
      <formula>$G$20</formula>
    </cfRule>
    <cfRule type="cellIs" dxfId="1062" priority="19" operator="between">
      <formula>$G$6</formula>
      <formula>$G$8</formula>
    </cfRule>
  </conditionalFormatting>
  <conditionalFormatting sqref="H4">
    <cfRule type="cellIs" dxfId="1061" priority="70" operator="greaterThan">
      <formula>$F$5</formula>
    </cfRule>
    <cfRule type="cellIs" dxfId="1060" priority="71" operator="between">
      <formula>$F$3</formula>
      <formula>$F$5</formula>
    </cfRule>
    <cfRule type="cellIs" dxfId="1059" priority="72" operator="between">
      <formula>$F$3</formula>
      <formula>$F$5</formula>
    </cfRule>
    <cfRule type="cellIs" dxfId="1058" priority="69" operator="lessThan">
      <formula>$F$3</formula>
    </cfRule>
  </conditionalFormatting>
  <conditionalFormatting sqref="H10">
    <cfRule type="cellIs" dxfId="1057" priority="30" operator="greaterThan">
      <formula>$H$11</formula>
    </cfRule>
    <cfRule type="cellIs" dxfId="1056" priority="28" operator="between">
      <formula>$H$9</formula>
      <formula>$H$11</formula>
    </cfRule>
    <cfRule type="cellIs" dxfId="1055" priority="29" operator="lessThan">
      <formula>$H$9</formula>
    </cfRule>
  </conditionalFormatting>
  <conditionalFormatting sqref="H16">
    <cfRule type="cellIs" dxfId="1054" priority="25" operator="between">
      <formula>$H$9</formula>
      <formula>$H$11</formula>
    </cfRule>
    <cfRule type="cellIs" dxfId="1053" priority="26" operator="lessThan">
      <formula>$H$9</formula>
    </cfRule>
    <cfRule type="cellIs" dxfId="1052" priority="27" operator="greaterThan">
      <formula>$H$11</formula>
    </cfRule>
  </conditionalFormatting>
  <conditionalFormatting sqref="H22">
    <cfRule type="cellIs" dxfId="1051" priority="64" operator="between">
      <formula>$F$3</formula>
      <formula>$F$5</formula>
    </cfRule>
    <cfRule type="cellIs" dxfId="1050" priority="63" operator="between">
      <formula>$F$3</formula>
      <formula>$F$5</formula>
    </cfRule>
    <cfRule type="cellIs" dxfId="1049" priority="62" operator="greaterThan">
      <formula>$F$5</formula>
    </cfRule>
    <cfRule type="cellIs" dxfId="1048" priority="61" operator="lessThan">
      <formula>$F$3</formula>
    </cfRule>
  </conditionalFormatting>
  <conditionalFormatting sqref="I7">
    <cfRule type="cellIs" dxfId="1047" priority="60" operator="between">
      <formula>$F$3</formula>
      <formula>$F$5</formula>
    </cfRule>
    <cfRule type="cellIs" dxfId="1046" priority="57" operator="lessThan">
      <formula>$F$3</formula>
    </cfRule>
    <cfRule type="cellIs" dxfId="1045" priority="58" operator="greaterThan">
      <formula>$F$5</formula>
    </cfRule>
    <cfRule type="cellIs" dxfId="1044" priority="59" operator="between">
      <formula>$F$3</formula>
      <formula>$F$5</formula>
    </cfRule>
  </conditionalFormatting>
  <conditionalFormatting sqref="I13">
    <cfRule type="cellIs" dxfId="1043" priority="31" operator="lessThan">
      <formula>$G$18</formula>
    </cfRule>
    <cfRule type="cellIs" dxfId="1042" priority="32" operator="greaterThan">
      <formula>$G$20</formula>
    </cfRule>
    <cfRule type="cellIs" dxfId="1041" priority="33" operator="between">
      <formula>$G$18</formula>
      <formula>$G$20</formula>
    </cfRule>
  </conditionalFormatting>
  <conditionalFormatting sqref="I19">
    <cfRule type="cellIs" dxfId="1040" priority="55" operator="between">
      <formula>$F$3</formula>
      <formula>$F$5</formula>
    </cfRule>
    <cfRule type="cellIs" dxfId="1039" priority="54" operator="greaterThan">
      <formula>$F$5</formula>
    </cfRule>
    <cfRule type="cellIs" dxfId="1038" priority="53" operator="lessThan">
      <formula>$F$3</formula>
    </cfRule>
    <cfRule type="cellIs" dxfId="1037" priority="56" operator="between">
      <formula>$F$3</formula>
      <formula>$F$5</formula>
    </cfRule>
  </conditionalFormatting>
  <conditionalFormatting sqref="J13">
    <cfRule type="cellIs" dxfId="1036" priority="1" operator="between">
      <formula>$D$12</formula>
      <formula>$D$14</formula>
    </cfRule>
    <cfRule type="cellIs" dxfId="1035" priority="3" operator="greaterThan">
      <formula>$D$14</formula>
    </cfRule>
    <cfRule type="cellIs" dxfId="1034" priority="2" operator="lessThan">
      <formula>$D$12</formula>
    </cfRule>
  </conditionalFormatting>
  <conditionalFormatting sqref="J10:K10">
    <cfRule type="cellIs" dxfId="1033" priority="41" operator="between">
      <formula>$K$15</formula>
      <formula>$K$17</formula>
    </cfRule>
    <cfRule type="cellIs" dxfId="1032" priority="38" operator="between">
      <formula>$K$15</formula>
      <formula>$K$17</formula>
    </cfRule>
    <cfRule type="cellIs" dxfId="1031" priority="39" operator="lessThan">
      <formula>$K$15</formula>
    </cfRule>
    <cfRule type="cellIs" dxfId="1030" priority="40" operator="greaterThan">
      <formula>$K$17</formula>
    </cfRule>
  </conditionalFormatting>
  <conditionalFormatting sqref="J13:K13">
    <cfRule type="cellIs" dxfId="1029" priority="6" operator="between">
      <formula>$C$12</formula>
      <formula>$C$14</formula>
    </cfRule>
    <cfRule type="cellIs" dxfId="1028" priority="5" operator="greaterThan">
      <formula>$C$14</formula>
    </cfRule>
    <cfRule type="cellIs" dxfId="1027" priority="4" operator="lessThan">
      <formula>$C$12</formula>
    </cfRule>
  </conditionalFormatting>
  <conditionalFormatting sqref="J16:K16">
    <cfRule type="cellIs" dxfId="1026" priority="36" operator="greaterThan">
      <formula>$K$17</formula>
    </cfRule>
    <cfRule type="cellIs" dxfId="1025" priority="34" operator="between">
      <formula>$K$15</formula>
      <formula>$K$17</formula>
    </cfRule>
    <cfRule type="cellIs" dxfId="1024" priority="35" operator="lessThan">
      <formula>$K$15</formula>
    </cfRule>
    <cfRule type="cellIs" dxfId="1023" priority="37" operator="between">
      <formula>$K$15</formula>
      <formula>$K$17</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BB62"/>
  <sheetViews>
    <sheetView workbookViewId="0">
      <selection activeCell="A28" sqref="A28:E29"/>
    </sheetView>
  </sheetViews>
  <sheetFormatPr defaultRowHeight="12.75" x14ac:dyDescent="0.2"/>
  <cols>
    <col min="7" max="7" width="9.140625" customWidth="1"/>
  </cols>
  <sheetData>
    <row r="1" spans="1:54" x14ac:dyDescent="0.2">
      <c r="A1" s="1" t="s">
        <v>0</v>
      </c>
      <c r="B1" s="84" t="s">
        <v>1</v>
      </c>
      <c r="C1" s="84" t="s">
        <v>2</v>
      </c>
      <c r="D1" s="84" t="s">
        <v>3</v>
      </c>
      <c r="E1" s="84" t="s">
        <v>4</v>
      </c>
      <c r="F1" s="84" t="s">
        <v>5</v>
      </c>
      <c r="G1" s="84" t="s">
        <v>6</v>
      </c>
      <c r="H1" s="84" t="s">
        <v>5</v>
      </c>
      <c r="I1" s="84" t="s">
        <v>4</v>
      </c>
      <c r="J1" s="84" t="s">
        <v>3</v>
      </c>
      <c r="K1" s="84" t="s">
        <v>2</v>
      </c>
      <c r="L1" s="95" t="s">
        <v>1</v>
      </c>
      <c r="M1" s="13"/>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13.5" thickBot="1" x14ac:dyDescent="0.25">
      <c r="A2" s="3" t="s">
        <v>7</v>
      </c>
      <c r="B2" s="85"/>
      <c r="C2" s="85"/>
      <c r="D2" s="85"/>
      <c r="E2" s="85"/>
      <c r="F2" s="85"/>
      <c r="G2" s="85"/>
      <c r="H2" s="85"/>
      <c r="I2" s="85"/>
      <c r="J2" s="85"/>
      <c r="K2" s="85"/>
      <c r="L2" s="96"/>
      <c r="M2" s="13"/>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x14ac:dyDescent="0.2">
      <c r="A3" s="97" t="s">
        <v>8</v>
      </c>
      <c r="B3" s="14"/>
      <c r="C3" s="14"/>
      <c r="D3" s="14"/>
      <c r="E3" s="14"/>
      <c r="F3" s="15">
        <v>100</v>
      </c>
      <c r="G3" s="14"/>
      <c r="H3" s="15">
        <v>100</v>
      </c>
      <c r="I3" s="14"/>
      <c r="J3" s="14"/>
      <c r="K3" s="14"/>
      <c r="L3" s="16"/>
      <c r="M3" s="1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x14ac:dyDescent="0.2">
      <c r="A4" s="98"/>
      <c r="B4" s="17"/>
      <c r="C4" s="17"/>
      <c r="D4" s="17"/>
      <c r="E4" s="17"/>
      <c r="F4" s="18">
        <f>('Officieel ECE R65 testrapport'!F3/100)*21.37</f>
        <v>0</v>
      </c>
      <c r="G4" s="17"/>
      <c r="H4" s="18">
        <f>('Officieel ECE R65 testrapport'!H3/100)*21.37</f>
        <v>0</v>
      </c>
      <c r="I4" s="17"/>
      <c r="J4" s="17"/>
      <c r="K4" s="17"/>
      <c r="L4" s="19"/>
      <c r="M4" s="1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3.5" thickBot="1" x14ac:dyDescent="0.25">
      <c r="A5" s="99"/>
      <c r="B5" s="20"/>
      <c r="C5" s="20"/>
      <c r="D5" s="20"/>
      <c r="E5" s="20"/>
      <c r="F5" s="21">
        <v>1500</v>
      </c>
      <c r="G5" s="20"/>
      <c r="H5" s="21">
        <v>1500</v>
      </c>
      <c r="I5" s="20"/>
      <c r="J5" s="20"/>
      <c r="K5" s="20"/>
      <c r="L5" s="22"/>
      <c r="M5" s="13"/>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x14ac:dyDescent="0.2">
      <c r="A6" s="97" t="s">
        <v>9</v>
      </c>
      <c r="B6" s="14"/>
      <c r="C6" s="14"/>
      <c r="D6" s="14"/>
      <c r="E6" s="15">
        <v>100</v>
      </c>
      <c r="F6" s="14"/>
      <c r="G6" s="15">
        <v>150</v>
      </c>
      <c r="H6" s="14"/>
      <c r="I6" s="15">
        <v>100</v>
      </c>
      <c r="J6" s="14"/>
      <c r="K6" s="14"/>
      <c r="L6" s="16"/>
      <c r="M6" s="1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x14ac:dyDescent="0.2">
      <c r="A7" s="98"/>
      <c r="B7" s="17"/>
      <c r="C7" s="17"/>
      <c r="D7" s="17"/>
      <c r="E7" s="18">
        <f>('Officieel ECE R65 testrapport'!E4/100)*21.13</f>
        <v>0</v>
      </c>
      <c r="F7" s="17"/>
      <c r="G7" s="18">
        <f>('Officieel ECE R65 testrapport'!G4/100)*21.51</f>
        <v>0</v>
      </c>
      <c r="H7" s="17"/>
      <c r="I7" s="18">
        <f>('Officieel ECE R65 testrapport'!I4/100)*21.13</f>
        <v>0</v>
      </c>
      <c r="J7" s="17"/>
      <c r="K7" s="17"/>
      <c r="L7" s="19"/>
      <c r="M7" s="13"/>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3.5" thickBot="1" x14ac:dyDescent="0.25">
      <c r="A8" s="99"/>
      <c r="B8" s="20"/>
      <c r="C8" s="20"/>
      <c r="D8" s="20"/>
      <c r="E8" s="21">
        <v>1500</v>
      </c>
      <c r="F8" s="20"/>
      <c r="G8" s="21">
        <v>1500</v>
      </c>
      <c r="H8" s="20"/>
      <c r="I8" s="21">
        <v>1500</v>
      </c>
      <c r="J8" s="20"/>
      <c r="K8" s="20"/>
      <c r="L8" s="22"/>
      <c r="M8" s="13"/>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x14ac:dyDescent="0.2">
      <c r="A9" s="97" t="s">
        <v>10</v>
      </c>
      <c r="B9" s="15">
        <v>40</v>
      </c>
      <c r="C9" s="15">
        <v>40</v>
      </c>
      <c r="D9" s="15">
        <v>40</v>
      </c>
      <c r="E9" s="14"/>
      <c r="F9" s="15">
        <v>200</v>
      </c>
      <c r="G9" s="14"/>
      <c r="H9" s="15">
        <v>200</v>
      </c>
      <c r="I9" s="14"/>
      <c r="J9" s="15">
        <v>40</v>
      </c>
      <c r="K9" s="15">
        <v>40</v>
      </c>
      <c r="L9" s="23">
        <v>40</v>
      </c>
      <c r="M9" s="13"/>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x14ac:dyDescent="0.2">
      <c r="A10" s="98"/>
      <c r="B10" s="24" t="s">
        <v>11</v>
      </c>
      <c r="C10" s="18">
        <f>('Officieel ECE R65 testrapport'!C5/100)*19.39</f>
        <v>0</v>
      </c>
      <c r="D10" s="18">
        <f>('Officieel ECE R65 testrapport'!D5/100)*20.7</f>
        <v>0</v>
      </c>
      <c r="E10" s="17"/>
      <c r="F10" s="18">
        <f>('Officieel ECE R65 testrapport'!F5/100)*21.41</f>
        <v>0</v>
      </c>
      <c r="G10" s="17"/>
      <c r="H10" s="18">
        <f>('Officieel ECE R65 testrapport'!H5/100)*21.41</f>
        <v>0</v>
      </c>
      <c r="I10" s="17"/>
      <c r="J10" s="18">
        <f>('Officieel ECE R65 testrapport'!J5/100)*20.7</f>
        <v>0</v>
      </c>
      <c r="K10" s="18">
        <f>('Officieel ECE R65 testrapport'!K5/100)*19.39</f>
        <v>0</v>
      </c>
      <c r="L10" s="25" t="s">
        <v>11</v>
      </c>
      <c r="M10" s="13"/>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ht="13.5" thickBot="1" x14ac:dyDescent="0.25">
      <c r="A11" s="99"/>
      <c r="B11" s="21">
        <v>1000</v>
      </c>
      <c r="C11" s="21">
        <v>1000</v>
      </c>
      <c r="D11" s="21">
        <v>1000</v>
      </c>
      <c r="E11" s="26"/>
      <c r="F11" s="21">
        <v>3000</v>
      </c>
      <c r="G11" s="26"/>
      <c r="H11" s="21">
        <v>3000</v>
      </c>
      <c r="I11" s="26"/>
      <c r="J11" s="21">
        <v>1000</v>
      </c>
      <c r="K11" s="21">
        <v>1000</v>
      </c>
      <c r="L11" s="27">
        <v>1000</v>
      </c>
      <c r="M11" s="13"/>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x14ac:dyDescent="0.2">
      <c r="A12" s="97" t="s">
        <v>6</v>
      </c>
      <c r="B12" s="15">
        <v>100</v>
      </c>
      <c r="C12" s="15">
        <v>100</v>
      </c>
      <c r="D12" s="15">
        <v>100</v>
      </c>
      <c r="E12" s="28">
        <v>150</v>
      </c>
      <c r="F12" s="14"/>
      <c r="G12" s="15">
        <v>200</v>
      </c>
      <c r="H12" s="14"/>
      <c r="I12" s="23">
        <v>150</v>
      </c>
      <c r="J12" s="15">
        <v>100</v>
      </c>
      <c r="K12" s="15">
        <v>100</v>
      </c>
      <c r="L12" s="23">
        <v>100</v>
      </c>
      <c r="M12" s="13"/>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x14ac:dyDescent="0.2">
      <c r="A13" s="98"/>
      <c r="B13" s="24" t="s">
        <v>11</v>
      </c>
      <c r="C13" s="18">
        <f>('Officieel ECE R65 testrapport'!C6/100)*19.41</f>
        <v>0</v>
      </c>
      <c r="D13" s="18">
        <f>('Officieel ECE R65 testrapport'!D6/100)*20.71</f>
        <v>0</v>
      </c>
      <c r="E13" s="18">
        <f>('Officieel ECE R65 testrapport'!E6/100)*21.16</f>
        <v>0</v>
      </c>
      <c r="F13" s="17"/>
      <c r="G13" s="18">
        <f>('Officieel ECE R65 testrapport'!G6/100)*21.63</f>
        <v>0</v>
      </c>
      <c r="H13" s="17"/>
      <c r="I13" s="18">
        <f>('Officieel ECE R65 testrapport'!I6/100)*21.16</f>
        <v>0</v>
      </c>
      <c r="J13" s="18">
        <f>('Officieel ECE R65 testrapport'!J6/100)*20.71</f>
        <v>0</v>
      </c>
      <c r="K13" s="18">
        <f>('Officieel ECE R65 testrapport'!K6/100)*19.41</f>
        <v>0</v>
      </c>
      <c r="L13" s="25" t="s">
        <v>11</v>
      </c>
      <c r="M13" s="13"/>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ht="13.5" thickBot="1" x14ac:dyDescent="0.25">
      <c r="A14" s="99"/>
      <c r="B14" s="21">
        <v>1000</v>
      </c>
      <c r="C14" s="21">
        <v>1000</v>
      </c>
      <c r="D14" s="21">
        <v>1000</v>
      </c>
      <c r="E14" s="29">
        <v>1500</v>
      </c>
      <c r="F14" s="20"/>
      <c r="G14" s="21">
        <v>3000</v>
      </c>
      <c r="H14" s="20"/>
      <c r="I14" s="27">
        <v>1500</v>
      </c>
      <c r="J14" s="21">
        <v>1000</v>
      </c>
      <c r="K14" s="21">
        <v>1000</v>
      </c>
      <c r="L14" s="27">
        <v>1000</v>
      </c>
      <c r="M14" s="13"/>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x14ac:dyDescent="0.2">
      <c r="A15" s="97" t="s">
        <v>10</v>
      </c>
      <c r="B15" s="15">
        <v>40</v>
      </c>
      <c r="C15" s="15">
        <v>40</v>
      </c>
      <c r="D15" s="15">
        <v>40</v>
      </c>
      <c r="E15" s="14"/>
      <c r="F15" s="15">
        <v>200</v>
      </c>
      <c r="G15" s="14"/>
      <c r="H15" s="15">
        <v>200</v>
      </c>
      <c r="I15" s="14"/>
      <c r="J15" s="15">
        <v>40</v>
      </c>
      <c r="K15" s="15">
        <v>40</v>
      </c>
      <c r="L15" s="23">
        <v>40</v>
      </c>
      <c r="M15" s="13"/>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x14ac:dyDescent="0.2">
      <c r="A16" s="98"/>
      <c r="B16" s="24" t="s">
        <v>11</v>
      </c>
      <c r="C16" s="18">
        <f>('Officieel ECE R65 testrapport'!C7/100)*19.39</f>
        <v>0</v>
      </c>
      <c r="D16" s="18">
        <f>('Officieel ECE R65 testrapport'!D7/100)*20.7</f>
        <v>0</v>
      </c>
      <c r="E16" s="17"/>
      <c r="F16" s="18">
        <f>('Officieel ECE R65 testrapport'!F7/100)*21.41</f>
        <v>0</v>
      </c>
      <c r="G16" s="17"/>
      <c r="H16" s="18">
        <f>('Officieel ECE R65 testrapport'!H7/100)*21.41</f>
        <v>0</v>
      </c>
      <c r="I16" s="17"/>
      <c r="J16" s="18">
        <f>('Officieel ECE R65 testrapport'!J7/100)*20.7</f>
        <v>0</v>
      </c>
      <c r="K16" s="18">
        <f>('Officieel ECE R65 testrapport'!K7/100)*19.39</f>
        <v>0</v>
      </c>
      <c r="L16" s="25" t="s">
        <v>11</v>
      </c>
      <c r="M16" s="13"/>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ht="13.5" thickBot="1" x14ac:dyDescent="0.25">
      <c r="A17" s="99"/>
      <c r="B17" s="21">
        <v>1000</v>
      </c>
      <c r="C17" s="21">
        <v>1000</v>
      </c>
      <c r="D17" s="21">
        <v>1000</v>
      </c>
      <c r="E17" s="20"/>
      <c r="F17" s="21">
        <v>3000</v>
      </c>
      <c r="G17" s="30"/>
      <c r="H17" s="21">
        <v>3000</v>
      </c>
      <c r="I17" s="20"/>
      <c r="J17" s="21">
        <v>1000</v>
      </c>
      <c r="K17" s="21">
        <v>1000</v>
      </c>
      <c r="L17" s="27">
        <v>1000</v>
      </c>
      <c r="M17" s="13"/>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x14ac:dyDescent="0.2">
      <c r="A18" s="97" t="s">
        <v>9</v>
      </c>
      <c r="B18" s="14"/>
      <c r="C18" s="14"/>
      <c r="D18" s="14"/>
      <c r="E18" s="15">
        <v>100</v>
      </c>
      <c r="F18" s="14"/>
      <c r="G18" s="31">
        <v>150</v>
      </c>
      <c r="H18" s="14"/>
      <c r="I18" s="15">
        <v>100</v>
      </c>
      <c r="J18" s="14"/>
      <c r="K18" s="14"/>
      <c r="L18" s="16"/>
      <c r="M18" s="13"/>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x14ac:dyDescent="0.2">
      <c r="A19" s="98"/>
      <c r="B19" s="17"/>
      <c r="C19" s="17"/>
      <c r="D19" s="17"/>
      <c r="E19" s="18">
        <f>('Officieel ECE R65 testrapport'!E8/100)*21.13</f>
        <v>0</v>
      </c>
      <c r="F19" s="17"/>
      <c r="G19" s="18">
        <f>('Officieel ECE R65 testrapport'!G8/100)*21.51</f>
        <v>0</v>
      </c>
      <c r="H19" s="17"/>
      <c r="I19" s="18">
        <f>('Officieel ECE R65 testrapport'!I8/100)*21.13</f>
        <v>0</v>
      </c>
      <c r="J19" s="17"/>
      <c r="K19" s="17"/>
      <c r="L19" s="19"/>
      <c r="M19" s="13"/>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ht="13.5" thickBot="1" x14ac:dyDescent="0.25">
      <c r="A20" s="99"/>
      <c r="B20" s="20"/>
      <c r="C20" s="20"/>
      <c r="D20" s="20"/>
      <c r="E20" s="21">
        <v>1500</v>
      </c>
      <c r="F20" s="20"/>
      <c r="G20" s="21">
        <v>1500</v>
      </c>
      <c r="H20" s="20"/>
      <c r="I20" s="21">
        <v>1500</v>
      </c>
      <c r="J20" s="20"/>
      <c r="K20" s="20"/>
      <c r="L20" s="22"/>
      <c r="M20" s="13"/>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x14ac:dyDescent="0.2">
      <c r="A21" s="97" t="s">
        <v>8</v>
      </c>
      <c r="B21" s="14"/>
      <c r="C21" s="14"/>
      <c r="D21" s="14"/>
      <c r="E21" s="14"/>
      <c r="F21" s="15">
        <v>100</v>
      </c>
      <c r="G21" s="14"/>
      <c r="H21" s="15">
        <v>100</v>
      </c>
      <c r="I21" s="14"/>
      <c r="J21" s="14"/>
      <c r="K21" s="14"/>
      <c r="L21" s="16"/>
      <c r="M21" s="13"/>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x14ac:dyDescent="0.2">
      <c r="A22" s="98"/>
      <c r="B22" s="17"/>
      <c r="C22" s="17"/>
      <c r="D22" s="17"/>
      <c r="E22" s="17"/>
      <c r="F22" s="18">
        <f>('Officieel ECE R65 testrapport'!F9/100)*21.37</f>
        <v>0</v>
      </c>
      <c r="G22" s="17"/>
      <c r="H22" s="18">
        <f>('Officieel ECE R65 testrapport'!H9/100)*21.37</f>
        <v>0</v>
      </c>
      <c r="I22" s="17"/>
      <c r="J22" s="17"/>
      <c r="K22" s="17"/>
      <c r="L22" s="19"/>
      <c r="M22" s="13"/>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13.5" thickBot="1" x14ac:dyDescent="0.25">
      <c r="A23" s="99"/>
      <c r="B23" s="20"/>
      <c r="C23" s="20"/>
      <c r="D23" s="20"/>
      <c r="E23" s="20"/>
      <c r="F23" s="21">
        <v>1500</v>
      </c>
      <c r="G23" s="20"/>
      <c r="H23" s="21">
        <v>1500</v>
      </c>
      <c r="I23" s="20"/>
      <c r="J23" s="20"/>
      <c r="K23" s="20"/>
      <c r="L23" s="22"/>
      <c r="M23" s="13"/>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1:54" x14ac:dyDescent="0.2">
      <c r="A24" s="2"/>
      <c r="B24" s="82" t="s">
        <v>12</v>
      </c>
      <c r="C24" s="83"/>
      <c r="D24" s="82" t="s">
        <v>13</v>
      </c>
      <c r="E24" s="83"/>
      <c r="F24" s="83"/>
      <c r="G24" s="83"/>
      <c r="H24" s="83"/>
      <c r="I24" s="83"/>
      <c r="J24" s="88"/>
      <c r="K24" s="83" t="s">
        <v>12</v>
      </c>
      <c r="L24" s="83"/>
      <c r="M24" s="1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row>
    <row r="25" spans="1:54" ht="13.5" thickBot="1" x14ac:dyDescent="0.25">
      <c r="A25" s="2"/>
      <c r="B25" s="79" t="s">
        <v>14</v>
      </c>
      <c r="C25" s="80"/>
      <c r="D25" s="79" t="s">
        <v>14</v>
      </c>
      <c r="E25" s="80"/>
      <c r="F25" s="80"/>
      <c r="G25" s="80"/>
      <c r="H25" s="80"/>
      <c r="I25" s="80"/>
      <c r="J25" s="81"/>
      <c r="K25" s="80" t="s">
        <v>14</v>
      </c>
      <c r="L25" s="80"/>
      <c r="M25" s="13"/>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row>
    <row r="26" spans="1:54"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row>
    <row r="27" spans="1:54" ht="13.5" thickBo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spans="1:54" ht="13.5" thickTop="1" x14ac:dyDescent="0.2">
      <c r="A28" s="89" t="s">
        <v>18</v>
      </c>
      <c r="B28" s="90"/>
      <c r="C28" s="90"/>
      <c r="D28" s="90"/>
      <c r="E28" s="91"/>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ht="13.5" thickBot="1" x14ac:dyDescent="0.25">
      <c r="A29" s="92"/>
      <c r="B29" s="93"/>
      <c r="C29" s="93"/>
      <c r="D29" s="93"/>
      <c r="E29" s="94"/>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row>
    <row r="30" spans="1:54" ht="13.5" thickTop="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row>
    <row r="31" spans="1:54"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spans="1:54"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row>
    <row r="33" spans="1:54"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54"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1:54"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1:54"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4"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1:54"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1:54"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1:54"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4"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4"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1:54"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1:54"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1:54"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1:54"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1:54"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spans="1:54"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row>
    <row r="56" spans="1:54"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row>
    <row r="57" spans="1:54"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spans="1:54"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row>
    <row r="59" spans="1:54"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spans="1:54"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row>
    <row r="61" spans="1:54"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spans="1:54"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row>
  </sheetData>
  <sheetProtection algorithmName="SHA-512" hashValue="4cxinLVJgwpbFbjkoKgWKliNIZJB64lcW1gl74jhiSkgaOsdC9tDqvu9gGiG7V6VRaxGysD7+VLW2ptcOVb7rQ==" saltValue="pClLyseXZvIFqyQqCo9CsQ==" spinCount="100000" sheet="1" objects="1" scenarios="1" selectLockedCells="1" selectUnlockedCells="1"/>
  <mergeCells count="25">
    <mergeCell ref="K24:L24"/>
    <mergeCell ref="B25:C25"/>
    <mergeCell ref="D25:J25"/>
    <mergeCell ref="K25:L25"/>
    <mergeCell ref="A12:A14"/>
    <mergeCell ref="A15:A17"/>
    <mergeCell ref="A18:A20"/>
    <mergeCell ref="B24:C24"/>
    <mergeCell ref="D24:J24"/>
    <mergeCell ref="A28:E29"/>
    <mergeCell ref="L1:L2"/>
    <mergeCell ref="A3:A5"/>
    <mergeCell ref="B1:B2"/>
    <mergeCell ref="C1:C2"/>
    <mergeCell ref="D1:D2"/>
    <mergeCell ref="E1:E2"/>
    <mergeCell ref="F1:F2"/>
    <mergeCell ref="G1:G2"/>
    <mergeCell ref="A21:A23"/>
    <mergeCell ref="H1:H2"/>
    <mergeCell ref="I1:I2"/>
    <mergeCell ref="J1:J2"/>
    <mergeCell ref="K1:K2"/>
    <mergeCell ref="A6:A8"/>
    <mergeCell ref="A9:A11"/>
  </mergeCells>
  <conditionalFormatting sqref="C10:D10">
    <cfRule type="cellIs" dxfId="1022" priority="93" operator="between">
      <formula>$K$15</formula>
      <formula>$K$17</formula>
    </cfRule>
    <cfRule type="cellIs" dxfId="1021" priority="94" operator="lessThan">
      <formula>$K$15</formula>
    </cfRule>
    <cfRule type="cellIs" dxfId="1020" priority="95" operator="greaterThan">
      <formula>$K$17</formula>
    </cfRule>
    <cfRule type="cellIs" dxfId="1019" priority="96" operator="between">
      <formula>$K$15</formula>
      <formula>$K$17</formula>
    </cfRule>
  </conditionalFormatting>
  <conditionalFormatting sqref="C13:D13">
    <cfRule type="cellIs" dxfId="1018" priority="12" operator="between">
      <formula>$C$12</formula>
      <formula>$C$14</formula>
    </cfRule>
    <cfRule type="cellIs" dxfId="1017" priority="10" operator="lessThan">
      <formula>$C$12</formula>
    </cfRule>
    <cfRule type="cellIs" dxfId="1016" priority="11" operator="greaterThan">
      <formula>$C$14</formula>
    </cfRule>
  </conditionalFormatting>
  <conditionalFormatting sqref="C16:D16">
    <cfRule type="cellIs" dxfId="1015" priority="87" operator="greaterThan">
      <formula>$K$17</formula>
    </cfRule>
    <cfRule type="cellIs" dxfId="1014" priority="85" operator="between">
      <formula>$K$15</formula>
      <formula>$K$17</formula>
    </cfRule>
    <cfRule type="cellIs" dxfId="1013" priority="86" operator="lessThan">
      <formula>$K$15</formula>
    </cfRule>
    <cfRule type="cellIs" dxfId="1012" priority="88" operator="between">
      <formula>$K$15</formula>
      <formula>$K$17</formula>
    </cfRule>
  </conditionalFormatting>
  <conditionalFormatting sqref="D13">
    <cfRule type="cellIs" dxfId="1011" priority="7" operator="between">
      <formula>$D$12</formula>
      <formula>$D$14</formula>
    </cfRule>
    <cfRule type="cellIs" dxfId="1010" priority="8" operator="lessThan">
      <formula>$D$12</formula>
    </cfRule>
    <cfRule type="cellIs" dxfId="1009" priority="9" operator="greaterThan">
      <formula>$D$14</formula>
    </cfRule>
  </conditionalFormatting>
  <conditionalFormatting sqref="E7">
    <cfRule type="cellIs" dxfId="1008" priority="108" operator="lessThan">
      <formula>$F$3</formula>
    </cfRule>
    <cfRule type="cellIs" dxfId="1007" priority="111" operator="between">
      <formula>$F$3</formula>
      <formula>$F$5</formula>
    </cfRule>
    <cfRule type="cellIs" dxfId="1006" priority="110" operator="between">
      <formula>$F$3</formula>
      <formula>$F$5</formula>
    </cfRule>
    <cfRule type="cellIs" dxfId="1005" priority="109" operator="greaterThan">
      <formula>$F$5</formula>
    </cfRule>
  </conditionalFormatting>
  <conditionalFormatting sqref="E13">
    <cfRule type="cellIs" dxfId="1004" priority="103" operator="between">
      <formula>$G$18</formula>
      <formula>$G$20</formula>
    </cfRule>
    <cfRule type="cellIs" dxfId="1003" priority="101" operator="lessThan">
      <formula>$G$18</formula>
    </cfRule>
    <cfRule type="cellIs" dxfId="1002" priority="102" operator="greaterThan">
      <formula>$G$20</formula>
    </cfRule>
  </conditionalFormatting>
  <conditionalFormatting sqref="E19">
    <cfRule type="cellIs" dxfId="1001" priority="107" operator="between">
      <formula>$F$3</formula>
      <formula>$F$5</formula>
    </cfRule>
    <cfRule type="cellIs" dxfId="1000" priority="106" operator="between">
      <formula>$F$3</formula>
      <formula>$F$5</formula>
    </cfRule>
    <cfRule type="cellIs" dxfId="999" priority="105" operator="greaterThan">
      <formula>$F$5</formula>
    </cfRule>
    <cfRule type="cellIs" dxfId="998" priority="104" operator="lessThan">
      <formula>$F$3</formula>
    </cfRule>
  </conditionalFormatting>
  <conditionalFormatting sqref="F4">
    <cfRule type="cellIs" dxfId="997" priority="115" operator="between">
      <formula>$F$3</formula>
      <formula>$F$5</formula>
    </cfRule>
    <cfRule type="cellIs" dxfId="996" priority="112" operator="lessThan">
      <formula>$F$3</formula>
    </cfRule>
    <cfRule type="cellIs" dxfId="995" priority="113" operator="greaterThan">
      <formula>$F$5</formula>
    </cfRule>
    <cfRule type="cellIs" dxfId="994" priority="114" operator="between">
      <formula>$F$3</formula>
      <formula>$F$5</formula>
    </cfRule>
  </conditionalFormatting>
  <conditionalFormatting sqref="F10">
    <cfRule type="cellIs" dxfId="993" priority="78" operator="greaterThan">
      <formula>$H$11</formula>
    </cfRule>
    <cfRule type="cellIs" dxfId="992" priority="77" operator="lessThan">
      <formula>$H$9</formula>
    </cfRule>
    <cfRule type="cellIs" dxfId="991" priority="76" operator="between">
      <formula>$H$9</formula>
      <formula>$H$11</formula>
    </cfRule>
  </conditionalFormatting>
  <conditionalFormatting sqref="F16">
    <cfRule type="cellIs" dxfId="990" priority="81" operator="greaterThan">
      <formula>$H$11</formula>
    </cfRule>
    <cfRule type="cellIs" dxfId="989" priority="80" operator="lessThan">
      <formula>$H$9</formula>
    </cfRule>
    <cfRule type="cellIs" dxfId="988" priority="79" operator="between">
      <formula>$H$9</formula>
      <formula>$H$11</formula>
    </cfRule>
  </conditionalFormatting>
  <conditionalFormatting sqref="F22">
    <cfRule type="cellIs" dxfId="987" priority="65" operator="lessThan">
      <formula>$F$3</formula>
    </cfRule>
    <cfRule type="cellIs" dxfId="986" priority="66" operator="greaterThan">
      <formula>$F$5</formula>
    </cfRule>
    <cfRule type="cellIs" dxfId="985" priority="67" operator="between">
      <formula>$F$3</formula>
      <formula>$F$5</formula>
    </cfRule>
    <cfRule type="cellIs" dxfId="984" priority="68" operator="between">
      <formula>$F$3</formula>
      <formula>$F$5</formula>
    </cfRule>
  </conditionalFormatting>
  <conditionalFormatting sqref="G7">
    <cfRule type="cellIs" dxfId="983" priority="18" operator="between">
      <formula>$G$18</formula>
      <formula>$G$20</formula>
    </cfRule>
    <cfRule type="cellIs" dxfId="982" priority="17" operator="greaterThan">
      <formula>$G$20</formula>
    </cfRule>
    <cfRule type="cellIs" dxfId="981" priority="16" operator="lessThan">
      <formula>$G$18</formula>
    </cfRule>
    <cfRule type="cellIs" dxfId="980" priority="15" operator="greaterThan">
      <formula>$G$8</formula>
    </cfRule>
    <cfRule type="cellIs" dxfId="979" priority="14" operator="lessThan">
      <formula>$G$6</formula>
    </cfRule>
    <cfRule type="cellIs" dxfId="978" priority="13" operator="between">
      <formula>$G$6</formula>
      <formula>$G$8</formula>
    </cfRule>
  </conditionalFormatting>
  <conditionalFormatting sqref="G13">
    <cfRule type="cellIs" dxfId="977" priority="73" operator="between">
      <formula>$H$9</formula>
      <formula>$H$11</formula>
    </cfRule>
    <cfRule type="cellIs" dxfId="976" priority="75" operator="greaterThan">
      <formula>$H$11</formula>
    </cfRule>
    <cfRule type="cellIs" dxfId="975" priority="74" operator="lessThan">
      <formula>$H$9</formula>
    </cfRule>
  </conditionalFormatting>
  <conditionalFormatting sqref="G19">
    <cfRule type="cellIs" dxfId="974" priority="20" operator="lessThan">
      <formula>$G$6</formula>
    </cfRule>
    <cfRule type="cellIs" dxfId="973" priority="21" operator="greaterThan">
      <formula>$G$8</formula>
    </cfRule>
    <cfRule type="cellIs" dxfId="972" priority="22" operator="lessThan">
      <formula>$G$18</formula>
    </cfRule>
    <cfRule type="cellIs" dxfId="971" priority="24" operator="between">
      <formula>$G$18</formula>
      <formula>$G$20</formula>
    </cfRule>
    <cfRule type="cellIs" dxfId="970" priority="23" operator="greaterThan">
      <formula>$G$20</formula>
    </cfRule>
    <cfRule type="cellIs" dxfId="969" priority="19" operator="between">
      <formula>$G$6</formula>
      <formula>$G$8</formula>
    </cfRule>
  </conditionalFormatting>
  <conditionalFormatting sqref="H4">
    <cfRule type="cellIs" dxfId="968" priority="70" operator="greaterThan">
      <formula>$F$5</formula>
    </cfRule>
    <cfRule type="cellIs" dxfId="967" priority="71" operator="between">
      <formula>$F$3</formula>
      <formula>$F$5</formula>
    </cfRule>
    <cfRule type="cellIs" dxfId="966" priority="72" operator="between">
      <formula>$F$3</formula>
      <formula>$F$5</formula>
    </cfRule>
    <cfRule type="cellIs" dxfId="965" priority="69" operator="lessThan">
      <formula>$F$3</formula>
    </cfRule>
  </conditionalFormatting>
  <conditionalFormatting sqref="H10">
    <cfRule type="cellIs" dxfId="964" priority="30" operator="greaterThan">
      <formula>$H$11</formula>
    </cfRule>
    <cfRule type="cellIs" dxfId="963" priority="28" operator="between">
      <formula>$H$9</formula>
      <formula>$H$11</formula>
    </cfRule>
    <cfRule type="cellIs" dxfId="962" priority="29" operator="lessThan">
      <formula>$H$9</formula>
    </cfRule>
  </conditionalFormatting>
  <conditionalFormatting sqref="H16">
    <cfRule type="cellIs" dxfId="961" priority="25" operator="between">
      <formula>$H$9</formula>
      <formula>$H$11</formula>
    </cfRule>
    <cfRule type="cellIs" dxfId="960" priority="26" operator="lessThan">
      <formula>$H$9</formula>
    </cfRule>
    <cfRule type="cellIs" dxfId="959" priority="27" operator="greaterThan">
      <formula>$H$11</formula>
    </cfRule>
  </conditionalFormatting>
  <conditionalFormatting sqref="H22">
    <cfRule type="cellIs" dxfId="958" priority="64" operator="between">
      <formula>$F$3</formula>
      <formula>$F$5</formula>
    </cfRule>
    <cfRule type="cellIs" dxfId="957" priority="63" operator="between">
      <formula>$F$3</formula>
      <formula>$F$5</formula>
    </cfRule>
    <cfRule type="cellIs" dxfId="956" priority="62" operator="greaterThan">
      <formula>$F$5</formula>
    </cfRule>
    <cfRule type="cellIs" dxfId="955" priority="61" operator="lessThan">
      <formula>$F$3</formula>
    </cfRule>
  </conditionalFormatting>
  <conditionalFormatting sqref="I7">
    <cfRule type="cellIs" dxfId="954" priority="60" operator="between">
      <formula>$F$3</formula>
      <formula>$F$5</formula>
    </cfRule>
    <cfRule type="cellIs" dxfId="953" priority="57" operator="lessThan">
      <formula>$F$3</formula>
    </cfRule>
    <cfRule type="cellIs" dxfId="952" priority="58" operator="greaterThan">
      <formula>$F$5</formula>
    </cfRule>
    <cfRule type="cellIs" dxfId="951" priority="59" operator="between">
      <formula>$F$3</formula>
      <formula>$F$5</formula>
    </cfRule>
  </conditionalFormatting>
  <conditionalFormatting sqref="I13">
    <cfRule type="cellIs" dxfId="950" priority="31" operator="lessThan">
      <formula>$G$18</formula>
    </cfRule>
    <cfRule type="cellIs" dxfId="949" priority="32" operator="greaterThan">
      <formula>$G$20</formula>
    </cfRule>
    <cfRule type="cellIs" dxfId="948" priority="33" operator="between">
      <formula>$G$18</formula>
      <formula>$G$20</formula>
    </cfRule>
  </conditionalFormatting>
  <conditionalFormatting sqref="I19">
    <cfRule type="cellIs" dxfId="947" priority="55" operator="between">
      <formula>$F$3</formula>
      <formula>$F$5</formula>
    </cfRule>
    <cfRule type="cellIs" dxfId="946" priority="54" operator="greaterThan">
      <formula>$F$5</formula>
    </cfRule>
    <cfRule type="cellIs" dxfId="945" priority="53" operator="lessThan">
      <formula>$F$3</formula>
    </cfRule>
    <cfRule type="cellIs" dxfId="944" priority="56" operator="between">
      <formula>$F$3</formula>
      <formula>$F$5</formula>
    </cfRule>
  </conditionalFormatting>
  <conditionalFormatting sqref="J13">
    <cfRule type="cellIs" dxfId="943" priority="1" operator="between">
      <formula>$D$12</formula>
      <formula>$D$14</formula>
    </cfRule>
    <cfRule type="cellIs" dxfId="942" priority="3" operator="greaterThan">
      <formula>$D$14</formula>
    </cfRule>
    <cfRule type="cellIs" dxfId="941" priority="2" operator="lessThan">
      <formula>$D$12</formula>
    </cfRule>
  </conditionalFormatting>
  <conditionalFormatting sqref="J10:K10">
    <cfRule type="cellIs" dxfId="940" priority="41" operator="between">
      <formula>$K$15</formula>
      <formula>$K$17</formula>
    </cfRule>
    <cfRule type="cellIs" dxfId="939" priority="38" operator="between">
      <formula>$K$15</formula>
      <formula>$K$17</formula>
    </cfRule>
    <cfRule type="cellIs" dxfId="938" priority="39" operator="lessThan">
      <formula>$K$15</formula>
    </cfRule>
    <cfRule type="cellIs" dxfId="937" priority="40" operator="greaterThan">
      <formula>$K$17</formula>
    </cfRule>
  </conditionalFormatting>
  <conditionalFormatting sqref="J13:K13">
    <cfRule type="cellIs" dxfId="936" priority="6" operator="between">
      <formula>$C$12</formula>
      <formula>$C$14</formula>
    </cfRule>
    <cfRule type="cellIs" dxfId="935" priority="5" operator="greaterThan">
      <formula>$C$14</formula>
    </cfRule>
    <cfRule type="cellIs" dxfId="934" priority="4" operator="lessThan">
      <formula>$C$12</formula>
    </cfRule>
  </conditionalFormatting>
  <conditionalFormatting sqref="J16:K16">
    <cfRule type="cellIs" dxfId="933" priority="36" operator="greaterThan">
      <formula>$K$17</formula>
    </cfRule>
    <cfRule type="cellIs" dxfId="932" priority="34" operator="between">
      <formula>$K$15</formula>
      <formula>$K$17</formula>
    </cfRule>
    <cfRule type="cellIs" dxfId="931" priority="35" operator="lessThan">
      <formula>$K$15</formula>
    </cfRule>
    <cfRule type="cellIs" dxfId="930" priority="37" operator="between">
      <formula>$K$15</formula>
      <formula>$K$17</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BB62"/>
  <sheetViews>
    <sheetView workbookViewId="0">
      <selection activeCell="A28" sqref="A28:E29"/>
    </sheetView>
  </sheetViews>
  <sheetFormatPr defaultRowHeight="12.75" x14ac:dyDescent="0.2"/>
  <cols>
    <col min="7" max="7" width="9.140625" customWidth="1"/>
  </cols>
  <sheetData>
    <row r="1" spans="1:54" x14ac:dyDescent="0.2">
      <c r="A1" s="1" t="s">
        <v>0</v>
      </c>
      <c r="B1" s="84" t="s">
        <v>1</v>
      </c>
      <c r="C1" s="84" t="s">
        <v>2</v>
      </c>
      <c r="D1" s="84" t="s">
        <v>3</v>
      </c>
      <c r="E1" s="84" t="s">
        <v>4</v>
      </c>
      <c r="F1" s="84" t="s">
        <v>5</v>
      </c>
      <c r="G1" s="84" t="s">
        <v>6</v>
      </c>
      <c r="H1" s="84" t="s">
        <v>5</v>
      </c>
      <c r="I1" s="84" t="s">
        <v>4</v>
      </c>
      <c r="J1" s="84" t="s">
        <v>3</v>
      </c>
      <c r="K1" s="84" t="s">
        <v>2</v>
      </c>
      <c r="L1" s="95" t="s">
        <v>1</v>
      </c>
      <c r="M1" s="13"/>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13.5" thickBot="1" x14ac:dyDescent="0.25">
      <c r="A2" s="3" t="s">
        <v>7</v>
      </c>
      <c r="B2" s="85"/>
      <c r="C2" s="85"/>
      <c r="D2" s="85"/>
      <c r="E2" s="85"/>
      <c r="F2" s="85"/>
      <c r="G2" s="85"/>
      <c r="H2" s="85"/>
      <c r="I2" s="85"/>
      <c r="J2" s="85"/>
      <c r="K2" s="85"/>
      <c r="L2" s="96"/>
      <c r="M2" s="13"/>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x14ac:dyDescent="0.2">
      <c r="A3" s="97" t="s">
        <v>8</v>
      </c>
      <c r="B3" s="14"/>
      <c r="C3" s="14"/>
      <c r="D3" s="14"/>
      <c r="E3" s="14"/>
      <c r="F3" s="15">
        <v>100</v>
      </c>
      <c r="G3" s="14"/>
      <c r="H3" s="15">
        <v>100</v>
      </c>
      <c r="I3" s="14"/>
      <c r="J3" s="14"/>
      <c r="K3" s="14"/>
      <c r="L3" s="16"/>
      <c r="M3" s="1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x14ac:dyDescent="0.2">
      <c r="A4" s="98"/>
      <c r="B4" s="17"/>
      <c r="C4" s="17"/>
      <c r="D4" s="17"/>
      <c r="E4" s="17"/>
      <c r="F4" s="18">
        <f>('Officieel ECE R65 testrapport'!F3/100)*31.77</f>
        <v>0</v>
      </c>
      <c r="G4" s="17"/>
      <c r="H4" s="18">
        <f>('Officieel ECE R65 testrapport'!H3/100)*31.77</f>
        <v>0</v>
      </c>
      <c r="I4" s="17"/>
      <c r="J4" s="17"/>
      <c r="K4" s="17"/>
      <c r="L4" s="19"/>
      <c r="M4" s="1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3.5" thickBot="1" x14ac:dyDescent="0.25">
      <c r="A5" s="99"/>
      <c r="B5" s="20"/>
      <c r="C5" s="20"/>
      <c r="D5" s="20"/>
      <c r="E5" s="20"/>
      <c r="F5" s="21">
        <v>1500</v>
      </c>
      <c r="G5" s="20"/>
      <c r="H5" s="21">
        <v>1500</v>
      </c>
      <c r="I5" s="20"/>
      <c r="J5" s="20"/>
      <c r="K5" s="20"/>
      <c r="L5" s="22"/>
      <c r="M5" s="13"/>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x14ac:dyDescent="0.2">
      <c r="A6" s="97" t="s">
        <v>9</v>
      </c>
      <c r="B6" s="14"/>
      <c r="C6" s="14"/>
      <c r="D6" s="14"/>
      <c r="E6" s="15">
        <v>100</v>
      </c>
      <c r="F6" s="14"/>
      <c r="G6" s="15">
        <v>150</v>
      </c>
      <c r="H6" s="14"/>
      <c r="I6" s="15">
        <v>100</v>
      </c>
      <c r="J6" s="14"/>
      <c r="K6" s="14"/>
      <c r="L6" s="16"/>
      <c r="M6" s="1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x14ac:dyDescent="0.2">
      <c r="A7" s="98"/>
      <c r="B7" s="17"/>
      <c r="C7" s="17"/>
      <c r="D7" s="17"/>
      <c r="E7" s="18">
        <f>('Officieel ECE R65 testrapport'!E4/100)*31.4</f>
        <v>0</v>
      </c>
      <c r="F7" s="17"/>
      <c r="G7" s="18">
        <f>('Officieel ECE R65 testrapport'!G4/100)*32.11</f>
        <v>0</v>
      </c>
      <c r="H7" s="17"/>
      <c r="I7" s="18">
        <f>('Officieel ECE R65 testrapport'!I4/100)*31.4</f>
        <v>0</v>
      </c>
      <c r="J7" s="17"/>
      <c r="K7" s="17"/>
      <c r="L7" s="19"/>
      <c r="M7" s="13"/>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3.5" thickBot="1" x14ac:dyDescent="0.25">
      <c r="A8" s="99"/>
      <c r="B8" s="20"/>
      <c r="C8" s="20"/>
      <c r="D8" s="20"/>
      <c r="E8" s="21">
        <v>1500</v>
      </c>
      <c r="F8" s="20"/>
      <c r="G8" s="21">
        <v>1500</v>
      </c>
      <c r="H8" s="20"/>
      <c r="I8" s="21">
        <v>1500</v>
      </c>
      <c r="J8" s="20"/>
      <c r="K8" s="20"/>
      <c r="L8" s="22"/>
      <c r="M8" s="13"/>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x14ac:dyDescent="0.2">
      <c r="A9" s="97" t="s">
        <v>10</v>
      </c>
      <c r="B9" s="15">
        <v>40</v>
      </c>
      <c r="C9" s="15">
        <v>40</v>
      </c>
      <c r="D9" s="15">
        <v>40</v>
      </c>
      <c r="E9" s="14"/>
      <c r="F9" s="15">
        <v>200</v>
      </c>
      <c r="G9" s="14"/>
      <c r="H9" s="15">
        <v>200</v>
      </c>
      <c r="I9" s="14"/>
      <c r="J9" s="15">
        <v>40</v>
      </c>
      <c r="K9" s="15">
        <v>40</v>
      </c>
      <c r="L9" s="23">
        <v>40</v>
      </c>
      <c r="M9" s="13"/>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x14ac:dyDescent="0.2">
      <c r="A10" s="98"/>
      <c r="B10" s="24" t="s">
        <v>11</v>
      </c>
      <c r="C10" s="18">
        <f>('Officieel ECE R65 testrapport'!C5/100)*28.53</f>
        <v>0</v>
      </c>
      <c r="D10" s="18">
        <f>('Officieel ECE R65 testrapport'!D5/100)*30.76</f>
        <v>0</v>
      </c>
      <c r="E10" s="17"/>
      <c r="F10" s="18">
        <f>('Officieel ECE R65 testrapport'!F5/100)*31.86</f>
        <v>0</v>
      </c>
      <c r="G10" s="17"/>
      <c r="H10" s="18">
        <f>('Officieel ECE R65 testrapport'!H5/100)*31.86</f>
        <v>0</v>
      </c>
      <c r="I10" s="17"/>
      <c r="J10" s="18">
        <f>('Officieel ECE R65 testrapport'!J5/100)*30.76</f>
        <v>0</v>
      </c>
      <c r="K10" s="18">
        <f>('Officieel ECE R65 testrapport'!K5/100)*28.53</f>
        <v>0</v>
      </c>
      <c r="L10" s="25" t="s">
        <v>11</v>
      </c>
      <c r="M10" s="13"/>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ht="13.5" thickBot="1" x14ac:dyDescent="0.25">
      <c r="A11" s="99"/>
      <c r="B11" s="21">
        <v>1000</v>
      </c>
      <c r="C11" s="21">
        <v>1000</v>
      </c>
      <c r="D11" s="21">
        <v>1000</v>
      </c>
      <c r="E11" s="26"/>
      <c r="F11" s="21">
        <v>3000</v>
      </c>
      <c r="G11" s="26"/>
      <c r="H11" s="21">
        <v>3000</v>
      </c>
      <c r="I11" s="26"/>
      <c r="J11" s="21">
        <v>1000</v>
      </c>
      <c r="K11" s="21">
        <v>1000</v>
      </c>
      <c r="L11" s="27">
        <v>1000</v>
      </c>
      <c r="M11" s="13"/>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x14ac:dyDescent="0.2">
      <c r="A12" s="97" t="s">
        <v>6</v>
      </c>
      <c r="B12" s="15">
        <v>100</v>
      </c>
      <c r="C12" s="15">
        <v>100</v>
      </c>
      <c r="D12" s="15">
        <v>100</v>
      </c>
      <c r="E12" s="28">
        <v>150</v>
      </c>
      <c r="F12" s="14"/>
      <c r="G12" s="15">
        <v>200</v>
      </c>
      <c r="H12" s="14"/>
      <c r="I12" s="23">
        <v>150</v>
      </c>
      <c r="J12" s="15">
        <v>100</v>
      </c>
      <c r="K12" s="15">
        <v>100</v>
      </c>
      <c r="L12" s="23">
        <v>100</v>
      </c>
      <c r="M12" s="13"/>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x14ac:dyDescent="0.2">
      <c r="A13" s="98"/>
      <c r="B13" s="24" t="s">
        <v>11</v>
      </c>
      <c r="C13" s="18">
        <f>('Officieel ECE R65 testrapport'!C6/100)*28.56</f>
        <v>0</v>
      </c>
      <c r="D13" s="18">
        <f>('Officieel ECE R65 testrapport'!D6/100)*30.78</f>
        <v>0</v>
      </c>
      <c r="E13" s="18">
        <f>('Officieel ECE R65 testrapport'!E6/100)*31.44</f>
        <v>0</v>
      </c>
      <c r="F13" s="17"/>
      <c r="G13" s="18">
        <f>('Officieel ECE R65 testrapport'!G6/100)*32.53</f>
        <v>0</v>
      </c>
      <c r="H13" s="17"/>
      <c r="I13" s="18">
        <f>('Officieel ECE R65 testrapport'!I6/100)*31.44</f>
        <v>0</v>
      </c>
      <c r="J13" s="18">
        <f>('Officieel ECE R65 testrapport'!J6/100)*30.78</f>
        <v>0</v>
      </c>
      <c r="K13" s="18">
        <f>('Officieel ECE R65 testrapport'!K6/100)*28.56</f>
        <v>0</v>
      </c>
      <c r="L13" s="25" t="s">
        <v>11</v>
      </c>
      <c r="M13" s="13"/>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ht="13.5" thickBot="1" x14ac:dyDescent="0.25">
      <c r="A14" s="99"/>
      <c r="B14" s="21">
        <v>1000</v>
      </c>
      <c r="C14" s="21">
        <v>1000</v>
      </c>
      <c r="D14" s="21">
        <v>1000</v>
      </c>
      <c r="E14" s="29">
        <v>1500</v>
      </c>
      <c r="F14" s="20"/>
      <c r="G14" s="21">
        <v>3000</v>
      </c>
      <c r="H14" s="20"/>
      <c r="I14" s="27">
        <v>1500</v>
      </c>
      <c r="J14" s="21">
        <v>1000</v>
      </c>
      <c r="K14" s="21">
        <v>1000</v>
      </c>
      <c r="L14" s="27">
        <v>1000</v>
      </c>
      <c r="M14" s="13"/>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x14ac:dyDescent="0.2">
      <c r="A15" s="97" t="s">
        <v>10</v>
      </c>
      <c r="B15" s="15">
        <v>40</v>
      </c>
      <c r="C15" s="15">
        <v>40</v>
      </c>
      <c r="D15" s="15">
        <v>40</v>
      </c>
      <c r="E15" s="14"/>
      <c r="F15" s="15">
        <v>200</v>
      </c>
      <c r="G15" s="14"/>
      <c r="H15" s="15">
        <v>200</v>
      </c>
      <c r="I15" s="14"/>
      <c r="J15" s="15">
        <v>40</v>
      </c>
      <c r="K15" s="15">
        <v>40</v>
      </c>
      <c r="L15" s="23">
        <v>40</v>
      </c>
      <c r="M15" s="13"/>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x14ac:dyDescent="0.2">
      <c r="A16" s="98"/>
      <c r="B16" s="24" t="s">
        <v>11</v>
      </c>
      <c r="C16" s="18">
        <f>('Officieel ECE R65 testrapport'!C7/100)*28.53</f>
        <v>0</v>
      </c>
      <c r="D16" s="18">
        <f>('Officieel ECE R65 testrapport'!D7/100)*30.76</f>
        <v>0</v>
      </c>
      <c r="E16" s="17"/>
      <c r="F16" s="18">
        <f>('Officieel ECE R65 testrapport'!F7/100)*31.86</f>
        <v>0</v>
      </c>
      <c r="G16" s="17"/>
      <c r="H16" s="18">
        <f>('Officieel ECE R65 testrapport'!H7/100)*31.86</f>
        <v>0</v>
      </c>
      <c r="I16" s="17"/>
      <c r="J16" s="18">
        <f>('Officieel ECE R65 testrapport'!J7/100)*30.76</f>
        <v>0</v>
      </c>
      <c r="K16" s="18">
        <f>('Officieel ECE R65 testrapport'!K7/100)*28.53</f>
        <v>0</v>
      </c>
      <c r="L16" s="25" t="s">
        <v>11</v>
      </c>
      <c r="M16" s="13"/>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ht="13.5" thickBot="1" x14ac:dyDescent="0.25">
      <c r="A17" s="99"/>
      <c r="B17" s="21">
        <v>1000</v>
      </c>
      <c r="C17" s="21">
        <v>1000</v>
      </c>
      <c r="D17" s="21">
        <v>1000</v>
      </c>
      <c r="E17" s="20"/>
      <c r="F17" s="21">
        <v>3000</v>
      </c>
      <c r="G17" s="30"/>
      <c r="H17" s="21">
        <v>3000</v>
      </c>
      <c r="I17" s="20"/>
      <c r="J17" s="21">
        <v>1000</v>
      </c>
      <c r="K17" s="21">
        <v>1000</v>
      </c>
      <c r="L17" s="27">
        <v>1000</v>
      </c>
      <c r="M17" s="13"/>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x14ac:dyDescent="0.2">
      <c r="A18" s="97" t="s">
        <v>9</v>
      </c>
      <c r="B18" s="14"/>
      <c r="C18" s="14"/>
      <c r="D18" s="14"/>
      <c r="E18" s="15">
        <v>100</v>
      </c>
      <c r="F18" s="14"/>
      <c r="G18" s="31">
        <v>150</v>
      </c>
      <c r="H18" s="14"/>
      <c r="I18" s="15">
        <v>100</v>
      </c>
      <c r="J18" s="14"/>
      <c r="K18" s="14"/>
      <c r="L18" s="16"/>
      <c r="M18" s="13"/>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x14ac:dyDescent="0.2">
      <c r="A19" s="98"/>
      <c r="B19" s="17"/>
      <c r="C19" s="17"/>
      <c r="D19" s="17"/>
      <c r="E19" s="18">
        <f>('Officieel ECE R65 testrapport'!E8/100)*31.4</f>
        <v>0</v>
      </c>
      <c r="F19" s="17"/>
      <c r="G19" s="18">
        <f>('Officieel ECE R65 testrapport'!G8/100)*32.11</f>
        <v>0</v>
      </c>
      <c r="H19" s="17"/>
      <c r="I19" s="18">
        <f>('Officieel ECE R65 testrapport'!I8/100)*31.4</f>
        <v>0</v>
      </c>
      <c r="J19" s="17"/>
      <c r="K19" s="17"/>
      <c r="L19" s="19"/>
      <c r="M19" s="13"/>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ht="13.5" thickBot="1" x14ac:dyDescent="0.25">
      <c r="A20" s="99"/>
      <c r="B20" s="20"/>
      <c r="C20" s="20"/>
      <c r="D20" s="20"/>
      <c r="E20" s="21">
        <v>1500</v>
      </c>
      <c r="F20" s="20"/>
      <c r="G20" s="21">
        <v>1500</v>
      </c>
      <c r="H20" s="20"/>
      <c r="I20" s="21">
        <v>1500</v>
      </c>
      <c r="J20" s="20"/>
      <c r="K20" s="20"/>
      <c r="L20" s="22"/>
      <c r="M20" s="13"/>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x14ac:dyDescent="0.2">
      <c r="A21" s="97" t="s">
        <v>8</v>
      </c>
      <c r="B21" s="14"/>
      <c r="C21" s="14"/>
      <c r="D21" s="14"/>
      <c r="E21" s="14"/>
      <c r="F21" s="15">
        <v>100</v>
      </c>
      <c r="G21" s="14"/>
      <c r="H21" s="15">
        <v>100</v>
      </c>
      <c r="I21" s="14"/>
      <c r="J21" s="14"/>
      <c r="K21" s="14"/>
      <c r="L21" s="16"/>
      <c r="M21" s="13"/>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x14ac:dyDescent="0.2">
      <c r="A22" s="98"/>
      <c r="B22" s="17"/>
      <c r="C22" s="17"/>
      <c r="D22" s="17"/>
      <c r="E22" s="17"/>
      <c r="F22" s="18">
        <f>('Officieel ECE R65 testrapport'!F9/100)*31.77</f>
        <v>0</v>
      </c>
      <c r="G22" s="17"/>
      <c r="H22" s="18">
        <f>('Officieel ECE R65 testrapport'!H9/100)*31.77</f>
        <v>0</v>
      </c>
      <c r="I22" s="17"/>
      <c r="J22" s="17"/>
      <c r="K22" s="17"/>
      <c r="L22" s="19"/>
      <c r="M22" s="13"/>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13.5" thickBot="1" x14ac:dyDescent="0.25">
      <c r="A23" s="99"/>
      <c r="B23" s="20"/>
      <c r="C23" s="20"/>
      <c r="D23" s="20"/>
      <c r="E23" s="20"/>
      <c r="F23" s="21">
        <v>1500</v>
      </c>
      <c r="G23" s="20"/>
      <c r="H23" s="21">
        <v>1500</v>
      </c>
      <c r="I23" s="20"/>
      <c r="J23" s="20"/>
      <c r="K23" s="20"/>
      <c r="L23" s="22"/>
      <c r="M23" s="13"/>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1:54" x14ac:dyDescent="0.2">
      <c r="A24" s="2"/>
      <c r="B24" s="82" t="s">
        <v>12</v>
      </c>
      <c r="C24" s="83"/>
      <c r="D24" s="82" t="s">
        <v>13</v>
      </c>
      <c r="E24" s="83"/>
      <c r="F24" s="83"/>
      <c r="G24" s="83"/>
      <c r="H24" s="83"/>
      <c r="I24" s="83"/>
      <c r="J24" s="88"/>
      <c r="K24" s="83" t="s">
        <v>12</v>
      </c>
      <c r="L24" s="83"/>
      <c r="M24" s="1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row>
    <row r="25" spans="1:54" ht="13.5" thickBot="1" x14ac:dyDescent="0.25">
      <c r="A25" s="2"/>
      <c r="B25" s="79" t="s">
        <v>14</v>
      </c>
      <c r="C25" s="80"/>
      <c r="D25" s="79" t="s">
        <v>14</v>
      </c>
      <c r="E25" s="80"/>
      <c r="F25" s="80"/>
      <c r="G25" s="80"/>
      <c r="H25" s="80"/>
      <c r="I25" s="80"/>
      <c r="J25" s="81"/>
      <c r="K25" s="80" t="s">
        <v>14</v>
      </c>
      <c r="L25" s="80"/>
      <c r="M25" s="13"/>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row>
    <row r="26" spans="1:54"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row>
    <row r="27" spans="1:54" ht="13.5" thickBo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spans="1:54" ht="13.5" thickTop="1" x14ac:dyDescent="0.2">
      <c r="A28" s="89" t="s">
        <v>19</v>
      </c>
      <c r="B28" s="90"/>
      <c r="C28" s="90"/>
      <c r="D28" s="90"/>
      <c r="E28" s="91"/>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ht="13.5" thickBot="1" x14ac:dyDescent="0.25">
      <c r="A29" s="92"/>
      <c r="B29" s="93"/>
      <c r="C29" s="93"/>
      <c r="D29" s="93"/>
      <c r="E29" s="94"/>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row>
    <row r="30" spans="1:54" ht="13.5" thickTop="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row>
    <row r="31" spans="1:54"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spans="1:54"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row>
    <row r="33" spans="1:54"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54"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1:54"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1:54"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4"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1:54"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1:54"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1:54"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4"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4"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1:54"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1:54"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1:54"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1:54"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1:54"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spans="1:54"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row>
    <row r="56" spans="1:54"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row>
    <row r="57" spans="1:54"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spans="1:54"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row>
    <row r="59" spans="1:54"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spans="1:54"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row>
    <row r="61" spans="1:54"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spans="1:54"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row>
  </sheetData>
  <sheetProtection algorithmName="SHA-512" hashValue="hL0PUp0UKAhvKg/o4/T0KBueozZEqpO8YUFlGyWq1eL8aAkcufiggf4IWN0vapk+KxtIRNeDc7iTqPKA5vIy9A==" saltValue="GN3IKjyustzM3a3+yLNj/g==" spinCount="100000" sheet="1" objects="1" scenarios="1" selectLockedCells="1" selectUnlockedCells="1"/>
  <mergeCells count="25">
    <mergeCell ref="K24:L24"/>
    <mergeCell ref="B25:C25"/>
    <mergeCell ref="D25:J25"/>
    <mergeCell ref="K25:L25"/>
    <mergeCell ref="A12:A14"/>
    <mergeCell ref="A15:A17"/>
    <mergeCell ref="A18:A20"/>
    <mergeCell ref="B24:C24"/>
    <mergeCell ref="D24:J24"/>
    <mergeCell ref="A28:E29"/>
    <mergeCell ref="L1:L2"/>
    <mergeCell ref="A3:A5"/>
    <mergeCell ref="B1:B2"/>
    <mergeCell ref="C1:C2"/>
    <mergeCell ref="D1:D2"/>
    <mergeCell ref="E1:E2"/>
    <mergeCell ref="F1:F2"/>
    <mergeCell ref="G1:G2"/>
    <mergeCell ref="A21:A23"/>
    <mergeCell ref="H1:H2"/>
    <mergeCell ref="I1:I2"/>
    <mergeCell ref="J1:J2"/>
    <mergeCell ref="K1:K2"/>
    <mergeCell ref="A6:A8"/>
    <mergeCell ref="A9:A11"/>
  </mergeCells>
  <conditionalFormatting sqref="C10:D10">
    <cfRule type="cellIs" dxfId="929" priority="93" operator="between">
      <formula>$K$15</formula>
      <formula>$K$17</formula>
    </cfRule>
    <cfRule type="cellIs" dxfId="928" priority="94" operator="lessThan">
      <formula>$K$15</formula>
    </cfRule>
    <cfRule type="cellIs" dxfId="927" priority="95" operator="greaterThan">
      <formula>$K$17</formula>
    </cfRule>
    <cfRule type="cellIs" dxfId="926" priority="96" operator="between">
      <formula>$K$15</formula>
      <formula>$K$17</formula>
    </cfRule>
  </conditionalFormatting>
  <conditionalFormatting sqref="C13:D13">
    <cfRule type="cellIs" dxfId="925" priority="12" operator="between">
      <formula>$C$12</formula>
      <formula>$C$14</formula>
    </cfRule>
    <cfRule type="cellIs" dxfId="924" priority="10" operator="lessThan">
      <formula>$C$12</formula>
    </cfRule>
    <cfRule type="cellIs" dxfId="923" priority="11" operator="greaterThan">
      <formula>$C$14</formula>
    </cfRule>
  </conditionalFormatting>
  <conditionalFormatting sqref="C16:D16">
    <cfRule type="cellIs" dxfId="922" priority="87" operator="greaterThan">
      <formula>$K$17</formula>
    </cfRule>
    <cfRule type="cellIs" dxfId="921" priority="85" operator="between">
      <formula>$K$15</formula>
      <formula>$K$17</formula>
    </cfRule>
    <cfRule type="cellIs" dxfId="920" priority="86" operator="lessThan">
      <formula>$K$15</formula>
    </cfRule>
    <cfRule type="cellIs" dxfId="919" priority="88" operator="between">
      <formula>$K$15</formula>
      <formula>$K$17</formula>
    </cfRule>
  </conditionalFormatting>
  <conditionalFormatting sqref="D13">
    <cfRule type="cellIs" dxfId="918" priority="7" operator="between">
      <formula>$D$12</formula>
      <formula>$D$14</formula>
    </cfRule>
    <cfRule type="cellIs" dxfId="917" priority="8" operator="lessThan">
      <formula>$D$12</formula>
    </cfRule>
    <cfRule type="cellIs" dxfId="916" priority="9" operator="greaterThan">
      <formula>$D$14</formula>
    </cfRule>
  </conditionalFormatting>
  <conditionalFormatting sqref="E7">
    <cfRule type="cellIs" dxfId="915" priority="108" operator="lessThan">
      <formula>$F$3</formula>
    </cfRule>
    <cfRule type="cellIs" dxfId="914" priority="111" operator="between">
      <formula>$F$3</formula>
      <formula>$F$5</formula>
    </cfRule>
    <cfRule type="cellIs" dxfId="913" priority="110" operator="between">
      <formula>$F$3</formula>
      <formula>$F$5</formula>
    </cfRule>
    <cfRule type="cellIs" dxfId="912" priority="109" operator="greaterThan">
      <formula>$F$5</formula>
    </cfRule>
  </conditionalFormatting>
  <conditionalFormatting sqref="E13">
    <cfRule type="cellIs" dxfId="911" priority="103" operator="between">
      <formula>$G$18</formula>
      <formula>$G$20</formula>
    </cfRule>
    <cfRule type="cellIs" dxfId="910" priority="101" operator="lessThan">
      <formula>$G$18</formula>
    </cfRule>
    <cfRule type="cellIs" dxfId="909" priority="102" operator="greaterThan">
      <formula>$G$20</formula>
    </cfRule>
  </conditionalFormatting>
  <conditionalFormatting sqref="E19">
    <cfRule type="cellIs" dxfId="908" priority="107" operator="between">
      <formula>$F$3</formula>
      <formula>$F$5</formula>
    </cfRule>
    <cfRule type="cellIs" dxfId="907" priority="106" operator="between">
      <formula>$F$3</formula>
      <formula>$F$5</formula>
    </cfRule>
    <cfRule type="cellIs" dxfId="906" priority="105" operator="greaterThan">
      <formula>$F$5</formula>
    </cfRule>
    <cfRule type="cellIs" dxfId="905" priority="104" operator="lessThan">
      <formula>$F$3</formula>
    </cfRule>
  </conditionalFormatting>
  <conditionalFormatting sqref="F4">
    <cfRule type="cellIs" dxfId="904" priority="115" operator="between">
      <formula>$F$3</formula>
      <formula>$F$5</formula>
    </cfRule>
    <cfRule type="cellIs" dxfId="903" priority="112" operator="lessThan">
      <formula>$F$3</formula>
    </cfRule>
    <cfRule type="cellIs" dxfId="902" priority="113" operator="greaterThan">
      <formula>$F$5</formula>
    </cfRule>
    <cfRule type="cellIs" dxfId="901" priority="114" operator="between">
      <formula>$F$3</formula>
      <formula>$F$5</formula>
    </cfRule>
  </conditionalFormatting>
  <conditionalFormatting sqref="F10">
    <cfRule type="cellIs" dxfId="900" priority="78" operator="greaterThan">
      <formula>$H$11</formula>
    </cfRule>
    <cfRule type="cellIs" dxfId="899" priority="77" operator="lessThan">
      <formula>$H$9</formula>
    </cfRule>
    <cfRule type="cellIs" dxfId="898" priority="76" operator="between">
      <formula>$H$9</formula>
      <formula>$H$11</formula>
    </cfRule>
  </conditionalFormatting>
  <conditionalFormatting sqref="F16">
    <cfRule type="cellIs" dxfId="897" priority="81" operator="greaterThan">
      <formula>$H$11</formula>
    </cfRule>
    <cfRule type="cellIs" dxfId="896" priority="80" operator="lessThan">
      <formula>$H$9</formula>
    </cfRule>
    <cfRule type="cellIs" dxfId="895" priority="79" operator="between">
      <formula>$H$9</formula>
      <formula>$H$11</formula>
    </cfRule>
  </conditionalFormatting>
  <conditionalFormatting sqref="F22">
    <cfRule type="cellIs" dxfId="894" priority="65" operator="lessThan">
      <formula>$F$3</formula>
    </cfRule>
    <cfRule type="cellIs" dxfId="893" priority="66" operator="greaterThan">
      <formula>$F$5</formula>
    </cfRule>
    <cfRule type="cellIs" dxfId="892" priority="67" operator="between">
      <formula>$F$3</formula>
      <formula>$F$5</formula>
    </cfRule>
    <cfRule type="cellIs" dxfId="891" priority="68" operator="between">
      <formula>$F$3</formula>
      <formula>$F$5</formula>
    </cfRule>
  </conditionalFormatting>
  <conditionalFormatting sqref="G7">
    <cfRule type="cellIs" dxfId="890" priority="18" operator="between">
      <formula>$G$18</formula>
      <formula>$G$20</formula>
    </cfRule>
    <cfRule type="cellIs" dxfId="889" priority="17" operator="greaterThan">
      <formula>$G$20</formula>
    </cfRule>
    <cfRule type="cellIs" dxfId="888" priority="16" operator="lessThan">
      <formula>$G$18</formula>
    </cfRule>
    <cfRule type="cellIs" dxfId="887" priority="15" operator="greaterThan">
      <formula>$G$8</formula>
    </cfRule>
    <cfRule type="cellIs" dxfId="886" priority="14" operator="lessThan">
      <formula>$G$6</formula>
    </cfRule>
    <cfRule type="cellIs" dxfId="885" priority="13" operator="between">
      <formula>$G$6</formula>
      <formula>$G$8</formula>
    </cfRule>
  </conditionalFormatting>
  <conditionalFormatting sqref="G13">
    <cfRule type="cellIs" dxfId="884" priority="73" operator="between">
      <formula>$H$9</formula>
      <formula>$H$11</formula>
    </cfRule>
    <cfRule type="cellIs" dxfId="883" priority="75" operator="greaterThan">
      <formula>$H$11</formula>
    </cfRule>
    <cfRule type="cellIs" dxfId="882" priority="74" operator="lessThan">
      <formula>$H$9</formula>
    </cfRule>
  </conditionalFormatting>
  <conditionalFormatting sqref="G19">
    <cfRule type="cellIs" dxfId="881" priority="20" operator="lessThan">
      <formula>$G$6</formula>
    </cfRule>
    <cfRule type="cellIs" dxfId="880" priority="21" operator="greaterThan">
      <formula>$G$8</formula>
    </cfRule>
    <cfRule type="cellIs" dxfId="879" priority="22" operator="lessThan">
      <formula>$G$18</formula>
    </cfRule>
    <cfRule type="cellIs" dxfId="878" priority="24" operator="between">
      <formula>$G$18</formula>
      <formula>$G$20</formula>
    </cfRule>
    <cfRule type="cellIs" dxfId="877" priority="23" operator="greaterThan">
      <formula>$G$20</formula>
    </cfRule>
    <cfRule type="cellIs" dxfId="876" priority="19" operator="between">
      <formula>$G$6</formula>
      <formula>$G$8</formula>
    </cfRule>
  </conditionalFormatting>
  <conditionalFormatting sqref="H4">
    <cfRule type="cellIs" dxfId="875" priority="70" operator="greaterThan">
      <formula>$F$5</formula>
    </cfRule>
    <cfRule type="cellIs" dxfId="874" priority="71" operator="between">
      <formula>$F$3</formula>
      <formula>$F$5</formula>
    </cfRule>
    <cfRule type="cellIs" dxfId="873" priority="72" operator="between">
      <formula>$F$3</formula>
      <formula>$F$5</formula>
    </cfRule>
    <cfRule type="cellIs" dxfId="872" priority="69" operator="lessThan">
      <formula>$F$3</formula>
    </cfRule>
  </conditionalFormatting>
  <conditionalFormatting sqref="H10">
    <cfRule type="cellIs" dxfId="871" priority="30" operator="greaterThan">
      <formula>$H$11</formula>
    </cfRule>
    <cfRule type="cellIs" dxfId="870" priority="28" operator="between">
      <formula>$H$9</formula>
      <formula>$H$11</formula>
    </cfRule>
    <cfRule type="cellIs" dxfId="869" priority="29" operator="lessThan">
      <formula>$H$9</formula>
    </cfRule>
  </conditionalFormatting>
  <conditionalFormatting sqref="H16">
    <cfRule type="cellIs" dxfId="868" priority="25" operator="between">
      <formula>$H$9</formula>
      <formula>$H$11</formula>
    </cfRule>
    <cfRule type="cellIs" dxfId="867" priority="26" operator="lessThan">
      <formula>$H$9</formula>
    </cfRule>
    <cfRule type="cellIs" dxfId="866" priority="27" operator="greaterThan">
      <formula>$H$11</formula>
    </cfRule>
  </conditionalFormatting>
  <conditionalFormatting sqref="H22">
    <cfRule type="cellIs" dxfId="865" priority="64" operator="between">
      <formula>$F$3</formula>
      <formula>$F$5</formula>
    </cfRule>
    <cfRule type="cellIs" dxfId="864" priority="63" operator="between">
      <formula>$F$3</formula>
      <formula>$F$5</formula>
    </cfRule>
    <cfRule type="cellIs" dxfId="863" priority="62" operator="greaterThan">
      <formula>$F$5</formula>
    </cfRule>
    <cfRule type="cellIs" dxfId="862" priority="61" operator="lessThan">
      <formula>$F$3</formula>
    </cfRule>
  </conditionalFormatting>
  <conditionalFormatting sqref="I7">
    <cfRule type="cellIs" dxfId="861" priority="60" operator="between">
      <formula>$F$3</formula>
      <formula>$F$5</formula>
    </cfRule>
    <cfRule type="cellIs" dxfId="860" priority="57" operator="lessThan">
      <formula>$F$3</formula>
    </cfRule>
    <cfRule type="cellIs" dxfId="859" priority="58" operator="greaterThan">
      <formula>$F$5</formula>
    </cfRule>
    <cfRule type="cellIs" dxfId="858" priority="59" operator="between">
      <formula>$F$3</formula>
      <formula>$F$5</formula>
    </cfRule>
  </conditionalFormatting>
  <conditionalFormatting sqref="I13">
    <cfRule type="cellIs" dxfId="857" priority="31" operator="lessThan">
      <formula>$G$18</formula>
    </cfRule>
    <cfRule type="cellIs" dxfId="856" priority="32" operator="greaterThan">
      <formula>$G$20</formula>
    </cfRule>
    <cfRule type="cellIs" dxfId="855" priority="33" operator="between">
      <formula>$G$18</formula>
      <formula>$G$20</formula>
    </cfRule>
  </conditionalFormatting>
  <conditionalFormatting sqref="I19">
    <cfRule type="cellIs" dxfId="854" priority="55" operator="between">
      <formula>$F$3</formula>
      <formula>$F$5</formula>
    </cfRule>
    <cfRule type="cellIs" dxfId="853" priority="54" operator="greaterThan">
      <formula>$F$5</formula>
    </cfRule>
    <cfRule type="cellIs" dxfId="852" priority="53" operator="lessThan">
      <formula>$F$3</formula>
    </cfRule>
    <cfRule type="cellIs" dxfId="851" priority="56" operator="between">
      <formula>$F$3</formula>
      <formula>$F$5</formula>
    </cfRule>
  </conditionalFormatting>
  <conditionalFormatting sqref="J13">
    <cfRule type="cellIs" dxfId="850" priority="1" operator="between">
      <formula>$D$12</formula>
      <formula>$D$14</formula>
    </cfRule>
    <cfRule type="cellIs" dxfId="849" priority="3" operator="greaterThan">
      <formula>$D$14</formula>
    </cfRule>
    <cfRule type="cellIs" dxfId="848" priority="2" operator="lessThan">
      <formula>$D$12</formula>
    </cfRule>
  </conditionalFormatting>
  <conditionalFormatting sqref="J10:K10">
    <cfRule type="cellIs" dxfId="847" priority="41" operator="between">
      <formula>$K$15</formula>
      <formula>$K$17</formula>
    </cfRule>
    <cfRule type="cellIs" dxfId="846" priority="38" operator="between">
      <formula>$K$15</formula>
      <formula>$K$17</formula>
    </cfRule>
    <cfRule type="cellIs" dxfId="845" priority="39" operator="lessThan">
      <formula>$K$15</formula>
    </cfRule>
    <cfRule type="cellIs" dxfId="844" priority="40" operator="greaterThan">
      <formula>$K$17</formula>
    </cfRule>
  </conditionalFormatting>
  <conditionalFormatting sqref="J13:K13">
    <cfRule type="cellIs" dxfId="843" priority="6" operator="between">
      <formula>$C$12</formula>
      <formula>$C$14</formula>
    </cfRule>
    <cfRule type="cellIs" dxfId="842" priority="5" operator="greaterThan">
      <formula>$C$14</formula>
    </cfRule>
    <cfRule type="cellIs" dxfId="841" priority="4" operator="lessThan">
      <formula>$C$12</formula>
    </cfRule>
  </conditionalFormatting>
  <conditionalFormatting sqref="J16:K16">
    <cfRule type="cellIs" dxfId="840" priority="36" operator="greaterThan">
      <formula>$K$17</formula>
    </cfRule>
    <cfRule type="cellIs" dxfId="839" priority="34" operator="between">
      <formula>$K$15</formula>
      <formula>$K$17</formula>
    </cfRule>
    <cfRule type="cellIs" dxfId="838" priority="35" operator="lessThan">
      <formula>$K$15</formula>
    </cfRule>
    <cfRule type="cellIs" dxfId="837" priority="37" operator="between">
      <formula>$K$15</formula>
      <formula>$K$17</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114c60293a0dcdcdf14e358d1002c96b">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8b4f3eefbf72db6bbb9b760dfbfc13b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Props1.xml><?xml version="1.0" encoding="utf-8"?>
<ds:datastoreItem xmlns:ds="http://schemas.openxmlformats.org/officeDocument/2006/customXml" ds:itemID="{0997D34E-B9B4-41FA-8D8E-C5E8FC05D888}">
  <ds:schemaRefs>
    <ds:schemaRef ds:uri="http://schemas.microsoft.com/sharepoint/v3/contenttype/forms"/>
  </ds:schemaRefs>
</ds:datastoreItem>
</file>

<file path=customXml/itemProps2.xml><?xml version="1.0" encoding="utf-8"?>
<ds:datastoreItem xmlns:ds="http://schemas.openxmlformats.org/officeDocument/2006/customXml" ds:itemID="{B4D38395-10A0-4F54-9375-EA2F0322B4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BF7CFA-B488-44E2-8F16-C8037A0ACE71}">
  <ds:schemaRefs>
    <ds:schemaRef ds:uri="http://schemas.microsoft.com/office/2006/metadata/properties"/>
    <ds:schemaRef ds:uri="http://schemas.microsoft.com/office/infopath/2007/PartnerControls"/>
    <ds:schemaRef ds:uri="4f7a1ba3-2415-40f8-897f-cbc9e8918319"/>
    <ds:schemaRef ds:uri="e7fee12f-7364-4350-a58e-b9a3dabb10b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18</vt:i4>
      </vt:variant>
    </vt:vector>
  </HeadingPairs>
  <TitlesOfParts>
    <vt:vector size="18" baseType="lpstr">
      <vt:lpstr>Gebruikers informatie</vt:lpstr>
      <vt:lpstr>Officieel ECE R65 testrapport</vt:lpstr>
      <vt:lpstr>3% blauw LED</vt:lpstr>
      <vt:lpstr>3% amber LED</vt:lpstr>
      <vt:lpstr>12% blauw LED</vt:lpstr>
      <vt:lpstr>12% amber LED</vt:lpstr>
      <vt:lpstr>21% blauw LED</vt:lpstr>
      <vt:lpstr>21% amber LED</vt:lpstr>
      <vt:lpstr>30% blauw LED</vt:lpstr>
      <vt:lpstr>30% amber LED</vt:lpstr>
      <vt:lpstr>43% blauw LED</vt:lpstr>
      <vt:lpstr>43% amber LED</vt:lpstr>
      <vt:lpstr>54% blauw LED</vt:lpstr>
      <vt:lpstr>54% amber LED</vt:lpstr>
      <vt:lpstr> 79% blauw LED</vt:lpstr>
      <vt:lpstr>79% amber LED</vt:lpstr>
      <vt:lpstr> 85% blauw LED</vt:lpstr>
      <vt:lpstr>85% amber LED</vt:lpstr>
    </vt:vector>
  </TitlesOfParts>
  <Company>Politie Nederland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Hekman, Ronald (R.)</dc:creator>
  <cp:lastModifiedBy>Marcel Hofmeijer | Inkada Inkoop &amp; Advies</cp:lastModifiedBy>
  <cp:lastPrinted>2022-02-08T14:29:34Z</cp:lastPrinted>
  <dcterms:created xsi:type="dcterms:W3CDTF">2022-01-24T10:16:43Z</dcterms:created>
  <dcterms:modified xsi:type="dcterms:W3CDTF">2025-08-19T08:44:09Z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