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OC\3. Juridische zaken\Verzekeringen en schade(claims)\Brandverzekering\"/>
    </mc:Choice>
  </mc:AlternateContent>
  <xr:revisionPtr revIDLastSave="0" documentId="8_{C491B64A-0932-4F99-BDB3-E79998393E70}" xr6:coauthVersionLast="47" xr6:coauthVersionMax="47" xr10:uidLastSave="{00000000-0000-0000-0000-000000000000}"/>
  <bookViews>
    <workbookView xWindow="-120" yWindow="-120" windowWidth="38640" windowHeight="21390" xr2:uid="{00000000-000D-0000-FFFF-FFFF00000000}"/>
  </bookViews>
  <sheets>
    <sheet name="specificatie" sheetId="3" r:id="rId1"/>
    <sheet name="premieberekening" sheetId="4" r:id="rId2"/>
  </sheets>
  <definedNames>
    <definedName name="_xlnm._FilterDatabase" localSheetId="0" hidden="1">specificatie!$A$1:$Q$57</definedName>
    <definedName name="_xlnm.Print_Area" localSheetId="1">premieberekening!$A$1:$H$23</definedName>
    <definedName name="_xlnm.Print_Area" localSheetId="0">specificatie!$A$1:$Q$91</definedName>
    <definedName name="_xlnm.Print_Titles" localSheetId="0">specificatie!$1:$3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4" l="1"/>
  <c r="H5" i="4"/>
  <c r="H6" i="4"/>
  <c r="H3" i="4"/>
  <c r="E16" i="4"/>
  <c r="E17" i="4" s="1"/>
  <c r="E18" i="4" s="1"/>
  <c r="Q62" i="3"/>
  <c r="Q58" i="3"/>
  <c r="Q59" i="3"/>
  <c r="Q60" i="3"/>
  <c r="Q61" i="3"/>
  <c r="Q100" i="3"/>
  <c r="P46" i="3" l="1"/>
  <c r="M35" i="3"/>
  <c r="O35" i="3" s="1"/>
  <c r="O46" i="3"/>
  <c r="Q46" i="3" s="1"/>
  <c r="N55" i="3"/>
  <c r="P55" i="3" s="1"/>
  <c r="M55" i="3"/>
  <c r="O55" i="3" s="1"/>
  <c r="Q55" i="3" s="1"/>
  <c r="M54" i="3"/>
  <c r="O54" i="3" s="1"/>
  <c r="M53" i="3"/>
  <c r="O53" i="3" s="1"/>
  <c r="M51" i="3"/>
  <c r="O51" i="3" s="1"/>
  <c r="N50" i="3"/>
  <c r="P50" i="3" s="1"/>
  <c r="M50" i="3"/>
  <c r="O50" i="3" s="1"/>
  <c r="M43" i="3"/>
  <c r="O43" i="3" s="1"/>
  <c r="M41" i="3"/>
  <c r="O41" i="3" s="1"/>
  <c r="N40" i="3"/>
  <c r="P40" i="3" s="1"/>
  <c r="M40" i="3"/>
  <c r="M39" i="3"/>
  <c r="O39" i="3" s="1"/>
  <c r="M38" i="3"/>
  <c r="O38" i="3" s="1"/>
  <c r="M37" i="3"/>
  <c r="O37" i="3" s="1"/>
  <c r="M36" i="3"/>
  <c r="O36" i="3" s="1"/>
  <c r="N32" i="3"/>
  <c r="P32" i="3" s="1"/>
  <c r="M32" i="3"/>
  <c r="O32" i="3" s="1"/>
  <c r="N31" i="3"/>
  <c r="P31" i="3" s="1"/>
  <c r="M31" i="3"/>
  <c r="O31" i="3" s="1"/>
  <c r="N30" i="3"/>
  <c r="P30" i="3" s="1"/>
  <c r="M30" i="3"/>
  <c r="O30" i="3" s="1"/>
  <c r="M29" i="3"/>
  <c r="O29" i="3" s="1"/>
  <c r="N28" i="3"/>
  <c r="P28" i="3" s="1"/>
  <c r="M28" i="3"/>
  <c r="O28" i="3" s="1"/>
  <c r="M25" i="3"/>
  <c r="O25" i="3" s="1"/>
  <c r="N24" i="3"/>
  <c r="P24" i="3" s="1"/>
  <c r="M24" i="3"/>
  <c r="M23" i="3"/>
  <c r="O23" i="3" s="1"/>
  <c r="M22" i="3"/>
  <c r="O22" i="3" s="1"/>
  <c r="M21" i="3"/>
  <c r="O21" i="3" s="1"/>
  <c r="M19" i="3"/>
  <c r="O19" i="3" s="1"/>
  <c r="M18" i="3"/>
  <c r="O18" i="3" s="1"/>
  <c r="M16" i="3"/>
  <c r="O16" i="3" s="1"/>
  <c r="M15" i="3"/>
  <c r="O15" i="3" s="1"/>
  <c r="M13" i="3"/>
  <c r="O13" i="3" s="1"/>
  <c r="N12" i="3"/>
  <c r="P12" i="3" s="1"/>
  <c r="M12" i="3"/>
  <c r="O12" i="3" s="1"/>
  <c r="Q12" i="3" s="1"/>
  <c r="N11" i="3"/>
  <c r="P11" i="3" s="1"/>
  <c r="M11" i="3"/>
  <c r="O11" i="3" s="1"/>
  <c r="N10" i="3"/>
  <c r="P10" i="3" s="1"/>
  <c r="M10" i="3"/>
  <c r="O10" i="3" s="1"/>
  <c r="N5" i="3"/>
  <c r="P5" i="3" s="1"/>
  <c r="M5" i="3"/>
  <c r="O5" i="3" s="1"/>
  <c r="N66" i="3"/>
  <c r="P66" i="3" s="1"/>
  <c r="N67" i="3"/>
  <c r="P67" i="3" s="1"/>
  <c r="N68" i="3"/>
  <c r="P68" i="3" s="1"/>
  <c r="N69" i="3"/>
  <c r="P69" i="3" s="1"/>
  <c r="N70" i="3"/>
  <c r="P70" i="3" s="1"/>
  <c r="N71" i="3"/>
  <c r="P71" i="3" s="1"/>
  <c r="N72" i="3"/>
  <c r="P72" i="3" s="1"/>
  <c r="N73" i="3"/>
  <c r="P73" i="3" s="1"/>
  <c r="N74" i="3"/>
  <c r="P74" i="3" s="1"/>
  <c r="N75" i="3"/>
  <c r="P75" i="3" s="1"/>
  <c r="N76" i="3"/>
  <c r="P76" i="3" s="1"/>
  <c r="N77" i="3"/>
  <c r="P77" i="3" s="1"/>
  <c r="N78" i="3"/>
  <c r="P78" i="3" s="1"/>
  <c r="N79" i="3"/>
  <c r="P79" i="3" s="1"/>
  <c r="N80" i="3"/>
  <c r="P80" i="3" s="1"/>
  <c r="N81" i="3"/>
  <c r="P81" i="3" s="1"/>
  <c r="N82" i="3"/>
  <c r="P82" i="3" s="1"/>
  <c r="N83" i="3"/>
  <c r="P83" i="3" s="1"/>
  <c r="N84" i="3"/>
  <c r="P84" i="3" s="1"/>
  <c r="N85" i="3"/>
  <c r="P85" i="3" s="1"/>
  <c r="N86" i="3"/>
  <c r="P86" i="3" s="1"/>
  <c r="N65" i="3"/>
  <c r="P65" i="3" s="1"/>
  <c r="M66" i="3"/>
  <c r="O66" i="3" s="1"/>
  <c r="Q66" i="3" s="1"/>
  <c r="M67" i="3"/>
  <c r="O67" i="3" s="1"/>
  <c r="Q67" i="3" s="1"/>
  <c r="M68" i="3"/>
  <c r="O68" i="3" s="1"/>
  <c r="Q68" i="3" s="1"/>
  <c r="M69" i="3"/>
  <c r="M70" i="3"/>
  <c r="O70" i="3" s="1"/>
  <c r="Q70" i="3" s="1"/>
  <c r="M71" i="3"/>
  <c r="M72" i="3"/>
  <c r="O72" i="3" s="1"/>
  <c r="Q72" i="3" s="1"/>
  <c r="M73" i="3"/>
  <c r="O73" i="3" s="1"/>
  <c r="Q73" i="3" s="1"/>
  <c r="M74" i="3"/>
  <c r="O74" i="3" s="1"/>
  <c r="Q74" i="3" s="1"/>
  <c r="M75" i="3"/>
  <c r="O75" i="3" s="1"/>
  <c r="Q75" i="3" s="1"/>
  <c r="M76" i="3"/>
  <c r="O76" i="3" s="1"/>
  <c r="Q76" i="3" s="1"/>
  <c r="M77" i="3"/>
  <c r="M78" i="3"/>
  <c r="O78" i="3" s="1"/>
  <c r="Q78" i="3" s="1"/>
  <c r="M79" i="3"/>
  <c r="O79" i="3" s="1"/>
  <c r="Q79" i="3" s="1"/>
  <c r="M80" i="3"/>
  <c r="O80" i="3" s="1"/>
  <c r="Q80" i="3" s="1"/>
  <c r="M81" i="3"/>
  <c r="O81" i="3" s="1"/>
  <c r="Q81" i="3" s="1"/>
  <c r="M82" i="3"/>
  <c r="O82" i="3" s="1"/>
  <c r="Q82" i="3" s="1"/>
  <c r="M83" i="3"/>
  <c r="O83" i="3" s="1"/>
  <c r="Q83" i="3" s="1"/>
  <c r="M84" i="3"/>
  <c r="O84" i="3" s="1"/>
  <c r="Q84" i="3" s="1"/>
  <c r="M85" i="3"/>
  <c r="M86" i="3"/>
  <c r="O86" i="3" s="1"/>
  <c r="Q86" i="3" s="1"/>
  <c r="M65" i="3"/>
  <c r="O65" i="3" s="1"/>
  <c r="Q65" i="3" s="1"/>
  <c r="N42" i="3"/>
  <c r="P42" i="3" s="1"/>
  <c r="N45" i="3"/>
  <c r="P45" i="3" s="1"/>
  <c r="N56" i="3"/>
  <c r="P56" i="3" s="1"/>
  <c r="N57" i="3"/>
  <c r="P57" i="3" s="1"/>
  <c r="M57" i="3"/>
  <c r="O57" i="3" s="1"/>
  <c r="Q57" i="3" s="1"/>
  <c r="M56" i="3"/>
  <c r="O56" i="3" s="1"/>
  <c r="M45" i="3"/>
  <c r="O45" i="3" s="1"/>
  <c r="M42" i="3"/>
  <c r="O42" i="3" s="1"/>
  <c r="M34" i="3"/>
  <c r="O34" i="3" s="1"/>
  <c r="M4" i="3"/>
  <c r="O4" i="3" s="1"/>
  <c r="Q4" i="3" s="1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L54" i="3"/>
  <c r="N54" i="3" s="1"/>
  <c r="H54" i="3"/>
  <c r="L53" i="3"/>
  <c r="N53" i="3" s="1"/>
  <c r="P53" i="3" s="1"/>
  <c r="H53" i="3"/>
  <c r="L52" i="3"/>
  <c r="N52" i="3" s="1"/>
  <c r="P52" i="3" s="1"/>
  <c r="H52" i="3"/>
  <c r="K52" i="3" s="1"/>
  <c r="M52" i="3" s="1"/>
  <c r="O52" i="3" s="1"/>
  <c r="L51" i="3"/>
  <c r="N51" i="3" s="1"/>
  <c r="P51" i="3" s="1"/>
  <c r="H51" i="3"/>
  <c r="H50" i="3"/>
  <c r="L49" i="3"/>
  <c r="N49" i="3" s="1"/>
  <c r="P49" i="3" s="1"/>
  <c r="H49" i="3"/>
  <c r="K49" i="3" s="1"/>
  <c r="M49" i="3" s="1"/>
  <c r="O49" i="3" s="1"/>
  <c r="Q49" i="3" s="1"/>
  <c r="L48" i="3"/>
  <c r="N48" i="3" s="1"/>
  <c r="P48" i="3" s="1"/>
  <c r="H48" i="3"/>
  <c r="K48" i="3" s="1"/>
  <c r="M48" i="3" s="1"/>
  <c r="O48" i="3" s="1"/>
  <c r="Q48" i="3" s="1"/>
  <c r="L47" i="3"/>
  <c r="N47" i="3" s="1"/>
  <c r="P47" i="3" s="1"/>
  <c r="H47" i="3"/>
  <c r="K47" i="3" s="1"/>
  <c r="M47" i="3" s="1"/>
  <c r="O47" i="3" s="1"/>
  <c r="H45" i="3"/>
  <c r="L44" i="3"/>
  <c r="N44" i="3" s="1"/>
  <c r="P44" i="3" s="1"/>
  <c r="H44" i="3"/>
  <c r="K44" i="3" s="1"/>
  <c r="M44" i="3" s="1"/>
  <c r="O44" i="3" s="1"/>
  <c r="L43" i="3"/>
  <c r="N43" i="3" s="1"/>
  <c r="P43" i="3" s="1"/>
  <c r="H43" i="3"/>
  <c r="H42" i="3"/>
  <c r="L41" i="3"/>
  <c r="N41" i="3" s="1"/>
  <c r="P41" i="3" s="1"/>
  <c r="H41" i="3"/>
  <c r="H40" i="3"/>
  <c r="L39" i="3"/>
  <c r="N39" i="3" s="1"/>
  <c r="P39" i="3" s="1"/>
  <c r="H39" i="3"/>
  <c r="L38" i="3"/>
  <c r="N38" i="3" s="1"/>
  <c r="P38" i="3" s="1"/>
  <c r="H38" i="3"/>
  <c r="L37" i="3"/>
  <c r="N37" i="3" s="1"/>
  <c r="P37" i="3" s="1"/>
  <c r="L36" i="3"/>
  <c r="N36" i="3" s="1"/>
  <c r="P36" i="3" s="1"/>
  <c r="H36" i="3"/>
  <c r="L35" i="3"/>
  <c r="N35" i="3" s="1"/>
  <c r="P35" i="3" s="1"/>
  <c r="L34" i="3"/>
  <c r="N34" i="3" s="1"/>
  <c r="P34" i="3" s="1"/>
  <c r="L33" i="3"/>
  <c r="N33" i="3" s="1"/>
  <c r="P33" i="3" s="1"/>
  <c r="K33" i="3"/>
  <c r="H32" i="3"/>
  <c r="H31" i="3"/>
  <c r="H30" i="3"/>
  <c r="L29" i="3"/>
  <c r="N29" i="3" s="1"/>
  <c r="P29" i="3" s="1"/>
  <c r="H29" i="3"/>
  <c r="H28" i="3"/>
  <c r="L27" i="3"/>
  <c r="N27" i="3" s="1"/>
  <c r="P27" i="3" s="1"/>
  <c r="H27" i="3"/>
  <c r="K27" i="3" s="1"/>
  <c r="M27" i="3" s="1"/>
  <c r="O27" i="3" s="1"/>
  <c r="L26" i="3"/>
  <c r="N26" i="3" s="1"/>
  <c r="P26" i="3" s="1"/>
  <c r="H26" i="3"/>
  <c r="K26" i="3" s="1"/>
  <c r="M26" i="3" s="1"/>
  <c r="O26" i="3" s="1"/>
  <c r="L25" i="3"/>
  <c r="N25" i="3" s="1"/>
  <c r="P25" i="3" s="1"/>
  <c r="H25" i="3"/>
  <c r="H24" i="3"/>
  <c r="L23" i="3"/>
  <c r="N23" i="3" s="1"/>
  <c r="P23" i="3" s="1"/>
  <c r="H23" i="3"/>
  <c r="L22" i="3"/>
  <c r="N22" i="3" s="1"/>
  <c r="P22" i="3" s="1"/>
  <c r="H22" i="3"/>
  <c r="L21" i="3"/>
  <c r="N21" i="3" s="1"/>
  <c r="P21" i="3" s="1"/>
  <c r="H21" i="3"/>
  <c r="L20" i="3"/>
  <c r="N20" i="3" s="1"/>
  <c r="P20" i="3" s="1"/>
  <c r="H20" i="3"/>
  <c r="K20" i="3" s="1"/>
  <c r="M20" i="3" s="1"/>
  <c r="O20" i="3" s="1"/>
  <c r="L19" i="3"/>
  <c r="H19" i="3"/>
  <c r="L18" i="3"/>
  <c r="N18" i="3" s="1"/>
  <c r="P18" i="3" s="1"/>
  <c r="H18" i="3"/>
  <c r="L17" i="3"/>
  <c r="N17" i="3" s="1"/>
  <c r="P17" i="3" s="1"/>
  <c r="K17" i="3"/>
  <c r="L16" i="3"/>
  <c r="N16" i="3" s="1"/>
  <c r="P16" i="3" s="1"/>
  <c r="H16" i="3"/>
  <c r="L15" i="3"/>
  <c r="N15" i="3" s="1"/>
  <c r="P15" i="3" s="1"/>
  <c r="H15" i="3"/>
  <c r="L14" i="3"/>
  <c r="N14" i="3" s="1"/>
  <c r="P14" i="3" s="1"/>
  <c r="H14" i="3"/>
  <c r="K14" i="3" s="1"/>
  <c r="M14" i="3" s="1"/>
  <c r="O14" i="3" s="1"/>
  <c r="L13" i="3"/>
  <c r="N13" i="3" s="1"/>
  <c r="P13" i="3" s="1"/>
  <c r="H13" i="3"/>
  <c r="H12" i="3"/>
  <c r="H11" i="3"/>
  <c r="H10" i="3"/>
  <c r="L9" i="3"/>
  <c r="N9" i="3" s="1"/>
  <c r="P9" i="3" s="1"/>
  <c r="H9" i="3"/>
  <c r="K9" i="3" s="1"/>
  <c r="M9" i="3" s="1"/>
  <c r="O9" i="3" s="1"/>
  <c r="Q9" i="3" s="1"/>
  <c r="L8" i="3"/>
  <c r="N8" i="3" s="1"/>
  <c r="P8" i="3" s="1"/>
  <c r="H8" i="3"/>
  <c r="K8" i="3" s="1"/>
  <c r="M8" i="3" s="1"/>
  <c r="O8" i="3" s="1"/>
  <c r="L7" i="3"/>
  <c r="N7" i="3" s="1"/>
  <c r="P7" i="3" s="1"/>
  <c r="H7" i="3"/>
  <c r="K7" i="3" s="1"/>
  <c r="M7" i="3" s="1"/>
  <c r="L6" i="3"/>
  <c r="N6" i="3" s="1"/>
  <c r="P6" i="3" s="1"/>
  <c r="H6" i="3"/>
  <c r="K6" i="3" s="1"/>
  <c r="M6" i="3" s="1"/>
  <c r="O6" i="3" s="1"/>
  <c r="H5" i="3"/>
  <c r="H4" i="3"/>
  <c r="Q50" i="3" l="1"/>
  <c r="Q35" i="3"/>
  <c r="Q6" i="3"/>
  <c r="Q44" i="3"/>
  <c r="Q10" i="3"/>
  <c r="Q32" i="3"/>
  <c r="Q42" i="3"/>
  <c r="Q21" i="3"/>
  <c r="Q29" i="3"/>
  <c r="Q14" i="3"/>
  <c r="Q56" i="3"/>
  <c r="Q22" i="3"/>
  <c r="Q30" i="3"/>
  <c r="Q38" i="3"/>
  <c r="Q51" i="3"/>
  <c r="Q23" i="3"/>
  <c r="Q39" i="3"/>
  <c r="Q53" i="3"/>
  <c r="Q13" i="3"/>
  <c r="Q31" i="3"/>
  <c r="Q5" i="3"/>
  <c r="Q27" i="3"/>
  <c r="Q15" i="3"/>
  <c r="Q16" i="3"/>
  <c r="Q25" i="3"/>
  <c r="Q41" i="3"/>
  <c r="Q34" i="3"/>
  <c r="Q18" i="3"/>
  <c r="Q28" i="3"/>
  <c r="Q43" i="3"/>
  <c r="Q52" i="3"/>
  <c r="Q20" i="3"/>
  <c r="Q11" i="3"/>
  <c r="Q36" i="3"/>
  <c r="Q8" i="3"/>
  <c r="Q26" i="3"/>
  <c r="Q47" i="3"/>
  <c r="Q45" i="3"/>
  <c r="Q37" i="3"/>
  <c r="P88" i="3"/>
  <c r="O71" i="3"/>
  <c r="O24" i="3"/>
  <c r="Q24" i="3" s="1"/>
  <c r="P54" i="3"/>
  <c r="Q54" i="3" s="1"/>
  <c r="O85" i="3"/>
  <c r="Q85" i="3" s="1"/>
  <c r="O77" i="3"/>
  <c r="Q77" i="3" s="1"/>
  <c r="O69" i="3"/>
  <c r="Q69" i="3" s="1"/>
  <c r="O40" i="3"/>
  <c r="Q40" i="3" s="1"/>
  <c r="O7" i="3"/>
  <c r="Q7" i="3" s="1"/>
  <c r="M88" i="3"/>
  <c r="N19" i="3"/>
  <c r="M17" i="3"/>
  <c r="M33" i="3"/>
  <c r="N88" i="3"/>
  <c r="E4" i="4"/>
  <c r="E5" i="4" s="1"/>
  <c r="E6" i="4" s="1"/>
  <c r="O88" i="3" l="1"/>
  <c r="Q71" i="3"/>
  <c r="O33" i="3"/>
  <c r="Q33" i="3" s="1"/>
  <c r="O17" i="3"/>
  <c r="N64" i="3"/>
  <c r="N90" i="3" s="1"/>
  <c r="P19" i="3"/>
  <c r="M64" i="3"/>
  <c r="M90" i="3" s="1"/>
  <c r="L64" i="3"/>
  <c r="L88" i="3"/>
  <c r="P64" i="3" l="1"/>
  <c r="P90" i="3" s="1"/>
  <c r="Q19" i="3"/>
  <c r="O64" i="3"/>
  <c r="O90" i="3" s="1"/>
  <c r="Q17" i="3"/>
  <c r="L90" i="3"/>
  <c r="I88" i="3" l="1"/>
  <c r="I64" i="3"/>
  <c r="I90" i="3" l="1"/>
  <c r="K88" i="3" l="1"/>
  <c r="H88" i="3"/>
  <c r="Q88" i="3" l="1"/>
  <c r="K64" i="3" l="1"/>
  <c r="K90" i="3" l="1"/>
  <c r="H64" i="3"/>
  <c r="H90" i="3" s="1"/>
  <c r="Q64" i="3" l="1"/>
  <c r="Q90" i="3" s="1"/>
  <c r="C26" i="4" l="1"/>
  <c r="C15" i="4" s="1"/>
  <c r="H15" i="4"/>
  <c r="J15" i="4"/>
  <c r="C16" i="4"/>
  <c r="C4" i="4"/>
  <c r="H26" i="4"/>
  <c r="C27" i="4"/>
  <c r="C28" i="4" s="1"/>
  <c r="H16" i="4" l="1"/>
  <c r="C17" i="4"/>
  <c r="H27" i="4"/>
  <c r="C5" i="4"/>
  <c r="C29" i="4"/>
  <c r="H29" i="4" s="1"/>
  <c r="H28" i="4"/>
  <c r="H17" i="4" l="1"/>
  <c r="C18" i="4"/>
  <c r="H18" i="4" s="1"/>
  <c r="C6" i="4"/>
  <c r="H30" i="4"/>
  <c r="H19" i="4" l="1"/>
  <c r="H21" i="4" s="1"/>
  <c r="H22" i="4" s="1"/>
  <c r="H7" i="4"/>
  <c r="H9" i="4" s="1"/>
  <c r="H10" i="4" s="1"/>
  <c r="H32" i="4"/>
  <c r="H33" i="4" s="1"/>
  <c r="J3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Petra Cornelisse</author>
  </authors>
  <commentList>
    <comment ref="F52" authorId="0" shapeId="0" xr:uid="{908BA7E8-1859-4370-91A9-109215A53A93}">
      <text>
        <r>
          <rPr>
            <sz val="9"/>
            <color indexed="81"/>
            <rFont val="Tahoma"/>
            <family val="2"/>
          </rPr>
          <t>450 zonnepanelen en een trafohuisje</t>
        </r>
      </text>
    </comment>
  </commentList>
</comments>
</file>

<file path=xl/sharedStrings.xml><?xml version="1.0" encoding="utf-8"?>
<sst xmlns="http://schemas.openxmlformats.org/spreadsheetml/2006/main" count="612" uniqueCount="278">
  <si>
    <t>Risico-adres</t>
  </si>
  <si>
    <t>Risico-object</t>
  </si>
  <si>
    <t xml:space="preserve">Inventaris </t>
  </si>
  <si>
    <t>Totaal</t>
  </si>
  <si>
    <t>A1.</t>
  </si>
  <si>
    <t>Bloemhofweg 99</t>
  </si>
  <si>
    <t>Noodlokaal Modelspoorclub</t>
  </si>
  <si>
    <t>Bosweg 9/Oranjepark</t>
  </si>
  <si>
    <t>Muziekkoepel</t>
  </si>
  <si>
    <t>Berging opsl.handgereed</t>
  </si>
  <si>
    <t>Bredeweg 1</t>
  </si>
  <si>
    <t>Woonhuis</t>
  </si>
  <si>
    <t>De Visserlaan 10</t>
  </si>
  <si>
    <t>Dorpsstraat 12</t>
  </si>
  <si>
    <t>Kerktoren</t>
  </si>
  <si>
    <t>Elburgerweg 11</t>
  </si>
  <si>
    <t>Rode Kruis Gebouw</t>
  </si>
  <si>
    <t>Elektraweg 5</t>
  </si>
  <si>
    <t>Sporthal</t>
  </si>
  <si>
    <t>Elspeterbosweg 26</t>
  </si>
  <si>
    <t>Dorpshuis</t>
  </si>
  <si>
    <t>Eperweg 22</t>
  </si>
  <si>
    <t>Baarhuisje op begraafplaats</t>
  </si>
  <si>
    <t>Aula op begraafplaats</t>
  </si>
  <si>
    <t>Harderwijkerweg 370</t>
  </si>
  <si>
    <t>Woning + garage</t>
  </si>
  <si>
    <t>Harderwijkerweg 543</t>
  </si>
  <si>
    <t>Bergschuur</t>
  </si>
  <si>
    <t>Harderwijkerweg 547</t>
  </si>
  <si>
    <t>Schuur (Politiehondenvereniging)</t>
  </si>
  <si>
    <t>Hullerweg 121</t>
  </si>
  <si>
    <t>Klarenweg 150</t>
  </si>
  <si>
    <t>Kroonlaan 13</t>
  </si>
  <si>
    <t>Lindelaan 1</t>
  </si>
  <si>
    <t>Harmonie</t>
  </si>
  <si>
    <t>Oosteinderweg ong.</t>
  </si>
  <si>
    <t>Gebouw in Hertenkamp</t>
  </si>
  <si>
    <t>Pompinstallatie</t>
  </si>
  <si>
    <t>Piersonstraat 48</t>
  </si>
  <si>
    <t>Gymnastieklokaal</t>
  </si>
  <si>
    <t>Natuurtransferium/paviljoen</t>
  </si>
  <si>
    <t>Spoorlaan ong.</t>
  </si>
  <si>
    <t>Opstal hertenkamp</t>
  </si>
  <si>
    <t>Sportlaan 3</t>
  </si>
  <si>
    <t>Stakenbergweg 4</t>
  </si>
  <si>
    <t>Schaapskooi</t>
  </si>
  <si>
    <t>Toilet/Voederberging</t>
  </si>
  <si>
    <t>Hooiberging</t>
  </si>
  <si>
    <t>Troelstrastraat 21</t>
  </si>
  <si>
    <t>Peutersp. De Blokkendoos + berging</t>
  </si>
  <si>
    <t>Uddelerweg 70</t>
  </si>
  <si>
    <t>Uddelerweg 96</t>
  </si>
  <si>
    <t>Sportzaal</t>
  </si>
  <si>
    <t>Van Oordtstraat 110</t>
  </si>
  <si>
    <t>Wagenweg 39</t>
  </si>
  <si>
    <t>Woning (locomotiefhuisje)</t>
  </si>
  <si>
    <t>Subtotaal A1 Overige eigendommen</t>
  </si>
  <si>
    <t>A2.</t>
  </si>
  <si>
    <t>L.O.M. School De Arend incl. stalling</t>
  </si>
  <si>
    <t>Ger.Gem.Basisschool Eben Haëzer incl.st.</t>
  </si>
  <si>
    <t>Arthur Briëtstraat 40</t>
  </si>
  <si>
    <t>Openb.Basisschool Tweeluik</t>
  </si>
  <si>
    <t>Berenbosweg 25</t>
  </si>
  <si>
    <t>R.K. School St.Franciscus incl. stalling</t>
  </si>
  <si>
    <t>Ds. Kalshovenweg 15</t>
  </si>
  <si>
    <t>Herv. Basisschool Boaz-Jachin incl.stalling</t>
  </si>
  <si>
    <t>Eeckelhagen 37</t>
  </si>
  <si>
    <t>Chr.Basisschool Da Costa incl. stalling</t>
  </si>
  <si>
    <t>Bijz.Basisschool De Morgenster incl.stalling</t>
  </si>
  <si>
    <t>Groenelaantje 40</t>
  </si>
  <si>
    <t>Dokter A.Verschoorschool incl. stalling</t>
  </si>
  <si>
    <t>Hoefslag 18</t>
  </si>
  <si>
    <t>Chr.Basisschool Pr.Beatrix incl. stalling</t>
  </si>
  <si>
    <t>Jan van Vuurenstr. 15</t>
  </si>
  <si>
    <t>Chr.Basisschool De Ridder incl.stalling</t>
  </si>
  <si>
    <t>Kon.Julianastraat 25</t>
  </si>
  <si>
    <t>Chr.Basisschool De Bron incl.stalling</t>
  </si>
  <si>
    <t>Lijsterbesweg 4</t>
  </si>
  <si>
    <t>Bijz.Basisschool De Morgenster depend.</t>
  </si>
  <si>
    <t>Meester Drostweg 6</t>
  </si>
  <si>
    <t>Bijz.Basisschool De Bron incl.st. (depend.)</t>
  </si>
  <si>
    <t>Z.M.L.K. School De Wingerd incl. stalling</t>
  </si>
  <si>
    <t>Randweg 11</t>
  </si>
  <si>
    <t>Openb.Basisschool Schakel incl.stalling</t>
  </si>
  <si>
    <t>Troelstrastraat 39</t>
  </si>
  <si>
    <t>Chr.Basisschool Petra incl. stalling</t>
  </si>
  <si>
    <t>Uddelerweg 100</t>
  </si>
  <si>
    <t>Mavo-unit + pompinstallatie</t>
  </si>
  <si>
    <t>Vierhouterweg 16</t>
  </si>
  <si>
    <t>Chr. Basisschool Da Costa incl. st. (depend.)</t>
  </si>
  <si>
    <t>Westerlaan 63</t>
  </si>
  <si>
    <t>Chr.Basisschool A.van Stuyvenberg incl.st.</t>
  </si>
  <si>
    <t>Winckelweg 39</t>
  </si>
  <si>
    <t>Chr.Basisschool Immanuël</t>
  </si>
  <si>
    <t>Subtotaal A2 Primair onderwijs</t>
  </si>
  <si>
    <t>A3</t>
  </si>
  <si>
    <t>Raadhuis/Gemeentehuis</t>
  </si>
  <si>
    <t>Markt 1</t>
  </si>
  <si>
    <t>A4</t>
  </si>
  <si>
    <t>Recr.Centr., Sportzaal, Zwembad &amp; Bowling</t>
  </si>
  <si>
    <t>Oosteinderweg 19</t>
  </si>
  <si>
    <t>TOTAAL</t>
  </si>
  <si>
    <t>Oosterlaan 147</t>
  </si>
  <si>
    <t>Jachthuis Aortjeshuus</t>
  </si>
  <si>
    <t>F.A. Molijnlaan 184</t>
  </si>
  <si>
    <t>Nuborgh college Veluvine</t>
  </si>
  <si>
    <t>ZMLK-school "De Wingerd" (dislocatie)</t>
  </si>
  <si>
    <t>Werkschuur gemeente</t>
  </si>
  <si>
    <t>Brandsweg 3</t>
  </si>
  <si>
    <t>Plesmanlaan 3</t>
  </si>
  <si>
    <r>
      <t xml:space="preserve">Gemeentewerf </t>
    </r>
    <r>
      <rPr>
        <sz val="10"/>
        <color indexed="40"/>
        <rFont val="Arial"/>
        <family val="2"/>
      </rPr>
      <t>(exclusief BTW)</t>
    </r>
  </si>
  <si>
    <t>Apeldoornseweg 22</t>
  </si>
  <si>
    <t>Elburgerweg 13</t>
  </si>
  <si>
    <t>Brandweerkazerne</t>
  </si>
  <si>
    <t>Gebouwen</t>
  </si>
  <si>
    <t>Postcode</t>
  </si>
  <si>
    <t>Plaats</t>
  </si>
  <si>
    <t>8071 BZ</t>
  </si>
  <si>
    <t>Nunspeet</t>
  </si>
  <si>
    <t>8072 DV</t>
  </si>
  <si>
    <t>8071 AR</t>
  </si>
  <si>
    <t>8071 TA</t>
  </si>
  <si>
    <t>8071 CX</t>
  </si>
  <si>
    <t>Vierhouten</t>
  </si>
  <si>
    <t>8076 RC</t>
  </si>
  <si>
    <t>8071 AX</t>
  </si>
  <si>
    <t>8071 AK</t>
  </si>
  <si>
    <t>Hulshorst</t>
  </si>
  <si>
    <t>8077 RL</t>
  </si>
  <si>
    <t>8077 RJ</t>
  </si>
  <si>
    <t>8077 RC</t>
  </si>
  <si>
    <t>8077 SK</t>
  </si>
  <si>
    <t>8071 RN</t>
  </si>
  <si>
    <t>8077 SN</t>
  </si>
  <si>
    <t>8071 WE</t>
  </si>
  <si>
    <t>8071 GJ</t>
  </si>
  <si>
    <t>8072 ZN</t>
  </si>
  <si>
    <t>8071 AV</t>
  </si>
  <si>
    <t>8072 XC</t>
  </si>
  <si>
    <t>8072 CA</t>
  </si>
  <si>
    <t>8075 RA</t>
  </si>
  <si>
    <t>Elspeet</t>
  </si>
  <si>
    <t>8072 AL</t>
  </si>
  <si>
    <t>8075 CK</t>
  </si>
  <si>
    <t>8071 KD</t>
  </si>
  <si>
    <t>8075 BJ</t>
  </si>
  <si>
    <t>8071 XC</t>
  </si>
  <si>
    <t>8071 DN</t>
  </si>
  <si>
    <t>8072 HJ</t>
  </si>
  <si>
    <t>8075 BN</t>
  </si>
  <si>
    <t>8072 GZ</t>
  </si>
  <si>
    <t>8071 DX</t>
  </si>
  <si>
    <t>8072 XH</t>
  </si>
  <si>
    <t>8075 AE</t>
  </si>
  <si>
    <t>8071 ZR</t>
  </si>
  <si>
    <t>Fr.Huismansstraat 18</t>
  </si>
  <si>
    <t>8072 HH</t>
  </si>
  <si>
    <t>8072 DD</t>
  </si>
  <si>
    <t>8072 ZJ</t>
  </si>
  <si>
    <t>8071 LL</t>
  </si>
  <si>
    <t>8072 XV</t>
  </si>
  <si>
    <t>8071 HE</t>
  </si>
  <si>
    <t>8072 BW</t>
  </si>
  <si>
    <t>8071 XJ</t>
  </si>
  <si>
    <t>8077 SZ</t>
  </si>
  <si>
    <t>8071 EB</t>
  </si>
  <si>
    <t>8072 PT</t>
  </si>
  <si>
    <t>Vierhouterweg 22a</t>
  </si>
  <si>
    <t>Jan van Vuurenstraat 13</t>
  </si>
  <si>
    <t>(in gebruik bij Ridderschool en Straathoekwerk)
(jongerenwerk)</t>
  </si>
  <si>
    <t>Werkschuur op begraafplaats + stallingloods</t>
  </si>
  <si>
    <t>8072 GN</t>
  </si>
  <si>
    <t>8071 BV</t>
  </si>
  <si>
    <t>Eperweg 51a</t>
  </si>
  <si>
    <t>8072 DA</t>
  </si>
  <si>
    <t>Werkschuur</t>
  </si>
  <si>
    <t>Laan 60</t>
  </si>
  <si>
    <t>8071 JB</t>
  </si>
  <si>
    <t>Woonhuis (momenteel tijdelijk leegstand (maar wordt weer bewoond))</t>
  </si>
  <si>
    <t>Apeldoornseweg 80</t>
  </si>
  <si>
    <t>Vleeskaverhouderij</t>
  </si>
  <si>
    <t>Speelweide Stakenbergweg (sectie K, nummer 600)</t>
  </si>
  <si>
    <t>2 Toiletgebouwen</t>
  </si>
  <si>
    <t>Zorg woonunit</t>
  </si>
  <si>
    <t>Oenenburgweg 29</t>
  </si>
  <si>
    <t>8072 GG</t>
  </si>
  <si>
    <t>8075 RJ</t>
  </si>
  <si>
    <t>Wezenland 39</t>
  </si>
  <si>
    <t>Zonnepanelen gemeente op dak manege</t>
  </si>
  <si>
    <t>per 01-01-2021</t>
  </si>
  <si>
    <t>(index 151,5)</t>
  </si>
  <si>
    <t>Nachtegaalweg 2</t>
  </si>
  <si>
    <t>8075 AX</t>
  </si>
  <si>
    <t>Kulturhus</t>
  </si>
  <si>
    <t>per 01-01-2022</t>
  </si>
  <si>
    <t>(index 159,8)</t>
  </si>
  <si>
    <t>Harderwijkerweg 343 (camping Landrust)</t>
  </si>
  <si>
    <t>15 chalets t.b.v. opvang vluchtelingen</t>
  </si>
  <si>
    <t>1 was/droog unit</t>
  </si>
  <si>
    <t>Kolmansweg 22</t>
  </si>
  <si>
    <t>Woning en garage</t>
  </si>
  <si>
    <t>kalverstallen</t>
  </si>
  <si>
    <t>werktuigenberging</t>
  </si>
  <si>
    <t>Verzekeraars</t>
  </si>
  <si>
    <t>verzekerd bedrag</t>
  </si>
  <si>
    <t>premie‰</t>
  </si>
  <si>
    <t>aandeel</t>
  </si>
  <si>
    <t>premie</t>
  </si>
  <si>
    <t>QBE Insurance SA/NV, 
vertegenwoordigd door Mandatis B.V. h.o.d.n. Melior</t>
  </si>
  <si>
    <t>Achmea Schadeverzekeringen NV</t>
  </si>
  <si>
    <t>Corins B.V.</t>
  </si>
  <si>
    <t>Poliskosten</t>
  </si>
  <si>
    <t>21% assurantiebelasting</t>
  </si>
  <si>
    <t>Door verzekeringnemer te voldoen</t>
  </si>
  <si>
    <t>8071 SZ</t>
  </si>
  <si>
    <t>per 01-01-2023</t>
  </si>
  <si>
    <t>(index 122,3)</t>
  </si>
  <si>
    <t>(index 124,0)</t>
  </si>
  <si>
    <t>8077 RG</t>
  </si>
  <si>
    <t xml:space="preserve">woonhuis </t>
  </si>
  <si>
    <t>Laan 56</t>
  </si>
  <si>
    <t>8071 SG</t>
  </si>
  <si>
    <t>Nationale-Nederlanden Schadeverzekering Mij. N.V.</t>
  </si>
  <si>
    <t>MF sportcomplex "De Wiltsangh", met een zwembad, turnhal, sporthal etc. inclusief een zonnepaneleninstallatie</t>
  </si>
  <si>
    <t xml:space="preserve"> -/-</t>
  </si>
  <si>
    <t>verzekerd bedrag
oud</t>
  </si>
  <si>
    <t>premie
pro rata</t>
  </si>
  <si>
    <t>sloopwaarde, deze gaat in de toekomst gesloopt worden, nu antikraak (kerk)</t>
  </si>
  <si>
    <t xml:space="preserve"> sloopwaarde, deze gaat in de toekomst gesloopt worden, nu antikraak (kerk)</t>
  </si>
  <si>
    <t>inclusief btw</t>
  </si>
  <si>
    <t>inclusief</t>
  </si>
  <si>
    <t>exclusief</t>
  </si>
  <si>
    <t>Boterdijk 27</t>
  </si>
  <si>
    <t>8072 DK</t>
  </si>
  <si>
    <t>Hal</t>
  </si>
  <si>
    <t>Bedrijfspand (1/3 eigendom van gemeente)</t>
  </si>
  <si>
    <t>F.A. Molijnlaan 172</t>
  </si>
  <si>
    <t>sloopwaarde</t>
  </si>
  <si>
    <t>sloopwaarde (ivm vervangend complex op adres Sportlaan 3), pand wordt in nabije toekomst gesloopt, staat leeg onder toezicht ivm veiligheid.. Van 18 nr 1 miljoen</t>
  </si>
  <si>
    <t>Albert van Neuhuyslaan 53</t>
  </si>
  <si>
    <t>#1 gebouwen en/of inventaris getaxeerd door Thorbecke, taxatiedatum 01-05-2023 (inclusief BTW en exclusief fundering)</t>
  </si>
  <si>
    <t>#1</t>
  </si>
  <si>
    <t>Getaxeerd</t>
  </si>
  <si>
    <t>Door verzekeringnemer te ontvangen</t>
  </si>
  <si>
    <t>per 01-01-2024</t>
  </si>
  <si>
    <t>(index 128,4)</t>
  </si>
  <si>
    <t>(index 124,4)</t>
  </si>
  <si>
    <t>Plesmanlaan 1</t>
  </si>
  <si>
    <t>goederen van derden</t>
  </si>
  <si>
    <t>nieuw zie mail 250424</t>
  </si>
  <si>
    <t>per 01-01-2025</t>
  </si>
  <si>
    <t>index 131,8</t>
  </si>
  <si>
    <t>index 128,3</t>
  </si>
  <si>
    <t>Premieberekening voor de termijn 01-01-2025/2026:</t>
  </si>
  <si>
    <t>Bovenweg 21</t>
  </si>
  <si>
    <t>8071 ST</t>
  </si>
  <si>
    <t>marktwaarde</t>
  </si>
  <si>
    <t>Nunspeterweg 18 en 18B</t>
  </si>
  <si>
    <t>8076 PD</t>
  </si>
  <si>
    <t>Nunspeterweg 18A</t>
  </si>
  <si>
    <t>leegstaande supermakrt met bovenwoning (marktwaarde). Zal vermoedelijk leegstand blijven tot het moment dat het gebouw wordt gesloopt voor herontwikkeling</t>
  </si>
  <si>
    <t>Woning (marktwaarde) (voortgezette bewoning tot het moment dat woning wordt gesloopt voor herontwikkeling)</t>
  </si>
  <si>
    <t>nieuw per 021224 zie mail 191224</t>
  </si>
  <si>
    <t>nieuw per 121224 zie mail 191224</t>
  </si>
  <si>
    <t>Sportlaan 5</t>
  </si>
  <si>
    <t>kantine tennisvereniging</t>
  </si>
  <si>
    <t>nieuw per ? zie mail 191224</t>
  </si>
  <si>
    <t>Schotkampweg 19</t>
  </si>
  <si>
    <t>nieuw per 140425 zie mail 170425</t>
  </si>
  <si>
    <t>Vrijstaande woning met berging</t>
  </si>
  <si>
    <t>8075 RD</t>
  </si>
  <si>
    <t>Industrieweg 20B, C, D, E en 24</t>
  </si>
  <si>
    <t>Leegstaand pan (beperkte dekking)</t>
  </si>
  <si>
    <t>nieuw per 310725 zie mail 290725</t>
  </si>
  <si>
    <t>Mutaties 2025</t>
  </si>
  <si>
    <t>Premieberekening voor de termijn 31-07-2025/01-01-2026:</t>
  </si>
  <si>
    <t xml:space="preserve"> x 151/360</t>
  </si>
  <si>
    <t>8071 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</si>
</sst>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&quot;€&quot;\ #,##0.00_-"/>
    <numFmt numFmtId="167" formatCode="_ [$€-413]\ * #,##0.00_ ;_ [$€-413]\ * \-#,##0.00_ ;_ [$€-413]\ * &quot;-&quot;??_ ;_ @_ "/>
    <numFmt numFmtId="168" formatCode="0.0000"/>
    <numFmt numFmtId="169" formatCode="0.000000"/>
  </numFmts>
  <fonts count="14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sz val="10"/>
      <color indexed="40"/>
      <name val="Arial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  <font>
      <sz val="9"/>
      <color rgb="FF22222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0" fontId="2" fillId="0" borderId="6" xfId="0" applyFont="1" applyBorder="1"/>
    <xf numFmtId="0" fontId="2" fillId="0" borderId="6" xfId="0" applyFont="1" applyBorder="1" applyAlignment="1">
      <alignment horizontal="left"/>
    </xf>
    <xf numFmtId="0" fontId="3" fillId="0" borderId="0" xfId="0" applyFont="1"/>
    <xf numFmtId="0" fontId="4" fillId="0" borderId="6" xfId="0" applyFont="1" applyBorder="1"/>
    <xf numFmtId="164" fontId="2" fillId="0" borderId="6" xfId="0" applyNumberFormat="1" applyFont="1" applyBorder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164" fontId="2" fillId="0" borderId="0" xfId="0" applyNumberFormat="1" applyFont="1"/>
    <xf numFmtId="164" fontId="5" fillId="0" borderId="6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left"/>
    </xf>
    <xf numFmtId="166" fontId="2" fillId="0" borderId="6" xfId="2" applyNumberFormat="1" applyFont="1" applyBorder="1"/>
    <xf numFmtId="0" fontId="3" fillId="2" borderId="7" xfId="0" applyFont="1" applyFill="1" applyBorder="1"/>
    <xf numFmtId="164" fontId="3" fillId="2" borderId="7" xfId="0" applyNumberFormat="1" applyFont="1" applyFill="1" applyBorder="1" applyAlignment="1">
      <alignment horizontal="left"/>
    </xf>
    <xf numFmtId="0" fontId="3" fillId="2" borderId="0" xfId="0" applyFont="1" applyFill="1"/>
    <xf numFmtId="164" fontId="3" fillId="2" borderId="0" xfId="0" applyNumberFormat="1" applyFont="1" applyFill="1" applyAlignment="1">
      <alignment horizontal="left"/>
    </xf>
    <xf numFmtId="0" fontId="3" fillId="2" borderId="6" xfId="0" applyFont="1" applyFill="1" applyBorder="1"/>
    <xf numFmtId="0" fontId="3" fillId="2" borderId="6" xfId="0" applyFont="1" applyFill="1" applyBorder="1" applyAlignment="1">
      <alignment horizontal="left"/>
    </xf>
    <xf numFmtId="164" fontId="3" fillId="2" borderId="6" xfId="0" applyNumberFormat="1" applyFont="1" applyFill="1" applyBorder="1" applyAlignment="1">
      <alignment horizontal="left"/>
    </xf>
    <xf numFmtId="0" fontId="2" fillId="2" borderId="1" xfId="0" applyFont="1" applyFill="1" applyBorder="1"/>
    <xf numFmtId="0" fontId="3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164" fontId="3" fillId="2" borderId="5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left" vertical="top"/>
    </xf>
    <xf numFmtId="0" fontId="1" fillId="0" borderId="6" xfId="0" applyFont="1" applyBorder="1" applyAlignment="1">
      <alignment vertical="top"/>
    </xf>
    <xf numFmtId="164" fontId="1" fillId="0" borderId="6" xfId="3" applyFont="1" applyBorder="1" applyAlignment="1">
      <alignment horizontal="left" vertical="top"/>
    </xf>
    <xf numFmtId="164" fontId="2" fillId="0" borderId="0" xfId="3" applyFont="1" applyBorder="1"/>
    <xf numFmtId="0" fontId="1" fillId="3" borderId="6" xfId="0" applyFont="1" applyFill="1" applyBorder="1" applyAlignment="1">
      <alignment vertical="top" wrapText="1"/>
    </xf>
    <xf numFmtId="164" fontId="1" fillId="0" borderId="6" xfId="0" applyNumberFormat="1" applyFont="1" applyBorder="1" applyAlignment="1">
      <alignment horizontal="left" vertical="top"/>
    </xf>
    <xf numFmtId="0" fontId="1" fillId="0" borderId="0" xfId="0" applyFont="1" applyAlignment="1">
      <alignment vertical="top"/>
    </xf>
    <xf numFmtId="0" fontId="1" fillId="3" borderId="6" xfId="0" applyFont="1" applyFill="1" applyBorder="1"/>
    <xf numFmtId="0" fontId="3" fillId="2" borderId="4" xfId="0" applyFont="1" applyFill="1" applyBorder="1"/>
    <xf numFmtId="0" fontId="1" fillId="0" borderId="6" xfId="0" applyFont="1" applyBorder="1" applyAlignment="1">
      <alignment horizontal="left"/>
    </xf>
    <xf numFmtId="164" fontId="1" fillId="0" borderId="6" xfId="3" applyFont="1" applyBorder="1" applyAlignment="1">
      <alignment horizontal="left"/>
    </xf>
    <xf numFmtId="0" fontId="1" fillId="0" borderId="6" xfId="0" applyFont="1" applyBorder="1" applyAlignment="1">
      <alignment vertical="top" wrapText="1"/>
    </xf>
    <xf numFmtId="0" fontId="2" fillId="0" borderId="8" xfId="0" applyFont="1" applyBorder="1" applyAlignment="1">
      <alignment horizontal="left"/>
    </xf>
    <xf numFmtId="164" fontId="2" fillId="0" borderId="8" xfId="0" applyNumberFormat="1" applyFont="1" applyBorder="1" applyAlignment="1">
      <alignment horizontal="left"/>
    </xf>
    <xf numFmtId="0" fontId="2" fillId="2" borderId="11" xfId="0" applyFont="1" applyFill="1" applyBorder="1"/>
    <xf numFmtId="0" fontId="3" fillId="2" borderId="12" xfId="0" applyFont="1" applyFill="1" applyBorder="1"/>
    <xf numFmtId="164" fontId="3" fillId="2" borderId="12" xfId="0" applyNumberFormat="1" applyFont="1" applyFill="1" applyBorder="1" applyAlignment="1">
      <alignment horizontal="left"/>
    </xf>
    <xf numFmtId="164" fontId="3" fillId="2" borderId="13" xfId="0" applyNumberFormat="1" applyFont="1" applyFill="1" applyBorder="1" applyAlignment="1">
      <alignment horizontal="left"/>
    </xf>
    <xf numFmtId="0" fontId="2" fillId="2" borderId="14" xfId="0" applyFont="1" applyFill="1" applyBorder="1"/>
    <xf numFmtId="164" fontId="3" fillId="2" borderId="15" xfId="0" applyNumberFormat="1" applyFont="1" applyFill="1" applyBorder="1" applyAlignment="1">
      <alignment horizontal="left"/>
    </xf>
    <xf numFmtId="0" fontId="2" fillId="2" borderId="16" xfId="0" applyFont="1" applyFill="1" applyBorder="1"/>
    <xf numFmtId="0" fontId="3" fillId="2" borderId="17" xfId="0" applyFont="1" applyFill="1" applyBorder="1"/>
    <xf numFmtId="164" fontId="3" fillId="2" borderId="17" xfId="0" applyNumberFormat="1" applyFont="1" applyFill="1" applyBorder="1" applyAlignment="1">
      <alignment horizontal="left"/>
    </xf>
    <xf numFmtId="164" fontId="2" fillId="2" borderId="17" xfId="0" applyNumberFormat="1" applyFont="1" applyFill="1" applyBorder="1" applyAlignment="1">
      <alignment horizontal="left"/>
    </xf>
    <xf numFmtId="164" fontId="2" fillId="2" borderId="18" xfId="0" applyNumberFormat="1" applyFont="1" applyFill="1" applyBorder="1" applyAlignment="1">
      <alignment horizontal="left"/>
    </xf>
    <xf numFmtId="164" fontId="1" fillId="0" borderId="6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left"/>
    </xf>
    <xf numFmtId="0" fontId="1" fillId="0" borderId="0" xfId="0" applyFont="1"/>
    <xf numFmtId="0" fontId="1" fillId="0" borderId="6" xfId="0" applyFont="1" applyBorder="1"/>
    <xf numFmtId="164" fontId="1" fillId="0" borderId="6" xfId="0" applyNumberFormat="1" applyFont="1" applyBorder="1" applyAlignment="1">
      <alignment horizontal="left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10" fontId="3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167" fontId="1" fillId="0" borderId="0" xfId="4" applyNumberFormat="1" applyFont="1" applyAlignment="1">
      <alignment horizontal="left" vertical="top"/>
    </xf>
    <xf numFmtId="168" fontId="1" fillId="0" borderId="0" xfId="0" applyNumberFormat="1" applyFont="1" applyAlignment="1">
      <alignment horizontal="right" vertical="top"/>
    </xf>
    <xf numFmtId="10" fontId="1" fillId="0" borderId="0" xfId="0" applyNumberFormat="1" applyFont="1" applyAlignment="1">
      <alignment horizontal="right" vertical="top"/>
    </xf>
    <xf numFmtId="44" fontId="1" fillId="0" borderId="0" xfId="0" applyNumberFormat="1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44" fontId="1" fillId="0" borderId="5" xfId="0" applyNumberFormat="1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10" fontId="1" fillId="0" borderId="0" xfId="0" applyNumberFormat="1" applyFont="1" applyAlignment="1">
      <alignment horizontal="left" vertical="top"/>
    </xf>
    <xf numFmtId="164" fontId="1" fillId="0" borderId="0" xfId="0" applyNumberFormat="1" applyFont="1" applyAlignment="1">
      <alignment horizontal="right" vertical="top"/>
    </xf>
    <xf numFmtId="167" fontId="1" fillId="0" borderId="0" xfId="5" applyNumberFormat="1" applyFont="1" applyFill="1" applyAlignment="1">
      <alignment horizontal="left" vertical="top"/>
    </xf>
    <xf numFmtId="169" fontId="1" fillId="0" borderId="0" xfId="0" applyNumberFormat="1" applyFont="1" applyAlignment="1">
      <alignment horizontal="left" vertical="top"/>
    </xf>
    <xf numFmtId="167" fontId="1" fillId="0" borderId="19" xfId="5" applyNumberFormat="1" applyFont="1" applyFill="1" applyBorder="1" applyAlignment="1">
      <alignment horizontal="left" vertical="top"/>
    </xf>
    <xf numFmtId="0" fontId="3" fillId="0" borderId="0" xfId="0" applyFont="1" applyAlignment="1">
      <alignment horizontal="left" vertical="top" wrapText="1"/>
    </xf>
    <xf numFmtId="167" fontId="1" fillId="0" borderId="0" xfId="0" applyNumberFormat="1" applyFont="1" applyAlignment="1">
      <alignment horizontal="left" vertical="top"/>
    </xf>
    <xf numFmtId="44" fontId="2" fillId="0" borderId="0" xfId="0" applyNumberFormat="1" applyFont="1"/>
    <xf numFmtId="44" fontId="3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0" fontId="1" fillId="4" borderId="0" xfId="0" applyFont="1" applyFill="1"/>
    <xf numFmtId="0" fontId="1" fillId="5" borderId="0" xfId="0" applyFont="1" applyFill="1"/>
    <xf numFmtId="0" fontId="1" fillId="5" borderId="0" xfId="0" applyFont="1" applyFill="1" applyAlignment="1">
      <alignment vertical="top"/>
    </xf>
    <xf numFmtId="166" fontId="2" fillId="0" borderId="6" xfId="0" applyNumberFormat="1" applyFont="1" applyBorder="1" applyAlignment="1">
      <alignment horizontal="left"/>
    </xf>
    <xf numFmtId="164" fontId="2" fillId="0" borderId="6" xfId="3" applyFont="1" applyBorder="1" applyAlignment="1">
      <alignment horizontal="left"/>
    </xf>
    <xf numFmtId="164" fontId="11" fillId="0" borderId="8" xfId="0" applyNumberFormat="1" applyFont="1" applyBorder="1" applyAlignment="1">
      <alignment horizontal="left"/>
    </xf>
    <xf numFmtId="164" fontId="1" fillId="0" borderId="8" xfId="0" applyNumberFormat="1" applyFont="1" applyBorder="1" applyAlignment="1">
      <alignment horizontal="left" vertical="top"/>
    </xf>
    <xf numFmtId="164" fontId="2" fillId="0" borderId="6" xfId="0" applyNumberFormat="1" applyFont="1" applyBorder="1" applyAlignment="1">
      <alignment horizontal="left" vertical="top"/>
    </xf>
    <xf numFmtId="164" fontId="3" fillId="2" borderId="6" xfId="0" applyNumberFormat="1" applyFont="1" applyFill="1" applyBorder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164" fontId="3" fillId="2" borderId="5" xfId="0" applyNumberFormat="1" applyFont="1" applyFill="1" applyBorder="1" applyAlignment="1">
      <alignment horizontal="left" vertical="top"/>
    </xf>
    <xf numFmtId="164" fontId="3" fillId="2" borderId="7" xfId="0" applyNumberFormat="1" applyFont="1" applyFill="1" applyBorder="1" applyAlignment="1">
      <alignment horizontal="left" vertical="top"/>
    </xf>
    <xf numFmtId="166" fontId="2" fillId="0" borderId="0" xfId="0" applyNumberFormat="1" applyFont="1" applyAlignment="1">
      <alignment horizontal="left" vertical="top"/>
    </xf>
    <xf numFmtId="166" fontId="1" fillId="0" borderId="6" xfId="0" applyNumberFormat="1" applyFont="1" applyBorder="1" applyAlignment="1">
      <alignment horizontal="left" vertical="top"/>
    </xf>
    <xf numFmtId="0" fontId="11" fillId="0" borderId="0" xfId="0" applyFont="1"/>
    <xf numFmtId="0" fontId="11" fillId="0" borderId="6" xfId="0" applyFont="1" applyBorder="1"/>
    <xf numFmtId="164" fontId="2" fillId="0" borderId="8" xfId="0" applyNumberFormat="1" applyFont="1" applyBorder="1" applyAlignment="1">
      <alignment horizontal="left" vertical="top"/>
    </xf>
    <xf numFmtId="0" fontId="12" fillId="0" borderId="0" xfId="0" applyFont="1"/>
    <xf numFmtId="164" fontId="11" fillId="0" borderId="6" xfId="0" applyNumberFormat="1" applyFont="1" applyBorder="1" applyAlignment="1">
      <alignment horizontal="left"/>
    </xf>
    <xf numFmtId="164" fontId="11" fillId="0" borderId="6" xfId="0" applyNumberFormat="1" applyFont="1" applyBorder="1" applyAlignment="1">
      <alignment horizontal="center"/>
    </xf>
    <xf numFmtId="164" fontId="11" fillId="0" borderId="6" xfId="0" applyNumberFormat="1" applyFont="1" applyBorder="1" applyAlignment="1">
      <alignment horizontal="left" vertical="top"/>
    </xf>
    <xf numFmtId="0" fontId="11" fillId="0" borderId="0" xfId="0" applyFont="1" applyAlignment="1">
      <alignment vertical="top"/>
    </xf>
    <xf numFmtId="164" fontId="11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left" vertical="top"/>
    </xf>
    <xf numFmtId="0" fontId="1" fillId="5" borderId="6" xfId="0" applyFont="1" applyFill="1" applyBorder="1"/>
    <xf numFmtId="164" fontId="1" fillId="0" borderId="6" xfId="0" applyNumberFormat="1" applyFont="1" applyBorder="1" applyAlignment="1">
      <alignment horizontal="center" vertical="top"/>
    </xf>
    <xf numFmtId="164" fontId="1" fillId="5" borderId="6" xfId="0" applyNumberFormat="1" applyFont="1" applyFill="1" applyBorder="1" applyAlignment="1">
      <alignment horizontal="left"/>
    </xf>
    <xf numFmtId="0" fontId="13" fillId="0" borderId="0" xfId="0" applyFont="1"/>
    <xf numFmtId="164" fontId="3" fillId="2" borderId="12" xfId="0" applyNumberFormat="1" applyFont="1" applyFill="1" applyBorder="1" applyAlignment="1">
      <alignment horizontal="center" vertical="top" textRotation="90"/>
    </xf>
    <xf numFmtId="164" fontId="3" fillId="2" borderId="0" xfId="0" applyNumberFormat="1" applyFont="1" applyFill="1" applyAlignment="1">
      <alignment horizontal="center" vertical="top" textRotation="90"/>
    </xf>
    <xf numFmtId="164" fontId="3" fillId="2" borderId="17" xfId="0" applyNumberFormat="1" applyFont="1" applyFill="1" applyBorder="1" applyAlignment="1">
      <alignment horizontal="center" vertical="top" textRotation="90"/>
    </xf>
  </cellXfs>
  <cellStyles count="6">
    <cellStyle name="Euro" xfId="1" xr:uid="{00000000-0005-0000-0000-000000000000}"/>
    <cellStyle name="Euro 2" xfId="5" xr:uid="{19DDA2E0-CC78-4712-8F74-980A9AF7E497}"/>
    <cellStyle name="Komma" xfId="2" builtinId="3"/>
    <cellStyle name="Standaard" xfId="0" builtinId="0"/>
    <cellStyle name="Valuta" xfId="3" builtinId="4"/>
    <cellStyle name="Valuta 2" xfId="4" xr:uid="{0F8A1100-3503-46FA-A028-DAE58F2498B8}"/>
  </cellStyles>
  <dxfs count="0"/>
  <tableStyles count="0" defaultTableStyle="TableStyleMedium2" defaultPivotStyle="PivotStyleLight16"/>
  <colors>
    <mruColors>
      <color rgb="FFB7AD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2"/>
  <sheetViews>
    <sheetView tabSelected="1" topLeftCell="D40" zoomScaleNormal="100" workbookViewId="0">
      <selection activeCell="Q84" sqref="Q84"/>
    </sheetView>
  </sheetViews>
  <sheetFormatPr defaultColWidth="8.85546875" defaultRowHeight="12.75"/>
  <cols>
    <col min="1" max="1" width="3.42578125" style="1" hidden="1" customWidth="1"/>
    <col min="2" max="2" width="5.140625" style="1" customWidth="1"/>
    <col min="3" max="3" width="44.85546875" style="1" bestFit="1" customWidth="1"/>
    <col min="4" max="4" width="9.28515625" style="1" bestFit="1" customWidth="1"/>
    <col min="5" max="5" width="9.85546875" style="1" bestFit="1" customWidth="1"/>
    <col min="6" max="6" width="41.5703125" style="1" customWidth="1"/>
    <col min="7" max="8" width="21.140625" style="15" hidden="1" customWidth="1"/>
    <col min="9" max="9" width="19.42578125" style="7" hidden="1" customWidth="1"/>
    <col min="10" max="10" width="4.140625" style="94" bestFit="1" customWidth="1"/>
    <col min="11" max="14" width="19.42578125" style="7" hidden="1" customWidth="1"/>
    <col min="15" max="16" width="19.42578125" style="7" customWidth="1"/>
    <col min="17" max="17" width="18.140625" style="7" bestFit="1" customWidth="1"/>
    <col min="18" max="18" width="5.7109375" style="1" customWidth="1"/>
    <col min="19" max="19" width="15.5703125" style="57" bestFit="1" customWidth="1"/>
    <col min="20" max="21" width="15.5703125" style="1" bestFit="1" customWidth="1"/>
    <col min="22" max="16384" width="8.85546875" style="1"/>
  </cols>
  <sheetData>
    <row r="1" spans="1:19">
      <c r="A1" s="25"/>
      <c r="B1" s="44"/>
      <c r="C1" s="45" t="s">
        <v>0</v>
      </c>
      <c r="D1" s="45" t="s">
        <v>115</v>
      </c>
      <c r="E1" s="45" t="s">
        <v>116</v>
      </c>
      <c r="F1" s="45" t="s">
        <v>1</v>
      </c>
      <c r="G1" s="46" t="s">
        <v>114</v>
      </c>
      <c r="H1" s="46" t="s">
        <v>114</v>
      </c>
      <c r="I1" s="46" t="s">
        <v>2</v>
      </c>
      <c r="J1" s="114" t="s">
        <v>242</v>
      </c>
      <c r="K1" s="46" t="s">
        <v>114</v>
      </c>
      <c r="L1" s="46" t="s">
        <v>2</v>
      </c>
      <c r="M1" s="46" t="s">
        <v>114</v>
      </c>
      <c r="N1" s="46" t="s">
        <v>2</v>
      </c>
      <c r="O1" s="46" t="s">
        <v>114</v>
      </c>
      <c r="P1" s="46" t="s">
        <v>2</v>
      </c>
      <c r="Q1" s="47" t="s">
        <v>3</v>
      </c>
    </row>
    <row r="2" spans="1:19">
      <c r="A2" s="27"/>
      <c r="B2" s="48"/>
      <c r="C2" s="20"/>
      <c r="D2" s="20"/>
      <c r="E2" s="20"/>
      <c r="F2" s="20"/>
      <c r="G2" s="21" t="s">
        <v>189</v>
      </c>
      <c r="H2" s="21" t="s">
        <v>194</v>
      </c>
      <c r="I2" s="21" t="s">
        <v>194</v>
      </c>
      <c r="J2" s="115"/>
      <c r="K2" s="21" t="s">
        <v>215</v>
      </c>
      <c r="L2" s="21" t="s">
        <v>215</v>
      </c>
      <c r="M2" s="21" t="s">
        <v>244</v>
      </c>
      <c r="N2" s="21" t="s">
        <v>244</v>
      </c>
      <c r="O2" s="21" t="s">
        <v>250</v>
      </c>
      <c r="P2" s="21" t="s">
        <v>250</v>
      </c>
      <c r="Q2" s="49" t="s">
        <v>250</v>
      </c>
    </row>
    <row r="3" spans="1:19" ht="13.5" thickBot="1">
      <c r="A3" s="28"/>
      <c r="B3" s="50"/>
      <c r="C3" s="51"/>
      <c r="D3" s="51"/>
      <c r="E3" s="51"/>
      <c r="F3" s="51"/>
      <c r="G3" s="52" t="s">
        <v>190</v>
      </c>
      <c r="H3" s="52" t="s">
        <v>195</v>
      </c>
      <c r="I3" s="53"/>
      <c r="J3" s="116"/>
      <c r="K3" s="52" t="s">
        <v>217</v>
      </c>
      <c r="L3" s="52" t="s">
        <v>216</v>
      </c>
      <c r="M3" s="52" t="s">
        <v>245</v>
      </c>
      <c r="N3" s="52" t="s">
        <v>246</v>
      </c>
      <c r="O3" s="52" t="s">
        <v>251</v>
      </c>
      <c r="P3" s="52" t="s">
        <v>252</v>
      </c>
      <c r="Q3" s="54"/>
    </row>
    <row r="4" spans="1:19" s="57" customFormat="1">
      <c r="B4" s="58"/>
      <c r="C4" s="58" t="s">
        <v>179</v>
      </c>
      <c r="D4" s="58" t="s">
        <v>186</v>
      </c>
      <c r="E4" s="58" t="s">
        <v>141</v>
      </c>
      <c r="F4" s="58" t="s">
        <v>180</v>
      </c>
      <c r="G4" s="43">
        <v>1873994</v>
      </c>
      <c r="H4" s="43">
        <f>ROUND(G4/151.5*159.8,0)</f>
        <v>1976662</v>
      </c>
      <c r="I4" s="59">
        <v>448000</v>
      </c>
      <c r="J4" s="35"/>
      <c r="K4" s="59">
        <v>1000000</v>
      </c>
      <c r="L4" s="59">
        <v>0</v>
      </c>
      <c r="M4" s="56">
        <f>ROUND(K4/124*128.4,0)</f>
        <v>1035484</v>
      </c>
      <c r="N4" s="59"/>
      <c r="O4" s="56">
        <f>ROUND(M4/128.4*131.8,-2)</f>
        <v>1062900</v>
      </c>
      <c r="P4" s="59"/>
      <c r="Q4" s="6">
        <f>O4+P4</f>
        <v>1062900</v>
      </c>
      <c r="S4" s="57" t="s">
        <v>229</v>
      </c>
    </row>
    <row r="5" spans="1:19" s="57" customFormat="1">
      <c r="B5" s="58"/>
      <c r="C5" s="58" t="s">
        <v>191</v>
      </c>
      <c r="D5" s="58" t="s">
        <v>192</v>
      </c>
      <c r="E5" s="58" t="s">
        <v>141</v>
      </c>
      <c r="F5" s="58" t="s">
        <v>193</v>
      </c>
      <c r="G5" s="55">
        <v>3800000</v>
      </c>
      <c r="H5" s="56">
        <f>ROUND(G5/158.3*159.8,0)</f>
        <v>3836008</v>
      </c>
      <c r="I5" s="59">
        <v>100000</v>
      </c>
      <c r="J5" s="91" t="s">
        <v>241</v>
      </c>
      <c r="K5" s="56">
        <v>4573800</v>
      </c>
      <c r="L5" s="56">
        <v>139150</v>
      </c>
      <c r="M5" s="91">
        <f>ROUND(K5/124.9*128.4,0)</f>
        <v>4701969</v>
      </c>
      <c r="N5" s="91">
        <f>ROUND(L5/122.5*124.4,0)</f>
        <v>141308</v>
      </c>
      <c r="O5" s="56">
        <f t="shared" ref="O5:O55" si="0">ROUND(M5/128.4*131.8,-2)</f>
        <v>4826500</v>
      </c>
      <c r="P5" s="91">
        <f>ROUND(N5/124.4*128.3,-2)</f>
        <v>145700</v>
      </c>
      <c r="Q5" s="6">
        <f t="shared" ref="Q5:Q57" si="1">O5+P5</f>
        <v>4972200</v>
      </c>
      <c r="S5" s="57" t="s">
        <v>229</v>
      </c>
    </row>
    <row r="6" spans="1:19">
      <c r="A6" s="2" t="s">
        <v>4</v>
      </c>
      <c r="B6" s="42">
        <v>45</v>
      </c>
      <c r="C6" s="10" t="s">
        <v>44</v>
      </c>
      <c r="D6" s="10" t="s">
        <v>140</v>
      </c>
      <c r="E6" s="10" t="s">
        <v>141</v>
      </c>
      <c r="F6" s="10" t="s">
        <v>45</v>
      </c>
      <c r="G6" s="43">
        <v>214260</v>
      </c>
      <c r="H6" s="43">
        <f>ROUND(G6/151.5*159.8,0)</f>
        <v>225998</v>
      </c>
      <c r="I6" s="43">
        <v>0</v>
      </c>
      <c r="J6" s="91"/>
      <c r="K6" s="56">
        <f>ROUND(H6/159.8*174,0)</f>
        <v>246080</v>
      </c>
      <c r="L6" s="56">
        <f>ROUND(I6/131.5*147.3,0)</f>
        <v>0</v>
      </c>
      <c r="M6" s="56">
        <f t="shared" ref="M6:M52" si="2">ROUND(K6/124*128.4,0)</f>
        <v>254812</v>
      </c>
      <c r="N6" s="56">
        <f t="shared" ref="N6:N57" si="3">ROUND(L6/122.3*124.4,0)</f>
        <v>0</v>
      </c>
      <c r="O6" s="56">
        <f t="shared" si="0"/>
        <v>261600</v>
      </c>
      <c r="P6" s="91">
        <f t="shared" ref="P6:P57" si="4">ROUND(N6/124.4*128.3,-2)</f>
        <v>0</v>
      </c>
      <c r="Q6" s="6">
        <f t="shared" si="1"/>
        <v>261600</v>
      </c>
      <c r="S6" s="57" t="s">
        <v>229</v>
      </c>
    </row>
    <row r="7" spans="1:19">
      <c r="A7" s="2" t="s">
        <v>4</v>
      </c>
      <c r="B7" s="3">
        <v>46</v>
      </c>
      <c r="C7" s="2" t="s">
        <v>44</v>
      </c>
      <c r="D7" s="2" t="s">
        <v>140</v>
      </c>
      <c r="E7" s="2" t="s">
        <v>141</v>
      </c>
      <c r="F7" s="2" t="s">
        <v>46</v>
      </c>
      <c r="G7" s="43">
        <v>41162</v>
      </c>
      <c r="H7" s="43">
        <f t="shared" ref="H7:H15" si="5">ROUND(G7/151.5*159.8,0)</f>
        <v>43417</v>
      </c>
      <c r="I7" s="6">
        <v>0</v>
      </c>
      <c r="J7" s="91"/>
      <c r="K7" s="56">
        <f t="shared" ref="K7:K9" si="6">ROUND(H7/159.8*174,0)</f>
        <v>47275</v>
      </c>
      <c r="L7" s="56">
        <f t="shared" ref="L7:L9" si="7">ROUND(I7/131.5*147.3,0)</f>
        <v>0</v>
      </c>
      <c r="M7" s="56">
        <f t="shared" si="2"/>
        <v>48953</v>
      </c>
      <c r="N7" s="56">
        <f t="shared" si="3"/>
        <v>0</v>
      </c>
      <c r="O7" s="56">
        <f t="shared" si="0"/>
        <v>50200</v>
      </c>
      <c r="P7" s="91">
        <f t="shared" si="4"/>
        <v>0</v>
      </c>
      <c r="Q7" s="6">
        <f t="shared" si="1"/>
        <v>50200</v>
      </c>
      <c r="S7" s="57" t="s">
        <v>229</v>
      </c>
    </row>
    <row r="8" spans="1:19">
      <c r="A8" s="2" t="s">
        <v>4</v>
      </c>
      <c r="B8" s="3">
        <v>47</v>
      </c>
      <c r="C8" s="2" t="s">
        <v>44</v>
      </c>
      <c r="D8" s="2" t="s">
        <v>140</v>
      </c>
      <c r="E8" s="2" t="s">
        <v>141</v>
      </c>
      <c r="F8" s="2" t="s">
        <v>47</v>
      </c>
      <c r="G8" s="43">
        <v>41162</v>
      </c>
      <c r="H8" s="43">
        <f t="shared" si="5"/>
        <v>43417</v>
      </c>
      <c r="I8" s="6">
        <v>0</v>
      </c>
      <c r="J8" s="91"/>
      <c r="K8" s="56">
        <f t="shared" si="6"/>
        <v>47275</v>
      </c>
      <c r="L8" s="56">
        <f t="shared" si="7"/>
        <v>0</v>
      </c>
      <c r="M8" s="56">
        <f t="shared" si="2"/>
        <v>48953</v>
      </c>
      <c r="N8" s="56">
        <f t="shared" si="3"/>
        <v>0</v>
      </c>
      <c r="O8" s="56">
        <f t="shared" si="0"/>
        <v>50200</v>
      </c>
      <c r="P8" s="91">
        <f t="shared" si="4"/>
        <v>0</v>
      </c>
      <c r="Q8" s="6">
        <f t="shared" si="1"/>
        <v>50200</v>
      </c>
      <c r="S8" s="57" t="s">
        <v>229</v>
      </c>
    </row>
    <row r="9" spans="1:19">
      <c r="A9" s="2" t="s">
        <v>57</v>
      </c>
      <c r="B9" s="3">
        <v>74</v>
      </c>
      <c r="C9" s="2" t="s">
        <v>86</v>
      </c>
      <c r="D9" s="2" t="s">
        <v>143</v>
      </c>
      <c r="E9" s="2" t="s">
        <v>141</v>
      </c>
      <c r="F9" s="2" t="s">
        <v>87</v>
      </c>
      <c r="G9" s="43">
        <v>7513</v>
      </c>
      <c r="H9" s="43">
        <f t="shared" si="5"/>
        <v>7925</v>
      </c>
      <c r="I9" s="6">
        <v>5445</v>
      </c>
      <c r="J9" s="91"/>
      <c r="K9" s="56">
        <f t="shared" si="6"/>
        <v>8629</v>
      </c>
      <c r="L9" s="56">
        <f t="shared" si="7"/>
        <v>6099</v>
      </c>
      <c r="M9" s="56">
        <f t="shared" si="2"/>
        <v>8935</v>
      </c>
      <c r="N9" s="56">
        <f t="shared" si="3"/>
        <v>6204</v>
      </c>
      <c r="O9" s="56">
        <f t="shared" si="0"/>
        <v>9200</v>
      </c>
      <c r="P9" s="91">
        <f t="shared" si="4"/>
        <v>6400</v>
      </c>
      <c r="Q9" s="6">
        <f t="shared" si="1"/>
        <v>15600</v>
      </c>
      <c r="S9" s="57" t="s">
        <v>229</v>
      </c>
    </row>
    <row r="10" spans="1:19">
      <c r="A10" s="2" t="s">
        <v>4</v>
      </c>
      <c r="B10" s="3">
        <v>52</v>
      </c>
      <c r="C10" s="2" t="s">
        <v>50</v>
      </c>
      <c r="D10" s="2" t="s">
        <v>143</v>
      </c>
      <c r="E10" s="2" t="s">
        <v>141</v>
      </c>
      <c r="F10" s="2" t="s">
        <v>23</v>
      </c>
      <c r="G10" s="43">
        <v>330078</v>
      </c>
      <c r="H10" s="43">
        <f t="shared" si="5"/>
        <v>348161</v>
      </c>
      <c r="I10" s="6">
        <v>21781</v>
      </c>
      <c r="J10" s="91" t="s">
        <v>241</v>
      </c>
      <c r="K10" s="56">
        <v>411400</v>
      </c>
      <c r="L10" s="56">
        <v>48400</v>
      </c>
      <c r="M10" s="91">
        <f t="shared" ref="M10:M13" si="8">ROUND(K10/124.9*128.4,0)</f>
        <v>422928</v>
      </c>
      <c r="N10" s="91">
        <f t="shared" ref="N10:N13" si="9">ROUND(L10/122.5*124.4,0)</f>
        <v>49151</v>
      </c>
      <c r="O10" s="56">
        <f t="shared" si="0"/>
        <v>434100</v>
      </c>
      <c r="P10" s="91">
        <f t="shared" si="4"/>
        <v>50700</v>
      </c>
      <c r="Q10" s="6">
        <f t="shared" si="1"/>
        <v>484800</v>
      </c>
      <c r="S10" s="57" t="s">
        <v>230</v>
      </c>
    </row>
    <row r="11" spans="1:19">
      <c r="A11" s="2" t="s">
        <v>4</v>
      </c>
      <c r="B11" s="3">
        <v>68</v>
      </c>
      <c r="C11" s="2" t="s">
        <v>50</v>
      </c>
      <c r="D11" s="2" t="s">
        <v>143</v>
      </c>
      <c r="E11" s="2" t="s">
        <v>141</v>
      </c>
      <c r="F11" s="2" t="s">
        <v>107</v>
      </c>
      <c r="G11" s="43">
        <v>135027</v>
      </c>
      <c r="H11" s="43">
        <f t="shared" si="5"/>
        <v>142425</v>
      </c>
      <c r="I11" s="6">
        <v>15000</v>
      </c>
      <c r="J11" s="91" t="s">
        <v>241</v>
      </c>
      <c r="K11" s="56">
        <v>155000</v>
      </c>
      <c r="L11" s="56">
        <v>20000</v>
      </c>
      <c r="M11" s="91">
        <f t="shared" si="8"/>
        <v>159343</v>
      </c>
      <c r="N11" s="91">
        <f t="shared" si="9"/>
        <v>20310</v>
      </c>
      <c r="O11" s="56">
        <f t="shared" si="0"/>
        <v>163600</v>
      </c>
      <c r="P11" s="91">
        <f t="shared" si="4"/>
        <v>20900</v>
      </c>
      <c r="Q11" s="6">
        <f t="shared" si="1"/>
        <v>184500</v>
      </c>
      <c r="S11" s="86" t="s">
        <v>231</v>
      </c>
    </row>
    <row r="12" spans="1:19">
      <c r="A12" s="2" t="s">
        <v>4</v>
      </c>
      <c r="B12" s="3">
        <v>54</v>
      </c>
      <c r="C12" s="2" t="s">
        <v>51</v>
      </c>
      <c r="D12" s="2" t="s">
        <v>143</v>
      </c>
      <c r="E12" s="2" t="s">
        <v>141</v>
      </c>
      <c r="F12" s="2" t="s">
        <v>52</v>
      </c>
      <c r="G12" s="43">
        <v>1278619</v>
      </c>
      <c r="H12" s="43">
        <f t="shared" si="5"/>
        <v>1348669</v>
      </c>
      <c r="I12" s="6">
        <v>60000</v>
      </c>
      <c r="J12" s="91" t="s">
        <v>241</v>
      </c>
      <c r="K12" s="56">
        <v>1705000</v>
      </c>
      <c r="L12" s="56">
        <v>85000</v>
      </c>
      <c r="M12" s="91">
        <f t="shared" si="8"/>
        <v>1752778</v>
      </c>
      <c r="N12" s="91">
        <f t="shared" si="9"/>
        <v>86318</v>
      </c>
      <c r="O12" s="56">
        <f t="shared" si="0"/>
        <v>1799200</v>
      </c>
      <c r="P12" s="91">
        <f t="shared" si="4"/>
        <v>89000</v>
      </c>
      <c r="Q12" s="6">
        <f t="shared" si="1"/>
        <v>1888200</v>
      </c>
      <c r="S12" s="86" t="s">
        <v>231</v>
      </c>
    </row>
    <row r="13" spans="1:19">
      <c r="A13" s="58" t="s">
        <v>4</v>
      </c>
      <c r="B13" s="3">
        <v>72</v>
      </c>
      <c r="C13" s="58" t="s">
        <v>167</v>
      </c>
      <c r="D13" s="58" t="s">
        <v>145</v>
      </c>
      <c r="E13" s="2" t="s">
        <v>141</v>
      </c>
      <c r="F13" s="58" t="s">
        <v>113</v>
      </c>
      <c r="G13" s="43">
        <v>1351768</v>
      </c>
      <c r="H13" s="43">
        <f t="shared" si="5"/>
        <v>1425825</v>
      </c>
      <c r="I13" s="6"/>
      <c r="J13" s="91" t="s">
        <v>241</v>
      </c>
      <c r="K13" s="56">
        <v>1700050</v>
      </c>
      <c r="L13" s="56">
        <f t="shared" ref="L13:L15" si="10">ROUND(I13/131.5*147.3,0)</f>
        <v>0</v>
      </c>
      <c r="M13" s="91">
        <f t="shared" si="8"/>
        <v>1747690</v>
      </c>
      <c r="N13" s="91">
        <f t="shared" si="9"/>
        <v>0</v>
      </c>
      <c r="O13" s="56">
        <f t="shared" si="0"/>
        <v>1794000</v>
      </c>
      <c r="P13" s="91">
        <f t="shared" si="4"/>
        <v>0</v>
      </c>
      <c r="Q13" s="6">
        <f t="shared" si="1"/>
        <v>1794000</v>
      </c>
      <c r="S13" s="57" t="s">
        <v>230</v>
      </c>
    </row>
    <row r="14" spans="1:19">
      <c r="A14" s="2" t="s">
        <v>4</v>
      </c>
      <c r="B14" s="3">
        <v>4</v>
      </c>
      <c r="C14" s="2" t="s">
        <v>108</v>
      </c>
      <c r="D14" s="2" t="s">
        <v>131</v>
      </c>
      <c r="E14" s="2" t="s">
        <v>127</v>
      </c>
      <c r="F14" s="2" t="s">
        <v>9</v>
      </c>
      <c r="G14" s="43">
        <v>7125</v>
      </c>
      <c r="H14" s="43">
        <f t="shared" si="5"/>
        <v>7515</v>
      </c>
      <c r="I14" s="6">
        <v>5445</v>
      </c>
      <c r="J14" s="91"/>
      <c r="K14" s="56">
        <f t="shared" ref="K14" si="11">ROUND(H14/159.8*174,0)</f>
        <v>8183</v>
      </c>
      <c r="L14" s="56">
        <f t="shared" si="10"/>
        <v>6099</v>
      </c>
      <c r="M14" s="56">
        <f t="shared" si="2"/>
        <v>8473</v>
      </c>
      <c r="N14" s="56">
        <f t="shared" si="3"/>
        <v>6204</v>
      </c>
      <c r="O14" s="56">
        <f t="shared" si="0"/>
        <v>8700</v>
      </c>
      <c r="P14" s="91">
        <f t="shared" si="4"/>
        <v>6400</v>
      </c>
      <c r="Q14" s="6">
        <f t="shared" si="1"/>
        <v>15100</v>
      </c>
      <c r="S14" s="57" t="s">
        <v>230</v>
      </c>
    </row>
    <row r="15" spans="1:19">
      <c r="A15" s="2" t="s">
        <v>4</v>
      </c>
      <c r="B15" s="3">
        <v>5</v>
      </c>
      <c r="C15" s="2" t="s">
        <v>10</v>
      </c>
      <c r="D15" s="2" t="s">
        <v>130</v>
      </c>
      <c r="E15" s="2" t="s">
        <v>127</v>
      </c>
      <c r="F15" s="2" t="s">
        <v>11</v>
      </c>
      <c r="G15" s="43">
        <v>276254</v>
      </c>
      <c r="H15" s="43">
        <f t="shared" si="5"/>
        <v>291389</v>
      </c>
      <c r="I15" s="6">
        <v>0</v>
      </c>
      <c r="J15" s="91" t="s">
        <v>241</v>
      </c>
      <c r="K15" s="56">
        <v>308550</v>
      </c>
      <c r="L15" s="56">
        <f t="shared" si="10"/>
        <v>0</v>
      </c>
      <c r="M15" s="91">
        <f t="shared" ref="M15:M19" si="12">ROUND(K15/124.9*128.4,0)</f>
        <v>317196</v>
      </c>
      <c r="N15" s="91">
        <f t="shared" ref="N15:N19" si="13">ROUND(L15/122.5*124.4,0)</f>
        <v>0</v>
      </c>
      <c r="O15" s="56">
        <f t="shared" si="0"/>
        <v>325600</v>
      </c>
      <c r="P15" s="91">
        <f t="shared" si="4"/>
        <v>0</v>
      </c>
      <c r="Q15" s="6">
        <f t="shared" si="1"/>
        <v>325600</v>
      </c>
      <c r="S15" s="57" t="s">
        <v>230</v>
      </c>
    </row>
    <row r="16" spans="1:19">
      <c r="B16" s="2"/>
      <c r="C16" s="58" t="s">
        <v>196</v>
      </c>
      <c r="D16" s="58" t="s">
        <v>218</v>
      </c>
      <c r="E16" s="58" t="s">
        <v>127</v>
      </c>
      <c r="F16" s="58" t="s">
        <v>197</v>
      </c>
      <c r="G16" s="14"/>
      <c r="H16" s="14">
        <f>15*40000</f>
        <v>600000</v>
      </c>
      <c r="I16" s="59"/>
      <c r="J16" s="91" t="s">
        <v>241</v>
      </c>
      <c r="K16" s="56">
        <v>949850</v>
      </c>
      <c r="L16" s="56">
        <f>ROUND(I16/131.5*147.3,0)</f>
        <v>0</v>
      </c>
      <c r="M16" s="91">
        <f t="shared" si="12"/>
        <v>976467</v>
      </c>
      <c r="N16" s="91">
        <f t="shared" si="13"/>
        <v>0</v>
      </c>
      <c r="O16" s="56">
        <f t="shared" si="0"/>
        <v>1002300</v>
      </c>
      <c r="P16" s="91">
        <f t="shared" si="4"/>
        <v>0</v>
      </c>
      <c r="Q16" s="6">
        <f t="shared" si="1"/>
        <v>1002300</v>
      </c>
      <c r="S16" s="57" t="s">
        <v>230</v>
      </c>
    </row>
    <row r="17" spans="1:19">
      <c r="B17" s="2"/>
      <c r="C17" s="58" t="s">
        <v>196</v>
      </c>
      <c r="D17" s="58" t="s">
        <v>218</v>
      </c>
      <c r="E17" s="58" t="s">
        <v>127</v>
      </c>
      <c r="F17" s="58" t="s">
        <v>198</v>
      </c>
      <c r="G17" s="14"/>
      <c r="H17" s="14"/>
      <c r="I17" s="6">
        <v>20000</v>
      </c>
      <c r="J17" s="91" t="s">
        <v>241</v>
      </c>
      <c r="K17" s="56">
        <f>H17</f>
        <v>0</v>
      </c>
      <c r="L17" s="56">
        <f>I17</f>
        <v>20000</v>
      </c>
      <c r="M17" s="91">
        <f t="shared" si="12"/>
        <v>0</v>
      </c>
      <c r="N17" s="91">
        <f t="shared" si="13"/>
        <v>20310</v>
      </c>
      <c r="O17" s="56">
        <f t="shared" si="0"/>
        <v>0</v>
      </c>
      <c r="P17" s="91">
        <f t="shared" si="4"/>
        <v>20900</v>
      </c>
      <c r="Q17" s="6">
        <f t="shared" si="1"/>
        <v>20900</v>
      </c>
      <c r="S17" s="57" t="s">
        <v>230</v>
      </c>
    </row>
    <row r="18" spans="1:19">
      <c r="A18" s="2" t="s">
        <v>4</v>
      </c>
      <c r="B18" s="3">
        <v>17</v>
      </c>
      <c r="C18" s="2" t="s">
        <v>24</v>
      </c>
      <c r="D18" s="2" t="s">
        <v>128</v>
      </c>
      <c r="E18" s="2" t="s">
        <v>127</v>
      </c>
      <c r="F18" s="2" t="s">
        <v>25</v>
      </c>
      <c r="G18" s="43">
        <v>276254</v>
      </c>
      <c r="H18" s="43">
        <f t="shared" ref="H18:H32" si="14">ROUND(G18/151.5*159.8,0)</f>
        <v>291389</v>
      </c>
      <c r="I18" s="6">
        <v>0</v>
      </c>
      <c r="J18" s="91" t="s">
        <v>241</v>
      </c>
      <c r="K18" s="56">
        <v>363000</v>
      </c>
      <c r="L18" s="56">
        <f t="shared" ref="L18:L23" si="15">ROUND(I18/131.5*147.3,0)</f>
        <v>0</v>
      </c>
      <c r="M18" s="91">
        <f t="shared" si="12"/>
        <v>373172</v>
      </c>
      <c r="N18" s="91">
        <f t="shared" si="13"/>
        <v>0</v>
      </c>
      <c r="O18" s="56">
        <f t="shared" si="0"/>
        <v>383100</v>
      </c>
      <c r="P18" s="91">
        <f t="shared" si="4"/>
        <v>0</v>
      </c>
      <c r="Q18" s="6">
        <f t="shared" si="1"/>
        <v>383100</v>
      </c>
      <c r="S18" s="57" t="s">
        <v>230</v>
      </c>
    </row>
    <row r="19" spans="1:19">
      <c r="A19" s="2" t="s">
        <v>4</v>
      </c>
      <c r="B19" s="3">
        <v>18</v>
      </c>
      <c r="C19" s="2" t="s">
        <v>26</v>
      </c>
      <c r="D19" s="2" t="s">
        <v>129</v>
      </c>
      <c r="E19" s="2" t="s">
        <v>127</v>
      </c>
      <c r="F19" s="2" t="s">
        <v>11</v>
      </c>
      <c r="G19" s="43">
        <v>261214</v>
      </c>
      <c r="H19" s="43">
        <f t="shared" si="14"/>
        <v>275525</v>
      </c>
      <c r="I19" s="6">
        <v>0</v>
      </c>
      <c r="J19" s="91" t="s">
        <v>241</v>
      </c>
      <c r="K19" s="56">
        <v>441650</v>
      </c>
      <c r="L19" s="56">
        <f t="shared" si="15"/>
        <v>0</v>
      </c>
      <c r="M19" s="91">
        <f t="shared" si="12"/>
        <v>454026</v>
      </c>
      <c r="N19" s="91">
        <f t="shared" si="13"/>
        <v>0</v>
      </c>
      <c r="O19" s="56">
        <f t="shared" si="0"/>
        <v>466000</v>
      </c>
      <c r="P19" s="91">
        <f t="shared" si="4"/>
        <v>0</v>
      </c>
      <c r="Q19" s="6">
        <f t="shared" si="1"/>
        <v>466000</v>
      </c>
      <c r="S19" s="57" t="s">
        <v>230</v>
      </c>
    </row>
    <row r="20" spans="1:19">
      <c r="A20" s="2" t="s">
        <v>4</v>
      </c>
      <c r="B20" s="3">
        <v>19</v>
      </c>
      <c r="C20" s="2" t="s">
        <v>26</v>
      </c>
      <c r="D20" s="2" t="s">
        <v>129</v>
      </c>
      <c r="E20" s="2" t="s">
        <v>127</v>
      </c>
      <c r="F20" s="2" t="s">
        <v>27</v>
      </c>
      <c r="G20" s="43">
        <v>3958</v>
      </c>
      <c r="H20" s="43">
        <f t="shared" si="14"/>
        <v>4175</v>
      </c>
      <c r="I20" s="6">
        <v>0</v>
      </c>
      <c r="J20" s="91"/>
      <c r="K20" s="56">
        <f t="shared" ref="K20" si="16">ROUND(H20/159.8*174,0)</f>
        <v>4546</v>
      </c>
      <c r="L20" s="56">
        <f t="shared" si="15"/>
        <v>0</v>
      </c>
      <c r="M20" s="56">
        <f t="shared" si="2"/>
        <v>4707</v>
      </c>
      <c r="N20" s="56">
        <f t="shared" si="3"/>
        <v>0</v>
      </c>
      <c r="O20" s="56">
        <f t="shared" si="0"/>
        <v>4800</v>
      </c>
      <c r="P20" s="91">
        <f t="shared" si="4"/>
        <v>0</v>
      </c>
      <c r="Q20" s="6">
        <f t="shared" si="1"/>
        <v>4800</v>
      </c>
      <c r="S20" s="57" t="s">
        <v>230</v>
      </c>
    </row>
    <row r="21" spans="1:19">
      <c r="A21" s="2" t="s">
        <v>4</v>
      </c>
      <c r="B21" s="3">
        <v>20</v>
      </c>
      <c r="C21" s="2" t="s">
        <v>28</v>
      </c>
      <c r="D21" s="2" t="s">
        <v>129</v>
      </c>
      <c r="E21" s="2" t="s">
        <v>127</v>
      </c>
      <c r="F21" s="2" t="s">
        <v>29</v>
      </c>
      <c r="G21" s="43">
        <v>177306</v>
      </c>
      <c r="H21" s="43">
        <f t="shared" si="14"/>
        <v>187020</v>
      </c>
      <c r="I21" s="6">
        <v>0</v>
      </c>
      <c r="J21" s="91" t="s">
        <v>241</v>
      </c>
      <c r="K21" s="56">
        <v>205700</v>
      </c>
      <c r="L21" s="56">
        <f t="shared" si="15"/>
        <v>0</v>
      </c>
      <c r="M21" s="91">
        <f t="shared" ref="M21:M25" si="17">ROUND(K21/124.9*128.4,0)</f>
        <v>211464</v>
      </c>
      <c r="N21" s="91">
        <f t="shared" ref="N21:N25" si="18">ROUND(L21/122.5*124.4,0)</f>
        <v>0</v>
      </c>
      <c r="O21" s="56">
        <f t="shared" si="0"/>
        <v>217100</v>
      </c>
      <c r="P21" s="91">
        <f t="shared" si="4"/>
        <v>0</v>
      </c>
      <c r="Q21" s="6">
        <f t="shared" si="1"/>
        <v>217100</v>
      </c>
      <c r="S21" s="57" t="s">
        <v>230</v>
      </c>
    </row>
    <row r="22" spans="1:19">
      <c r="A22" s="2" t="s">
        <v>4</v>
      </c>
      <c r="B22" s="3">
        <v>25</v>
      </c>
      <c r="C22" s="2" t="s">
        <v>31</v>
      </c>
      <c r="D22" s="2" t="s">
        <v>133</v>
      </c>
      <c r="E22" s="2" t="s">
        <v>127</v>
      </c>
      <c r="F22" s="2" t="s">
        <v>103</v>
      </c>
      <c r="G22" s="43">
        <v>91822</v>
      </c>
      <c r="H22" s="43">
        <f t="shared" si="14"/>
        <v>96853</v>
      </c>
      <c r="I22" s="6">
        <v>0</v>
      </c>
      <c r="J22" s="91" t="s">
        <v>241</v>
      </c>
      <c r="K22" s="56">
        <v>145200</v>
      </c>
      <c r="L22" s="56">
        <f t="shared" si="15"/>
        <v>0</v>
      </c>
      <c r="M22" s="91">
        <f t="shared" si="17"/>
        <v>149269</v>
      </c>
      <c r="N22" s="91">
        <f t="shared" si="18"/>
        <v>0</v>
      </c>
      <c r="O22" s="56">
        <f t="shared" si="0"/>
        <v>153200</v>
      </c>
      <c r="P22" s="91">
        <f t="shared" si="4"/>
        <v>0</v>
      </c>
      <c r="Q22" s="6">
        <f t="shared" si="1"/>
        <v>153200</v>
      </c>
      <c r="S22" s="57" t="s">
        <v>230</v>
      </c>
    </row>
    <row r="23" spans="1:19">
      <c r="A23" s="2" t="s">
        <v>4</v>
      </c>
      <c r="B23" s="3">
        <v>1</v>
      </c>
      <c r="C23" s="2" t="s">
        <v>5</v>
      </c>
      <c r="D23" s="2" t="s">
        <v>119</v>
      </c>
      <c r="E23" s="2" t="s">
        <v>118</v>
      </c>
      <c r="F23" s="2" t="s">
        <v>6</v>
      </c>
      <c r="G23" s="43">
        <v>108444</v>
      </c>
      <c r="H23" s="43">
        <f t="shared" si="14"/>
        <v>114385</v>
      </c>
      <c r="I23" s="6">
        <v>0</v>
      </c>
      <c r="J23" s="91" t="s">
        <v>241</v>
      </c>
      <c r="K23" s="56">
        <v>453750</v>
      </c>
      <c r="L23" s="56">
        <f t="shared" si="15"/>
        <v>0</v>
      </c>
      <c r="M23" s="91">
        <f t="shared" si="17"/>
        <v>466465</v>
      </c>
      <c r="N23" s="91">
        <f t="shared" si="18"/>
        <v>0</v>
      </c>
      <c r="O23" s="56">
        <f t="shared" si="0"/>
        <v>478800</v>
      </c>
      <c r="P23" s="91">
        <f t="shared" si="4"/>
        <v>0</v>
      </c>
      <c r="Q23" s="6">
        <f t="shared" si="1"/>
        <v>478800</v>
      </c>
      <c r="S23" s="57" t="s">
        <v>230</v>
      </c>
    </row>
    <row r="24" spans="1:19">
      <c r="A24" s="2" t="s">
        <v>4</v>
      </c>
      <c r="B24" s="3">
        <v>2</v>
      </c>
      <c r="C24" s="2" t="s">
        <v>7</v>
      </c>
      <c r="D24" s="2" t="s">
        <v>120</v>
      </c>
      <c r="E24" s="2" t="s">
        <v>118</v>
      </c>
      <c r="F24" s="2" t="s">
        <v>8</v>
      </c>
      <c r="G24" s="43">
        <v>144856</v>
      </c>
      <c r="H24" s="43">
        <f t="shared" si="14"/>
        <v>152792</v>
      </c>
      <c r="I24" s="6">
        <v>4992</v>
      </c>
      <c r="J24" s="91" t="s">
        <v>241</v>
      </c>
      <c r="K24" s="56">
        <v>181500</v>
      </c>
      <c r="L24" s="56">
        <v>6050</v>
      </c>
      <c r="M24" s="91">
        <f t="shared" si="17"/>
        <v>186586</v>
      </c>
      <c r="N24" s="91">
        <f t="shared" si="18"/>
        <v>6144</v>
      </c>
      <c r="O24" s="56">
        <f t="shared" si="0"/>
        <v>191500</v>
      </c>
      <c r="P24" s="91">
        <f t="shared" si="4"/>
        <v>6300</v>
      </c>
      <c r="Q24" s="6">
        <f t="shared" si="1"/>
        <v>197800</v>
      </c>
      <c r="S24" s="57" t="s">
        <v>230</v>
      </c>
    </row>
    <row r="25" spans="1:19">
      <c r="A25" s="2" t="s">
        <v>4</v>
      </c>
      <c r="B25" s="3">
        <v>6</v>
      </c>
      <c r="C25" s="2" t="s">
        <v>13</v>
      </c>
      <c r="D25" s="2" t="s">
        <v>117</v>
      </c>
      <c r="E25" s="2" t="s">
        <v>118</v>
      </c>
      <c r="F25" s="2" t="s">
        <v>14</v>
      </c>
      <c r="G25" s="43">
        <v>1845903</v>
      </c>
      <c r="H25" s="43">
        <f t="shared" si="14"/>
        <v>1947032</v>
      </c>
      <c r="I25" s="6">
        <v>0</v>
      </c>
      <c r="J25" s="91" t="s">
        <v>241</v>
      </c>
      <c r="K25" s="56">
        <v>2541000</v>
      </c>
      <c r="L25" s="56">
        <f t="shared" ref="L25:L27" si="19">ROUND(I25/131.5*147.3,0)</f>
        <v>0</v>
      </c>
      <c r="M25" s="91">
        <f t="shared" si="17"/>
        <v>2612205</v>
      </c>
      <c r="N25" s="91">
        <f t="shared" si="18"/>
        <v>0</v>
      </c>
      <c r="O25" s="56">
        <f t="shared" si="0"/>
        <v>2681400</v>
      </c>
      <c r="P25" s="91">
        <f t="shared" si="4"/>
        <v>0</v>
      </c>
      <c r="Q25" s="6">
        <f t="shared" si="1"/>
        <v>2681400</v>
      </c>
      <c r="S25" s="57" t="s">
        <v>230</v>
      </c>
    </row>
    <row r="26" spans="1:19">
      <c r="A26" s="2" t="s">
        <v>4</v>
      </c>
      <c r="B26" s="3">
        <v>8</v>
      </c>
      <c r="C26" s="2" t="s">
        <v>15</v>
      </c>
      <c r="D26" s="2" t="s">
        <v>121</v>
      </c>
      <c r="E26" s="2" t="s">
        <v>118</v>
      </c>
      <c r="F26" s="2" t="s">
        <v>16</v>
      </c>
      <c r="G26" s="43">
        <v>1146962</v>
      </c>
      <c r="H26" s="43">
        <f t="shared" si="14"/>
        <v>1209799</v>
      </c>
      <c r="I26" s="6">
        <v>0</v>
      </c>
      <c r="J26" s="91"/>
      <c r="K26" s="56">
        <f t="shared" ref="K26:K27" si="20">ROUND(H26/159.8*174,0)</f>
        <v>1317303</v>
      </c>
      <c r="L26" s="56">
        <f t="shared" si="19"/>
        <v>0</v>
      </c>
      <c r="M26" s="56">
        <f t="shared" si="2"/>
        <v>1364046</v>
      </c>
      <c r="N26" s="56">
        <f t="shared" si="3"/>
        <v>0</v>
      </c>
      <c r="O26" s="56">
        <f t="shared" si="0"/>
        <v>1400200</v>
      </c>
      <c r="P26" s="91">
        <f t="shared" si="4"/>
        <v>0</v>
      </c>
      <c r="Q26" s="6">
        <f t="shared" si="1"/>
        <v>1400200</v>
      </c>
      <c r="S26" s="57" t="s">
        <v>230</v>
      </c>
    </row>
    <row r="27" spans="1:19">
      <c r="A27" s="2" t="s">
        <v>4</v>
      </c>
      <c r="B27" s="3">
        <v>66</v>
      </c>
      <c r="C27" s="2" t="s">
        <v>112</v>
      </c>
      <c r="D27" s="2" t="s">
        <v>121</v>
      </c>
      <c r="E27" s="2" t="s">
        <v>118</v>
      </c>
      <c r="F27" s="2" t="s">
        <v>113</v>
      </c>
      <c r="G27" s="43">
        <v>1093166</v>
      </c>
      <c r="H27" s="43">
        <f t="shared" si="14"/>
        <v>1153056</v>
      </c>
      <c r="I27" s="17"/>
      <c r="J27" s="91"/>
      <c r="K27" s="56">
        <f t="shared" si="20"/>
        <v>1255518</v>
      </c>
      <c r="L27" s="56">
        <f t="shared" si="19"/>
        <v>0</v>
      </c>
      <c r="M27" s="56">
        <f t="shared" si="2"/>
        <v>1300069</v>
      </c>
      <c r="N27" s="56">
        <f t="shared" si="3"/>
        <v>0</v>
      </c>
      <c r="O27" s="56">
        <f t="shared" si="0"/>
        <v>1334500</v>
      </c>
      <c r="P27" s="91">
        <f t="shared" si="4"/>
        <v>0</v>
      </c>
      <c r="Q27" s="6">
        <f t="shared" si="1"/>
        <v>1334500</v>
      </c>
      <c r="S27" s="57" t="s">
        <v>230</v>
      </c>
    </row>
    <row r="28" spans="1:19">
      <c r="A28" s="2" t="s">
        <v>4</v>
      </c>
      <c r="B28" s="3">
        <v>10</v>
      </c>
      <c r="C28" s="2" t="s">
        <v>17</v>
      </c>
      <c r="D28" s="2" t="s">
        <v>122</v>
      </c>
      <c r="E28" s="2" t="s">
        <v>118</v>
      </c>
      <c r="F28" s="2" t="s">
        <v>18</v>
      </c>
      <c r="G28" s="43">
        <v>2181168</v>
      </c>
      <c r="H28" s="43">
        <f t="shared" si="14"/>
        <v>2300664</v>
      </c>
      <c r="I28" s="6">
        <v>117983</v>
      </c>
      <c r="J28" s="91" t="s">
        <v>241</v>
      </c>
      <c r="K28" s="56">
        <v>3220000</v>
      </c>
      <c r="L28" s="56">
        <v>225000</v>
      </c>
      <c r="M28" s="91">
        <f>ROUND(K28/124.9*128.4,0)</f>
        <v>3310232</v>
      </c>
      <c r="N28" s="91">
        <f>ROUND(L28/122.5*124.4,0)</f>
        <v>228490</v>
      </c>
      <c r="O28" s="56">
        <f t="shared" si="0"/>
        <v>3397900</v>
      </c>
      <c r="P28" s="91">
        <f t="shared" si="4"/>
        <v>235700</v>
      </c>
      <c r="Q28" s="6">
        <f t="shared" si="1"/>
        <v>3633600</v>
      </c>
      <c r="S28" s="86" t="s">
        <v>231</v>
      </c>
    </row>
    <row r="29" spans="1:19">
      <c r="A29" s="2" t="s">
        <v>4</v>
      </c>
      <c r="B29" s="3">
        <v>15</v>
      </c>
      <c r="C29" s="2" t="s">
        <v>21</v>
      </c>
      <c r="D29" s="2" t="s">
        <v>125</v>
      </c>
      <c r="E29" s="2" t="s">
        <v>118</v>
      </c>
      <c r="F29" s="2" t="s">
        <v>22</v>
      </c>
      <c r="G29" s="43">
        <v>32453</v>
      </c>
      <c r="H29" s="43">
        <f t="shared" si="14"/>
        <v>34231</v>
      </c>
      <c r="I29" s="6">
        <v>0</v>
      </c>
      <c r="J29" s="91" t="s">
        <v>241</v>
      </c>
      <c r="K29" s="56">
        <v>48400</v>
      </c>
      <c r="L29" s="56">
        <f t="shared" ref="L29" si="21">ROUND(I29/131.5*147.3,0)</f>
        <v>0</v>
      </c>
      <c r="M29" s="91">
        <f t="shared" ref="M29:M33" si="22">ROUND(K29/124.9*128.4,0)</f>
        <v>49756</v>
      </c>
      <c r="N29" s="91">
        <f t="shared" ref="N29:N33" si="23">ROUND(L29/122.5*124.4,0)</f>
        <v>0</v>
      </c>
      <c r="O29" s="56">
        <f t="shared" si="0"/>
        <v>51100</v>
      </c>
      <c r="P29" s="91">
        <f t="shared" si="4"/>
        <v>0</v>
      </c>
      <c r="Q29" s="6">
        <f t="shared" si="1"/>
        <v>51100</v>
      </c>
      <c r="S29" s="57" t="s">
        <v>230</v>
      </c>
    </row>
    <row r="30" spans="1:19" s="57" customFormat="1">
      <c r="A30" s="58"/>
      <c r="B30" s="39"/>
      <c r="C30" s="58" t="s">
        <v>173</v>
      </c>
      <c r="D30" s="58" t="s">
        <v>174</v>
      </c>
      <c r="E30" s="58" t="s">
        <v>118</v>
      </c>
      <c r="F30" s="58" t="s">
        <v>175</v>
      </c>
      <c r="G30" s="43">
        <v>78279</v>
      </c>
      <c r="H30" s="43">
        <f t="shared" si="14"/>
        <v>82568</v>
      </c>
      <c r="I30" s="40">
        <v>10000</v>
      </c>
      <c r="J30" s="91" t="s">
        <v>241</v>
      </c>
      <c r="K30" s="56">
        <v>90750</v>
      </c>
      <c r="L30" s="56">
        <v>18150</v>
      </c>
      <c r="M30" s="91">
        <f t="shared" si="22"/>
        <v>93293</v>
      </c>
      <c r="N30" s="91">
        <f t="shared" si="23"/>
        <v>18432</v>
      </c>
      <c r="O30" s="56">
        <f t="shared" si="0"/>
        <v>95800</v>
      </c>
      <c r="P30" s="91">
        <f t="shared" si="4"/>
        <v>19000</v>
      </c>
      <c r="Q30" s="6">
        <f t="shared" si="1"/>
        <v>114800</v>
      </c>
      <c r="S30" s="57" t="s">
        <v>230</v>
      </c>
    </row>
    <row r="31" spans="1:19">
      <c r="A31" s="2" t="s">
        <v>4</v>
      </c>
      <c r="B31" s="3">
        <v>23</v>
      </c>
      <c r="C31" s="2" t="s">
        <v>30</v>
      </c>
      <c r="D31" s="2" t="s">
        <v>132</v>
      </c>
      <c r="E31" s="2" t="s">
        <v>118</v>
      </c>
      <c r="F31" s="2" t="s">
        <v>110</v>
      </c>
      <c r="G31" s="43">
        <v>2928824</v>
      </c>
      <c r="H31" s="43">
        <f t="shared" si="14"/>
        <v>3089281</v>
      </c>
      <c r="I31" s="6">
        <v>90756</v>
      </c>
      <c r="J31" s="91" t="s">
        <v>241</v>
      </c>
      <c r="K31" s="56">
        <v>2585000</v>
      </c>
      <c r="L31" s="56">
        <v>375000</v>
      </c>
      <c r="M31" s="91">
        <f t="shared" si="22"/>
        <v>2657438</v>
      </c>
      <c r="N31" s="91">
        <f t="shared" si="23"/>
        <v>380816</v>
      </c>
      <c r="O31" s="56">
        <f t="shared" si="0"/>
        <v>2727800</v>
      </c>
      <c r="P31" s="91">
        <f t="shared" si="4"/>
        <v>392800</v>
      </c>
      <c r="Q31" s="6">
        <f t="shared" si="1"/>
        <v>3120600</v>
      </c>
      <c r="S31" s="86" t="s">
        <v>231</v>
      </c>
    </row>
    <row r="32" spans="1:19" s="36" customFormat="1" ht="25.5">
      <c r="A32" s="31"/>
      <c r="B32" s="30">
        <v>73</v>
      </c>
      <c r="C32" s="31" t="s">
        <v>168</v>
      </c>
      <c r="D32" s="31" t="s">
        <v>158</v>
      </c>
      <c r="E32" s="31" t="s">
        <v>118</v>
      </c>
      <c r="F32" s="34" t="s">
        <v>169</v>
      </c>
      <c r="G32" s="101">
        <v>1285607</v>
      </c>
      <c r="H32" s="101">
        <f t="shared" si="14"/>
        <v>1356040</v>
      </c>
      <c r="I32" s="32">
        <v>100000</v>
      </c>
      <c r="J32" s="91" t="s">
        <v>241</v>
      </c>
      <c r="K32" s="91">
        <v>1500400</v>
      </c>
      <c r="L32" s="91">
        <v>145200</v>
      </c>
      <c r="M32" s="91">
        <f t="shared" si="22"/>
        <v>1542445</v>
      </c>
      <c r="N32" s="91">
        <f t="shared" si="23"/>
        <v>147452</v>
      </c>
      <c r="O32" s="91">
        <f t="shared" si="0"/>
        <v>1583300</v>
      </c>
      <c r="P32" s="91">
        <f t="shared" si="4"/>
        <v>152100</v>
      </c>
      <c r="Q32" s="6">
        <f t="shared" si="1"/>
        <v>1735400</v>
      </c>
      <c r="S32" s="36" t="s">
        <v>230</v>
      </c>
    </row>
    <row r="33" spans="1:20">
      <c r="B33" s="2"/>
      <c r="C33" s="58" t="s">
        <v>199</v>
      </c>
      <c r="D33" s="58" t="s">
        <v>221</v>
      </c>
      <c r="E33" s="58" t="s">
        <v>118</v>
      </c>
      <c r="F33" s="58" t="s">
        <v>200</v>
      </c>
      <c r="G33" s="14"/>
      <c r="H33" s="6">
        <v>350000</v>
      </c>
      <c r="I33" s="6"/>
      <c r="J33" s="91" t="s">
        <v>241</v>
      </c>
      <c r="K33" s="56">
        <f>H33</f>
        <v>350000</v>
      </c>
      <c r="L33" s="56">
        <f>ROUND(I33/131.5*147.3,0)</f>
        <v>0</v>
      </c>
      <c r="M33" s="91">
        <f t="shared" si="22"/>
        <v>359808</v>
      </c>
      <c r="N33" s="91">
        <f t="shared" si="23"/>
        <v>0</v>
      </c>
      <c r="O33" s="56">
        <f t="shared" si="0"/>
        <v>369300</v>
      </c>
      <c r="P33" s="91">
        <f t="shared" si="4"/>
        <v>0</v>
      </c>
      <c r="Q33" s="6">
        <f t="shared" si="1"/>
        <v>369300</v>
      </c>
      <c r="S33" s="57" t="s">
        <v>230</v>
      </c>
    </row>
    <row r="34" spans="1:20">
      <c r="B34" s="2"/>
      <c r="C34" s="58" t="s">
        <v>199</v>
      </c>
      <c r="D34" s="58" t="s">
        <v>221</v>
      </c>
      <c r="E34" s="58" t="s">
        <v>118</v>
      </c>
      <c r="F34" s="58" t="s">
        <v>201</v>
      </c>
      <c r="G34" s="14"/>
      <c r="H34" s="6">
        <v>620000</v>
      </c>
      <c r="I34" s="6"/>
      <c r="J34" s="91"/>
      <c r="K34" s="56">
        <v>200000</v>
      </c>
      <c r="L34" s="56">
        <f>ROUND(I34/131.5*147.3,0)</f>
        <v>0</v>
      </c>
      <c r="M34" s="56">
        <f>K34</f>
        <v>200000</v>
      </c>
      <c r="N34" s="56">
        <f t="shared" si="3"/>
        <v>0</v>
      </c>
      <c r="O34" s="56">
        <f>M34</f>
        <v>200000</v>
      </c>
      <c r="P34" s="91">
        <f t="shared" si="4"/>
        <v>0</v>
      </c>
      <c r="Q34" s="6">
        <f t="shared" si="1"/>
        <v>200000</v>
      </c>
      <c r="S34" s="57" t="s">
        <v>230</v>
      </c>
      <c r="T34" s="85" t="s">
        <v>227</v>
      </c>
    </row>
    <row r="35" spans="1:20">
      <c r="B35" s="2"/>
      <c r="C35" s="58" t="s">
        <v>199</v>
      </c>
      <c r="D35" s="58" t="s">
        <v>221</v>
      </c>
      <c r="E35" s="58" t="s">
        <v>118</v>
      </c>
      <c r="F35" s="58" t="s">
        <v>202</v>
      </c>
      <c r="G35" s="14"/>
      <c r="H35" s="6">
        <v>35000</v>
      </c>
      <c r="I35" s="6"/>
      <c r="J35" s="91"/>
      <c r="K35" s="56">
        <v>25000</v>
      </c>
      <c r="L35" s="56">
        <f>ROUND(I35/131.5*147.3,0)</f>
        <v>0</v>
      </c>
      <c r="M35" s="56">
        <f>K35</f>
        <v>25000</v>
      </c>
      <c r="N35" s="56">
        <f t="shared" si="3"/>
        <v>0</v>
      </c>
      <c r="O35" s="56">
        <f>M35</f>
        <v>25000</v>
      </c>
      <c r="P35" s="91">
        <f t="shared" si="4"/>
        <v>0</v>
      </c>
      <c r="Q35" s="6">
        <f t="shared" si="1"/>
        <v>25000</v>
      </c>
      <c r="S35" s="57" t="s">
        <v>230</v>
      </c>
      <c r="T35" s="85" t="s">
        <v>228</v>
      </c>
    </row>
    <row r="36" spans="1:20" s="57" customFormat="1">
      <c r="A36" s="58" t="s">
        <v>4</v>
      </c>
      <c r="B36" s="39">
        <v>26</v>
      </c>
      <c r="C36" s="58" t="s">
        <v>32</v>
      </c>
      <c r="D36" s="58" t="s">
        <v>134</v>
      </c>
      <c r="E36" s="58" t="s">
        <v>118</v>
      </c>
      <c r="F36" s="58" t="s">
        <v>11</v>
      </c>
      <c r="G36" s="43">
        <v>299999</v>
      </c>
      <c r="H36" s="43">
        <f t="shared" ref="H36" si="24">ROUND(G36/151.5*159.8,0)</f>
        <v>316435</v>
      </c>
      <c r="I36" s="59">
        <v>0</v>
      </c>
      <c r="J36" s="91" t="s">
        <v>241</v>
      </c>
      <c r="K36" s="56">
        <v>423500</v>
      </c>
      <c r="L36" s="56">
        <f t="shared" ref="L36" si="25">ROUND(I36/131.5*147.3,0)</f>
        <v>0</v>
      </c>
      <c r="M36" s="91">
        <f t="shared" ref="M36:M41" si="26">ROUND(K36/124.9*128.4,0)</f>
        <v>435367</v>
      </c>
      <c r="N36" s="91">
        <f t="shared" ref="N36:N41" si="27">ROUND(L36/122.5*124.4,0)</f>
        <v>0</v>
      </c>
      <c r="O36" s="56">
        <f t="shared" si="0"/>
        <v>446900</v>
      </c>
      <c r="P36" s="91">
        <f t="shared" si="4"/>
        <v>0</v>
      </c>
      <c r="Q36" s="6">
        <f t="shared" si="1"/>
        <v>446900</v>
      </c>
      <c r="S36" s="57" t="s">
        <v>230</v>
      </c>
    </row>
    <row r="37" spans="1:20">
      <c r="B37" s="2"/>
      <c r="C37" s="58" t="s">
        <v>220</v>
      </c>
      <c r="D37" s="58" t="s">
        <v>177</v>
      </c>
      <c r="E37" s="58" t="s">
        <v>118</v>
      </c>
      <c r="F37" s="58" t="s">
        <v>219</v>
      </c>
      <c r="G37" s="14"/>
      <c r="H37" s="6">
        <v>360000</v>
      </c>
      <c r="I37" s="6"/>
      <c r="J37" s="91" t="s">
        <v>241</v>
      </c>
      <c r="K37" s="56">
        <v>363000</v>
      </c>
      <c r="L37" s="56">
        <f>ROUND(I37/131.5*147.3,0)</f>
        <v>0</v>
      </c>
      <c r="M37" s="91">
        <f t="shared" si="26"/>
        <v>373172</v>
      </c>
      <c r="N37" s="91">
        <f t="shared" si="27"/>
        <v>0</v>
      </c>
      <c r="O37" s="56">
        <f t="shared" si="0"/>
        <v>383100</v>
      </c>
      <c r="P37" s="91">
        <f t="shared" si="4"/>
        <v>0</v>
      </c>
      <c r="Q37" s="6">
        <f t="shared" si="1"/>
        <v>383100</v>
      </c>
      <c r="S37" s="57" t="s">
        <v>230</v>
      </c>
    </row>
    <row r="38" spans="1:20" s="36" customFormat="1" ht="25.5">
      <c r="A38" s="31"/>
      <c r="B38" s="30"/>
      <c r="C38" s="31" t="s">
        <v>176</v>
      </c>
      <c r="D38" s="31" t="s">
        <v>177</v>
      </c>
      <c r="E38" s="31" t="s">
        <v>118</v>
      </c>
      <c r="F38" s="41" t="s">
        <v>178</v>
      </c>
      <c r="G38" s="43">
        <v>722576</v>
      </c>
      <c r="H38" s="43">
        <f t="shared" ref="H38:H47" si="28">ROUND(G38/151.5*159.8,0)</f>
        <v>762163</v>
      </c>
      <c r="I38" s="32"/>
      <c r="J38" s="91" t="s">
        <v>241</v>
      </c>
      <c r="K38" s="56">
        <v>816750</v>
      </c>
      <c r="L38" s="56">
        <f t="shared" ref="L38:L39" si="29">ROUND(I38/131.5*147.3,0)</f>
        <v>0</v>
      </c>
      <c r="M38" s="91">
        <f t="shared" si="26"/>
        <v>839637</v>
      </c>
      <c r="N38" s="91">
        <f t="shared" si="27"/>
        <v>0</v>
      </c>
      <c r="O38" s="56">
        <f t="shared" si="0"/>
        <v>861900</v>
      </c>
      <c r="P38" s="91">
        <f t="shared" si="4"/>
        <v>0</v>
      </c>
      <c r="Q38" s="6">
        <f t="shared" si="1"/>
        <v>861900</v>
      </c>
      <c r="S38" s="36" t="s">
        <v>230</v>
      </c>
    </row>
    <row r="39" spans="1:20" s="57" customFormat="1">
      <c r="A39" s="58" t="s">
        <v>4</v>
      </c>
      <c r="B39" s="39">
        <v>29</v>
      </c>
      <c r="C39" s="58" t="s">
        <v>33</v>
      </c>
      <c r="D39" s="58" t="s">
        <v>137</v>
      </c>
      <c r="E39" s="58" t="s">
        <v>118</v>
      </c>
      <c r="F39" s="58" t="s">
        <v>34</v>
      </c>
      <c r="G39" s="43">
        <v>700524</v>
      </c>
      <c r="H39" s="43">
        <f t="shared" si="28"/>
        <v>738903</v>
      </c>
      <c r="I39" s="59">
        <v>0</v>
      </c>
      <c r="J39" s="91" t="s">
        <v>241</v>
      </c>
      <c r="K39" s="56">
        <v>895400</v>
      </c>
      <c r="L39" s="56">
        <f t="shared" si="29"/>
        <v>0</v>
      </c>
      <c r="M39" s="91">
        <f t="shared" si="26"/>
        <v>920491</v>
      </c>
      <c r="N39" s="91">
        <f t="shared" si="27"/>
        <v>0</v>
      </c>
      <c r="O39" s="56">
        <f t="shared" si="0"/>
        <v>944900</v>
      </c>
      <c r="P39" s="91">
        <f t="shared" si="4"/>
        <v>0</v>
      </c>
      <c r="Q39" s="6">
        <f t="shared" si="1"/>
        <v>944900</v>
      </c>
      <c r="S39" s="57" t="s">
        <v>230</v>
      </c>
    </row>
    <row r="40" spans="1:20">
      <c r="A40" s="2" t="s">
        <v>95</v>
      </c>
      <c r="B40" s="5"/>
      <c r="C40" s="2" t="s">
        <v>97</v>
      </c>
      <c r="D40" s="2" t="s">
        <v>135</v>
      </c>
      <c r="E40" s="2" t="s">
        <v>118</v>
      </c>
      <c r="F40" s="2" t="s">
        <v>96</v>
      </c>
      <c r="G40" s="43">
        <v>17061951</v>
      </c>
      <c r="H40" s="43">
        <f t="shared" si="28"/>
        <v>17996698</v>
      </c>
      <c r="I40" s="6">
        <v>988333</v>
      </c>
      <c r="J40" s="91" t="s">
        <v>241</v>
      </c>
      <c r="K40" s="56">
        <v>15275000</v>
      </c>
      <c r="L40" s="56">
        <v>2450000</v>
      </c>
      <c r="M40" s="91">
        <f t="shared" si="26"/>
        <v>15703042</v>
      </c>
      <c r="N40" s="91">
        <f t="shared" si="27"/>
        <v>2488000</v>
      </c>
      <c r="O40" s="56">
        <f t="shared" si="0"/>
        <v>16118900</v>
      </c>
      <c r="P40" s="91">
        <f t="shared" si="4"/>
        <v>2566000</v>
      </c>
      <c r="Q40" s="6">
        <f t="shared" si="1"/>
        <v>18684900</v>
      </c>
      <c r="S40" s="86" t="s">
        <v>231</v>
      </c>
    </row>
    <row r="41" spans="1:20" s="57" customFormat="1">
      <c r="B41" s="58"/>
      <c r="C41" s="58" t="s">
        <v>184</v>
      </c>
      <c r="D41" s="58" t="s">
        <v>185</v>
      </c>
      <c r="E41" s="58" t="s">
        <v>118</v>
      </c>
      <c r="F41" s="58" t="s">
        <v>183</v>
      </c>
      <c r="G41" s="56">
        <v>51550</v>
      </c>
      <c r="H41" s="43">
        <f t="shared" si="28"/>
        <v>54374</v>
      </c>
      <c r="I41" s="59"/>
      <c r="J41" s="91" t="s">
        <v>241</v>
      </c>
      <c r="K41" s="56">
        <v>54450</v>
      </c>
      <c r="L41" s="56">
        <f t="shared" ref="L41" si="30">ROUND(I41/131.5*147.3,0)</f>
        <v>0</v>
      </c>
      <c r="M41" s="91">
        <f t="shared" si="26"/>
        <v>55976</v>
      </c>
      <c r="N41" s="91">
        <f t="shared" si="27"/>
        <v>0</v>
      </c>
      <c r="O41" s="56">
        <f t="shared" si="0"/>
        <v>57500</v>
      </c>
      <c r="P41" s="91">
        <f t="shared" si="4"/>
        <v>0</v>
      </c>
      <c r="Q41" s="6">
        <f t="shared" si="1"/>
        <v>57500</v>
      </c>
      <c r="S41" s="57" t="s">
        <v>230</v>
      </c>
    </row>
    <row r="42" spans="1:20">
      <c r="A42" s="2" t="s">
        <v>98</v>
      </c>
      <c r="B42" s="5"/>
      <c r="C42" s="58" t="s">
        <v>100</v>
      </c>
      <c r="D42" s="2" t="s">
        <v>136</v>
      </c>
      <c r="E42" s="2" t="s">
        <v>118</v>
      </c>
      <c r="F42" s="2" t="s">
        <v>99</v>
      </c>
      <c r="G42" s="43">
        <v>16006694</v>
      </c>
      <c r="H42" s="43">
        <f t="shared" si="28"/>
        <v>16883628</v>
      </c>
      <c r="I42" s="6">
        <v>1778818</v>
      </c>
      <c r="J42" s="91"/>
      <c r="K42" s="56">
        <v>1000000</v>
      </c>
      <c r="L42" s="56">
        <v>0</v>
      </c>
      <c r="M42" s="56">
        <f>K42</f>
        <v>1000000</v>
      </c>
      <c r="N42" s="56">
        <f t="shared" si="3"/>
        <v>0</v>
      </c>
      <c r="O42" s="56">
        <f>M42</f>
        <v>1000000</v>
      </c>
      <c r="P42" s="91">
        <f t="shared" si="4"/>
        <v>0</v>
      </c>
      <c r="Q42" s="6">
        <f t="shared" si="1"/>
        <v>1000000</v>
      </c>
      <c r="S42" s="57" t="s">
        <v>231</v>
      </c>
      <c r="T42" s="85" t="s">
        <v>238</v>
      </c>
    </row>
    <row r="43" spans="1:20">
      <c r="A43" s="2" t="s">
        <v>4</v>
      </c>
      <c r="B43" s="3">
        <v>36</v>
      </c>
      <c r="C43" s="2" t="s">
        <v>35</v>
      </c>
      <c r="D43" s="37" t="s">
        <v>171</v>
      </c>
      <c r="E43" s="58" t="s">
        <v>118</v>
      </c>
      <c r="F43" s="2" t="s">
        <v>36</v>
      </c>
      <c r="G43" s="43">
        <v>53893</v>
      </c>
      <c r="H43" s="43">
        <f t="shared" si="28"/>
        <v>56846</v>
      </c>
      <c r="I43" s="6">
        <v>0</v>
      </c>
      <c r="J43" s="91" t="s">
        <v>241</v>
      </c>
      <c r="K43" s="56">
        <v>60000</v>
      </c>
      <c r="L43" s="56">
        <f t="shared" ref="L43:L44" si="31">ROUND(I43/131.5*147.3,0)</f>
        <v>0</v>
      </c>
      <c r="M43" s="91">
        <f>ROUND(K43/124.9*128.4,0)</f>
        <v>61681</v>
      </c>
      <c r="N43" s="91">
        <f>ROUND(L43/122.5*124.4,0)</f>
        <v>0</v>
      </c>
      <c r="O43" s="56">
        <f t="shared" si="0"/>
        <v>63300</v>
      </c>
      <c r="P43" s="91">
        <f t="shared" si="4"/>
        <v>0</v>
      </c>
      <c r="Q43" s="6">
        <f t="shared" si="1"/>
        <v>63300</v>
      </c>
      <c r="S43" s="86" t="s">
        <v>231</v>
      </c>
    </row>
    <row r="44" spans="1:20">
      <c r="A44" s="2" t="s">
        <v>4</v>
      </c>
      <c r="B44" s="3">
        <v>37</v>
      </c>
      <c r="C44" s="2" t="s">
        <v>35</v>
      </c>
      <c r="D44" s="37" t="s">
        <v>171</v>
      </c>
      <c r="E44" s="58" t="s">
        <v>118</v>
      </c>
      <c r="F44" s="2" t="s">
        <v>37</v>
      </c>
      <c r="G44" s="43">
        <v>9499</v>
      </c>
      <c r="H44" s="43">
        <f t="shared" si="28"/>
        <v>10019</v>
      </c>
      <c r="I44" s="6">
        <v>0</v>
      </c>
      <c r="J44" s="91"/>
      <c r="K44" s="56">
        <f t="shared" ref="K44" si="32">ROUND(H44/159.8*174,0)</f>
        <v>10909</v>
      </c>
      <c r="L44" s="56">
        <f t="shared" si="31"/>
        <v>0</v>
      </c>
      <c r="M44" s="56">
        <f t="shared" si="2"/>
        <v>11296</v>
      </c>
      <c r="N44" s="56">
        <f t="shared" si="3"/>
        <v>0</v>
      </c>
      <c r="O44" s="56">
        <f t="shared" si="0"/>
        <v>11600</v>
      </c>
      <c r="P44" s="91">
        <f t="shared" si="4"/>
        <v>0</v>
      </c>
      <c r="Q44" s="6">
        <f t="shared" si="1"/>
        <v>11600</v>
      </c>
      <c r="S44" s="57" t="s">
        <v>231</v>
      </c>
    </row>
    <row r="45" spans="1:20">
      <c r="A45" s="2" t="s">
        <v>4</v>
      </c>
      <c r="B45" s="3">
        <v>38</v>
      </c>
      <c r="C45" s="2" t="s">
        <v>38</v>
      </c>
      <c r="D45" s="2" t="s">
        <v>138</v>
      </c>
      <c r="E45" s="2" t="s">
        <v>118</v>
      </c>
      <c r="F45" s="2" t="s">
        <v>39</v>
      </c>
      <c r="G45" s="43">
        <v>817675</v>
      </c>
      <c r="H45" s="43">
        <f t="shared" si="28"/>
        <v>862472</v>
      </c>
      <c r="I45" s="6">
        <v>50370</v>
      </c>
      <c r="J45" s="91"/>
      <c r="K45" s="56">
        <v>200000</v>
      </c>
      <c r="L45" s="56">
        <v>0</v>
      </c>
      <c r="M45" s="56">
        <f>K45</f>
        <v>200000</v>
      </c>
      <c r="N45" s="56">
        <f t="shared" si="3"/>
        <v>0</v>
      </c>
      <c r="O45" s="56">
        <f>M45</f>
        <v>200000</v>
      </c>
      <c r="P45" s="91">
        <f t="shared" si="4"/>
        <v>0</v>
      </c>
      <c r="Q45" s="6">
        <f t="shared" si="1"/>
        <v>200000</v>
      </c>
      <c r="T45" s="85" t="s">
        <v>227</v>
      </c>
    </row>
    <row r="46" spans="1:20" s="99" customFormat="1">
      <c r="B46" s="100"/>
      <c r="C46" s="58" t="s">
        <v>247</v>
      </c>
      <c r="D46" s="58" t="s">
        <v>166</v>
      </c>
      <c r="E46" s="58" t="s">
        <v>118</v>
      </c>
      <c r="F46" s="58" t="s">
        <v>248</v>
      </c>
      <c r="G46" s="55"/>
      <c r="H46" s="55"/>
      <c r="I46" s="59"/>
      <c r="J46" s="35"/>
      <c r="K46" s="59"/>
      <c r="L46" s="59"/>
      <c r="M46" s="59"/>
      <c r="N46" s="59">
        <v>50000</v>
      </c>
      <c r="O46" s="56">
        <f t="shared" si="0"/>
        <v>0</v>
      </c>
      <c r="P46" s="91">
        <f>N46</f>
        <v>50000</v>
      </c>
      <c r="Q46" s="6">
        <f t="shared" si="1"/>
        <v>50000</v>
      </c>
      <c r="S46" s="99" t="s">
        <v>249</v>
      </c>
    </row>
    <row r="47" spans="1:20">
      <c r="A47" s="2" t="s">
        <v>4</v>
      </c>
      <c r="B47" s="3">
        <v>40</v>
      </c>
      <c r="C47" s="2" t="s">
        <v>109</v>
      </c>
      <c r="D47" s="2" t="s">
        <v>166</v>
      </c>
      <c r="E47" s="2" t="s">
        <v>118</v>
      </c>
      <c r="F47" s="2" t="s">
        <v>40</v>
      </c>
      <c r="G47" s="43">
        <v>983111</v>
      </c>
      <c r="H47" s="43">
        <f t="shared" si="28"/>
        <v>1036971</v>
      </c>
      <c r="I47" s="6">
        <v>0</v>
      </c>
      <c r="J47" s="91"/>
      <c r="K47" s="56">
        <f t="shared" ref="K47" si="33">ROUND(H47/159.8*174,0)</f>
        <v>1129117</v>
      </c>
      <c r="L47" s="56">
        <f t="shared" ref="L47" si="34">ROUND(I47/131.5*147.3,0)</f>
        <v>0</v>
      </c>
      <c r="M47" s="56">
        <f t="shared" si="2"/>
        <v>1169182</v>
      </c>
      <c r="N47" s="56">
        <f t="shared" si="3"/>
        <v>0</v>
      </c>
      <c r="O47" s="56">
        <f t="shared" si="0"/>
        <v>1200100</v>
      </c>
      <c r="P47" s="91">
        <f t="shared" si="4"/>
        <v>0</v>
      </c>
      <c r="Q47" s="6">
        <f t="shared" si="1"/>
        <v>1200100</v>
      </c>
      <c r="S47" s="57" t="s">
        <v>231</v>
      </c>
    </row>
    <row r="48" spans="1:20" s="57" customFormat="1">
      <c r="B48" s="58"/>
      <c r="C48" s="58" t="s">
        <v>181</v>
      </c>
      <c r="D48" s="58"/>
      <c r="E48" s="58" t="s">
        <v>118</v>
      </c>
      <c r="F48" s="58" t="s">
        <v>182</v>
      </c>
      <c r="G48" s="43">
        <v>79024</v>
      </c>
      <c r="H48" s="43">
        <f>ROUND(G48/151.5*159.8,0)</f>
        <v>83353</v>
      </c>
      <c r="I48" s="59"/>
      <c r="J48" s="91"/>
      <c r="K48" s="56">
        <f>ROUND(H48/159.8*174,0)</f>
        <v>90760</v>
      </c>
      <c r="L48" s="56">
        <f>ROUND(I48/131.5*147.3,0)</f>
        <v>0</v>
      </c>
      <c r="M48" s="56">
        <f t="shared" si="2"/>
        <v>93981</v>
      </c>
      <c r="N48" s="56">
        <f t="shared" si="3"/>
        <v>0</v>
      </c>
      <c r="O48" s="56">
        <f t="shared" si="0"/>
        <v>96500</v>
      </c>
      <c r="P48" s="91">
        <f t="shared" si="4"/>
        <v>0</v>
      </c>
      <c r="Q48" s="6">
        <f t="shared" si="1"/>
        <v>96500</v>
      </c>
      <c r="S48" s="57" t="s">
        <v>231</v>
      </c>
    </row>
    <row r="49" spans="1:20">
      <c r="A49" s="2" t="s">
        <v>4</v>
      </c>
      <c r="B49" s="3">
        <v>41</v>
      </c>
      <c r="C49" s="2" t="s">
        <v>41</v>
      </c>
      <c r="D49" s="37" t="s">
        <v>172</v>
      </c>
      <c r="E49" s="58" t="s">
        <v>118</v>
      </c>
      <c r="F49" s="2" t="s">
        <v>42</v>
      </c>
      <c r="G49" s="43">
        <v>26914</v>
      </c>
      <c r="H49" s="43">
        <f t="shared" ref="H49:H51" si="35">ROUND(G49/151.5*159.8,0)</f>
        <v>28388</v>
      </c>
      <c r="I49" s="6">
        <v>0</v>
      </c>
      <c r="J49" s="91"/>
      <c r="K49" s="56">
        <f t="shared" ref="K49" si="36">ROUND(H49/159.8*174,0)</f>
        <v>30911</v>
      </c>
      <c r="L49" s="56">
        <f t="shared" ref="L49" si="37">ROUND(I49/131.5*147.3,0)</f>
        <v>0</v>
      </c>
      <c r="M49" s="56">
        <f t="shared" si="2"/>
        <v>32008</v>
      </c>
      <c r="N49" s="56">
        <f t="shared" si="3"/>
        <v>0</v>
      </c>
      <c r="O49" s="56">
        <f t="shared" si="0"/>
        <v>32900</v>
      </c>
      <c r="P49" s="91">
        <f t="shared" si="4"/>
        <v>0</v>
      </c>
      <c r="Q49" s="6">
        <f t="shared" si="1"/>
        <v>32900</v>
      </c>
      <c r="S49" s="57" t="s">
        <v>231</v>
      </c>
    </row>
    <row r="50" spans="1:20">
      <c r="A50" s="2" t="s">
        <v>4</v>
      </c>
      <c r="B50" s="3">
        <v>55</v>
      </c>
      <c r="C50" s="2" t="s">
        <v>53</v>
      </c>
      <c r="D50" s="2" t="s">
        <v>144</v>
      </c>
      <c r="E50" s="2" t="s">
        <v>118</v>
      </c>
      <c r="F50" s="58" t="s">
        <v>170</v>
      </c>
      <c r="G50" s="43">
        <v>338207</v>
      </c>
      <c r="H50" s="43">
        <f t="shared" si="35"/>
        <v>356736</v>
      </c>
      <c r="I50" s="6">
        <v>23597</v>
      </c>
      <c r="J50" s="91" t="s">
        <v>241</v>
      </c>
      <c r="K50" s="56">
        <v>314600</v>
      </c>
      <c r="L50" s="56">
        <v>36300</v>
      </c>
      <c r="M50" s="91">
        <f t="shared" ref="M50:M51" si="38">ROUND(K50/124.9*128.4,0)</f>
        <v>323416</v>
      </c>
      <c r="N50" s="91">
        <f t="shared" ref="N50:N51" si="39">ROUND(L50/122.5*124.4,0)</f>
        <v>36863</v>
      </c>
      <c r="O50" s="56">
        <f t="shared" si="0"/>
        <v>332000</v>
      </c>
      <c r="P50" s="91">
        <f t="shared" si="4"/>
        <v>38000</v>
      </c>
      <c r="Q50" s="6">
        <f t="shared" si="1"/>
        <v>370000</v>
      </c>
      <c r="S50" s="57" t="s">
        <v>230</v>
      </c>
    </row>
    <row r="51" spans="1:20">
      <c r="A51" s="2" t="s">
        <v>4</v>
      </c>
      <c r="B51" s="3">
        <v>60</v>
      </c>
      <c r="C51" s="2" t="s">
        <v>54</v>
      </c>
      <c r="D51" s="12" t="s">
        <v>146</v>
      </c>
      <c r="E51" s="12" t="s">
        <v>118</v>
      </c>
      <c r="F51" s="2" t="s">
        <v>55</v>
      </c>
      <c r="G51" s="43">
        <v>312687</v>
      </c>
      <c r="H51" s="43">
        <f t="shared" si="35"/>
        <v>329818</v>
      </c>
      <c r="I51" s="6">
        <v>0</v>
      </c>
      <c r="J51" s="91" t="s">
        <v>241</v>
      </c>
      <c r="K51" s="56">
        <v>350900</v>
      </c>
      <c r="L51" s="56">
        <f t="shared" ref="L51" si="40">ROUND(I51/131.5*147.3,0)</f>
        <v>0</v>
      </c>
      <c r="M51" s="91">
        <f t="shared" si="38"/>
        <v>360733</v>
      </c>
      <c r="N51" s="91">
        <f t="shared" si="39"/>
        <v>0</v>
      </c>
      <c r="O51" s="56">
        <f t="shared" si="0"/>
        <v>370300</v>
      </c>
      <c r="P51" s="91">
        <f t="shared" si="4"/>
        <v>0</v>
      </c>
      <c r="Q51" s="6">
        <f t="shared" si="1"/>
        <v>370300</v>
      </c>
      <c r="S51" s="57" t="s">
        <v>230</v>
      </c>
    </row>
    <row r="52" spans="1:20" s="57" customFormat="1">
      <c r="B52" s="58"/>
      <c r="C52" s="58" t="s">
        <v>187</v>
      </c>
      <c r="D52" s="58" t="s">
        <v>214</v>
      </c>
      <c r="E52" s="58" t="s">
        <v>118</v>
      </c>
      <c r="F52" s="58" t="s">
        <v>188</v>
      </c>
      <c r="G52" s="43">
        <v>225782</v>
      </c>
      <c r="H52" s="43">
        <f>ROUND(G52/151.5*159.8,0)</f>
        <v>238152</v>
      </c>
      <c r="I52" s="59"/>
      <c r="J52" s="91"/>
      <c r="K52" s="56">
        <f>ROUND(H52/159.8*174,0)</f>
        <v>259314</v>
      </c>
      <c r="L52" s="56">
        <f>ROUND(I52/131.5*147.3,0)</f>
        <v>0</v>
      </c>
      <c r="M52" s="56">
        <f t="shared" si="2"/>
        <v>268515</v>
      </c>
      <c r="N52" s="56">
        <f t="shared" si="3"/>
        <v>0</v>
      </c>
      <c r="O52" s="56">
        <f t="shared" si="0"/>
        <v>275600</v>
      </c>
      <c r="P52" s="91">
        <f t="shared" si="4"/>
        <v>0</v>
      </c>
      <c r="Q52" s="6">
        <f t="shared" si="1"/>
        <v>275600</v>
      </c>
      <c r="S52" s="57" t="s">
        <v>231</v>
      </c>
    </row>
    <row r="53" spans="1:20">
      <c r="A53" s="2" t="s">
        <v>4</v>
      </c>
      <c r="B53" s="3">
        <v>11</v>
      </c>
      <c r="C53" s="12" t="s">
        <v>19</v>
      </c>
      <c r="D53" s="12" t="s">
        <v>124</v>
      </c>
      <c r="E53" s="12" t="s">
        <v>123</v>
      </c>
      <c r="F53" s="2" t="s">
        <v>11</v>
      </c>
      <c r="G53" s="43">
        <v>147228</v>
      </c>
      <c r="H53" s="43">
        <f t="shared" ref="H53:H54" si="41">ROUND(G53/151.5*159.8,0)</f>
        <v>155294</v>
      </c>
      <c r="I53" s="6">
        <v>0</v>
      </c>
      <c r="J53" s="91" t="s">
        <v>241</v>
      </c>
      <c r="K53" s="56">
        <v>272250</v>
      </c>
      <c r="L53" s="56">
        <f t="shared" ref="L53:L54" si="42">ROUND(I53/131.5*147.3,0)</f>
        <v>0</v>
      </c>
      <c r="M53" s="91">
        <f t="shared" ref="M53:M55" si="43">ROUND(K53/124.9*128.4,0)</f>
        <v>279879</v>
      </c>
      <c r="N53" s="91">
        <f t="shared" ref="N53:N55" si="44">ROUND(L53/122.5*124.4,0)</f>
        <v>0</v>
      </c>
      <c r="O53" s="56">
        <f t="shared" si="0"/>
        <v>287300</v>
      </c>
      <c r="P53" s="91">
        <f t="shared" si="4"/>
        <v>0</v>
      </c>
      <c r="Q53" s="6">
        <f t="shared" si="1"/>
        <v>287300</v>
      </c>
      <c r="S53" s="57" t="s">
        <v>230</v>
      </c>
    </row>
    <row r="54" spans="1:20">
      <c r="A54" s="2" t="s">
        <v>4</v>
      </c>
      <c r="B54" s="3">
        <v>12</v>
      </c>
      <c r="C54" s="11" t="s">
        <v>19</v>
      </c>
      <c r="D54" s="2" t="s">
        <v>124</v>
      </c>
      <c r="E54" s="2" t="s">
        <v>123</v>
      </c>
      <c r="F54" s="2" t="s">
        <v>20</v>
      </c>
      <c r="G54" s="43">
        <v>1341047</v>
      </c>
      <c r="H54" s="43">
        <f t="shared" si="41"/>
        <v>1414517</v>
      </c>
      <c r="I54" s="6">
        <v>0</v>
      </c>
      <c r="J54" s="91" t="s">
        <v>241</v>
      </c>
      <c r="K54" s="56">
        <v>1639550</v>
      </c>
      <c r="L54" s="56">
        <f t="shared" si="42"/>
        <v>0</v>
      </c>
      <c r="M54" s="91">
        <f t="shared" si="43"/>
        <v>1685494</v>
      </c>
      <c r="N54" s="91">
        <f t="shared" si="44"/>
        <v>0</v>
      </c>
      <c r="O54" s="56">
        <f t="shared" si="0"/>
        <v>1730100</v>
      </c>
      <c r="P54" s="91">
        <f t="shared" si="4"/>
        <v>0</v>
      </c>
      <c r="Q54" s="6">
        <f t="shared" si="1"/>
        <v>1730100</v>
      </c>
      <c r="S54" s="57" t="s">
        <v>230</v>
      </c>
    </row>
    <row r="55" spans="1:20" s="36" customFormat="1" ht="38.25">
      <c r="A55" s="57"/>
      <c r="B55" s="31"/>
      <c r="C55" s="31" t="s">
        <v>43</v>
      </c>
      <c r="D55" s="31" t="s">
        <v>139</v>
      </c>
      <c r="E55" s="31" t="s">
        <v>118</v>
      </c>
      <c r="F55" s="41" t="s">
        <v>223</v>
      </c>
      <c r="G55" s="83"/>
      <c r="H55" s="83"/>
      <c r="I55" s="84"/>
      <c r="J55" s="91" t="s">
        <v>241</v>
      </c>
      <c r="K55" s="35">
        <v>19005000</v>
      </c>
      <c r="L55" s="35">
        <v>0</v>
      </c>
      <c r="M55" s="91">
        <f t="shared" si="43"/>
        <v>19537566</v>
      </c>
      <c r="N55" s="91">
        <f t="shared" si="44"/>
        <v>0</v>
      </c>
      <c r="O55" s="56">
        <f t="shared" si="0"/>
        <v>20054900</v>
      </c>
      <c r="P55" s="91">
        <f t="shared" si="4"/>
        <v>0</v>
      </c>
      <c r="Q55" s="6">
        <f t="shared" si="1"/>
        <v>20054900</v>
      </c>
      <c r="S55" s="87" t="s">
        <v>231</v>
      </c>
    </row>
    <row r="56" spans="1:20">
      <c r="B56" s="2"/>
      <c r="C56" s="58" t="s">
        <v>232</v>
      </c>
      <c r="D56" s="58" t="s">
        <v>233</v>
      </c>
      <c r="E56" s="58" t="s">
        <v>118</v>
      </c>
      <c r="F56" s="58" t="s">
        <v>234</v>
      </c>
      <c r="G56" s="14"/>
      <c r="H56" s="14"/>
      <c r="I56" s="88"/>
      <c r="J56" s="98"/>
      <c r="K56" s="89">
        <v>50000</v>
      </c>
      <c r="L56" s="88"/>
      <c r="M56" s="56">
        <f>K56</f>
        <v>50000</v>
      </c>
      <c r="N56" s="56">
        <f t="shared" si="3"/>
        <v>0</v>
      </c>
      <c r="O56" s="56">
        <f>M56</f>
        <v>50000</v>
      </c>
      <c r="P56" s="91">
        <f t="shared" si="4"/>
        <v>0</v>
      </c>
      <c r="Q56" s="6">
        <f t="shared" si="1"/>
        <v>50000</v>
      </c>
      <c r="T56" s="85" t="s">
        <v>237</v>
      </c>
    </row>
    <row r="57" spans="1:20">
      <c r="B57" s="2"/>
      <c r="C57" s="58" t="s">
        <v>236</v>
      </c>
      <c r="D57" s="58" t="s">
        <v>126</v>
      </c>
      <c r="E57" s="58" t="s">
        <v>118</v>
      </c>
      <c r="F57" s="58" t="s">
        <v>235</v>
      </c>
      <c r="G57" s="14"/>
      <c r="H57" s="14"/>
      <c r="I57" s="88"/>
      <c r="J57" s="98"/>
      <c r="K57" s="89">
        <v>100000</v>
      </c>
      <c r="L57" s="88"/>
      <c r="M57" s="56">
        <f>K57</f>
        <v>100000</v>
      </c>
      <c r="N57" s="56">
        <f t="shared" si="3"/>
        <v>0</v>
      </c>
      <c r="O57" s="56">
        <f>M57</f>
        <v>100000</v>
      </c>
      <c r="P57" s="91">
        <f t="shared" si="4"/>
        <v>0</v>
      </c>
      <c r="Q57" s="6">
        <f t="shared" si="1"/>
        <v>100000</v>
      </c>
      <c r="T57" s="85" t="s">
        <v>237</v>
      </c>
    </row>
    <row r="58" spans="1:20" s="99" customFormat="1">
      <c r="B58" s="58"/>
      <c r="C58" s="58" t="s">
        <v>254</v>
      </c>
      <c r="D58" s="58" t="s">
        <v>255</v>
      </c>
      <c r="E58" s="58" t="s">
        <v>118</v>
      </c>
      <c r="F58" s="110" t="s">
        <v>256</v>
      </c>
      <c r="G58" s="55"/>
      <c r="H58" s="55"/>
      <c r="I58" s="59"/>
      <c r="J58" s="35"/>
      <c r="K58" s="59"/>
      <c r="L58" s="59"/>
      <c r="M58" s="59"/>
      <c r="N58" s="59"/>
      <c r="O58" s="59">
        <v>925000</v>
      </c>
      <c r="P58" s="59"/>
      <c r="Q58" s="59">
        <f>O58+P58</f>
        <v>925000</v>
      </c>
      <c r="T58" s="99" t="s">
        <v>262</v>
      </c>
    </row>
    <row r="59" spans="1:20" s="106" customFormat="1" ht="51">
      <c r="B59" s="31"/>
      <c r="C59" s="31" t="s">
        <v>257</v>
      </c>
      <c r="D59" s="31" t="s">
        <v>258</v>
      </c>
      <c r="E59" s="31" t="s">
        <v>123</v>
      </c>
      <c r="F59" s="41" t="s">
        <v>260</v>
      </c>
      <c r="G59" s="111"/>
      <c r="H59" s="111"/>
      <c r="I59" s="35"/>
      <c r="J59" s="35"/>
      <c r="K59" s="35"/>
      <c r="L59" s="35"/>
      <c r="M59" s="35"/>
      <c r="N59" s="35"/>
      <c r="O59" s="35">
        <v>375000</v>
      </c>
      <c r="P59" s="35"/>
      <c r="Q59" s="59">
        <f>O59+P59</f>
        <v>375000</v>
      </c>
      <c r="T59" s="99" t="s">
        <v>263</v>
      </c>
    </row>
    <row r="60" spans="1:20" s="106" customFormat="1" ht="38.25">
      <c r="B60" s="31"/>
      <c r="C60" s="31" t="s">
        <v>259</v>
      </c>
      <c r="D60" s="31" t="s">
        <v>258</v>
      </c>
      <c r="E60" s="31" t="s">
        <v>123</v>
      </c>
      <c r="F60" s="41" t="s">
        <v>261</v>
      </c>
      <c r="G60" s="111"/>
      <c r="H60" s="111"/>
      <c r="I60" s="35"/>
      <c r="J60" s="35"/>
      <c r="K60" s="35"/>
      <c r="L60" s="35"/>
      <c r="M60" s="35"/>
      <c r="N60" s="35"/>
      <c r="O60" s="35">
        <v>185000</v>
      </c>
      <c r="P60" s="35"/>
      <c r="Q60" s="59">
        <f>O60+P60</f>
        <v>185000</v>
      </c>
      <c r="T60" s="99" t="s">
        <v>263</v>
      </c>
    </row>
    <row r="61" spans="1:20" s="99" customFormat="1">
      <c r="B61" s="58"/>
      <c r="C61" s="58" t="s">
        <v>264</v>
      </c>
      <c r="D61" s="110"/>
      <c r="E61" s="110"/>
      <c r="F61" s="58" t="s">
        <v>265</v>
      </c>
      <c r="G61" s="55"/>
      <c r="H61" s="55"/>
      <c r="I61" s="59"/>
      <c r="J61" s="35"/>
      <c r="K61" s="59"/>
      <c r="L61" s="59"/>
      <c r="M61" s="59"/>
      <c r="N61" s="59"/>
      <c r="O61" s="112"/>
      <c r="P61" s="112"/>
      <c r="Q61" s="59">
        <f>O61+P61</f>
        <v>0</v>
      </c>
      <c r="T61" s="99" t="s">
        <v>266</v>
      </c>
    </row>
    <row r="62" spans="1:20">
      <c r="B62" s="58"/>
      <c r="C62" s="58" t="s">
        <v>271</v>
      </c>
      <c r="D62" s="58" t="s">
        <v>277</v>
      </c>
      <c r="E62" s="58" t="s">
        <v>118</v>
      </c>
      <c r="F62" s="58" t="s">
        <v>272</v>
      </c>
      <c r="G62" s="55"/>
      <c r="H62" s="55"/>
      <c r="I62" s="59"/>
      <c r="J62" s="35"/>
      <c r="K62" s="59"/>
      <c r="L62" s="59"/>
      <c r="M62" s="59"/>
      <c r="N62" s="59"/>
      <c r="O62" s="59">
        <v>13000000</v>
      </c>
      <c r="P62" s="59"/>
      <c r="Q62" s="59">
        <f t="shared" ref="Q62" si="45">O62+P62</f>
        <v>13000000</v>
      </c>
      <c r="T62" s="99" t="s">
        <v>273</v>
      </c>
    </row>
    <row r="63" spans="1:20">
      <c r="A63" s="2"/>
      <c r="B63" s="3"/>
      <c r="C63" s="2"/>
      <c r="D63" s="2"/>
      <c r="E63" s="2"/>
      <c r="F63" s="2"/>
      <c r="G63" s="14"/>
      <c r="H63" s="14"/>
      <c r="I63" s="6"/>
      <c r="J63" s="35"/>
      <c r="K63" s="6"/>
      <c r="L63" s="6"/>
      <c r="M63" s="6"/>
      <c r="N63" s="6"/>
      <c r="O63" s="6"/>
      <c r="P63" s="6"/>
      <c r="Q63" s="6"/>
    </row>
    <row r="64" spans="1:20" s="4" customFormat="1">
      <c r="A64" s="22" t="s">
        <v>56</v>
      </c>
      <c r="B64" s="23"/>
      <c r="C64" s="22"/>
      <c r="D64" s="22"/>
      <c r="E64" s="22"/>
      <c r="F64" s="22"/>
      <c r="G64" s="24">
        <v>55596966</v>
      </c>
      <c r="H64" s="24">
        <f>SUM(H6:H63)</f>
        <v>59469318</v>
      </c>
      <c r="I64" s="24">
        <f>SUM(I6:I63)</f>
        <v>3292520</v>
      </c>
      <c r="J64" s="93"/>
      <c r="K64" s="24">
        <f t="shared" ref="K64:Q64" si="46">SUM(K4:K63)</f>
        <v>68431220</v>
      </c>
      <c r="L64" s="24">
        <f t="shared" si="46"/>
        <v>3580448</v>
      </c>
      <c r="M64" s="24">
        <f t="shared" si="46"/>
        <v>70345398</v>
      </c>
      <c r="N64" s="24">
        <f t="shared" si="46"/>
        <v>3686002</v>
      </c>
      <c r="O64" s="24">
        <f t="shared" si="46"/>
        <v>86651700</v>
      </c>
      <c r="P64" s="24">
        <f t="shared" si="46"/>
        <v>3799900</v>
      </c>
      <c r="Q64" s="24">
        <f t="shared" si="46"/>
        <v>90451600</v>
      </c>
      <c r="S64" s="82"/>
      <c r="T64" s="82"/>
    </row>
    <row r="65" spans="1:21">
      <c r="A65" s="2" t="s">
        <v>57</v>
      </c>
      <c r="B65" s="3">
        <v>2</v>
      </c>
      <c r="C65" s="2" t="s">
        <v>111</v>
      </c>
      <c r="D65" s="2" t="s">
        <v>149</v>
      </c>
      <c r="E65" s="2" t="s">
        <v>141</v>
      </c>
      <c r="F65" s="2" t="s">
        <v>59</v>
      </c>
      <c r="G65" s="43">
        <v>4659491</v>
      </c>
      <c r="H65" s="43">
        <f t="shared" ref="H65:H86" si="47">ROUND(G65/151.5*159.8,0)</f>
        <v>4914763</v>
      </c>
      <c r="I65" s="6">
        <v>483150</v>
      </c>
      <c r="J65" s="91" t="s">
        <v>241</v>
      </c>
      <c r="K65" s="90">
        <v>5384500</v>
      </c>
      <c r="L65" s="90">
        <v>532400</v>
      </c>
      <c r="M65" s="56">
        <f>ROUND(K65/124.9*128.4,0)</f>
        <v>5535387</v>
      </c>
      <c r="N65" s="56">
        <f>ROUND(L65/122.5*124.4,0)</f>
        <v>540658</v>
      </c>
      <c r="O65" s="56">
        <f t="shared" ref="O65" si="48">ROUND(M65/128.4*131.8,-2)</f>
        <v>5682000</v>
      </c>
      <c r="P65" s="91">
        <f t="shared" ref="P65" si="49">ROUND(N65/124.4*128.3,-2)</f>
        <v>557600</v>
      </c>
      <c r="Q65" s="6">
        <f t="shared" ref="Q65:Q86" si="50">O65+P65</f>
        <v>6239600</v>
      </c>
      <c r="S65" s="57" t="s">
        <v>230</v>
      </c>
      <c r="U65" s="81"/>
    </row>
    <row r="66" spans="1:21">
      <c r="A66" s="2" t="s">
        <v>57</v>
      </c>
      <c r="B66" s="3">
        <v>7</v>
      </c>
      <c r="C66" s="2" t="s">
        <v>64</v>
      </c>
      <c r="D66" s="2" t="s">
        <v>153</v>
      </c>
      <c r="E66" s="2" t="s">
        <v>141</v>
      </c>
      <c r="F66" s="2" t="s">
        <v>65</v>
      </c>
      <c r="G66" s="43">
        <v>3940597</v>
      </c>
      <c r="H66" s="43">
        <f t="shared" si="47"/>
        <v>4156484</v>
      </c>
      <c r="I66" s="6">
        <v>411450</v>
      </c>
      <c r="J66" s="91" t="s">
        <v>241</v>
      </c>
      <c r="K66" s="90">
        <v>4858150</v>
      </c>
      <c r="L66" s="90">
        <v>556600</v>
      </c>
      <c r="M66" s="56">
        <f t="shared" ref="M66:M86" si="51">ROUND(K66/124.9*128.4,0)</f>
        <v>4994287</v>
      </c>
      <c r="N66" s="56">
        <f t="shared" ref="N66:N86" si="52">ROUND(L66/122.5*124.4,0)</f>
        <v>565233</v>
      </c>
      <c r="O66" s="56">
        <f t="shared" ref="O66:O86" si="53">ROUND(M66/128.4*131.8,-2)</f>
        <v>5126500</v>
      </c>
      <c r="P66" s="91">
        <f t="shared" ref="P66:P86" si="54">ROUND(N66/124.4*128.3,-2)</f>
        <v>583000</v>
      </c>
      <c r="Q66" s="6">
        <f t="shared" si="50"/>
        <v>5709500</v>
      </c>
      <c r="R66" s="13"/>
      <c r="S66" s="57" t="s">
        <v>230</v>
      </c>
    </row>
    <row r="67" spans="1:21">
      <c r="A67" s="2" t="s">
        <v>57</v>
      </c>
      <c r="B67" s="3">
        <v>21</v>
      </c>
      <c r="C67" s="2" t="s">
        <v>88</v>
      </c>
      <c r="D67" s="2" t="s">
        <v>145</v>
      </c>
      <c r="E67" s="2" t="s">
        <v>141</v>
      </c>
      <c r="F67" s="2" t="s">
        <v>89</v>
      </c>
      <c r="G67" s="43">
        <v>1288469</v>
      </c>
      <c r="H67" s="43">
        <f t="shared" si="47"/>
        <v>1359058</v>
      </c>
      <c r="I67" s="6">
        <v>359450</v>
      </c>
      <c r="J67" s="91" t="s">
        <v>241</v>
      </c>
      <c r="K67" s="90">
        <v>4083750</v>
      </c>
      <c r="L67" s="90">
        <v>562650</v>
      </c>
      <c r="M67" s="56">
        <f t="shared" si="51"/>
        <v>4198187</v>
      </c>
      <c r="N67" s="56">
        <f t="shared" si="52"/>
        <v>571377</v>
      </c>
      <c r="O67" s="56">
        <f t="shared" si="53"/>
        <v>4309400</v>
      </c>
      <c r="P67" s="91">
        <f t="shared" si="54"/>
        <v>589300</v>
      </c>
      <c r="Q67" s="6">
        <f t="shared" si="50"/>
        <v>4898700</v>
      </c>
      <c r="S67" s="57" t="s">
        <v>230</v>
      </c>
    </row>
    <row r="68" spans="1:21">
      <c r="A68" s="2" t="s">
        <v>57</v>
      </c>
      <c r="B68" s="3">
        <v>11</v>
      </c>
      <c r="C68" s="2" t="s">
        <v>71</v>
      </c>
      <c r="D68" s="2" t="s">
        <v>164</v>
      </c>
      <c r="E68" s="2" t="s">
        <v>127</v>
      </c>
      <c r="F68" s="2" t="s">
        <v>72</v>
      </c>
      <c r="G68" s="43">
        <v>1571412</v>
      </c>
      <c r="H68" s="43">
        <f t="shared" si="47"/>
        <v>1657503</v>
      </c>
      <c r="I68" s="6">
        <v>353780</v>
      </c>
      <c r="J68" s="91" t="s">
        <v>241</v>
      </c>
      <c r="K68" s="90">
        <v>2734600</v>
      </c>
      <c r="L68" s="90">
        <v>399300</v>
      </c>
      <c r="M68" s="56">
        <f t="shared" si="51"/>
        <v>2811230</v>
      </c>
      <c r="N68" s="56">
        <f t="shared" si="52"/>
        <v>405493</v>
      </c>
      <c r="O68" s="56">
        <f t="shared" si="53"/>
        <v>2885700</v>
      </c>
      <c r="P68" s="91">
        <f t="shared" si="54"/>
        <v>418200</v>
      </c>
      <c r="Q68" s="6">
        <f t="shared" si="50"/>
        <v>3303900</v>
      </c>
      <c r="S68" s="57" t="s">
        <v>230</v>
      </c>
    </row>
    <row r="69" spans="1:21">
      <c r="A69" s="2" t="s">
        <v>57</v>
      </c>
      <c r="B69" s="3">
        <v>1</v>
      </c>
      <c r="C69" s="58" t="s">
        <v>239</v>
      </c>
      <c r="D69" s="2" t="s">
        <v>148</v>
      </c>
      <c r="E69" s="2" t="s">
        <v>118</v>
      </c>
      <c r="F69" s="2" t="s">
        <v>58</v>
      </c>
      <c r="G69" s="43">
        <v>3541211</v>
      </c>
      <c r="H69" s="43">
        <f t="shared" si="47"/>
        <v>3735218</v>
      </c>
      <c r="I69" s="6">
        <v>500645</v>
      </c>
      <c r="J69" s="91" t="s">
        <v>241</v>
      </c>
      <c r="K69" s="90">
        <v>3751000</v>
      </c>
      <c r="L69" s="90">
        <v>701800</v>
      </c>
      <c r="M69" s="56">
        <f t="shared" si="51"/>
        <v>3856112</v>
      </c>
      <c r="N69" s="56">
        <f t="shared" si="52"/>
        <v>712685</v>
      </c>
      <c r="O69" s="56">
        <f t="shared" si="53"/>
        <v>3958200</v>
      </c>
      <c r="P69" s="91">
        <f t="shared" si="54"/>
        <v>735000</v>
      </c>
      <c r="Q69" s="6">
        <f t="shared" si="50"/>
        <v>4693200</v>
      </c>
      <c r="S69" s="57" t="s">
        <v>230</v>
      </c>
    </row>
    <row r="70" spans="1:21">
      <c r="A70" s="2" t="s">
        <v>57</v>
      </c>
      <c r="B70" s="3">
        <v>3</v>
      </c>
      <c r="C70" s="2" t="s">
        <v>60</v>
      </c>
      <c r="D70" s="2" t="s">
        <v>150</v>
      </c>
      <c r="E70" s="2" t="s">
        <v>118</v>
      </c>
      <c r="F70" s="2" t="s">
        <v>61</v>
      </c>
      <c r="G70" s="43">
        <v>1643783</v>
      </c>
      <c r="H70" s="43">
        <f t="shared" si="47"/>
        <v>1733838</v>
      </c>
      <c r="I70" s="6">
        <v>201330</v>
      </c>
      <c r="J70" s="91" t="s">
        <v>241</v>
      </c>
      <c r="K70" s="90">
        <v>2226400</v>
      </c>
      <c r="L70" s="90">
        <v>254100</v>
      </c>
      <c r="M70" s="56">
        <f t="shared" si="51"/>
        <v>2288789</v>
      </c>
      <c r="N70" s="56">
        <f t="shared" si="52"/>
        <v>258041</v>
      </c>
      <c r="O70" s="56">
        <f t="shared" si="53"/>
        <v>2349400</v>
      </c>
      <c r="P70" s="91">
        <f t="shared" si="54"/>
        <v>266100</v>
      </c>
      <c r="Q70" s="6">
        <f t="shared" si="50"/>
        <v>2615500</v>
      </c>
      <c r="S70" s="57" t="s">
        <v>230</v>
      </c>
    </row>
    <row r="71" spans="1:21">
      <c r="A71" s="2" t="s">
        <v>57</v>
      </c>
      <c r="B71" s="3">
        <v>4</v>
      </c>
      <c r="C71" s="2" t="s">
        <v>62</v>
      </c>
      <c r="D71" s="2" t="s">
        <v>151</v>
      </c>
      <c r="E71" s="2" t="s">
        <v>118</v>
      </c>
      <c r="F71" s="2" t="s">
        <v>63</v>
      </c>
      <c r="G71" s="43">
        <v>2533167</v>
      </c>
      <c r="H71" s="43">
        <f t="shared" si="47"/>
        <v>2671948</v>
      </c>
      <c r="I71" s="6">
        <v>352500</v>
      </c>
      <c r="J71" s="91" t="s">
        <v>241</v>
      </c>
      <c r="K71" s="90">
        <v>3859900</v>
      </c>
      <c r="L71" s="90">
        <v>526350</v>
      </c>
      <c r="M71" s="56">
        <f t="shared" si="51"/>
        <v>3968064</v>
      </c>
      <c r="N71" s="56">
        <f t="shared" si="52"/>
        <v>534514</v>
      </c>
      <c r="O71" s="56">
        <f t="shared" si="53"/>
        <v>4073100</v>
      </c>
      <c r="P71" s="91">
        <f t="shared" si="54"/>
        <v>551300</v>
      </c>
      <c r="Q71" s="6">
        <f t="shared" si="50"/>
        <v>4624400</v>
      </c>
      <c r="S71" s="57" t="s">
        <v>230</v>
      </c>
    </row>
    <row r="72" spans="1:21">
      <c r="A72" s="2" t="s">
        <v>57</v>
      </c>
      <c r="B72" s="3">
        <v>5</v>
      </c>
      <c r="C72" s="2" t="s">
        <v>12</v>
      </c>
      <c r="D72" s="2" t="s">
        <v>152</v>
      </c>
      <c r="E72" s="2" t="s">
        <v>118</v>
      </c>
      <c r="F72" s="2" t="s">
        <v>106</v>
      </c>
      <c r="G72" s="43">
        <v>1508633</v>
      </c>
      <c r="H72" s="43">
        <f t="shared" si="47"/>
        <v>1591284</v>
      </c>
      <c r="I72" s="6">
        <v>294181</v>
      </c>
      <c r="J72" s="91" t="s">
        <v>241</v>
      </c>
      <c r="K72" s="90">
        <v>2135650</v>
      </c>
      <c r="L72" s="90">
        <v>508200</v>
      </c>
      <c r="M72" s="56">
        <f t="shared" si="51"/>
        <v>2195496</v>
      </c>
      <c r="N72" s="56">
        <f t="shared" si="52"/>
        <v>516082</v>
      </c>
      <c r="O72" s="56">
        <f t="shared" si="53"/>
        <v>2253600</v>
      </c>
      <c r="P72" s="91">
        <f t="shared" si="54"/>
        <v>532300</v>
      </c>
      <c r="Q72" s="6">
        <f t="shared" si="50"/>
        <v>2785900</v>
      </c>
      <c r="S72" s="57" t="s">
        <v>230</v>
      </c>
    </row>
    <row r="73" spans="1:21">
      <c r="A73" s="2" t="s">
        <v>57</v>
      </c>
      <c r="B73" s="3">
        <v>8</v>
      </c>
      <c r="C73" s="2" t="s">
        <v>66</v>
      </c>
      <c r="D73" s="2" t="s">
        <v>154</v>
      </c>
      <c r="E73" s="2" t="s">
        <v>118</v>
      </c>
      <c r="F73" s="2" t="s">
        <v>67</v>
      </c>
      <c r="G73" s="43">
        <v>1979473</v>
      </c>
      <c r="H73" s="43">
        <f t="shared" si="47"/>
        <v>2087919</v>
      </c>
      <c r="I73" s="6">
        <v>578385</v>
      </c>
      <c r="J73" s="91" t="s">
        <v>241</v>
      </c>
      <c r="K73" s="90">
        <v>3769150</v>
      </c>
      <c r="L73" s="90">
        <v>514250</v>
      </c>
      <c r="M73" s="56">
        <f t="shared" si="51"/>
        <v>3874771</v>
      </c>
      <c r="N73" s="56">
        <f t="shared" si="52"/>
        <v>522226</v>
      </c>
      <c r="O73" s="56">
        <f t="shared" si="53"/>
        <v>3977400</v>
      </c>
      <c r="P73" s="91">
        <f t="shared" si="54"/>
        <v>538600</v>
      </c>
      <c r="Q73" s="6">
        <f t="shared" si="50"/>
        <v>4516000</v>
      </c>
      <c r="R73" s="13"/>
      <c r="S73" s="57" t="s">
        <v>230</v>
      </c>
    </row>
    <row r="74" spans="1:21">
      <c r="A74" s="2" t="s">
        <v>57</v>
      </c>
      <c r="B74" s="3">
        <v>24</v>
      </c>
      <c r="C74" s="2" t="s">
        <v>104</v>
      </c>
      <c r="D74" s="2" t="s">
        <v>126</v>
      </c>
      <c r="E74" s="2" t="s">
        <v>118</v>
      </c>
      <c r="F74" s="2" t="s">
        <v>105</v>
      </c>
      <c r="G74" s="43">
        <v>8070275</v>
      </c>
      <c r="H74" s="43">
        <f t="shared" si="47"/>
        <v>8512409</v>
      </c>
      <c r="I74" s="6">
        <v>1000000</v>
      </c>
      <c r="J74" s="91" t="s">
        <v>241</v>
      </c>
      <c r="K74" s="90">
        <v>9359350</v>
      </c>
      <c r="L74" s="90">
        <v>3212500</v>
      </c>
      <c r="M74" s="56">
        <f t="shared" si="51"/>
        <v>9621622</v>
      </c>
      <c r="N74" s="56">
        <f t="shared" si="52"/>
        <v>3262327</v>
      </c>
      <c r="O74" s="56">
        <f t="shared" si="53"/>
        <v>9876400</v>
      </c>
      <c r="P74" s="91">
        <f t="shared" si="54"/>
        <v>3364600</v>
      </c>
      <c r="Q74" s="6">
        <f t="shared" si="50"/>
        <v>13241000</v>
      </c>
      <c r="S74" s="57" t="s">
        <v>230</v>
      </c>
    </row>
    <row r="75" spans="1:21">
      <c r="A75" s="2" t="s">
        <v>57</v>
      </c>
      <c r="B75" s="3">
        <v>9</v>
      </c>
      <c r="C75" s="2" t="s">
        <v>155</v>
      </c>
      <c r="D75" s="2" t="s">
        <v>156</v>
      </c>
      <c r="E75" s="2" t="s">
        <v>118</v>
      </c>
      <c r="F75" s="2" t="s">
        <v>68</v>
      </c>
      <c r="G75" s="43">
        <v>1671501</v>
      </c>
      <c r="H75" s="43">
        <f t="shared" si="47"/>
        <v>1763075</v>
      </c>
      <c r="I75" s="6">
        <v>508065</v>
      </c>
      <c r="J75" s="91" t="s">
        <v>241</v>
      </c>
      <c r="K75" s="90">
        <v>2383700</v>
      </c>
      <c r="L75" s="90">
        <v>441650</v>
      </c>
      <c r="M75" s="56">
        <f t="shared" si="51"/>
        <v>2450497</v>
      </c>
      <c r="N75" s="56">
        <f t="shared" si="52"/>
        <v>448500</v>
      </c>
      <c r="O75" s="56">
        <f t="shared" si="53"/>
        <v>2515400</v>
      </c>
      <c r="P75" s="91">
        <f t="shared" si="54"/>
        <v>462600</v>
      </c>
      <c r="Q75" s="6">
        <f t="shared" si="50"/>
        <v>2978000</v>
      </c>
      <c r="R75" s="13"/>
      <c r="S75" s="57" t="s">
        <v>230</v>
      </c>
    </row>
    <row r="76" spans="1:21">
      <c r="A76" s="2" t="s">
        <v>57</v>
      </c>
      <c r="B76" s="3">
        <v>10</v>
      </c>
      <c r="C76" s="2" t="s">
        <v>69</v>
      </c>
      <c r="D76" s="2" t="s">
        <v>157</v>
      </c>
      <c r="E76" s="2" t="s">
        <v>118</v>
      </c>
      <c r="F76" s="2" t="s">
        <v>70</v>
      </c>
      <c r="G76" s="43">
        <v>4233480</v>
      </c>
      <c r="H76" s="43">
        <f t="shared" si="47"/>
        <v>4465413</v>
      </c>
      <c r="I76" s="6">
        <v>458500</v>
      </c>
      <c r="J76" s="91" t="s">
        <v>241</v>
      </c>
      <c r="K76" s="90">
        <v>4967050</v>
      </c>
      <c r="L76" s="90">
        <v>1131150</v>
      </c>
      <c r="M76" s="56">
        <f t="shared" si="51"/>
        <v>5106239</v>
      </c>
      <c r="N76" s="56">
        <f t="shared" si="52"/>
        <v>1148694</v>
      </c>
      <c r="O76" s="56">
        <f t="shared" si="53"/>
        <v>5241500</v>
      </c>
      <c r="P76" s="91">
        <f t="shared" si="54"/>
        <v>1184700</v>
      </c>
      <c r="Q76" s="6">
        <f t="shared" si="50"/>
        <v>6426200</v>
      </c>
      <c r="R76" s="13"/>
      <c r="S76" s="57" t="s">
        <v>230</v>
      </c>
    </row>
    <row r="77" spans="1:21">
      <c r="A77" s="2" t="s">
        <v>57</v>
      </c>
      <c r="B77" s="3">
        <v>13</v>
      </c>
      <c r="C77" s="2" t="s">
        <v>73</v>
      </c>
      <c r="D77" s="2" t="s">
        <v>158</v>
      </c>
      <c r="E77" s="2" t="s">
        <v>118</v>
      </c>
      <c r="F77" s="2" t="s">
        <v>74</v>
      </c>
      <c r="G77" s="43">
        <v>2127680</v>
      </c>
      <c r="H77" s="43">
        <f t="shared" si="47"/>
        <v>2244246</v>
      </c>
      <c r="I77" s="6">
        <v>469300</v>
      </c>
      <c r="J77" s="91" t="s">
        <v>241</v>
      </c>
      <c r="K77" s="90">
        <v>3563450</v>
      </c>
      <c r="L77" s="90">
        <v>598950</v>
      </c>
      <c r="M77" s="56">
        <f t="shared" si="51"/>
        <v>3663306</v>
      </c>
      <c r="N77" s="56">
        <f t="shared" si="52"/>
        <v>608240</v>
      </c>
      <c r="O77" s="56">
        <f t="shared" si="53"/>
        <v>3760300</v>
      </c>
      <c r="P77" s="91">
        <f t="shared" si="54"/>
        <v>627300</v>
      </c>
      <c r="Q77" s="6">
        <f t="shared" si="50"/>
        <v>4387600</v>
      </c>
      <c r="S77" s="57" t="s">
        <v>230</v>
      </c>
    </row>
    <row r="78" spans="1:21">
      <c r="A78" s="2" t="s">
        <v>57</v>
      </c>
      <c r="B78" s="3">
        <v>14</v>
      </c>
      <c r="C78" s="2" t="s">
        <v>75</v>
      </c>
      <c r="D78" s="2" t="s">
        <v>159</v>
      </c>
      <c r="E78" s="2" t="s">
        <v>118</v>
      </c>
      <c r="F78" s="2" t="s">
        <v>76</v>
      </c>
      <c r="G78" s="43">
        <v>2066473</v>
      </c>
      <c r="H78" s="43">
        <f t="shared" si="47"/>
        <v>2179686</v>
      </c>
      <c r="I78" s="6">
        <v>594934</v>
      </c>
      <c r="J78" s="91" t="s">
        <v>241</v>
      </c>
      <c r="K78" s="90">
        <v>2873750</v>
      </c>
      <c r="L78" s="90">
        <v>508200</v>
      </c>
      <c r="M78" s="56">
        <f t="shared" si="51"/>
        <v>2954279</v>
      </c>
      <c r="N78" s="56">
        <f t="shared" si="52"/>
        <v>516082</v>
      </c>
      <c r="O78" s="56">
        <f t="shared" si="53"/>
        <v>3032500</v>
      </c>
      <c r="P78" s="91">
        <f t="shared" si="54"/>
        <v>532300</v>
      </c>
      <c r="Q78" s="6">
        <f t="shared" si="50"/>
        <v>3564800</v>
      </c>
      <c r="S78" s="57" t="s">
        <v>230</v>
      </c>
    </row>
    <row r="79" spans="1:21">
      <c r="A79" s="2" t="s">
        <v>57</v>
      </c>
      <c r="B79" s="3">
        <v>15</v>
      </c>
      <c r="C79" s="2" t="s">
        <v>77</v>
      </c>
      <c r="D79" s="2" t="s">
        <v>160</v>
      </c>
      <c r="E79" s="2" t="s">
        <v>118</v>
      </c>
      <c r="F79" s="2" t="s">
        <v>78</v>
      </c>
      <c r="G79" s="43">
        <v>1513284</v>
      </c>
      <c r="H79" s="43">
        <f t="shared" si="47"/>
        <v>1596190</v>
      </c>
      <c r="I79" s="6">
        <v>460120</v>
      </c>
      <c r="J79" s="91" t="s">
        <v>241</v>
      </c>
      <c r="K79" s="90">
        <v>2050950</v>
      </c>
      <c r="L79" s="90">
        <v>441650</v>
      </c>
      <c r="M79" s="56">
        <f t="shared" si="51"/>
        <v>2108423</v>
      </c>
      <c r="N79" s="56">
        <f t="shared" si="52"/>
        <v>448500</v>
      </c>
      <c r="O79" s="56">
        <f t="shared" si="53"/>
        <v>2164300</v>
      </c>
      <c r="P79" s="91">
        <f t="shared" si="54"/>
        <v>462600</v>
      </c>
      <c r="Q79" s="6">
        <f t="shared" si="50"/>
        <v>2626900</v>
      </c>
      <c r="S79" s="57" t="s">
        <v>230</v>
      </c>
    </row>
    <row r="80" spans="1:21">
      <c r="A80" s="2" t="s">
        <v>57</v>
      </c>
      <c r="B80" s="3">
        <v>16</v>
      </c>
      <c r="C80" s="2" t="s">
        <v>79</v>
      </c>
      <c r="D80" s="2" t="s">
        <v>161</v>
      </c>
      <c r="E80" s="2" t="s">
        <v>118</v>
      </c>
      <c r="F80" s="2" t="s">
        <v>80</v>
      </c>
      <c r="G80" s="43">
        <v>1566021</v>
      </c>
      <c r="H80" s="43">
        <f t="shared" si="47"/>
        <v>1651816</v>
      </c>
      <c r="I80" s="6">
        <v>566180</v>
      </c>
      <c r="J80" s="91" t="s">
        <v>241</v>
      </c>
      <c r="K80" s="90">
        <v>2341350</v>
      </c>
      <c r="L80" s="90">
        <v>508200</v>
      </c>
      <c r="M80" s="56">
        <f t="shared" si="51"/>
        <v>2406960</v>
      </c>
      <c r="N80" s="56">
        <f t="shared" si="52"/>
        <v>516082</v>
      </c>
      <c r="O80" s="56">
        <f t="shared" si="53"/>
        <v>2470700</v>
      </c>
      <c r="P80" s="91">
        <f t="shared" si="54"/>
        <v>532300</v>
      </c>
      <c r="Q80" s="6">
        <f t="shared" si="50"/>
        <v>3003000</v>
      </c>
      <c r="S80" s="57" t="s">
        <v>230</v>
      </c>
    </row>
    <row r="81" spans="1:19">
      <c r="A81" s="2" t="s">
        <v>57</v>
      </c>
      <c r="B81" s="3">
        <v>17</v>
      </c>
      <c r="C81" s="2" t="s">
        <v>102</v>
      </c>
      <c r="D81" s="2" t="s">
        <v>162</v>
      </c>
      <c r="E81" s="2" t="s">
        <v>118</v>
      </c>
      <c r="F81" s="2" t="s">
        <v>81</v>
      </c>
      <c r="G81" s="43">
        <v>3259851</v>
      </c>
      <c r="H81" s="43">
        <f t="shared" si="47"/>
        <v>3438443</v>
      </c>
      <c r="I81" s="6">
        <v>425450</v>
      </c>
      <c r="J81" s="91" t="s">
        <v>241</v>
      </c>
      <c r="K81" s="90">
        <v>3636050</v>
      </c>
      <c r="L81" s="90">
        <v>695750</v>
      </c>
      <c r="M81" s="56">
        <f t="shared" si="51"/>
        <v>3737941</v>
      </c>
      <c r="N81" s="56">
        <f t="shared" si="52"/>
        <v>706541</v>
      </c>
      <c r="O81" s="56">
        <f t="shared" si="53"/>
        <v>3836900</v>
      </c>
      <c r="P81" s="91">
        <f t="shared" si="54"/>
        <v>728700</v>
      </c>
      <c r="Q81" s="6">
        <f t="shared" si="50"/>
        <v>4565600</v>
      </c>
      <c r="S81" s="57" t="s">
        <v>230</v>
      </c>
    </row>
    <row r="82" spans="1:19">
      <c r="A82" s="2" t="s">
        <v>57</v>
      </c>
      <c r="B82" s="3">
        <v>18</v>
      </c>
      <c r="C82" s="2" t="s">
        <v>82</v>
      </c>
      <c r="D82" s="2" t="s">
        <v>163</v>
      </c>
      <c r="E82" s="2" t="s">
        <v>118</v>
      </c>
      <c r="F82" s="2" t="s">
        <v>83</v>
      </c>
      <c r="G82" s="43">
        <v>1636854</v>
      </c>
      <c r="H82" s="43">
        <f t="shared" si="47"/>
        <v>1726530</v>
      </c>
      <c r="I82" s="6">
        <v>310000</v>
      </c>
      <c r="J82" s="91" t="s">
        <v>241</v>
      </c>
      <c r="K82" s="90">
        <v>2734600</v>
      </c>
      <c r="L82" s="90">
        <v>453750</v>
      </c>
      <c r="M82" s="56">
        <f t="shared" si="51"/>
        <v>2811230</v>
      </c>
      <c r="N82" s="56">
        <f t="shared" si="52"/>
        <v>460788</v>
      </c>
      <c r="O82" s="56">
        <f t="shared" si="53"/>
        <v>2885700</v>
      </c>
      <c r="P82" s="91">
        <f t="shared" si="54"/>
        <v>475200</v>
      </c>
      <c r="Q82" s="6">
        <f t="shared" si="50"/>
        <v>3360900</v>
      </c>
      <c r="S82" s="57" t="s">
        <v>230</v>
      </c>
    </row>
    <row r="83" spans="1:19">
      <c r="A83" s="2" t="s">
        <v>4</v>
      </c>
      <c r="B83" s="3">
        <v>51</v>
      </c>
      <c r="C83" s="2" t="s">
        <v>48</v>
      </c>
      <c r="D83" s="2" t="s">
        <v>142</v>
      </c>
      <c r="E83" s="2" t="s">
        <v>118</v>
      </c>
      <c r="F83" s="2" t="s">
        <v>49</v>
      </c>
      <c r="G83" s="43">
        <v>639391</v>
      </c>
      <c r="H83" s="43">
        <f t="shared" si="47"/>
        <v>674420</v>
      </c>
      <c r="I83" s="6">
        <v>0</v>
      </c>
      <c r="J83" s="91" t="s">
        <v>241</v>
      </c>
      <c r="K83" s="90">
        <v>762300</v>
      </c>
      <c r="L83" s="90">
        <v>0</v>
      </c>
      <c r="M83" s="56">
        <f t="shared" si="51"/>
        <v>783661</v>
      </c>
      <c r="N83" s="56">
        <f t="shared" si="52"/>
        <v>0</v>
      </c>
      <c r="O83" s="56">
        <f t="shared" si="53"/>
        <v>804400</v>
      </c>
      <c r="P83" s="91">
        <f t="shared" si="54"/>
        <v>0</v>
      </c>
      <c r="Q83" s="6">
        <f t="shared" si="50"/>
        <v>804400</v>
      </c>
      <c r="S83" s="57" t="s">
        <v>230</v>
      </c>
    </row>
    <row r="84" spans="1:19" ht="13.5" customHeight="1">
      <c r="A84" s="2" t="s">
        <v>57</v>
      </c>
      <c r="B84" s="3">
        <v>19</v>
      </c>
      <c r="C84" s="2" t="s">
        <v>84</v>
      </c>
      <c r="D84" s="2" t="s">
        <v>142</v>
      </c>
      <c r="E84" s="2" t="s">
        <v>118</v>
      </c>
      <c r="F84" s="2" t="s">
        <v>85</v>
      </c>
      <c r="G84" s="43">
        <v>2041834</v>
      </c>
      <c r="H84" s="43">
        <f t="shared" si="47"/>
        <v>2153697</v>
      </c>
      <c r="I84" s="6">
        <v>585050</v>
      </c>
      <c r="J84" s="91" t="s">
        <v>241</v>
      </c>
      <c r="K84" s="90">
        <v>3279100</v>
      </c>
      <c r="L84" s="90">
        <v>574750</v>
      </c>
      <c r="M84" s="56">
        <f t="shared" si="51"/>
        <v>3370988</v>
      </c>
      <c r="N84" s="56">
        <f t="shared" si="52"/>
        <v>583664</v>
      </c>
      <c r="O84" s="56">
        <f t="shared" si="53"/>
        <v>3460300</v>
      </c>
      <c r="P84" s="91">
        <f t="shared" si="54"/>
        <v>602000</v>
      </c>
      <c r="Q84" s="6">
        <f t="shared" si="50"/>
        <v>4062300</v>
      </c>
      <c r="S84" s="57" t="s">
        <v>230</v>
      </c>
    </row>
    <row r="85" spans="1:19" ht="13.5" customHeight="1">
      <c r="A85" s="2" t="s">
        <v>57</v>
      </c>
      <c r="B85" s="3">
        <v>22</v>
      </c>
      <c r="C85" s="2" t="s">
        <v>90</v>
      </c>
      <c r="D85" s="2" t="s">
        <v>165</v>
      </c>
      <c r="E85" s="2" t="s">
        <v>118</v>
      </c>
      <c r="F85" s="2" t="s">
        <v>91</v>
      </c>
      <c r="G85" s="43">
        <v>2459519</v>
      </c>
      <c r="H85" s="43">
        <f t="shared" si="47"/>
        <v>2594265</v>
      </c>
      <c r="I85" s="6">
        <v>415945</v>
      </c>
      <c r="J85" s="91" t="s">
        <v>241</v>
      </c>
      <c r="K85" s="90">
        <v>4604050</v>
      </c>
      <c r="L85" s="90">
        <v>598950</v>
      </c>
      <c r="M85" s="56">
        <f t="shared" si="51"/>
        <v>4733067</v>
      </c>
      <c r="N85" s="56">
        <f t="shared" si="52"/>
        <v>608240</v>
      </c>
      <c r="O85" s="56">
        <f t="shared" si="53"/>
        <v>4858400</v>
      </c>
      <c r="P85" s="91">
        <f t="shared" si="54"/>
        <v>627300</v>
      </c>
      <c r="Q85" s="6">
        <f t="shared" si="50"/>
        <v>5485700</v>
      </c>
      <c r="S85" s="57" t="s">
        <v>230</v>
      </c>
    </row>
    <row r="86" spans="1:19">
      <c r="A86" s="2" t="s">
        <v>57</v>
      </c>
      <c r="B86" s="3">
        <v>23</v>
      </c>
      <c r="C86" s="2" t="s">
        <v>92</v>
      </c>
      <c r="D86" s="2" t="s">
        <v>147</v>
      </c>
      <c r="E86" s="2" t="s">
        <v>118</v>
      </c>
      <c r="F86" s="2" t="s">
        <v>93</v>
      </c>
      <c r="G86" s="6">
        <v>1539846</v>
      </c>
      <c r="H86" s="6">
        <f t="shared" si="47"/>
        <v>1624207</v>
      </c>
      <c r="I86" s="6">
        <v>530015</v>
      </c>
      <c r="J86" s="91" t="s">
        <v>241</v>
      </c>
      <c r="K86" s="90">
        <v>3152050</v>
      </c>
      <c r="L86" s="90">
        <v>520300</v>
      </c>
      <c r="M86" s="56">
        <f t="shared" si="51"/>
        <v>3240378</v>
      </c>
      <c r="N86" s="56">
        <f t="shared" si="52"/>
        <v>528370</v>
      </c>
      <c r="O86" s="56">
        <f t="shared" si="53"/>
        <v>3326200</v>
      </c>
      <c r="P86" s="91">
        <f t="shared" si="54"/>
        <v>544900</v>
      </c>
      <c r="Q86" s="6">
        <f t="shared" si="50"/>
        <v>3871100</v>
      </c>
      <c r="S86" s="57" t="s">
        <v>230</v>
      </c>
    </row>
    <row r="87" spans="1:19" ht="13.5" customHeight="1">
      <c r="B87" s="8"/>
      <c r="C87" s="9"/>
      <c r="D87" s="9"/>
      <c r="E87" s="9"/>
      <c r="F87" s="9"/>
      <c r="G87" s="14"/>
      <c r="H87" s="14"/>
      <c r="I87" s="6"/>
      <c r="J87" s="92"/>
      <c r="K87" s="6"/>
      <c r="L87" s="6"/>
      <c r="M87" s="6"/>
      <c r="N87" s="6"/>
      <c r="O87" s="6"/>
      <c r="P87" s="6"/>
      <c r="Q87" s="6"/>
    </row>
    <row r="88" spans="1:19" s="4" customFormat="1">
      <c r="A88" s="26" t="s">
        <v>94</v>
      </c>
      <c r="B88" s="18"/>
      <c r="C88" s="18"/>
      <c r="D88" s="18"/>
      <c r="E88" s="18"/>
      <c r="F88" s="18"/>
      <c r="G88" s="29">
        <v>55492245</v>
      </c>
      <c r="H88" s="29">
        <f>SUM(H65:H87)</f>
        <v>58532412</v>
      </c>
      <c r="I88" s="29">
        <f>SUM(I65:I87)</f>
        <v>9858430</v>
      </c>
      <c r="J88" s="95"/>
      <c r="K88" s="29">
        <f t="shared" ref="K88:Q88" si="55">SUM(K65:K87)</f>
        <v>78510850</v>
      </c>
      <c r="L88" s="29">
        <f t="shared" si="55"/>
        <v>14241450</v>
      </c>
      <c r="M88" s="29">
        <f t="shared" si="55"/>
        <v>80710914</v>
      </c>
      <c r="N88" s="29">
        <f t="shared" si="55"/>
        <v>14462337</v>
      </c>
      <c r="O88" s="29">
        <f t="shared" si="55"/>
        <v>82848300</v>
      </c>
      <c r="P88" s="29">
        <f t="shared" si="55"/>
        <v>14915900</v>
      </c>
      <c r="Q88" s="29">
        <f t="shared" si="55"/>
        <v>97764200</v>
      </c>
    </row>
    <row r="89" spans="1:19">
      <c r="G89" s="7"/>
      <c r="H89" s="7"/>
    </row>
    <row r="90" spans="1:19" s="4" customFormat="1">
      <c r="A90" s="38" t="s">
        <v>101</v>
      </c>
      <c r="B90" s="18"/>
      <c r="C90" s="18"/>
      <c r="D90" s="18"/>
      <c r="E90" s="18"/>
      <c r="F90" s="18"/>
      <c r="G90" s="19">
        <v>111089211</v>
      </c>
      <c r="H90" s="19">
        <f>H64+H88</f>
        <v>118001730</v>
      </c>
      <c r="I90" s="19">
        <f>I64+I88</f>
        <v>13150950</v>
      </c>
      <c r="J90" s="96"/>
      <c r="K90" s="19">
        <f t="shared" ref="K90:Q90" si="56">K64+K88</f>
        <v>146942070</v>
      </c>
      <c r="L90" s="19">
        <f t="shared" si="56"/>
        <v>17821898</v>
      </c>
      <c r="M90" s="19">
        <f t="shared" si="56"/>
        <v>151056312</v>
      </c>
      <c r="N90" s="19">
        <f t="shared" si="56"/>
        <v>18148339</v>
      </c>
      <c r="O90" s="19">
        <f t="shared" si="56"/>
        <v>169500000</v>
      </c>
      <c r="P90" s="19">
        <f t="shared" si="56"/>
        <v>18715800</v>
      </c>
      <c r="Q90" s="19">
        <f t="shared" si="56"/>
        <v>188215800</v>
      </c>
    </row>
    <row r="91" spans="1:19">
      <c r="R91" s="33"/>
    </row>
    <row r="92" spans="1:19">
      <c r="I92" s="16"/>
      <c r="J92" s="97"/>
      <c r="K92" s="16"/>
      <c r="L92" s="16"/>
      <c r="M92" s="16"/>
      <c r="N92" s="16"/>
      <c r="O92" s="16"/>
      <c r="P92" s="16"/>
      <c r="Q92" s="16"/>
    </row>
    <row r="93" spans="1:19">
      <c r="C93" s="57" t="s">
        <v>240</v>
      </c>
    </row>
    <row r="99" spans="2:20">
      <c r="C99" s="102" t="s">
        <v>274</v>
      </c>
    </row>
    <row r="100" spans="2:20" s="99" customFormat="1">
      <c r="B100" s="100"/>
      <c r="C100" s="100" t="s">
        <v>267</v>
      </c>
      <c r="D100" s="100" t="s">
        <v>270</v>
      </c>
      <c r="E100" s="100" t="s">
        <v>141</v>
      </c>
      <c r="F100" s="100" t="s">
        <v>269</v>
      </c>
      <c r="G100" s="104"/>
      <c r="H100" s="104"/>
      <c r="I100" s="103"/>
      <c r="J100" s="105"/>
      <c r="K100" s="103"/>
      <c r="L100" s="103"/>
      <c r="M100" s="103"/>
      <c r="N100" s="103"/>
      <c r="O100" s="103">
        <v>1200000</v>
      </c>
      <c r="P100" s="103"/>
      <c r="Q100" s="103">
        <f t="shared" ref="Q100" si="57">O100+P100</f>
        <v>1200000</v>
      </c>
      <c r="T100" s="99" t="s">
        <v>268</v>
      </c>
    </row>
    <row r="101" spans="2:20">
      <c r="B101" s="99"/>
      <c r="C101" s="99"/>
      <c r="D101" s="99"/>
      <c r="E101" s="99"/>
      <c r="F101" s="99"/>
      <c r="G101" s="107"/>
      <c r="H101" s="107"/>
      <c r="I101" s="108"/>
      <c r="J101" s="109"/>
      <c r="K101" s="108"/>
      <c r="L101" s="108"/>
      <c r="M101" s="108"/>
      <c r="N101" s="108"/>
      <c r="O101" s="108"/>
      <c r="P101" s="108"/>
      <c r="Q101" s="108"/>
    </row>
    <row r="102" spans="2:20">
      <c r="B102" s="99"/>
      <c r="C102" s="99"/>
      <c r="D102" s="99"/>
      <c r="E102" s="99"/>
      <c r="F102" s="99"/>
      <c r="G102" s="107"/>
      <c r="H102" s="107"/>
      <c r="I102" s="108"/>
      <c r="J102" s="109"/>
      <c r="K102" s="108"/>
      <c r="L102" s="108"/>
      <c r="M102" s="108"/>
      <c r="N102" s="108"/>
      <c r="O102" s="108"/>
      <c r="P102" s="108"/>
      <c r="Q102" s="108"/>
    </row>
  </sheetData>
  <autoFilter ref="A1:Q57" xr:uid="{00000000-0001-0000-0100-000000000000}"/>
  <mergeCells count="1">
    <mergeCell ref="J1:J3"/>
  </mergeCells>
  <pageMargins left="0.55118110236220474" right="0.39370078740157483" top="1.7716535433070868" bottom="0.98425196850393704" header="0.31496062992125984" footer="0.70866141732283472"/>
  <pageSetup paperSize="9" scale="81" orientation="landscape"/>
  <headerFooter>
    <oddFooter>&amp;L&amp;F &amp;A&amp;C&amp;P&amp;R&amp;D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357AA-3211-474D-8D87-F6BAB5487A40}">
  <dimension ref="A1:J38"/>
  <sheetViews>
    <sheetView zoomScaleNormal="100" workbookViewId="0">
      <selection activeCell="M18" sqref="M18"/>
    </sheetView>
  </sheetViews>
  <sheetFormatPr defaultRowHeight="12.75"/>
  <cols>
    <col min="1" max="1" width="2" bestFit="1" customWidth="1"/>
    <col min="2" max="2" width="48.42578125" bestFit="1" customWidth="1"/>
    <col min="3" max="3" width="17.28515625" bestFit="1" customWidth="1"/>
    <col min="4" max="4" width="4.42578125" customWidth="1"/>
    <col min="5" max="5" width="17.28515625" customWidth="1"/>
    <col min="7" max="7" width="10.7109375" customWidth="1"/>
    <col min="8" max="8" width="13.7109375" bestFit="1" customWidth="1"/>
    <col min="10" max="10" width="16.140625" bestFit="1" customWidth="1"/>
  </cols>
  <sheetData>
    <row r="1" spans="1:10">
      <c r="A1" s="60"/>
      <c r="B1" s="61" t="s">
        <v>253</v>
      </c>
      <c r="C1" s="61"/>
      <c r="D1" s="61"/>
      <c r="E1" s="61"/>
      <c r="F1" s="62"/>
      <c r="G1" s="62"/>
      <c r="H1" s="62"/>
      <c r="I1" s="62"/>
      <c r="J1" s="62"/>
    </row>
    <row r="2" spans="1:10" ht="25.5">
      <c r="A2" s="60"/>
      <c r="B2" s="61" t="s">
        <v>203</v>
      </c>
      <c r="C2" s="61" t="s">
        <v>204</v>
      </c>
      <c r="D2" s="61"/>
      <c r="E2" s="79" t="s">
        <v>225</v>
      </c>
      <c r="F2" s="61" t="s">
        <v>205</v>
      </c>
      <c r="G2" s="63" t="s">
        <v>206</v>
      </c>
      <c r="H2" s="79" t="s">
        <v>207</v>
      </c>
      <c r="I2" s="60"/>
      <c r="J2" s="60"/>
    </row>
    <row r="3" spans="1:10">
      <c r="A3" s="60">
        <v>1</v>
      </c>
      <c r="B3" s="64" t="s">
        <v>222</v>
      </c>
      <c r="C3" s="65">
        <v>175215800</v>
      </c>
      <c r="D3" s="65" t="s">
        <v>224</v>
      </c>
      <c r="E3" s="65">
        <v>175307700</v>
      </c>
      <c r="F3" s="66">
        <v>0.73499999999999999</v>
      </c>
      <c r="G3" s="67">
        <v>0.3</v>
      </c>
      <c r="H3" s="68">
        <f>ROUND((C3-E3)*F3/1000*G3,2)</f>
        <v>-20.260000000000002</v>
      </c>
      <c r="I3" s="60"/>
      <c r="J3" s="80"/>
    </row>
    <row r="4" spans="1:10" ht="25.5">
      <c r="A4" s="60">
        <v>2</v>
      </c>
      <c r="B4" s="69" t="s">
        <v>208</v>
      </c>
      <c r="C4" s="65">
        <f>C3</f>
        <v>175215800</v>
      </c>
      <c r="D4" s="65" t="s">
        <v>224</v>
      </c>
      <c r="E4" s="65">
        <f>E3</f>
        <v>175307700</v>
      </c>
      <c r="F4" s="66">
        <v>0.72</v>
      </c>
      <c r="G4" s="67">
        <v>0.25</v>
      </c>
      <c r="H4" s="68">
        <f t="shared" ref="H4:H6" si="0">ROUND((C4-E4)*F4/1000*G4,2)</f>
        <v>-16.54</v>
      </c>
      <c r="I4" s="60"/>
      <c r="J4" s="60"/>
    </row>
    <row r="5" spans="1:10">
      <c r="A5" s="60">
        <v>3</v>
      </c>
      <c r="B5" s="70" t="s">
        <v>209</v>
      </c>
      <c r="C5" s="65">
        <f>C4</f>
        <v>175215800</v>
      </c>
      <c r="D5" s="65" t="s">
        <v>224</v>
      </c>
      <c r="E5" s="65">
        <f t="shared" ref="E5:E6" si="1">E4</f>
        <v>175307700</v>
      </c>
      <c r="F5" s="66">
        <v>0.75</v>
      </c>
      <c r="G5" s="67">
        <v>0.22500000000000001</v>
      </c>
      <c r="H5" s="68">
        <f t="shared" si="0"/>
        <v>-15.51</v>
      </c>
      <c r="I5" s="60"/>
      <c r="J5" s="60"/>
    </row>
    <row r="6" spans="1:10">
      <c r="A6" s="60">
        <v>4</v>
      </c>
      <c r="B6" s="71" t="s">
        <v>210</v>
      </c>
      <c r="C6" s="65">
        <f>C5</f>
        <v>175215800</v>
      </c>
      <c r="D6" s="65" t="s">
        <v>224</v>
      </c>
      <c r="E6" s="65">
        <f t="shared" si="1"/>
        <v>175307700</v>
      </c>
      <c r="F6" s="66">
        <v>0.75</v>
      </c>
      <c r="G6" s="67">
        <v>0.22500000000000001</v>
      </c>
      <c r="H6" s="72">
        <f t="shared" si="0"/>
        <v>-15.51</v>
      </c>
      <c r="I6" s="60"/>
      <c r="J6" s="60"/>
    </row>
    <row r="7" spans="1:10">
      <c r="A7" s="60"/>
      <c r="B7" s="73"/>
      <c r="C7" s="68"/>
      <c r="D7" s="68"/>
      <c r="E7" s="68"/>
      <c r="F7" s="60"/>
      <c r="G7" s="74"/>
      <c r="H7" s="68">
        <f>SUM(H3:H6)</f>
        <v>-67.819999999999993</v>
      </c>
      <c r="I7" s="60"/>
      <c r="J7" s="60"/>
    </row>
    <row r="8" spans="1:10" hidden="1">
      <c r="A8" s="62"/>
      <c r="B8" s="62"/>
      <c r="C8" s="60"/>
      <c r="D8" s="60"/>
      <c r="E8" s="60"/>
      <c r="F8" s="60"/>
      <c r="G8" s="75" t="s">
        <v>211</v>
      </c>
      <c r="H8" s="76">
        <v>0</v>
      </c>
      <c r="I8" s="60"/>
      <c r="J8" s="77"/>
    </row>
    <row r="9" spans="1:10">
      <c r="A9" s="62"/>
      <c r="B9" s="62"/>
      <c r="C9" s="60"/>
      <c r="D9" s="60"/>
      <c r="E9" s="60"/>
      <c r="F9" s="60"/>
      <c r="G9" s="75" t="s">
        <v>212</v>
      </c>
      <c r="H9" s="76">
        <f>ROUND((H7+H8)*21%,2)</f>
        <v>-14.24</v>
      </c>
      <c r="I9" s="60"/>
      <c r="J9" s="60"/>
    </row>
    <row r="10" spans="1:10" ht="13.5" thickBot="1">
      <c r="A10" s="62"/>
      <c r="B10" s="62"/>
      <c r="C10" s="60"/>
      <c r="D10" s="60"/>
      <c r="E10" s="60"/>
      <c r="F10" s="60"/>
      <c r="G10" s="75" t="s">
        <v>243</v>
      </c>
      <c r="H10" s="78">
        <f>SUM(H7:H9)</f>
        <v>-82.059999999999988</v>
      </c>
      <c r="I10" s="60"/>
      <c r="J10" s="60"/>
    </row>
    <row r="11" spans="1:10" ht="13.5" thickTop="1"/>
    <row r="12" spans="1:10">
      <c r="A12" s="60"/>
      <c r="B12" s="61" t="s">
        <v>275</v>
      </c>
      <c r="C12" s="61"/>
      <c r="D12" s="61"/>
      <c r="E12" s="61"/>
      <c r="F12" s="62"/>
      <c r="G12" s="62"/>
      <c r="H12" s="62"/>
      <c r="I12" s="62"/>
      <c r="J12" s="62"/>
    </row>
    <row r="13" spans="1:10" ht="25.5">
      <c r="A13" s="60"/>
      <c r="B13" s="61" t="s">
        <v>203</v>
      </c>
      <c r="C13" s="61" t="s">
        <v>204</v>
      </c>
      <c r="D13" s="61"/>
      <c r="E13" s="79" t="s">
        <v>225</v>
      </c>
      <c r="F13" s="61" t="s">
        <v>205</v>
      </c>
      <c r="G13" s="63" t="s">
        <v>206</v>
      </c>
      <c r="H13" s="79" t="s">
        <v>226</v>
      </c>
      <c r="I13" s="60"/>
      <c r="J13" s="60"/>
    </row>
    <row r="14" spans="1:10">
      <c r="A14" s="60"/>
      <c r="B14" s="113" t="s">
        <v>271</v>
      </c>
      <c r="C14" s="61"/>
      <c r="D14" s="61"/>
      <c r="E14" s="79"/>
      <c r="F14" s="61"/>
      <c r="G14" s="63"/>
      <c r="H14" s="79" t="s">
        <v>276</v>
      </c>
      <c r="I14" s="60"/>
      <c r="J14" s="60"/>
    </row>
    <row r="15" spans="1:10">
      <c r="A15" s="60">
        <v>1</v>
      </c>
      <c r="B15" s="64" t="s">
        <v>222</v>
      </c>
      <c r="C15" s="65">
        <f>C26</f>
        <v>188215800</v>
      </c>
      <c r="D15" s="65" t="s">
        <v>224</v>
      </c>
      <c r="E15" s="65">
        <v>175215800</v>
      </c>
      <c r="F15" s="66">
        <v>0.73499999999999999</v>
      </c>
      <c r="G15" s="67">
        <v>0.3</v>
      </c>
      <c r="H15" s="68">
        <f>ROUND((C15-E15)*F15/1000*G15*151/360,2)</f>
        <v>1202.3399999999999</v>
      </c>
      <c r="I15" s="60"/>
      <c r="J15" s="80">
        <f>C15-E15</f>
        <v>13000000</v>
      </c>
    </row>
    <row r="16" spans="1:10" ht="25.5">
      <c r="A16" s="60">
        <v>2</v>
      </c>
      <c r="B16" s="69" t="s">
        <v>208</v>
      </c>
      <c r="C16" s="65">
        <f>C15</f>
        <v>188215800</v>
      </c>
      <c r="D16" s="65" t="s">
        <v>224</v>
      </c>
      <c r="E16" s="65">
        <f>E15</f>
        <v>175215800</v>
      </c>
      <c r="F16" s="66">
        <v>0.72</v>
      </c>
      <c r="G16" s="67">
        <v>0.25</v>
      </c>
      <c r="H16" s="68">
        <f t="shared" ref="H16:H18" si="2">ROUND((C16-E16)*F16/1000*G16*151/360,2)</f>
        <v>981.5</v>
      </c>
      <c r="I16" s="60"/>
      <c r="J16" s="60"/>
    </row>
    <row r="17" spans="1:10">
      <c r="A17" s="60">
        <v>3</v>
      </c>
      <c r="B17" s="70" t="s">
        <v>209</v>
      </c>
      <c r="C17" s="65">
        <f>C16</f>
        <v>188215800</v>
      </c>
      <c r="D17" s="65" t="s">
        <v>224</v>
      </c>
      <c r="E17" s="65">
        <f t="shared" ref="E17:E18" si="3">E16</f>
        <v>175215800</v>
      </c>
      <c r="F17" s="66">
        <v>0.75</v>
      </c>
      <c r="G17" s="67">
        <v>0.22500000000000001</v>
      </c>
      <c r="H17" s="68">
        <f t="shared" si="2"/>
        <v>920.16</v>
      </c>
      <c r="I17" s="60"/>
      <c r="J17" s="60"/>
    </row>
    <row r="18" spans="1:10">
      <c r="A18" s="60">
        <v>4</v>
      </c>
      <c r="B18" s="71" t="s">
        <v>210</v>
      </c>
      <c r="C18" s="65">
        <f>C17</f>
        <v>188215800</v>
      </c>
      <c r="D18" s="65" t="s">
        <v>224</v>
      </c>
      <c r="E18" s="65">
        <f t="shared" si="3"/>
        <v>175215800</v>
      </c>
      <c r="F18" s="66">
        <v>0.75</v>
      </c>
      <c r="G18" s="67">
        <v>0.22500000000000001</v>
      </c>
      <c r="H18" s="72">
        <f t="shared" si="2"/>
        <v>920.16</v>
      </c>
      <c r="I18" s="60"/>
      <c r="J18" s="60"/>
    </row>
    <row r="19" spans="1:10">
      <c r="A19" s="60"/>
      <c r="B19" s="73"/>
      <c r="C19" s="68"/>
      <c r="D19" s="68"/>
      <c r="E19" s="68"/>
      <c r="F19" s="60"/>
      <c r="G19" s="74"/>
      <c r="H19" s="68">
        <f>SUM(H15:H18)</f>
        <v>4024.16</v>
      </c>
      <c r="I19" s="60"/>
      <c r="J19" s="60"/>
    </row>
    <row r="20" spans="1:10">
      <c r="A20" s="62"/>
      <c r="B20" s="62"/>
      <c r="C20" s="60"/>
      <c r="D20" s="60"/>
      <c r="E20" s="60"/>
      <c r="F20" s="60"/>
      <c r="G20" s="75" t="s">
        <v>211</v>
      </c>
      <c r="H20" s="76">
        <v>7.5</v>
      </c>
      <c r="I20" s="60"/>
      <c r="J20" s="77"/>
    </row>
    <row r="21" spans="1:10">
      <c r="A21" s="62"/>
      <c r="B21" s="62"/>
      <c r="C21" s="60"/>
      <c r="D21" s="60"/>
      <c r="E21" s="60"/>
      <c r="F21" s="60"/>
      <c r="G21" s="75" t="s">
        <v>212</v>
      </c>
      <c r="H21" s="76">
        <f>ROUND((H19+H20)*21%,2)</f>
        <v>846.65</v>
      </c>
      <c r="I21" s="60"/>
      <c r="J21" s="60"/>
    </row>
    <row r="22" spans="1:10" ht="13.5" thickBot="1">
      <c r="A22" s="62"/>
      <c r="B22" s="62"/>
      <c r="C22" s="60"/>
      <c r="D22" s="60"/>
      <c r="E22" s="60"/>
      <c r="F22" s="60"/>
      <c r="G22" s="75" t="s">
        <v>213</v>
      </c>
      <c r="H22" s="78">
        <f>SUM(H19:H21)</f>
        <v>4878.3099999999995</v>
      </c>
      <c r="I22" s="60"/>
      <c r="J22" s="60"/>
    </row>
    <row r="23" spans="1:10" ht="13.5" thickTop="1"/>
    <row r="24" spans="1:10">
      <c r="A24" s="60"/>
      <c r="B24" s="61" t="s">
        <v>253</v>
      </c>
      <c r="C24" s="61"/>
      <c r="D24" s="61"/>
      <c r="E24" s="61"/>
      <c r="F24" s="62"/>
      <c r="G24" s="62"/>
      <c r="H24" s="62"/>
      <c r="I24" s="62"/>
      <c r="J24" s="62"/>
    </row>
    <row r="25" spans="1:10">
      <c r="A25" s="60"/>
      <c r="B25" s="61" t="s">
        <v>203</v>
      </c>
      <c r="C25" s="61" t="s">
        <v>204</v>
      </c>
      <c r="D25" s="61"/>
      <c r="E25" s="61"/>
      <c r="F25" s="61" t="s">
        <v>205</v>
      </c>
      <c r="G25" s="63" t="s">
        <v>206</v>
      </c>
      <c r="H25" s="61" t="s">
        <v>207</v>
      </c>
      <c r="I25" s="60"/>
      <c r="J25" s="60"/>
    </row>
    <row r="26" spans="1:10">
      <c r="A26" s="60">
        <v>1</v>
      </c>
      <c r="B26" s="64" t="s">
        <v>222</v>
      </c>
      <c r="C26" s="65">
        <f>specificatie!Q90</f>
        <v>188215800</v>
      </c>
      <c r="D26" s="65"/>
      <c r="E26" s="65"/>
      <c r="F26" s="66">
        <v>0.73499999999999999</v>
      </c>
      <c r="G26" s="67">
        <v>0.3</v>
      </c>
      <c r="H26" s="68">
        <f>ROUND(C26*F26/1000*G26,2)</f>
        <v>41501.58</v>
      </c>
      <c r="I26" s="60"/>
      <c r="J26" s="60"/>
    </row>
    <row r="27" spans="1:10" ht="25.5">
      <c r="A27" s="60">
        <v>2</v>
      </c>
      <c r="B27" s="69" t="s">
        <v>208</v>
      </c>
      <c r="C27" s="65">
        <f>C26</f>
        <v>188215800</v>
      </c>
      <c r="D27" s="65"/>
      <c r="E27" s="65"/>
      <c r="F27" s="66">
        <v>0.72</v>
      </c>
      <c r="G27" s="67">
        <v>0.25</v>
      </c>
      <c r="H27" s="68">
        <f>ROUND(C27*F27/1000*G27,2)</f>
        <v>33878.839999999997</v>
      </c>
      <c r="I27" s="60"/>
      <c r="J27" s="60"/>
    </row>
    <row r="28" spans="1:10">
      <c r="A28" s="60">
        <v>3</v>
      </c>
      <c r="B28" s="70" t="s">
        <v>209</v>
      </c>
      <c r="C28" s="65">
        <f>C27</f>
        <v>188215800</v>
      </c>
      <c r="D28" s="65"/>
      <c r="E28" s="65"/>
      <c r="F28" s="66">
        <v>0.75</v>
      </c>
      <c r="G28" s="67">
        <v>0.22500000000000001</v>
      </c>
      <c r="H28" s="68">
        <f>ROUND(C28*F28/1000*G28,2)</f>
        <v>31761.42</v>
      </c>
      <c r="I28" s="60"/>
      <c r="J28" s="60"/>
    </row>
    <row r="29" spans="1:10">
      <c r="A29" s="60">
        <v>4</v>
      </c>
      <c r="B29" s="71" t="s">
        <v>210</v>
      </c>
      <c r="C29" s="65">
        <f>C28</f>
        <v>188215800</v>
      </c>
      <c r="D29" s="65"/>
      <c r="E29" s="65"/>
      <c r="F29" s="66">
        <v>0.75</v>
      </c>
      <c r="G29" s="67">
        <v>0.22500000000000001</v>
      </c>
      <c r="H29" s="72">
        <f>ROUND(C29*F29/1000*G29,2)</f>
        <v>31761.42</v>
      </c>
      <c r="I29" s="60"/>
      <c r="J29" s="60"/>
    </row>
    <row r="30" spans="1:10">
      <c r="A30" s="60"/>
      <c r="B30" s="73"/>
      <c r="C30" s="68"/>
      <c r="D30" s="68"/>
      <c r="E30" s="68"/>
      <c r="F30" s="60"/>
      <c r="G30" s="74"/>
      <c r="H30" s="68">
        <f>SUM(H26:H29)</f>
        <v>138903.26</v>
      </c>
      <c r="I30" s="60"/>
      <c r="J30" s="60"/>
    </row>
    <row r="31" spans="1:10">
      <c r="A31" s="62"/>
      <c r="B31" s="62"/>
      <c r="C31" s="60"/>
      <c r="D31" s="60"/>
      <c r="E31" s="60"/>
      <c r="F31" s="60"/>
      <c r="G31" s="75" t="s">
        <v>211</v>
      </c>
      <c r="H31" s="76">
        <v>7.5</v>
      </c>
      <c r="I31" s="60"/>
      <c r="J31" s="77">
        <f>ROUND(H30/C26*1000,6)</f>
        <v>0.73799999999999999</v>
      </c>
    </row>
    <row r="32" spans="1:10">
      <c r="A32" s="62"/>
      <c r="B32" s="62"/>
      <c r="C32" s="60"/>
      <c r="D32" s="60"/>
      <c r="E32" s="60"/>
      <c r="F32" s="60"/>
      <c r="G32" s="75" t="s">
        <v>212</v>
      </c>
      <c r="H32" s="76">
        <f>ROUND((H30+H31)*21%,2)</f>
        <v>29171.26</v>
      </c>
      <c r="I32" s="60"/>
      <c r="J32" s="60"/>
    </row>
    <row r="33" spans="1:10" ht="13.5" thickBot="1">
      <c r="A33" s="62"/>
      <c r="B33" s="62"/>
      <c r="C33" s="60"/>
      <c r="D33" s="60"/>
      <c r="E33" s="60"/>
      <c r="F33" s="60"/>
      <c r="G33" s="75" t="s">
        <v>213</v>
      </c>
      <c r="H33" s="78">
        <f>SUM(H30:H32)</f>
        <v>168082.02000000002</v>
      </c>
      <c r="I33" s="60"/>
      <c r="J33" s="60"/>
    </row>
    <row r="38" spans="1:10">
      <c r="G38" s="57"/>
    </row>
  </sheetData>
  <pageMargins left="0.70866141732283472" right="0.70866141732283472" top="1.5354330708661419" bottom="0.94488188976377963" header="0.31496062992125984" footer="0.70866141732283472"/>
  <pageSetup paperSize="9" orientation="landscape"/>
  <headerFooter>
    <oddFooter>&amp;L&amp;F &amp;A&amp;C&amp;P&amp;R&amp;D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3</vt:i4>
      </vt:variant>
    </vt:vector>
  </HeadingPairs>
  <TitlesOfParts>
    <vt:vector size="5" baseType="lpstr">
      <vt:lpstr>specificatie</vt:lpstr>
      <vt:lpstr>premieberekening</vt:lpstr>
      <vt:lpstr>premieberekening!Afdrukbereik</vt:lpstr>
      <vt:lpstr>specificatie!Afdrukbereik</vt:lpstr>
      <vt:lpstr>specificatie!Afdruktitels</vt:lpstr>
    </vt:vector>
  </TitlesOfParts>
  <Company>Gemeente Nunspeet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Corine ten Hove</dc:creator>
  <cp:lastModifiedBy>Willemijn van Asselt</cp:lastModifiedBy>
  <cp:lastPrinted>2023-05-05T11:38:46Z</cp:lastPrinted>
  <dcterms:created xsi:type="dcterms:W3CDTF">2005-05-12T13:06:28Z</dcterms:created>
  <dcterms:modified xsi:type="dcterms:W3CDTF">2025-08-27T10:09:33Z</dcterms:modified>
</cp:coreProperties>
</file>