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gemeentehuizen.sharepoint.com/sites/Herwaardering/Gedeelde documenten/3. Nota van Inlichtingen/NvI 2/Aangepaste versies van documentatie/"/>
    </mc:Choice>
  </mc:AlternateContent>
  <xr:revisionPtr revIDLastSave="62" documentId="13_ncr:1_{6B030E7A-4E95-4632-8F26-42ADD93E8F5E}" xr6:coauthVersionLast="47" xr6:coauthVersionMax="47" xr10:uidLastSave="{8F5FF35A-3ADB-443B-87C2-773B0362753B}"/>
  <workbookProtection workbookAlgorithmName="SHA-512" workbookHashValue="wMjK7+LZc3uobwDt+MBZRhPfxpQZKSQVAklLhnAinR3t69TQ3kZqEHqWqyNX3MC+9zVpwU7NGOvfr6kV6uPIfw==" workbookSaltValue="Nq/wlPYbQ5cLboTXfB2GQg==" workbookSpinCount="100000" lockStructure="1"/>
  <bookViews>
    <workbookView xWindow="-120" yWindow="-120" windowWidth="29040" windowHeight="17520" tabRatio="991" xr2:uid="{00000000-000D-0000-FFFF-FFFF00000000}"/>
  </bookViews>
  <sheets>
    <sheet name="Algemeen" sheetId="22" r:id="rId1"/>
    <sheet name="Facturatie" sheetId="35" r:id="rId2"/>
    <sheet name="SLA" sheetId="34" r:id="rId3"/>
    <sheet name="Informatiebeheer" sheetId="37" r:id="rId4"/>
    <sheet name="Architectuur" sheetId="9" r:id="rId5"/>
    <sheet name="Data" sheetId="36" r:id="rId6"/>
    <sheet name="Heffen" sheetId="14" r:id="rId7"/>
    <sheet name="Invordering" sheetId="15" r:id="rId8"/>
    <sheet name="Kwijtschelding" sheetId="28" r:id="rId9"/>
    <sheet name="WOZ" sheetId="21" r:id="rId10"/>
    <sheet name="Waarderen" sheetId="24" r:id="rId11"/>
    <sheet name="Bezwaar en beroep" sheetId="27" r:id="rId12"/>
    <sheet name="Workflow" sheetId="16" r:id="rId13"/>
    <sheet name="Digitale belastingbalie" sheetId="25" r:id="rId14"/>
    <sheet name="Geo-informatie" sheetId="1" r:id="rId15"/>
    <sheet name="Rapportages" sheetId="30" r:id="rId16"/>
    <sheet name="Documenten" sheetId="6" r:id="rId17"/>
    <sheet name="Functioneel beheer" sheetId="17" r:id="rId18"/>
    <sheet name="Koppelingen" sheetId="3" r:id="rId19"/>
    <sheet name="Conversie" sheetId="8" r:id="rId20"/>
    <sheet name="Implementatie" sheetId="11" r:id="rId21"/>
    <sheet name="Exit Strategie" sheetId="18" r:id="rId22"/>
    <sheet name="Roadmap" sheetId="19" r:id="rId23"/>
    <sheet name="InformatiebeveiligingPrivacy" sheetId="12" r:id="rId24"/>
    <sheet name="Scoring" sheetId="39" state="hidden" r:id="rId25"/>
  </sheets>
  <definedNames>
    <definedName name="_xlnm._FilterDatabase" localSheetId="6" hidden="1">Heffen!$A$4:$I$4</definedName>
    <definedName name="_xlnm._FilterDatabase" localSheetId="7" hidden="1">Invordering!$A$4:$M$4</definedName>
    <definedName name="_xlnm._FilterDatabase" localSheetId="18" hidden="1">Koppelingen!$A$4:$K$4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2" i="9" l="1"/>
  <c r="P4" i="39" l="1"/>
  <c r="K26" i="39"/>
  <c r="J25" i="39"/>
  <c r="J24" i="39"/>
  <c r="J23" i="39"/>
  <c r="J22" i="39"/>
  <c r="J21" i="39"/>
  <c r="J20" i="39"/>
  <c r="J19" i="39"/>
  <c r="J18" i="39"/>
  <c r="J17" i="39"/>
  <c r="J16" i="39"/>
  <c r="J15" i="39"/>
  <c r="J14" i="39"/>
  <c r="J13" i="39"/>
  <c r="J12" i="39"/>
  <c r="J11" i="39"/>
  <c r="J10" i="39"/>
  <c r="J9" i="39"/>
  <c r="J8" i="39"/>
  <c r="J7" i="39"/>
  <c r="J6" i="39"/>
  <c r="J5" i="39"/>
  <c r="J4" i="39"/>
  <c r="J3" i="39"/>
  <c r="J2" i="39"/>
  <c r="I25" i="39"/>
  <c r="D25" i="39"/>
  <c r="I24" i="39"/>
  <c r="D24" i="39"/>
  <c r="I23" i="39"/>
  <c r="D23" i="39"/>
  <c r="I22" i="39"/>
  <c r="D22" i="39"/>
  <c r="I21" i="39"/>
  <c r="D21" i="39"/>
  <c r="I20" i="39"/>
  <c r="D20" i="39"/>
  <c r="I19" i="39"/>
  <c r="D19" i="39"/>
  <c r="I18" i="39"/>
  <c r="D18" i="39"/>
  <c r="I17" i="39"/>
  <c r="D17" i="39"/>
  <c r="I16" i="39"/>
  <c r="D16" i="39"/>
  <c r="I15" i="39"/>
  <c r="D15" i="39"/>
  <c r="I14" i="39"/>
  <c r="D14" i="39"/>
  <c r="I13" i="39"/>
  <c r="D13" i="39"/>
  <c r="I12" i="39"/>
  <c r="D12" i="39"/>
  <c r="I11" i="39"/>
  <c r="D11" i="39"/>
  <c r="I10" i="39"/>
  <c r="D10" i="39"/>
  <c r="I9" i="39"/>
  <c r="D9" i="39"/>
  <c r="I8" i="39"/>
  <c r="D8" i="39"/>
  <c r="I7" i="39"/>
  <c r="D7" i="39"/>
  <c r="I6" i="39"/>
  <c r="D6" i="39"/>
  <c r="I5" i="39"/>
  <c r="D5" i="39"/>
  <c r="I4" i="39"/>
  <c r="D4" i="39"/>
  <c r="I3" i="39"/>
  <c r="D3" i="39"/>
  <c r="I2" i="39"/>
  <c r="D2" i="39"/>
  <c r="I12" i="36"/>
  <c r="G12" i="36"/>
  <c r="G17" i="30"/>
  <c r="I9" i="30"/>
  <c r="I10" i="30"/>
  <c r="I11" i="30"/>
  <c r="I12" i="30"/>
  <c r="I13" i="30"/>
  <c r="I14" i="30"/>
  <c r="I15" i="30"/>
  <c r="I8" i="30"/>
  <c r="I17" i="30" s="1"/>
  <c r="G18" i="12"/>
  <c r="I18" i="12"/>
  <c r="G7" i="19"/>
  <c r="I7" i="19"/>
  <c r="G9" i="11"/>
  <c r="I9" i="11"/>
  <c r="G9" i="8"/>
  <c r="I9" i="8"/>
  <c r="G23" i="3"/>
  <c r="I18" i="3"/>
  <c r="I19" i="3"/>
  <c r="I20" i="3"/>
  <c r="I21" i="3"/>
  <c r="I17" i="3"/>
  <c r="I23" i="3" s="1"/>
  <c r="G15" i="17"/>
  <c r="I11" i="17"/>
  <c r="I12" i="17"/>
  <c r="I10" i="17"/>
  <c r="G23" i="6"/>
  <c r="I15" i="6"/>
  <c r="I16" i="6"/>
  <c r="I17" i="6"/>
  <c r="C18" i="39" s="1"/>
  <c r="I18" i="6"/>
  <c r="I19" i="6"/>
  <c r="I14" i="6"/>
  <c r="G10" i="1"/>
  <c r="I7" i="1"/>
  <c r="C16" i="39" s="1"/>
  <c r="I8" i="1"/>
  <c r="I6" i="1"/>
  <c r="I9" i="25"/>
  <c r="I10" i="25"/>
  <c r="I11" i="25"/>
  <c r="I12" i="25"/>
  <c r="I13" i="25"/>
  <c r="I14" i="25"/>
  <c r="I15" i="25"/>
  <c r="I16" i="25"/>
  <c r="I21" i="25" s="1"/>
  <c r="I17" i="25"/>
  <c r="I18" i="25"/>
  <c r="I19" i="25"/>
  <c r="I8" i="25"/>
  <c r="G13" i="16"/>
  <c r="I8" i="16"/>
  <c r="I9" i="16"/>
  <c r="I10" i="16"/>
  <c r="I11" i="16"/>
  <c r="I13" i="16" s="1"/>
  <c r="I7" i="16"/>
  <c r="I11" i="27"/>
  <c r="I12" i="27"/>
  <c r="I13" i="27"/>
  <c r="I14" i="27"/>
  <c r="I15" i="27"/>
  <c r="I10" i="27"/>
  <c r="I16" i="27" s="1"/>
  <c r="G16" i="27"/>
  <c r="G21" i="24"/>
  <c r="I21" i="24"/>
  <c r="I12" i="24"/>
  <c r="I13" i="24"/>
  <c r="I14" i="24"/>
  <c r="I15" i="24"/>
  <c r="I16" i="24"/>
  <c r="I17" i="24"/>
  <c r="I11" i="24"/>
  <c r="C12" i="39" s="1"/>
  <c r="F12" i="39" s="1"/>
  <c r="G19" i="21"/>
  <c r="I13" i="21"/>
  <c r="I14" i="21"/>
  <c r="I15" i="21"/>
  <c r="I16" i="21"/>
  <c r="I17" i="21"/>
  <c r="I19" i="21" s="1"/>
  <c r="I18" i="21"/>
  <c r="I12" i="21"/>
  <c r="G19" i="28"/>
  <c r="I15" i="28"/>
  <c r="I16" i="28"/>
  <c r="I14" i="28"/>
  <c r="I19" i="28" s="1"/>
  <c r="G23" i="15"/>
  <c r="I20" i="15"/>
  <c r="I19" i="15"/>
  <c r="I23" i="15" s="1"/>
  <c r="G21" i="14"/>
  <c r="I21" i="14"/>
  <c r="I16" i="14"/>
  <c r="I17" i="14"/>
  <c r="I18" i="14"/>
  <c r="I19" i="14"/>
  <c r="I20" i="14"/>
  <c r="I15" i="14"/>
  <c r="H11" i="39"/>
  <c r="H8" i="39"/>
  <c r="H19" i="39"/>
  <c r="H15" i="39"/>
  <c r="H13" i="39"/>
  <c r="H9" i="39"/>
  <c r="H10" i="39"/>
  <c r="H12" i="39"/>
  <c r="E26" i="39"/>
  <c r="C24" i="39"/>
  <c r="C23" i="39"/>
  <c r="C22" i="39"/>
  <c r="C21" i="39"/>
  <c r="C25" i="39"/>
  <c r="F25" i="39" s="1"/>
  <c r="C19" i="39"/>
  <c r="C17" i="39"/>
  <c r="C14" i="39"/>
  <c r="C10" i="39"/>
  <c r="C8" i="39"/>
  <c r="C7" i="39"/>
  <c r="C6" i="39"/>
  <c r="C5" i="39"/>
  <c r="C4" i="39"/>
  <c r="C3" i="39"/>
  <c r="C2" i="39"/>
  <c r="H25" i="39"/>
  <c r="H23" i="39"/>
  <c r="H24" i="39"/>
  <c r="H22" i="39"/>
  <c r="H21" i="39"/>
  <c r="H20" i="39"/>
  <c r="H18" i="39"/>
  <c r="H17" i="39"/>
  <c r="H16" i="39"/>
  <c r="H14" i="39"/>
  <c r="H7" i="39"/>
  <c r="H6" i="39"/>
  <c r="H5" i="39"/>
  <c r="H4" i="39"/>
  <c r="H3" i="39"/>
  <c r="H2" i="39"/>
  <c r="I35" i="9"/>
  <c r="G21" i="25"/>
  <c r="G35" i="9"/>
  <c r="I19" i="37"/>
  <c r="G19" i="37"/>
  <c r="I15" i="22"/>
  <c r="G15" i="22"/>
  <c r="I8" i="34"/>
  <c r="I9" i="35"/>
  <c r="G9" i="35"/>
  <c r="G8" i="34"/>
  <c r="C20" i="39" l="1"/>
  <c r="F20" i="39" s="1"/>
  <c r="I26" i="39"/>
  <c r="F8" i="39"/>
  <c r="J26" i="39"/>
  <c r="F10" i="39"/>
  <c r="F6" i="39"/>
  <c r="F7" i="39"/>
  <c r="F18" i="39"/>
  <c r="F14" i="39"/>
  <c r="F17" i="39"/>
  <c r="F19" i="39"/>
  <c r="F16" i="39"/>
  <c r="F21" i="39"/>
  <c r="F2" i="39"/>
  <c r="F3" i="39"/>
  <c r="F22" i="39"/>
  <c r="F4" i="39"/>
  <c r="F23" i="39"/>
  <c r="F5" i="39"/>
  <c r="F24" i="39"/>
  <c r="I23" i="6"/>
  <c r="I15" i="17"/>
  <c r="I10" i="1"/>
  <c r="C15" i="39"/>
  <c r="F15" i="39" s="1"/>
  <c r="C13" i="39"/>
  <c r="F13" i="39" s="1"/>
  <c r="C11" i="39"/>
  <c r="F11" i="39" s="1"/>
  <c r="C9" i="39"/>
  <c r="F9" i="39" s="1"/>
  <c r="D26" i="39"/>
  <c r="H26" i="39" l="1"/>
  <c r="O2" i="39" s="1"/>
  <c r="O3" i="39" s="1"/>
  <c r="O4" i="39" s="1"/>
  <c r="C26" i="39"/>
  <c r="F26" i="39" s="1"/>
</calcChain>
</file>

<file path=xl/sharedStrings.xml><?xml version="1.0" encoding="utf-8"?>
<sst xmlns="http://schemas.openxmlformats.org/spreadsheetml/2006/main" count="2237" uniqueCount="733">
  <si>
    <t>Algemeen</t>
  </si>
  <si>
    <t>Nr.</t>
  </si>
  <si>
    <t>Omschrijving</t>
  </si>
  <si>
    <t>Toelichting</t>
  </si>
  <si>
    <t>Eis, Wens of Vraag</t>
  </si>
  <si>
    <t>Prio: hoog/midden/laag</t>
  </si>
  <si>
    <t>Schriftelijk toelichten bij inschrijving gewenst</t>
  </si>
  <si>
    <t>Max. te behalen punten</t>
  </si>
  <si>
    <t>Voldoet de oplossing? ja/nee</t>
  </si>
  <si>
    <t>Score</t>
  </si>
  <si>
    <t>Opmerkingen</t>
  </si>
  <si>
    <t>Alg01</t>
  </si>
  <si>
    <t xml:space="preserve">Inschrijver gaat akkoord met de in het Beschrijvend document en bijlagen opgenomen werkwijze(n) en uitgangspunten. </t>
  </si>
  <si>
    <t>Eis</t>
  </si>
  <si>
    <t>KO</t>
  </si>
  <si>
    <t>n.v.t.</t>
  </si>
  <si>
    <t>Alg02</t>
  </si>
  <si>
    <t xml:space="preserve">De Overeenkomst met Inschijver dient op 1 januari 2027 in te gaan. </t>
  </si>
  <si>
    <t>Alg03</t>
  </si>
  <si>
    <t>Alg04</t>
  </si>
  <si>
    <t>Inschrijver moet gedurende de Overeenkomst, voldoen aan voor Opdrachtgever relevante wet- en regelgeving.</t>
  </si>
  <si>
    <t>Alg05</t>
  </si>
  <si>
    <t>Met betrekking tot de gevraagde diensten en volumes is Opdrachtgever bij het opstellen van de Aanbestedingsstukken uitgegaan van historische gegevens. Opdrachtgever committeert zich echter niet aan een minimum af te nemen volume. De volumes kunnen gedurende de contracttermijn dalen of stijgen. De prijs verandert hier evenredig in mee in lijn met bijlage 3 Prijzenblad.</t>
  </si>
  <si>
    <t>Alg06</t>
  </si>
  <si>
    <t>Het indienen van prijzen en tarieven geschiedt uitsluitend middels bijgevoegd Prijzenblad (bijlage 3 Prijzenblad). Eventuele onduidelijkheden en/of omissies in het Prijzenblad dienen door Inschrijver middels de Nota van Inlichtingen te worden gemeld.</t>
  </si>
  <si>
    <t>Alg07</t>
  </si>
  <si>
    <t xml:space="preserve">Inschrijver beschikt over (in aantal en kwaliteit) voldoende gekwalificeerde medewerkers om de opdracht conform de Aanbestedingsdocumenten, inclusief planning, uit te voeren. Inschrijver draagt er zorg voor dat de voortgang niet door o.a. ziekte, vakantie of andere redenen van afwezigheid van zijn medewerkers wordt onderbroken. Inschrijver neemt in voorkomende gevallen onverwijld de nodige maatregelen tot het doen van de vereiste voorzieningen c.q. inzet van vervangend gelijkwaardig personeel (zowel qua werk- en denkniveau als aantoonbare relevante werkervaring). </t>
  </si>
  <si>
    <t>Alg08</t>
  </si>
  <si>
    <t>In overleg is het mogelijk om aanvullende afspraken te maken.</t>
  </si>
  <si>
    <t>Alg09</t>
  </si>
  <si>
    <t>Inschrijver conformeert zich volledig en onvoorwaardelijk aan de (concept)overeenkomst (bijlage 5a Concept raamovereenkomst).</t>
  </si>
  <si>
    <t>Alg10</t>
  </si>
  <si>
    <t>Inschrijver brengt geen kosten in rekening voor ondersteuning door de helpdesk van Inschrijver.</t>
  </si>
  <si>
    <t>Opdrachtgever wil gedurende de contractperiode geen extra investering doen voor patches, hotfixes en nieuwe releases.</t>
  </si>
  <si>
    <t>Alle nieuwe functionaliteit en bugfixing moet afgedekt zijn in het contract. Uitgezonderd de daarbij horende dienstverlening.</t>
  </si>
  <si>
    <t>Maximum Totaal</t>
  </si>
  <si>
    <t>Totaal</t>
  </si>
  <si>
    <t>Facturatie</t>
  </si>
  <si>
    <t>Fac01</t>
  </si>
  <si>
    <t>Fac02</t>
  </si>
  <si>
    <t>Facturering geschiedt vanuit één adres met op elke factuur vermelding van de (wettelijk) vereiste gegevens waaronder het KvK nr. en het IBAN Bankrekeningnummer van Inschrijver.</t>
  </si>
  <si>
    <t>Fac03</t>
  </si>
  <si>
    <t>Opdrachtgever hanteert een betalingstermijn van dertig (30) kalenderdagen na ontvangst van de factuur.</t>
  </si>
  <si>
    <t>Fac04</t>
  </si>
  <si>
    <t>Facturering, creditering en betaling vinden plaats in wettig Nederlands betaalmiddel.</t>
  </si>
  <si>
    <t>Service Level Afspraken</t>
  </si>
  <si>
    <t>SLA01</t>
  </si>
  <si>
    <t xml:space="preserve">Opdrachtgever en Inschrijver sluiten een Service Level Agreement (SLA) af waarin afspraken over het dienstverleningsniveau zijn vastgelegd. Hierin staan de diensten beschreven, het kwaliteitsniveau, betrokken partijen en omstandigheden waaronder de diensten worden geleverd. De SLA dient definitief te zijn alvorens de dienstverlening in productie gaat. De eisen in de Aanbestedingsstukken, w.o. dit Programma van Eisen en bijlage 7 Model Service Level Afspraken (SLA), zijn uitgangspunt voor het op te stellen SLA. </t>
  </si>
  <si>
    <t>SLA02</t>
  </si>
  <si>
    <t>Opdrachtgever en Inschrijver sluiten een Dossier Afspraken en Procedures (DAP) af waarin werkafspraken omtrent verantwoordelijkheden, procedures en overlegvormen zijn vastgelegd. De DAP dient definitief te zijn alvorens de dienstverlening in productie gaat. De eisen in de Aanbestedingsstukken, w.o. dit PvE en bijlagen 7 Model Service Level Afspraken (SLA) en 8 Model Dossier Afspraken en Procedures (DAP), zijn uitgangspunt voor het op te stellen DAP.</t>
  </si>
  <si>
    <t>SLA03</t>
  </si>
  <si>
    <t>Inschrijver onderschrijft uitdrukkelijk te voldoen aan de eisen gesteld in bijlagen 7 Model Service Level Afspraken (SLA) en 8 Dossier Afspraken en Procedures (DAP).</t>
  </si>
  <si>
    <t>Informatiebeheer</t>
  </si>
  <si>
    <t>Uitgangspunt: Opdrachtgever moet voldoen aan de Archiefwet. Opdrachtgever heeft geen voorkeur voor de technische oplossing waarop Inschrijver dit ondersteunt. Inschrijver voldoet aan ten minste één van de volgende twee opties: 1. de ICT oplossing koppelt met het zaaksysteem van Opdrachtgever ten behoeve van het archiveren (eis Inf03 - Inf05) of 2. de ICT oplossing beschikt zelf over functionaliteiten om aan de Archiefwet te voldoen (eis Inf06 - Inf13)</t>
  </si>
  <si>
    <t>Inf01</t>
  </si>
  <si>
    <t>Inschrijver biedt een (geautomatiseerde) procedure voor het verwijderen van data/informatie (Niet zijnde Exit strategie).</t>
  </si>
  <si>
    <t>Inf02</t>
  </si>
  <si>
    <t>De ICT oplossing registreert door wie, wanneer en op basis van welke grondslag informatie is vernietigd, conform de Archiefwet.</t>
  </si>
  <si>
    <t>Inf03</t>
  </si>
  <si>
    <r>
      <t xml:space="preserve">Geld alleen als knock-out criterium als </t>
    </r>
    <r>
      <rPr>
        <u/>
        <sz val="10"/>
        <color rgb="FF000000"/>
        <rFont val="Arial"/>
        <family val="2"/>
      </rPr>
      <t>niet</t>
    </r>
    <r>
      <rPr>
        <sz val="10"/>
        <color rgb="FF000000"/>
        <rFont val="Arial"/>
        <family val="2"/>
      </rPr>
      <t xml:space="preserve"> wordt voldaan aan eis Inf06 - Inf13.</t>
    </r>
  </si>
  <si>
    <t>Inf04</t>
  </si>
  <si>
    <t>Alle te vernietigen of over te brengen informatie, inclusief metadata, kan bij vernietiging of overbrengen uit het zaaksysteem ook geautomatiseerd uit de ICT oplossing worden verwijderd.</t>
  </si>
  <si>
    <t>Inf05</t>
  </si>
  <si>
    <t>De ICT oplossing kan worden ingericht conform de MDTO (Metagegevens voor Duurzaam Toegankelijke Overheidsinformatie), zodat de metadata gematched kan worden ingericht met de metadata in het gekoppelde zaaksysteem.</t>
  </si>
  <si>
    <r>
      <t xml:space="preserve">Geld alleen als knock-out criterium als </t>
    </r>
    <r>
      <rPr>
        <u/>
        <sz val="10"/>
        <rFont val="Arial"/>
        <family val="2"/>
      </rPr>
      <t>niet</t>
    </r>
    <r>
      <rPr>
        <sz val="10"/>
        <rFont val="Arial"/>
        <family val="2"/>
      </rPr>
      <t xml:space="preserve"> wordt voldaan aan eis Inf06 - Inf13.</t>
    </r>
  </si>
  <si>
    <t>Inf06</t>
  </si>
  <si>
    <t>In de ICT oplossing is het mogelijk om geautomatiseerd de geldende selectielijsten van de VNG toe te kunnen passen op zaken en documenten.</t>
  </si>
  <si>
    <r>
      <t xml:space="preserve">Geld alleen als knock-out criterium als </t>
    </r>
    <r>
      <rPr>
        <u/>
        <sz val="10"/>
        <color rgb="FF000000"/>
        <rFont val="Arial"/>
        <family val="2"/>
      </rPr>
      <t>niet</t>
    </r>
    <r>
      <rPr>
        <sz val="10"/>
        <color rgb="FF000000"/>
        <rFont val="Arial"/>
        <family val="2"/>
      </rPr>
      <t xml:space="preserve"> wordt voldaan aan eis Inf03 - Inf05.</t>
    </r>
  </si>
  <si>
    <t>Inf07</t>
  </si>
  <si>
    <t>De ICT oplossing genereert geautomatiseerd een vernietigingslijst op basis van selectielijsten van de VNG. De vernietigingslijst is aan te passen.</t>
  </si>
  <si>
    <t>Inf08</t>
  </si>
  <si>
    <t>De ICT oplossing kan informatieobjecten en gekoppelde metadata door middel van de vernietigingslijst (zie Inf07) geautomatiseerd definitief te vernietigen. De ICT oplossing genereert een bewijs van vernietiging, dat buiten de applicatie wordt opgeslagen.</t>
  </si>
  <si>
    <t>Inf09</t>
  </si>
  <si>
    <t>De ICT oplossing kan alle informatie en bijbehorende metadata exporteren naar een gangbaar bestandsformaat. Deze export is geschikt voor overdracht aar een E-depot.</t>
  </si>
  <si>
    <t>Inf10</t>
  </si>
  <si>
    <t>De ICT oplossing kan van de export (zie Inf09) een bewijs van export te maken, dat buiten de applicatie worden opgeslagen.</t>
  </si>
  <si>
    <t>Inf11</t>
  </si>
  <si>
    <t xml:space="preserve">De ICT oplossing ondersteunt het “informatieverzoekproces” volgens de Wet open overheid (Woo) </t>
  </si>
  <si>
    <t>Inf12</t>
  </si>
  <si>
    <t>De ICT oplossing beschikt over een volledig functionele Audit trail-functionaliteit.</t>
  </si>
  <si>
    <t>Inf13</t>
  </si>
  <si>
    <t>De ICT oplossing kan worden ingericht conform de MDTO (Metagegevens voor Duurzaam Toegankelijke Overheidsinformatie)</t>
  </si>
  <si>
    <t>Inf14</t>
  </si>
  <si>
    <t>Archiefwaardige informatieobjecten moeten kunnen worden vernietigd wanneer de bewaartermijn is verstreken volgens de geldende wettelijke voorschriften. Beschrijf de functionaliteit in uw aangeboden oplossing in relatie tot het vernietigen van informatie.</t>
  </si>
  <si>
    <t>Vraag</t>
  </si>
  <si>
    <t>ja, max 700 woorden</t>
  </si>
  <si>
    <t>Architectuur</t>
  </si>
  <si>
    <t>Arch01</t>
  </si>
  <si>
    <t>De volledig aangeboden oplossing (inclusief ondersteunende tools) wordt geleverd als Software as a Service.</t>
  </si>
  <si>
    <t>Gehost in de Cloud, inclusief beveiligde verbindingen.</t>
  </si>
  <si>
    <t>Arch02</t>
  </si>
  <si>
    <t>De ICT oplossing betreft één omgeving waarin alledrie de gemeenten worden opgenomen. Dit is inclusief een digitale belastingbalie. In het geval er sprake is van een hoofd- en onderaannemer, geldt de eis voor zowel een belasting- als waarderingsapplicatie.</t>
  </si>
  <si>
    <t xml:space="preserve">Het uitgangspunt is dat de drie gemeenten worden ondergebracht in één omgeving zodat er een situatie ontstaat waarin de processen kunnen worden geharmoniseerd en er efficienter gewerkt wordt dan in de huidige situatie. </t>
  </si>
  <si>
    <t>Arch03</t>
  </si>
  <si>
    <t xml:space="preserve">De ICT oplossing omvat een productieomgeving én een test- of acceptatieomgeving. </t>
  </si>
  <si>
    <t>Arch04</t>
  </si>
  <si>
    <t>Arch05</t>
  </si>
  <si>
    <t>De data van Opdrachtgever mag niet voor andere gebruikers beschikbaar komen.</t>
  </si>
  <si>
    <t>In het geval van een multi-tenancy oplossing.</t>
  </si>
  <si>
    <t>Arch06</t>
  </si>
  <si>
    <t>Inschrijver draagt zorg voor het maken van back-ups.</t>
  </si>
  <si>
    <t>Arch07</t>
  </si>
  <si>
    <t>De ICT oplossing biedt Single Sign On (SSO) koppelingsmogelijkheid met Entra ID conform Opdrachtgever haar toegangsbeleid.</t>
  </si>
  <si>
    <t>Na authenticatie hebben gebruikers door middel van single sign on direct toegang tot de aangeboden oplossing.</t>
  </si>
  <si>
    <t>Arch08</t>
  </si>
  <si>
    <t>Hosting van de aangeboden oplossing en data vindt fysiek plaats binnen de Europese Economische Ruimte.</t>
  </si>
  <si>
    <t>Bij voorkeur regio West-Europa</t>
  </si>
  <si>
    <t>Arch09</t>
  </si>
  <si>
    <t>De ICT oplossing beschikt over een web-based userinterface die, zonder beperking van functionaliteit, benaderbaar is door de laatste twee versies van de meest gangbare en ondersteunde browsers (Microsoft Edge, Google Chrome, Apple Safari en Mozilla Firefox) zonder gebruik te maken van plug-ins en andere zaken die geïnstalleerd moeten worden. Een uitzondering hierop is de plugin voor kantoorautomatisering, zoals een scan plugin.</t>
  </si>
  <si>
    <t>Arch10</t>
  </si>
  <si>
    <t>De ICT oplossing ondersteunt het gebruik van tablets, smartphones en andere mobiele devices via aangepaste interface of responsive (web)design zonder kwaliteit in te leveren op leesbaarheid van tekst met behoud van alle functionaliteiten.</t>
  </si>
  <si>
    <t>Arch11</t>
  </si>
  <si>
    <t xml:space="preserve">Externe gepubliceerde onderdelen van de ICT oplossing voldoen aan de minimale eisen van WCAG  2.1 (niveaus A + AA). Er dient ook een toegankelijkheidsverklaring gepubliceerd te worden.  </t>
  </si>
  <si>
    <t>Arch12</t>
  </si>
  <si>
    <t>Extern gepubliceerde onderdelen van de ICT oplossing kunnen conform de huisstijl van Opdrachtgever gepresenteerd worden.</t>
  </si>
  <si>
    <t>Arch13</t>
  </si>
  <si>
    <t>De ICT oplossing is getoetst op www.internet.nl. De score en bevindingen worden gedeeld met team Informatiemanagement voor de ICT-intake.</t>
  </si>
  <si>
    <t>Arch14</t>
  </si>
  <si>
    <t>Batchprocessen vinden altijd op de achtergrond plaats, zodat gebruikers gewoon door kunnen werken zonder performance verlies.</t>
  </si>
  <si>
    <t>Bijvoorbeeld als alle gemeenten tegelijk hun WOZ waardes beschikken dat dit niet tot problemen gaat leiden in de applicatie of dat er wachtrijen ontstaan.</t>
  </si>
  <si>
    <t>Arch15</t>
  </si>
  <si>
    <t>De ICT oplossing heeft in geval van standaard functionele handelingen een acceptabele responsetijd.</t>
  </si>
  <si>
    <t>Voor standaard handelingen door een eindgebruiker hanteren we een maximale response tijd van 2 seconden.</t>
  </si>
  <si>
    <t>Arch16</t>
  </si>
  <si>
    <t xml:space="preserve">Op de applicatie mag geen beperking op aantal gebruikers zitten en er mag geen sprake zijn van extra licentiekosten per gebruiker. Ook wordt er geen onderscheid gemaakt tussen een externe of interne medewerker. </t>
  </si>
  <si>
    <t>Arch17</t>
  </si>
  <si>
    <t>De keuze van werkzame personen met de ICT oplossing is aan Opdrachtgever.</t>
  </si>
  <si>
    <t>Gemeente eist vrije keuze van medewerkers en taxateurs. Deze personen moeten ook opleidingen kunnen volgen bij de leverancier voor reguliere opleidingstarieven zoals die ook gelden voor ambtenaren van de gemeente</t>
  </si>
  <si>
    <t>Arch18</t>
  </si>
  <si>
    <t>De ICT oplossing voldoet aan het uitgangspunt van eenmalige registratie van gegevens en meervoudig gebruik.</t>
  </si>
  <si>
    <t>Zo kent de applicatie bijvoorbeeld één subjectadministratie. In het geval van een inschrijving door een hoofd- en onderaannemer is de belastingapplicatie leidend.</t>
  </si>
  <si>
    <t>Arch19</t>
  </si>
  <si>
    <t>Inschrijver waarborgt dat de ICT oplossing niet meer dan 1 versie achterloopt op de open standaarden van forum standaardisatie. Te raadplegen via https://www.forumstandaardisatie.nl/open-standaarden/lijst/verplicht</t>
  </si>
  <si>
    <t>Arch20</t>
  </si>
  <si>
    <t>De ICT oplossing koppelt met andere applicaties middels voor de Overheid geldende standaarden zoals de Common Ground API's en StUF.</t>
  </si>
  <si>
    <t>Arch21</t>
  </si>
  <si>
    <t>Arch22</t>
  </si>
  <si>
    <t>Inschrijver verplicht zich ertoe om nieuwe, voor de oplossing relevante API’s en endpoints die beschikbaar komen binnen het Haal Centraal-programma of andere landelijke gemeentelijke voorzieningen, binnen maximaal 12 maanden na publicatie in productie te implementeren in de ICT-oplossing, tenzij gemotiveerd anders overeengekomen met Opdrachtgever.</t>
  </si>
  <si>
    <t>Arch23</t>
  </si>
  <si>
    <t xml:space="preserve">De subjectadministratie kent de registratie van een postadres en correspondentieadres. </t>
  </si>
  <si>
    <t>Arch24</t>
  </si>
  <si>
    <t xml:space="preserve">In de ICT oplossing kunnen notities worden gemaakt op object-, subject-, bezwaar- en taxatieniveau.  </t>
  </si>
  <si>
    <t>Arch25</t>
  </si>
  <si>
    <t>In de ICT oplossing kan worden gezocht en geselecteerd op meerdere zoekcriteria tegelijkertijd. Dit geldt voor objecten, subjecten, taxaties en bezwaren.</t>
  </si>
  <si>
    <t>(Bijvoorbeeld zoekcriteria als status, soortobject, gemeente, straatnaam, huisnummer).</t>
  </si>
  <si>
    <t>Arch26</t>
  </si>
  <si>
    <t xml:space="preserve">De ICT oplossing voldoet per 1 januari 2026 aan de eisen van de Wet Modernisering Elektronisch Bestuurlijk Verkeer (Wmebv) </t>
  </si>
  <si>
    <t>Arch27</t>
  </si>
  <si>
    <t>De ICT oplossing voldoet aan de eisen die de AVG stelt, waaronder dataportabiliteit, het recht op vergetelheid en recht van inzage.</t>
  </si>
  <si>
    <t>Arch28</t>
  </si>
  <si>
    <t>Wens</t>
  </si>
  <si>
    <t>hoog</t>
  </si>
  <si>
    <t>Arch29</t>
  </si>
  <si>
    <t xml:space="preserve">Beschrijf welke informatie inzichtelijk is bij het raadplegen van respectievelijk een subject en een object. </t>
  </si>
  <si>
    <t>Het uitgangspunt is dat eerstelijns vragen door de verschillende teams beantwoord kunnen worden en dat er historie van de contactmomenten inzichtelijk is. Besteed hierbij aandacht aan de werkprocessen van Heffen, Innen, Kwijtschelding, WOZ en Waarderen. Ga hierbij minimaal in op:
- Inzicht in opgelegde aanslagen
- Inzicht in opglegde invorderingsmaatregelen
- Inzicht in kwijtscheldingsverzoeken
- Inzicht in ingediende bezwaarschriften
- Gemaakte notities</t>
  </si>
  <si>
    <t xml:space="preserve">Beschrijf op welke manier en op welke momenten de applicatie ondersteunt in het borgen van het vier-ogenprincipe. </t>
  </si>
  <si>
    <t>Besteed hierbij minimaal aandacht aan:
- Het uitvoeren van terugbetalingen;
- Grote verminderingen van het aanslagbedrag;
- Grote waardeverminderingen.</t>
  </si>
  <si>
    <t>ja, max 350 woorden</t>
  </si>
  <si>
    <t>Data</t>
  </si>
  <si>
    <t>Da01</t>
  </si>
  <si>
    <t>Da02</t>
  </si>
  <si>
    <t>De ICT oplossing dient Opdrachtgever in staat te stellen om zelfstandig en middels een geautomatiseerd proces alle data in de oplossing op te halen, zonder tussenkomst van handmatige handelingen of exports.</t>
  </si>
  <si>
    <t>Data kan gebruikt worden voor BI toepassingen, bestandsvergelijkingen, ontsloten worden via de GIS viewer en gecombineerd worden met andere bronnen.</t>
  </si>
  <si>
    <t>Da03</t>
  </si>
  <si>
    <t>Data moeten minimaal eenmaal per 24 uur beschikbaar zijn, uiterlijk om 03:00 uur ’s nachts, zodat interne verwerking tijdig kan plaatsvinden binnen de reguliere processen. Een eerder beschikbaar moment is wenselijk.</t>
  </si>
  <si>
    <t>Da04</t>
  </si>
  <si>
    <t>Bij grotere hoeveelheden gegevens of meerdere tabellen wordt een directe read-only databaseverbinding op een kopie of replicatie van de productieomgeving als voorwaarde gesteld. 
• Een directe verbinding met de productieomgeving is toegestaan, mits dit de voorkeur heeft van Inschrijver en technisch verantwoord is.
• API’s zijn toegestaan, mits deze geschikt zijn voor het ophalen van grote datasets en meerdere tabellen zonder beperkingen of prestatieproblemen.
• Het aanleveren van data via SFTP of handmatige exports wordt niet geaccepteerd als structurele oplossing.</t>
  </si>
  <si>
    <t>Da05</t>
  </si>
  <si>
    <t>Inschrijver levert een actuele en volledige Entity-Relationship Diagram (ERD) van de relevante datastructuur ter ondersteuning van correcte en efficiënte aansluiting op het interne dataplatform van Opdrachtgever. Inschrijver levert bij van wijzigingen die impact hebben op het ERD, gedurende de overeenkomst, altijd een herziene versie van het ERD.</t>
  </si>
  <si>
    <t>Da06</t>
  </si>
  <si>
    <t>Inschrijver beschouwt data als integraal onderdeel van de ICT oplossing en de geleverde dienstverlening.</t>
  </si>
  <si>
    <t>Da07</t>
  </si>
  <si>
    <t>Opdrachtgever behoudt te allen tijde het recht op toegang tot en gebruik van de data, inclusief het recht om zonder aanvullende kosten of licentiebeperkingen: data dagelijks en structureel te ontvangen en alle beschikbare data op te vragen.</t>
  </si>
  <si>
    <t>Heffen</t>
  </si>
  <si>
    <t>Uitgangspunt: Alle voorkomende belastingsoorten moeten conform de landelijke regelgeving en gemeentelijke verordeningen opgelegd kunnen worden.</t>
  </si>
  <si>
    <t>H01</t>
  </si>
  <si>
    <t>De ICT oplossing kan alle voorkomende belastingsoorten heffen, inclusief exoten conform de vigerende wet- en regelgeving.</t>
  </si>
  <si>
    <t>Alle voorkomende belastingsoorten ( subject- en/of objectgebonden ) conform de gemeentelijke belastingverordeningen moeten zonder extra kosten te heffen zijn.</t>
  </si>
  <si>
    <t>H02</t>
  </si>
  <si>
    <t>In de ICT oplossing kan men door het jaar heen; verminderen, aanslagplicht verhuizen, vernietigen, ontheffen, blokkeren, uitsluiten, opleggen, aanslaan en beschikken.</t>
  </si>
  <si>
    <t>H03</t>
  </si>
  <si>
    <t>Alle typen kohierruns kunnen voor alledrie de gemeenten gezamenlijk en individueel worden gedraaid.</t>
  </si>
  <si>
    <t>De combi-aanslagen worden in ieder geval per gemeente gegenereerd en verstuurd. Voor de overige runs moet er een keuzemogelijkheid zijn.</t>
  </si>
  <si>
    <t>H04</t>
  </si>
  <si>
    <t xml:space="preserve">Het is mogelijk om een testrun te draaien voordat een definitief kohier wordt gedraaid. </t>
  </si>
  <si>
    <t xml:space="preserve">Voordat een definitief kohier gedraaid wordt moet het kohier via een testrun kunnen worden gecontroleerd, voor bijvoorbeeld de prognose-opbrengst. </t>
  </si>
  <si>
    <t>H05</t>
  </si>
  <si>
    <t xml:space="preserve">In de ICT oplossing kunnen BRK-berichten worden verwerkt. </t>
  </si>
  <si>
    <t>H06</t>
  </si>
  <si>
    <t>De ICT oplossing beschikt over volledigheidscontroles met betrekking tot de opgelegde belastingsoorten, belastingplichten en potentieel belastingplichtigen.</t>
  </si>
  <si>
    <t>H07</t>
  </si>
  <si>
    <t>De ICT oplossing levert van de aanslagbiljetten een output-bestand voor het printburo</t>
  </si>
  <si>
    <t>H08</t>
  </si>
  <si>
    <t xml:space="preserve">Uit de opbouw van het aanslagnummer kan het belastingjaar worden herleid. </t>
  </si>
  <si>
    <t>H09</t>
  </si>
  <si>
    <t xml:space="preserve">Er kan een bewindvoerder (gemachtigde) worden gekoppeld aan een subject. </t>
  </si>
  <si>
    <t>H10</t>
  </si>
  <si>
    <t xml:space="preserve">Bij het beëindigen van een WOZ-object beëindigt de ICT oplossing meteen de subject-relaties en heffingen. </t>
  </si>
  <si>
    <t>H11</t>
  </si>
  <si>
    <t>Het is mogelijk geautomatiseerd WOZ-objecten aan te maken als gevolg van een nieuw kadastraal object.</t>
  </si>
  <si>
    <t>midden</t>
  </si>
  <si>
    <t>H12</t>
  </si>
  <si>
    <t xml:space="preserve">Uit de opbouw van het aanslagnummer kan de gemeente worden herleid. </t>
  </si>
  <si>
    <t>laag</t>
  </si>
  <si>
    <t>H13</t>
  </si>
  <si>
    <t xml:space="preserve">De ICT oplossing kan de belastingplichtige automatisch aanwijzen op basis van gemeentespecifieke beleidsregels. </t>
  </si>
  <si>
    <t>H14</t>
  </si>
  <si>
    <t>Wanneer een wijziging betrekking heeft op meerdere belastingjaren, zoals het huidige jaar en één of meer voorgaande jaren, dan kunnen zowel de wijziging zelf als de gevolgen voor de aanslagen van al die jaren gelijktijdig worden verwerkt.</t>
  </si>
  <si>
    <t>H15</t>
  </si>
  <si>
    <t>De resultaten van de hondencontrole kunnen in de ICT oplossing worden ingelezen en verwerkt.</t>
  </si>
  <si>
    <t xml:space="preserve">In de huidige situatie worden de mutaties handmatig en per stuk verwerkt. Het is gewenst dat de mutaties in bulk kunnen worden verwerkt. Bijvoorbeeld middels een excel- of csv-bestand. </t>
  </si>
  <si>
    <t>H16</t>
  </si>
  <si>
    <t xml:space="preserve">De ICT oplossing geeft een signaal of creëert een taak in een werkvoorraad wanneer een inwoner met subjectgebonden heffing verhuist of overlijdt. </t>
  </si>
  <si>
    <t>Demonstratie gedeelte A. Heffen</t>
  </si>
  <si>
    <t>Invordering</t>
  </si>
  <si>
    <t xml:space="preserve">Uitgangspunt: Alle opgelegde aanslagen moeten rechtmatig geïnd kunnen worden en er is een koppeling naar de financiële administratie. </t>
  </si>
  <si>
    <t>Inv01</t>
  </si>
  <si>
    <t>De ICT oplossing moet alle voorkomende belastingsoorten kunnen innen via alle in de Invorderingswet voorkomende invorderingsmaatregelen op basis van de beleidsregels van de gemeenten Huizen, Blaricum en Laren.</t>
  </si>
  <si>
    <t>Inv02</t>
  </si>
  <si>
    <t xml:space="preserve">De ICT oplossing voorziet in de financiële verantwoording naar het financieel systeem, iFinanciën (PinkRoccade), door middel van journaalposten naar de juiste grootboeknummers/kostenplaatsen.  </t>
  </si>
  <si>
    <t>Inv03</t>
  </si>
  <si>
    <t xml:space="preserve">De ICT oplossing berekent de invorderingsrente conform de Invorderingswet. </t>
  </si>
  <si>
    <t>Inv04</t>
  </si>
  <si>
    <t>De invorderingsruns kunnen voor alledrie de gemeenten in een keer worden gedraaid of individueel per gemeente.</t>
  </si>
  <si>
    <t>Inv05</t>
  </si>
  <si>
    <t xml:space="preserve">Het is mogelijk om een testrun te draaien voordat een definitieve run wordt gedraaid. </t>
  </si>
  <si>
    <t xml:space="preserve">Voordat een invorderingsactie (aanmaningen of een incassobestand) definitief wordt gemaakt moet een testrun kunnen worden gedraaid om inzicht te krijgen en fouten op te kunnen lossen. </t>
  </si>
  <si>
    <t>Inv06</t>
  </si>
  <si>
    <t xml:space="preserve">Het is mogelijk om een kostenloze herinnering te versturen. </t>
  </si>
  <si>
    <t xml:space="preserve">Op dit moment maken wij gebruik van een kostenloze herinnering voorafgaand aan het dwangbevel. De kostenloze herinnering zal mogelijk ook verstuurd gaan worden voorafgaand aan de aanmaning. </t>
  </si>
  <si>
    <t>Inv07</t>
  </si>
  <si>
    <t xml:space="preserve">Het is mogelijk om zowel in vaststaande gevallen als ad hoc uitstel van betaling toe te passen op openstaande aanslagen waar automatische incasso niet van toepassing is.  </t>
  </si>
  <si>
    <t>Inv08</t>
  </si>
  <si>
    <t xml:space="preserve">In rekening gebrachte invorderingskosten kunnen op eenvoudige wijze worden teruggedraaid wanneer bijvoorbeeld een aanmaning onterecht is verstuurd.  </t>
  </si>
  <si>
    <t>Inv09</t>
  </si>
  <si>
    <t>De ICT oplossing ondersteunt betalingsregelingen.</t>
  </si>
  <si>
    <t>Inv10</t>
  </si>
  <si>
    <t xml:space="preserve">De ICT oplossing ondersteunt het inlezen van bankbestanden. </t>
  </si>
  <si>
    <t>Ofwel door middel van het inlezen van een bestand, ofwel middels een koppeling met iFinanciën.</t>
  </si>
  <si>
    <t>Inv11</t>
  </si>
  <si>
    <t xml:space="preserve">In de ICT oplossing kunnen extern opgelegde grafrechten worden ingelezen. </t>
  </si>
  <si>
    <t>Inv12</t>
  </si>
  <si>
    <t>Vanuit de debiteurenadministratie dienen periodiek automatische incassobatches te kunnen worden opgemaakt voor alledrie de gemeenten tegelijk waarin de termijnen van alledrie de organisaties worden meegenomen. </t>
  </si>
  <si>
    <t>Inv13</t>
  </si>
  <si>
    <t xml:space="preserve">De ICT oplossing beschikt over de mogelijkheid om het in eigen beheer aan te kunnen passen van gewijzigde kosten uit de Kostenwet. </t>
  </si>
  <si>
    <t>Inv14</t>
  </si>
  <si>
    <t xml:space="preserve">Belastingontvangsten worden in de wettelijke volgorde afgeboekt van de vordering. </t>
  </si>
  <si>
    <t>Inv15</t>
  </si>
  <si>
    <t xml:space="preserve">In de ICT oplossing kunnen extern opgelegde aanslagen/nota's (Waterschap, bouwleges, etc.) worden ingelezen. Voor de invordering moet een aparte set beleidsregels kunnen worden ingericht.  </t>
  </si>
  <si>
    <t>Inv16</t>
  </si>
  <si>
    <t xml:space="preserve">Een machtiging tot automatische incasso kan per gemeente of één keer voor alle gemeenten binnen de samenwerking worden afgegeven. De inwoner kan hiervoor een keuze maken. </t>
  </si>
  <si>
    <t>Inv17</t>
  </si>
  <si>
    <t xml:space="preserve">Beschrijf hoe binnen de ICT oplossing individueel en in bulk kan worden omgegaan met het afboeken van kleine resterende openstaande bedragen, kleine openstaande creditbedragen en het oninbaar verklaren van vorderingen en hoe dit kan worden vastgelegd. </t>
  </si>
  <si>
    <t>n.v.t</t>
  </si>
  <si>
    <t>Inv18</t>
  </si>
  <si>
    <t xml:space="preserve">Beschrijf hoe binnen de ICT oplossing kan worden omgegaan met de scheiding tussen het oude en nieuwe boekjaar. Besteedt hierbij aandacht aan de verwerking van mutaties betreffende het oude boekjaar wanneer deze in het opvolgende kalenderjaar worden ontvangen.  </t>
  </si>
  <si>
    <t xml:space="preserve">Bijvoorbeeld: de nota's grafrechten worden eind 2024 opgelegd en begin 2025 worden de bestanden aangeleverd waarna ze in de applicatie worden ingelezen. </t>
  </si>
  <si>
    <t>Demonstratie gedeelte B1. Innen</t>
  </si>
  <si>
    <t>Kwijtschelding</t>
  </si>
  <si>
    <t>Kw01</t>
  </si>
  <si>
    <t xml:space="preserve">De ICT oplossing voorziet in automatische kwijtschelding en kan NUL-aanslagen opleggen. </t>
  </si>
  <si>
    <t>Wij versturen aan belastingplichtigen die automatische kwijtschelding hebben gekregen een zogenoemde NUL-aanslag waarin wij ook aangeven dat ze kwijtschelding hebben ontvangen.</t>
  </si>
  <si>
    <t>Kw02</t>
  </si>
  <si>
    <t>De ICT oplossing voldoet aan Kwijtschelding 3.0.</t>
  </si>
  <si>
    <t>Kw03</t>
  </si>
  <si>
    <t>Resultaten van het Inlichtingenbureau kunnen individueel worden overruled.</t>
  </si>
  <si>
    <t>Het kan zijn dat het inlichtingenbureau met een negatief advies komt. Wij als gemeente kunnen inmiddels beschikken over meer informatie waardoor we willen kunnen afwijken van het advies van het Inlichtingenbureau.</t>
  </si>
  <si>
    <t>Kw04</t>
  </si>
  <si>
    <t xml:space="preserve">De ICT oplossing voorziet erin dat een inwoner toestemming kan geven voor de jaarlijkse toets bij het Inlichtingenbureau. </t>
  </si>
  <si>
    <t>Kw05</t>
  </si>
  <si>
    <t xml:space="preserve">De ICT oplossing voorziet in een jaarlijkse automatische toets voor kwijtschelding. </t>
  </si>
  <si>
    <t>Kw06</t>
  </si>
  <si>
    <t>Een kwijtscheldingsverzoek kan meerdere keren in behandeling worden genomen voor één aanslagbiljet.</t>
  </si>
  <si>
    <t xml:space="preserve">Het gaat hier bijvoorbeeld om situaties waarin een aanvraag buiten behandeling wordt gesteld wegens ontbrekende informatie. Wanneer in een later stadium de informatie alsnog wordt aangeleverd moet het verzoek weer in behandeling kunnen worden genomen. </t>
  </si>
  <si>
    <t>Kw07</t>
  </si>
  <si>
    <t xml:space="preserve">De ICT oplossing voorziet in het op gemeente- en waterschapsniveau inrichten van beleidskeuzes kwijtschelding.  </t>
  </si>
  <si>
    <t>Kw08</t>
  </si>
  <si>
    <t xml:space="preserve">De berekening van vermogen en betalingscapaciteit is inzichtelijk voor de medewerker. </t>
  </si>
  <si>
    <t>Kw09</t>
  </si>
  <si>
    <t>Bij een kwijtscheldingsaanvraag moet uitstel van betaling kunnen worden verleend, tenzij er sprake is van een lopend automatisch incassoschema.</t>
  </si>
  <si>
    <t>Kw10</t>
  </si>
  <si>
    <t xml:space="preserve">Wanneer een kwijtscheldingsverzoek betrekking heeft op meerdere aanslagbiljetten kan deze in één keer worden ingeboekt en behandeld. </t>
  </si>
  <si>
    <t>Kw11</t>
  </si>
  <si>
    <t xml:space="preserve">Bij afwijzing van een kwijtscheldingsverzoek moet een verleend uitstel van betaling worden opgeheven en een wachttijd worden aangehouden die gelijk staat aan de betaaltermijn genoemd in het besluit.  </t>
  </si>
  <si>
    <t>Voorbeeld: Wij doen een uitspraak op 1 juni dat er geen kwijtschelding wordt verleend met een betaaltermijn van 14 dagen. Op 2 juni draaien we een aanmaningsrun. Dan moet deze aanslag niet in de aanmaningsrun zitten.</t>
  </si>
  <si>
    <t>Kw12</t>
  </si>
  <si>
    <t>Kw13</t>
  </si>
  <si>
    <t xml:space="preserve">Beschrijf hoe de ICT oplossing omgaat met de koppeling met het Inlichtingenbureau, hoe resultaten van het Inlichtingenbureau worden gepresenteerd en kunnen worden verwerkt.  </t>
  </si>
  <si>
    <t>Denk hier aan het aanmaken van een bestand voor het inlichtingenbureau en het inlezen van het bestand van het inlichtingenbureau. Besteedt hierbij aandacht aan zowel de maandelijkse als de jaarlijkse uitwisseling voor de automatische kwijtschelding.</t>
  </si>
  <si>
    <t>Ja, max 350 woorden</t>
  </si>
  <si>
    <t>Kw14</t>
  </si>
  <si>
    <t xml:space="preserve">Beschrijf hoe de normen ten aanzien van kwijtschelding, eigen bijdragen woon- en zorglasten en extra vrijstelling vermogen bijgehouden worden in de ICT oplossing. </t>
  </si>
  <si>
    <t xml:space="preserve">Ga hierbij in op mogelijke automatisering, het handmatig aanpassen en de mogelijkheid om een vier-ogen-principe toe te passen. </t>
  </si>
  <si>
    <t xml:space="preserve">Demonstratie gedeelte B2. Kwijtschelding </t>
  </si>
  <si>
    <t>WOZ</t>
  </si>
  <si>
    <t>Uitgangspunt: Kwaliteit van de WOZ data, integraal beheer en procesondersteuning.</t>
  </si>
  <si>
    <t>WOZ01</t>
  </si>
  <si>
    <t xml:space="preserve">De ICT oplossing voldoet aan alle geldende wet- en regelgeving en eisen van de Waarderingskamer ten aanzien van de WOZ-administratie. </t>
  </si>
  <si>
    <t>WOZ02</t>
  </si>
  <si>
    <t>WOZ03</t>
  </si>
  <si>
    <t>In de ICT oplossing kunnen de volgende mutaties/handelingen in bulk worden uitgevoerd: 
- Wijzigen van objectgegevens (bijvoorbeeld: soortobjectcode, objectklasse, ligging, groep, etc.)
- Wijzigen van deelobjectgegevens (bijvoorbeeld: correctiefactoren, oppervlakte, bouwjaar, etc.)</t>
  </si>
  <si>
    <t>WOZ04</t>
  </si>
  <si>
    <t>De ICT oplossing legt bij mutaties (in (deel)objecten) vast welke mutatie heeft plaatsgevonden en welke gebruiker de mutatie heeft uitgevoerd.  </t>
  </si>
  <si>
    <t>WOZ05</t>
  </si>
  <si>
    <t>Het is mogelijk WOZ-objecten aan te maken, eventueel door middel van een niet authentiek adres, indien geen adres beschikbaar is.</t>
  </si>
  <si>
    <t xml:space="preserve">Bijvoorbeeld in het geval van grasland. </t>
  </si>
  <si>
    <t>WOZ06</t>
  </si>
  <si>
    <t>Met de ICT oplossing is het mogelijk om WOZ-deelobjecten te koppelen aan BAG-panden en indien van toepassing verblijfsobjecten.</t>
  </si>
  <si>
    <t>WOZ07</t>
  </si>
  <si>
    <t>Met de ICT oplossing is het mogelijk om meerdere verblijfsobjecten te koppelen aan één WOZ-object.</t>
  </si>
  <si>
    <t xml:space="preserve">Bijvoorbeeld in het geval van zorginstellingen. </t>
  </si>
  <si>
    <t>WOZ08</t>
  </si>
  <si>
    <t>In de ICT oplossing kunnen de volgende mutaties/handelingen in bulk worden uitgevoerd: 
- Toevoegen of afmelden van deelobjecten</t>
  </si>
  <si>
    <t>Midden</t>
  </si>
  <si>
    <t>WOZ09</t>
  </si>
  <si>
    <t xml:space="preserve">In de ICT oplossing kan de mutatiehistorie binnen (deel)objecten door iedere gebruiker worden geraadpleegd. </t>
  </si>
  <si>
    <t>Hoog</t>
  </si>
  <si>
    <t>WOZ10</t>
  </si>
  <si>
    <t>Signalen en vergunningen vanuit de BAG zijn inzichtelijk bij het WOZ-object. </t>
  </si>
  <si>
    <t>WOZ11</t>
  </si>
  <si>
    <t>De ICT oplossing voorziet in zowel het handmatig en automatisch terugmelden aan de BAG. De terugmeldingen worden in de applicatie opgeslagen.</t>
  </si>
  <si>
    <t>WOZ12</t>
  </si>
  <si>
    <t xml:space="preserve">In de ICT oplossing kunnen bij het object Cyclomediabeelden van het object worden geraadpleegd.  </t>
  </si>
  <si>
    <t>WOZ13</t>
  </si>
  <si>
    <t xml:space="preserve">In de ICT oplossing kan een afbeelding van het object in Cyclomedia worden gemaakt waarna deze bij het object binnen twee klikken als hoofdfoto kan worden toegevoegd.  </t>
  </si>
  <si>
    <t>WOZ14</t>
  </si>
  <si>
    <t xml:space="preserve">De ICT oplossing maakt het mogelijk om specifiek door de gemeente aan te maken kenmerken (vrije velden) toe te voegen. Dit zowel bij objecten als bezwaren en marktanalyse. </t>
  </si>
  <si>
    <t>Bijvoorbeeld een veld bij het object waar kan worden geregistreerd of het object een huurwoning is en wat voor type huurwoning het is.</t>
  </si>
  <si>
    <t>Laag</t>
  </si>
  <si>
    <t xml:space="preserve">Demonstratie gedeelte C1. WOZ </t>
  </si>
  <si>
    <t>Waarderen</t>
  </si>
  <si>
    <t>Wrd01</t>
  </si>
  <si>
    <t xml:space="preserve">De ICT oplossing voldoet aan alle geldende wet- en regelgeving en eisen van de Waarderingskamer ten aanzien van de marktanalyse en WOZ-waardebepaling van woningen en niet-woningen. </t>
  </si>
  <si>
    <t>Wrd02</t>
  </si>
  <si>
    <t>De ICT oplossing beschikt over de mogelijkheid om de jaarlijks in te vullen vragenlijsten van de Waarderingskamer op geautomatiseerde wijze uit de applicatie te genereren.</t>
  </si>
  <si>
    <t xml:space="preserve">Voor zover deze informatie in de applicatie beschikbaar is. </t>
  </si>
  <si>
    <t>Wrd03</t>
  </si>
  <si>
    <t xml:space="preserve">De situatiekoop van verkochte objecten moet op deelobjectniveau vastgelegd kunnen worden.  De gegevens van de situatiekoop moet hetgeen zijn dat op het taxatieverslag wordt getoond als de verkoop wordt gebruikt als onderbouwing.  </t>
  </si>
  <si>
    <t>Wrd04</t>
  </si>
  <si>
    <t xml:space="preserve">De taxatiewaarde van de objectonderdelen moet individueel aanpasbaar zijn ten opzichte van de modelwaarde. Dit geldt voor zowel herwaarderings- als bezwaar- en beroepstaxaties. </t>
  </si>
  <si>
    <t>Denk hierbij aan een correctiepercentage en/of het handmatig aanpassen van prijzen van deelobjecten.</t>
  </si>
  <si>
    <t>Wrd05</t>
  </si>
  <si>
    <t>In de ICT oplossing kunnen de volgende mutaties/handelingen in bulk worden uitgevoerd:
- Aanpassen van model(onderdeel)waardes ten tijde van de herwaardering en bezwaarafhandeling
- Taxeren/doorrekenen van een selectie van objecten</t>
  </si>
  <si>
    <t>Wrd06</t>
  </si>
  <si>
    <t>Woningen kunnen in de ICT oplossing modelmatig worden getaxeerd.</t>
  </si>
  <si>
    <t>Wrd07</t>
  </si>
  <si>
    <t>Courante niet-woningen kunnen in de ICT oplossing modelmatig worden getaxeerd.</t>
  </si>
  <si>
    <t>Wrd08</t>
  </si>
  <si>
    <t xml:space="preserve">De output uit de ICT oplossing ten aanzien van de vragenlijsten van de Waarderingskamer is en blijft conform het inleessjabloon van de Waarderingskamer. </t>
  </si>
  <si>
    <t>Wrd09</t>
  </si>
  <si>
    <t xml:space="preserve">De ICT oplossing beschikt over een controlemodel voor de woningen die ondersteunt bij de waardering. De werking van het controlemodel is uitlegbaar. </t>
  </si>
  <si>
    <t xml:space="preserve">Denk hierbij bijvoorbeeld aan een AI-model. </t>
  </si>
  <si>
    <t>Wrd10</t>
  </si>
  <si>
    <t xml:space="preserve">Het model kan zodanig ingericht worden dat de onderdelen die bij de woonruimte horen als geheel in de staffel kan worden weggezet. </t>
  </si>
  <si>
    <t xml:space="preserve">Dat bijvoorbeeld de oppervlakte van het onderdeel woning tezamen met het onderdeel aanbouw woonruimte in de staffel wordt betrokken.  </t>
  </si>
  <si>
    <t>Wrd11</t>
  </si>
  <si>
    <t>Notities die bij de beoordeling van de vraagprijzen worden geplaatst worden ook weergegeven bij de analyse van de transactie.</t>
  </si>
  <si>
    <t>Dit zodat de bevindingen van de vraagprijscontrole direct kunnen worden meegenomen in de uiteindelijke PMA.</t>
  </si>
  <si>
    <t>Wrd12</t>
  </si>
  <si>
    <t xml:space="preserve">De ICT oplossing beschikt over functionaliteit die ondersteunt bij veldwerk (in- en uitpandige opnames) waarbij foto’s en mutaties direct bij het object worden verwerkt middels een portable device.  </t>
  </si>
  <si>
    <t>Wrd13</t>
  </si>
  <si>
    <t xml:space="preserve">De ICT oplossing ondersteunt de mogelijkheid om naast de reguliere bezwaar- en taxatiestatussen te werken met  aanvullende (administratieve) bezwaar- en taxatiestatussen.  </t>
  </si>
  <si>
    <t>Bijvoorbeeld status 19 bij taxatie “Retour taxateur”.</t>
  </si>
  <si>
    <t>Wrd14</t>
  </si>
  <si>
    <t>Het is mogelijk om bepaalde categorieën courante niet-woningen zoals bedrijfsunits op basis van de vergelijkingsmethode te waarderen.  </t>
  </si>
  <si>
    <t>Wrd15</t>
  </si>
  <si>
    <t xml:space="preserve">Beschrijf hoe de ICT oplossing ondersteunt bij het monitoren van correctie-factoren. </t>
  </si>
  <si>
    <t xml:space="preserve">Denk hierbij bijvoorbeeld aan correctiefactoren die naar aanleiding van een verkoop op een bepaald niveau zijn gezet. Hoe ondersteunt de applicatie het (automatisch) terugzetten van een punt, afbouw van een percentage of ondersteuning door middel van rapportages en bulkmutaties. Bijvoorbeeld in het geval van correctiefactoren die 4 jaar of langer hetzelfde zijn gebleven. </t>
  </si>
  <si>
    <t>Ja, max 2 A4</t>
  </si>
  <si>
    <t>Wrd16</t>
  </si>
  <si>
    <t xml:space="preserve">Beschrijf hoe trendbepaling, modelinrichting en herwaardering voor rij- en hoekwoningen werken in de ICT oplossing en hoe de ICT oplossing deze processen kan ondersteunen. </t>
  </si>
  <si>
    <t>Wrd17</t>
  </si>
  <si>
    <t xml:space="preserve">Beschrijf hoe courante niet-woningen (modelmatig) gewaardeerd worden in de ICT oplossing. </t>
  </si>
  <si>
    <t xml:space="preserve">Besteed hierbij aandacht aan de invloed van correctiefactoren, de invloed van de locatie, de analyse van huur- en koopgegevens en de totstandkoming en onderbouwing van de kapitalisatiefactor. </t>
  </si>
  <si>
    <t xml:space="preserve">Demonstratie gedeelte C2. Waarderen </t>
  </si>
  <si>
    <t>Bezwaar en beroep</t>
  </si>
  <si>
    <t xml:space="preserve">Uitgangspunt: Waar beroep wordt geschreven wordt ook hoger beroep en cassatie bedoeld. </t>
  </si>
  <si>
    <t>Bb01</t>
  </si>
  <si>
    <t>In de ICT oplossing moeten alle voorkomende bezwaren en beroepen op belastinggebied kunnen worden ingeboekt en afgehandeld.</t>
  </si>
  <si>
    <t>Bb02</t>
  </si>
  <si>
    <t xml:space="preserve">De ICT oplossing registreert bij het inboeken, behandelen en afhandelen van (informele) bezwaren en beroepen de juiste beschikkingsstatus. </t>
  </si>
  <si>
    <t xml:space="preserve">Het betreft de beschikkingsstatussen die gelden vanaf 2024. </t>
  </si>
  <si>
    <t>Bb03</t>
  </si>
  <si>
    <t xml:space="preserve">Alle voor de behandeling van het bezwaar en beroep relevante (formele) gegevens worden overzichtelijk weergegeven. </t>
  </si>
  <si>
    <t xml:space="preserve">Denk hierbij o.a. aan gegevens ten aanzien van de ontvankelijkheid, documenten en de taxatiekaart. De gegevens zijn niet meer dan één muisklik bij elkaar verwijderd. </t>
  </si>
  <si>
    <t>Bb04</t>
  </si>
  <si>
    <t xml:space="preserve">In de ICT oplossing kunnen informele bezwaren tegen de WOZ-waarde worden geregistreerd en afgehandeld. </t>
  </si>
  <si>
    <t>Bb05</t>
  </si>
  <si>
    <t xml:space="preserve">Bij een gegrond bezwaar/beroep worden de grondslag, aanslag en inning (na fiattering) door de ICT oplossing automatisch aangepast. Het financiële resultaat hiervan moet in de uitspraakbrief kunnen worden opgenomen. </t>
  </si>
  <si>
    <t>Bb06</t>
  </si>
  <si>
    <t xml:space="preserve">In de ICT oplossing kunnen bezwaren worden ingeboekt en behandeld tegen heffingen die niet vanuit het belastingpakket zijn opgelegd. </t>
  </si>
  <si>
    <t xml:space="preserve">Het betreft bijvoorbeeld legesbezwaren. </t>
  </si>
  <si>
    <t>Bb07</t>
  </si>
  <si>
    <t>Bezwaarschriften tegen de WOZ-waarde kunnen automatisch worden ontgriefd.</t>
  </si>
  <si>
    <t>Dit bijvoorbeeld door middel van een Large Language Model.</t>
  </si>
  <si>
    <t>Bb08</t>
  </si>
  <si>
    <t>In de ICT oplossing kunnen de proceskosten voor het bezwaardossier worden beheerd en uitbetaald. Deze bedragen kunnen automatisch worden doorgeboekt naar het grootboek. Ook worden de resultaten automatisch weergegeven in de uitspraak op bezwaar.</t>
  </si>
  <si>
    <t>Bb09</t>
  </si>
  <si>
    <t xml:space="preserve">De grieven- en antwoordenset van de gemeente kan in de applicatie worden ingericht. De grieven kunnen bij een bezwaar worden aangepast en de teksten worden in het uitspraaksjabloon overgenomen. </t>
  </si>
  <si>
    <t>Bb10</t>
  </si>
  <si>
    <t xml:space="preserve">De ICT oplossing beschikt over functionaliteit om WOZ-bezwaren door middel van robotisering of AI in te boeken.  </t>
  </si>
  <si>
    <t>Denk hierbij aan middels tekstherkenning van digitale documenten het aanmaken van een bezwaar in het systeem en daarbij koppelen van de juiste belanghebbende en eventueel gemachtigde.</t>
  </si>
  <si>
    <t>Bb11</t>
  </si>
  <si>
    <t>De ICT oplossing beschikt over functionaliteit om WOZ-bezwaren in bulk te muteren.</t>
  </si>
  <si>
    <t>Denk hierbij aan de bezwaarstatus, aanvullende kenmerken en het afhandelen/fiatteren van een bezwaar.</t>
  </si>
  <si>
    <t>Demonstratie gedeelte D2. Bezwaar en beroep</t>
  </si>
  <si>
    <t>Workflow</t>
  </si>
  <si>
    <t>Wf01</t>
  </si>
  <si>
    <t xml:space="preserve">De ICT oplossing beschikt over een workflowoplossing die kan worden ingericht conform de werkprocessen van de gemeente. </t>
  </si>
  <si>
    <t>Wf02</t>
  </si>
  <si>
    <t xml:space="preserve">De workflowoplossing kan door functioneel beheer van de gemeente worden onderhouden en aangepast. </t>
  </si>
  <si>
    <t>Wf03</t>
  </si>
  <si>
    <t xml:space="preserve">Taken in de workflow kunnen geautomatiseerd worden doorgezet naar een volgende stap in de workflow. </t>
  </si>
  <si>
    <t xml:space="preserve">Bijvoorbeeld wanneer een tijdsperiode is verstreken of wanneer een (externe) reactie is ontvangen. </t>
  </si>
  <si>
    <t>Wf04</t>
  </si>
  <si>
    <t xml:space="preserve">De workflowoplossing voorziet in termijnbewaking. </t>
  </si>
  <si>
    <t>Wf05</t>
  </si>
  <si>
    <t xml:space="preserve">De ICT oplossing beschikt over een standaard set workflows voor de Heffen-processen. </t>
  </si>
  <si>
    <t xml:space="preserve">Bijvoorbeeld voor controle van subject- en kadastrale relaties na samenvoeging of splitsing van een WOZ-object. </t>
  </si>
  <si>
    <t>Wf06</t>
  </si>
  <si>
    <t>De ICT oplossing beschikt over een standaard set workflows voor het Invorderings- en Kwijtscheldingsproces.</t>
  </si>
  <si>
    <t>Wf07</t>
  </si>
  <si>
    <t xml:space="preserve">De ICT oplossing beschikt over de volgende standaard workflows voor de WOZ- en waarderenprocessen:
- Vraagprijsanalyse;
- Transactieanalyse;
- WOZ-bezwaren;
- WOZ-beroepen;
- Versturen koopinlichtingenformulieren;
- Versturen huurinlichtingenformulieren;
- Verzenden en monitoren van jaarlijkse inlichtingenformulieren. </t>
  </si>
  <si>
    <t>Wf08</t>
  </si>
  <si>
    <t xml:space="preserve">Beschrijf de functionaliteiten van de workflowoplossing en geef inzicht in de workflows die standaard worden aangeboden door de leverancier. </t>
  </si>
  <si>
    <t xml:space="preserve">Besteed hierbij aandacht aan de werkprocessen genoemd bij Wf05, Wf06 en Wf07 en voeg per proces een schematisch overzicht van de workflow bij. </t>
  </si>
  <si>
    <t>Digitale belastingbalie</t>
  </si>
  <si>
    <t>Db01</t>
  </si>
  <si>
    <t xml:space="preserve">De ICT oplossing beschikt over een digitale belastingbalie, welke toegankelijk is voor de inwoner/ondernemer middels DigiD/eHerkenning. </t>
  </si>
  <si>
    <t>Db02</t>
  </si>
  <si>
    <t xml:space="preserve">Belanghebbende heeft in de digitale belastingbalie inzicht in de opgelegde aanslagen. </t>
  </si>
  <si>
    <t>Db03</t>
  </si>
  <si>
    <t xml:space="preserve">In de digitale belastingbalie is het mogelijk om bezwaar tegen de WOZ-waarde en andere heffingen in te dienen. Hierbij kan belanghebbende de reden(en) van bezwaar selecteren en bijlage(n) toevoegen. De bezwaren worden automatisch geregistreerd in de werkvoorraad van de applicatie. </t>
  </si>
  <si>
    <t>Db04</t>
  </si>
  <si>
    <t xml:space="preserve">In de digitale belastingbalie is het mogelijk om "Voormeldingen" open te stellen waarbij de inwoner inzicht heeft in primaire kenmerken en secundaire kenmerken op onderdeelniveau en de WOZ-waarde. Reacties worden zichtbaar in een werkvoorraad in de applicatie. </t>
  </si>
  <si>
    <t>Db05</t>
  </si>
  <si>
    <t xml:space="preserve">Belanghebbende heeft in de digitale belastingbalie inzicht in wijzigingen van de aanslagen. </t>
  </si>
  <si>
    <t xml:space="preserve">Denk hierbij aan vermindering van de Afvalstoffenheffing na verhuizing buiten de gemeente of het afmelden van een hond. </t>
  </si>
  <si>
    <t>Db06</t>
  </si>
  <si>
    <t xml:space="preserve">Belanghebbende heeft in de digitale belastingbalie inzicht in het actuele financiële overzicht van de aanslagen. </t>
  </si>
  <si>
    <t xml:space="preserve">Denk hierbij aan het openstaande aanslagbedrag, de resterende termijnen, een stornering, etc. </t>
  </si>
  <si>
    <t>Db07</t>
  </si>
  <si>
    <t>In de digitale belastingbalie is het mogelijk om automatische incasso aan te vragen, de aanslag te betalen via een betaallink en een rekeningnummer te wijzigen.</t>
  </si>
  <si>
    <t>Wens is ook dat dit automatisch wordt verwerkt in de belastingapplicatie.</t>
  </si>
  <si>
    <t>Db08</t>
  </si>
  <si>
    <t xml:space="preserve">In de digitale belastingbalie is het mogelijk om een betalingsregeling aan te vragen. </t>
  </si>
  <si>
    <t xml:space="preserve">Wens is ook dat dit automatisch wordt geregistreerd in de belastingapplicatie en dat dit zichtbaar wordt in een werkvoorraad. </t>
  </si>
  <si>
    <t>Db09</t>
  </si>
  <si>
    <t xml:space="preserve">In de digitale belastingbalie is het mogelijk om kwijtschelding aan te vragen. </t>
  </si>
  <si>
    <t>Db10</t>
  </si>
  <si>
    <t>In de digitale belastingbalie is het voor de inwoner mogelijk om een dossierstatus en correspondentie naar aanleiding van verzoeken in te zien.</t>
  </si>
  <si>
    <t>Denk hierbij aan status "het verzoek tot betalingsregeling is in behandeling", de brief "bevestiging betalingsregeling", de status van het bezwaarschrift en de voortgang behandeling formulieren.</t>
  </si>
  <si>
    <t>Db11</t>
  </si>
  <si>
    <t xml:space="preserve">In de digitale belastingbalie heeft de inwoner in één omgeving inzicht voor alledrie de gemeenten binnen de organisatie indien van toepassing. </t>
  </si>
  <si>
    <t>De inwoner hoeft niet te wisselen van omgeving of opnieuw in te loggen wanneer zij inzicht wil in een andere gemeente. Sommige inwoners hebben een belang in meerdere gemeenten.</t>
  </si>
  <si>
    <t>Db12</t>
  </si>
  <si>
    <t xml:space="preserve">In de digitale belastingbalie is het mogelijk om diverse formulieren in te vullen/open te stellen zoals: 
- koopinlichtingenformulieren;
- huurinlichtingenformulieren;
- leegstandsformulieren;
- inlichtingenformulieren m.b.t. motorbrandstofverkooppunten;
- inlichtingenformulieren m.b.t. campings; 
- inlichtingenformulieren m.b.t. hotels; 
- eigenarenaanschrijving m.b.t. bedrijfsverzamelgebouwen. 
De formulieren in de digitale belastingbalie kunnen door functioneel beheer worden aangepast. De retour gekomen ingevulde formulieren worden vervolgens zichtbaar in een werkvoorraad. </t>
  </si>
  <si>
    <t>Db13</t>
  </si>
  <si>
    <t xml:space="preserve">In de digitale belastingbalie is het mogelijk om wijzigingen door te geven die relevant zijn voor de hondenbelasting. </t>
  </si>
  <si>
    <t>Db14</t>
  </si>
  <si>
    <t xml:space="preserve">In de digitale belastingbalie kan men via een betaallink de gehele aanslag in één keer betalen. </t>
  </si>
  <si>
    <t>Db15</t>
  </si>
  <si>
    <t>De digitale belastingbalie beschikt over een raadpleegfunctionaliteit voor medewerkers waarmee zij inzicht hebben in wat de belanghebbende ziet.</t>
  </si>
  <si>
    <t>Db16</t>
  </si>
  <si>
    <t xml:space="preserve">Beschrijf de mogelijke functionaliteiten van de digitale belastingbalie. Besteedt daarbij aandacht aan de kant van de inwoner en hoe signalen vanuit de digitale belastingbalie ofwel geautomatiseerd in de applicatie (kunnen) worden verwerkt of leiden tot een taak in de werkvoorraad. Beschrijf ook de mogelijkheden van communicatie via de digitale belastingbalie. </t>
  </si>
  <si>
    <t>ja, max 1.400 woorden</t>
  </si>
  <si>
    <t>Demonstratie gedeelte D1. Digitale belastingbalie</t>
  </si>
  <si>
    <t>Geo informatie</t>
  </si>
  <si>
    <t xml:space="preserve"> </t>
  </si>
  <si>
    <t>Uitgangspunt: Via de kaart inzicht krijgen in de verschillende WOZ objecten in relatie tot andere basisregistraties.</t>
  </si>
  <si>
    <t>GI01</t>
  </si>
  <si>
    <t xml:space="preserve">Met de ICT oplossing moet het mogelijk zijn om informatie te tonen op een geïntegreerde kaart. </t>
  </si>
  <si>
    <t>Het gaat om het geografisch tonen van bijvoorbeeld BAG, WOZ en BGT geometrie, luchtfoto's, PDOK, etc.</t>
  </si>
  <si>
    <t>GI02</t>
  </si>
  <si>
    <t>Eigen Kaartlagen van de gemeente Huizen kunnen getoond worden.</t>
  </si>
  <si>
    <t>GI03</t>
  </si>
  <si>
    <t>De ICT oplossing beschikt over functionaliteit tot meten van lengtes en oppervlaktes in het te raadplegen kaartmateriaal.</t>
  </si>
  <si>
    <t>GI04</t>
  </si>
  <si>
    <t>De ICT oplossing beschikt over een 3D-tool</t>
  </si>
  <si>
    <t>GI05</t>
  </si>
  <si>
    <t xml:space="preserve">Beschrijf de functionaliteit die naast het raadplegen nog meer mogelijk is met de kaart en op welke wijze deze de werkprocessen ondersteunt. </t>
  </si>
  <si>
    <t>Besteed hierbij minimaal aandacht aan:
- Het bijhouden van een WOZ deelobjecten kaart;
- relaties leggen/tonen tussen de verschillende basisregistraties;
- positioneren WOZ deelobjecten;
- geometrische kwaliteitscontroles;
- BRK-proces;
- Precario;
- BIZ;
- Leges;
- PMA;
- Controles objectkenmerken;
- Taxeren
- Bezwaren</t>
  </si>
  <si>
    <t>ja, max 1.050 woorden</t>
  </si>
  <si>
    <t>Rapportages</t>
  </si>
  <si>
    <t xml:space="preserve">Uitgangspunt: een standaard set rapportages die inzicht geeft in (voortgang van) werkvoorraden en managementinformatie. </t>
  </si>
  <si>
    <t>R01</t>
  </si>
  <si>
    <t xml:space="preserve">De ICT oplossing beschikt over een rapportageoplossing en wordt geleverd met een standaard set rapportages. </t>
  </si>
  <si>
    <t>R02</t>
  </si>
  <si>
    <t xml:space="preserve">Met de ICT oplossing heeft functioneel beheer inzicht in de data en opbouw van de rapportages. </t>
  </si>
  <si>
    <t>R03</t>
  </si>
  <si>
    <t xml:space="preserve">Met de ICT oplossing kan functioneel beheer rapportages aanpassen, aanvullen en maken. </t>
  </si>
  <si>
    <t>R04</t>
  </si>
  <si>
    <t>De ICT oplossing beschikt over rapportages waarmee de volgende beoordelinsgprotocollen van de Waarderingskamer kunnen worden ingevuld of als geheel uit de applicatie kunnen worden gegenereerd:
- Beoordelingsprotocol Aansluiting Kadaster
- Beoordelingsprotocol Aansluiting BAG
- Beoordelingsprotocol Woningen
- Beoordelingsprotocol Courante Niet-woningen
- Beoordelingsprotocol Incourante Niet-woningen
- Beoordelingsprotocol Agrarische objecten
- Beoordelingsprotocol Objectkenmerken
- Beoordelingsprotocol Bezwaarafhandeling</t>
  </si>
  <si>
    <t xml:space="preserve">Voor zover de informatie in de applicatie beschikbaar is. </t>
  </si>
  <si>
    <t>R05</t>
  </si>
  <si>
    <t xml:space="preserve">Ten behoeve van de werkprocessen van Heffen beschikt de ICT oplossing over rapportages die inzicht geven of bijdragen aan het volgende:
- De juistheid en volledigheid van de BRK-verwerking
- De juistheid en volledigheid van de opgelegde aanslagen 
- Een overzicht van uitgezonderde objecten
- Consistentiecontroles
- Mutaties vanuit het Handelsregister
- Faillissementen of beëindigde ondernemingen
- Leegstaande objecten
- Objecten in eigendom van de gemeente
- Ondernemingen waaraan precario wordt opgelegd
- Overleden subjecten met een gekoppelde heffing
- Bewoners op een adres zonder geregistreerde gebruiker
- Controle op aantal bewoners op een adres in relatie tot de grondslag
- Subjecten met een subjectgebonden heffing
</t>
  </si>
  <si>
    <t>R06</t>
  </si>
  <si>
    <t xml:space="preserve">Ten behoeve van de werkprocessen van Innen beschikt de ICT oplossing over rapportages die inzicht geven op bijdragen aan het volgende:
- Een creditpostenlijst met inzicht in subjecten zonder bankrekening
- Overzichten van aanslagen inclusies verminderingen en geheel of gedeeltelijke kwijtscheldingen. 
- Lijsten met openstaande posten per peildatum waarin inzicht is op: debiteurniveau, aanslagniveau, belastingsoort, kwijtscheldingen, automatische incasso, terugbetalingen, invorderingsacties/fasen, oninbaar leiden. Inclusief een ouderdomsanalyse. 
- Overzichten met vereffende posten 
- Overzichten met betrekking tot automatische incasso, terugbetalingen en invorderingsacties ook mogelijk als proefrun.  </t>
  </si>
  <si>
    <t>R07</t>
  </si>
  <si>
    <t>De ICT oplossing beschikt over een rapportagefunctionaliteit die inzicht geeft in: 
- het koppelpercentage verblijfsobjecten 
- het koppelpercentage panden 
- de overeenkomst en afwijkingen van de opgetelde WOZ-onderdelen in relatie tot de BAG 
- de overeenkomst en afwijkingen van bouwjaren van het hoofdonderdeel van het WOZ-object in relatie tot de BAG</t>
  </si>
  <si>
    <t>R08</t>
  </si>
  <si>
    <t>Ten behoeve van de werkprocessen van WOZ en Waarderen beschikt de rapportagefunctionaliteit over rapportages die inzicht geven in/overzicht geven van:
- Taxatiecontrolelijst voor woningen, courante niet woningen, incourant en agrarisch
- Bezwarenlijst
- PMA/vraagprijsscreening</t>
  </si>
  <si>
    <t>R09</t>
  </si>
  <si>
    <t>De ICT oplossing beschikt over een rapportage die voorziet in de managementinformatie uitgesplitst per gemeente.</t>
  </si>
  <si>
    <t>R10</t>
  </si>
  <si>
    <t>De ICT oplossing beschikt over een rapportage die voorziet in vragen van de Accountant.</t>
  </si>
  <si>
    <t>R11</t>
  </si>
  <si>
    <t>Alle opgeslagen data moet voor functioneel beheer benaderbaar zijn via een SQL voorziening.</t>
  </si>
  <si>
    <t>Dit kan via de applicatie of via een andere koppeling met de database.</t>
  </si>
  <si>
    <t>R12</t>
  </si>
  <si>
    <t>Geef een beschrijving van de aangeboden functionaliteit voor het genereren van management informatie.</t>
  </si>
  <si>
    <t>Besteed hierbij minimaal aandacht aan:
- Standaard meegeleverd rapportages;
- wel of geen gebruik van externe BI tools;
- realtime gebruik van data;
- exportmogelijkheden;
- hoe functioneel beheer rapportages kan bouwen.</t>
  </si>
  <si>
    <t>Ja, max 1.050 woorden</t>
  </si>
  <si>
    <t>Documenten</t>
  </si>
  <si>
    <t>Uitgangspunt: Voor het creëren van documenten maken we gebruik van een documentgenerator in combinatie met een oplossing voor het plaatsen van een digitale handtekening.</t>
  </si>
  <si>
    <t>De ICT oplossing wordt opgeleverd met een standaard set documentsjablonen.</t>
  </si>
  <si>
    <t xml:space="preserve">De ICT oplossing biedt de mogelijkheid om een document geautomatiseerd samen te stellen vanuit een subject. </t>
  </si>
  <si>
    <t xml:space="preserve">De ICT oplossing biedt de mogelijkheid om een document geautomatiseerd samen te stellen vanuit een object. </t>
  </si>
  <si>
    <t xml:space="preserve">De ICT oplossing biedt de mogelijkheid om documenten individueel of in bulk via een selectie te genereren. </t>
  </si>
  <si>
    <t>Op alle documenten moet afhankelijk van het soort proces alle relevante gegevens uit de ICT oplossing kunnen worden vermeld.</t>
  </si>
  <si>
    <t xml:space="preserve">De inrichting van de documenten kan door functioneel beheer van de gemeente worden onderhouden en aangepast. </t>
  </si>
  <si>
    <t>Het is mogelijk om buiten de ICT oplossing ontvangen of gegenereerde documentatie op te slaan op objectniveau.</t>
  </si>
  <si>
    <t xml:space="preserve">In alle reguliere formats zoals Word, PDF, JPEG, Excel, etc. </t>
  </si>
  <si>
    <t>Het is mogelijk om buiten de ICT oplossing ontvangen of gegenereerde documentatie op te slaan op subjectniveau.</t>
  </si>
  <si>
    <t xml:space="preserve">De ICT oplossing beschikt over het nieuwe taxatieverslag zoals voorgesteld door de Waarderingskamer. Het nieuwe taxatieverslag wordt opgeleverd in de applicatie, rekening houdend met gewenste aanpassingen van de gemeente en is daarna door Functioneel Beheer aanpasbaar. </t>
  </si>
  <si>
    <t>De gewenste aanpassingen tov de versie van de Waarderingskamer liggen in de opmaak van enkele velden en het weglaten van bepaalde velden.</t>
  </si>
  <si>
    <t xml:space="preserve">De ICT oplossing beschikt over een taxatierapport ten behoeve van beroepsprocedures welke aangepast wordt naar de huisstijl van de gemeente. Het document is na genereren nog aanpasbaar. </t>
  </si>
  <si>
    <t xml:space="preserve">De ICT oplossing beschikt over een matrix ten behoeve van beroepsprocedures. Het document is na genereren nog aanpasbaar. </t>
  </si>
  <si>
    <t xml:space="preserve">De metadata van documenten is aanpasbaar. </t>
  </si>
  <si>
    <t>Bijvoorbeeld de verschillende data en titel.</t>
  </si>
  <si>
    <t>Na het genereren van een document kan deze handmatig worden gewijzigd vanuit de ICT oplossing. De gewijzigde versie wordt vervolgens opgeslagen.</t>
  </si>
  <si>
    <t xml:space="preserve">Documenten binnen een dossier (zowel inkomend als uitgaand) kunnen chronologisch worden weergegeven. </t>
  </si>
  <si>
    <t xml:space="preserve">De ICT oplossing wordt opgeleverd met onder andere de volgende set standaard documenten:
- Leegstandsformulier
- BIZ-formulier
- Ontvangstbevestiging
- Uitspraak op bezwaar
- Aanmaningen 
- Prenotificatie  
- Kennisgeving intrekking machtiging automatische incasso  
- Bevestiging betalingsregeling   
- Kennisgeving intrekking betalingsregeling  
- Melding mislukken van de te incasseren termijn (eerste storno)  
- Melding van mislukken van de tweede achtereenvolgende te incasseren termijn (tweede storno) met vermelding van intrekking incassoschema  
- Kosteloze herinnering  
- Vooraankondiging dwangbevel  
- Dwangbevel   
- Saldo-overzicht openstaande posten 
- Verzoek om informatie </t>
  </si>
  <si>
    <t xml:space="preserve">Beschrijf hoe buiten de ICT oplossing om ontvangen documenten in de applicatie toegevoegd en verwerkt kunnen worden. </t>
  </si>
  <si>
    <t xml:space="preserve">Het gaat hierbij om e-mails, PDF-documenten, ingescande brieven, retourpost, ingevulde formuleren, etc. </t>
  </si>
  <si>
    <t>ja, max 2 A4</t>
  </si>
  <si>
    <t>Beschrijf het proces van het creëren van een document in de ICT oplossing.</t>
  </si>
  <si>
    <t>Beschrijf de mogelijkheden van de inrichting van een standaard taxatierapport en -matrix. Stuur één voorbeeld van een standaard taxatierapport en -matrix mee voor een vrijstaande woning met minimaal vijf deelobjecten.</t>
  </si>
  <si>
    <t xml:space="preserve">De toelichting mag maximaal 350 woorden bedragen. Het taxatierapport en de matrix zijn niet aan een maximum onderworpen. </t>
  </si>
  <si>
    <t>Functioneel beheer</t>
  </si>
  <si>
    <t>Fb01</t>
  </si>
  <si>
    <t>De ICT oplossing biedt voor de functioneel beheerder de mogelijkheid om van elke verandering te achterhalen wie deze wanneer heeft uitgevoerd. Hiervan kunnen rapportages worden gemaakt.</t>
  </si>
  <si>
    <t>Fb02</t>
  </si>
  <si>
    <t>De ICT oplossing bevat een module voor functioneel beheer.</t>
  </si>
  <si>
    <t>Fb03</t>
  </si>
  <si>
    <t>Uitval in het berichtenverkeer tussen applicaties en/of landelijke voorzieningen wordt overzichtelijk gepresenteerd.</t>
  </si>
  <si>
    <t>Fb04</t>
  </si>
  <si>
    <t>De ICT oplossing kan een overzicht van gebruikers en bijhorende autorisatie genereren.</t>
  </si>
  <si>
    <t>Fb05</t>
  </si>
  <si>
    <t xml:space="preserve">De ICT oplossing biedt functionaliteit voor een consistentiecontrole tussen de LV WOZ en de gemeentelijke WOZ-administratie. </t>
  </si>
  <si>
    <t>De WOZ gegevens kunnen in bulk vergeleken worden. Verschillen zijn eenvoudig en in bulk op te lossen door o.a. synchronisatieberichten te versturen.</t>
  </si>
  <si>
    <t>Fb06</t>
  </si>
  <si>
    <t>Fb07</t>
  </si>
  <si>
    <t>Met de ICT oplossing is het mogelijk om schermen te personaliseren.</t>
  </si>
  <si>
    <t>Gebruikers kunnen zelf bepalen wat ze waar op het scherm te zien krijgen.</t>
  </si>
  <si>
    <t>Fb08</t>
  </si>
  <si>
    <t>De functioneel beheerder krijgt inzicht in het logische- en technische datamodel.</t>
  </si>
  <si>
    <t>De gemeente tekent hiervoor een non disclosure verklaring.</t>
  </si>
  <si>
    <t>Fb09</t>
  </si>
  <si>
    <t xml:space="preserve">De ICT oplossing beschikt over functionaliteit om gebruikersfouten te voorkomen. Als er fouten worden gemaakt is het voor functioneel beheer mogelijk om deze herstellen. </t>
  </si>
  <si>
    <t>Denk bijvoorbeeld aan:
- Een onlogische datum is gevuld;
- Een bezwaar is onterecht afgehandeld;
- Een bezwaar is onterecht ingeboekt;
- Een WOZ-object is onterecht beëindigd;
- Een stap in een workflow is onterecht gezet.</t>
  </si>
  <si>
    <t>Fb10</t>
  </si>
  <si>
    <t>Autorisatie</t>
  </si>
  <si>
    <t>Beschrijf de aangeboden functionaliteit m.b.t. het autoriseren van gebruikers. Besteed hierbij minimaal aandacht aan:
- Functiescheiding;
- het omgaan met wachtwoorden/SSO/MFA oplossingen;
- autorisatieprofielen &amp; autorisatiematrix.</t>
  </si>
  <si>
    <t>Taken functioneel beheer en technisch applicatiebeheer.</t>
  </si>
  <si>
    <t>Beschrijf de belangrijkste taken van functioneel beheer en technisch applicatiebeheer binnen de aangeboden oplossing. Geef duidelijk aan wat de meerwaarde is van de aangeboden functionaliteit.</t>
  </si>
  <si>
    <t>Demonstratie gedeelte E. Functioneel beheer</t>
  </si>
  <si>
    <t>Koppelingen</t>
  </si>
  <si>
    <t>Uitgangspunt: Voor koppelingen met andere systemen of landelijke voorzieningen wil Opdrachtgever zoveel mogelijk ontzorgd worden. Alle koppelingen met gemeentelijke system lopen nu via iConnect (Makelaarsuite) van Pink Roccade. Zie hiervoor ook het plaatje van het huidige applicatielandschap Gemeente Huizen. De eis is dat uw applicatie dit minimaal ook kan. Doel is alle bevragingen van de landelijke voorzieningen te ontsluiten door middel van de Haal Centraal API's. We zijn heel benieuwd naar uw visie zoals gevraagd bij K21.</t>
  </si>
  <si>
    <t>K01</t>
  </si>
  <si>
    <t>K02</t>
  </si>
  <si>
    <t>K03</t>
  </si>
  <si>
    <t>K04</t>
  </si>
  <si>
    <t>K05</t>
  </si>
  <si>
    <t>De ICT oplossing koppelt met iFinanciën van Pink Roccade</t>
  </si>
  <si>
    <t>K06</t>
  </si>
  <si>
    <t>K07</t>
  </si>
  <si>
    <t>Contacten met andere leveranciers lopen niet via de gemeente maar worden rechtstreeks door de inschrijver aangengaan met de te koppelen partij. Gemeente wordt wel op de hoogte gehouden van de voortgang.</t>
  </si>
  <si>
    <t>K08</t>
  </si>
  <si>
    <t>K09</t>
  </si>
  <si>
    <t>De ICT oplossing is in staat om een exportbestand te genereren en uit te wisselen met Postex</t>
  </si>
  <si>
    <t>K10</t>
  </si>
  <si>
    <t>De ICT oplossing beschikt over een koppeling met Cyclomedia. </t>
  </si>
  <si>
    <t>K11</t>
  </si>
  <si>
    <t>De ICT oplossing beschikt over een koppeling met het WOZ-datacenter voor Tiox. Incourante objecten worden geautomatiseerd met deze gegevens gewaardeerd.</t>
  </si>
  <si>
    <t>K12</t>
  </si>
  <si>
    <t>De ICT oplossing beschikt over een koppeling met Digimelding.</t>
  </si>
  <si>
    <t>K13</t>
  </si>
  <si>
    <t>De ICT oplossing koppelt met MIjnOverheid voor de taxatieverslagen</t>
  </si>
  <si>
    <t>K14</t>
  </si>
  <si>
    <t xml:space="preserve">De ICT oplossing heeft een directe koppeling met Postex </t>
  </si>
  <si>
    <t>Wens en doel van de Gemeente Huizen is om al onze uitgaande post via deze manier aan te bieden aan Postex. Via Postex kunnen wij dan al onze post (op de taxatieverslagen na) sturen naar MijnOverheid</t>
  </si>
  <si>
    <t>K15</t>
  </si>
  <si>
    <t xml:space="preserve">De ICT oplossing beschikt over een koppeling met Key2Begraven. </t>
  </si>
  <si>
    <t>Op dit moment worden bestanden ingelezen. Wij willen toe naar een directe koppeling.</t>
  </si>
  <si>
    <t>K16</t>
  </si>
  <si>
    <t xml:space="preserve">De ICT oplossing beschikt over een koppeling met iWOZ voor de vraagprijzen. </t>
  </si>
  <si>
    <t>K17</t>
  </si>
  <si>
    <t>De ICT oplossing beschikt over een koppeling met EP-online en haalt de actuele energielabels periodiek geautomatiseerd op.</t>
  </si>
  <si>
    <t>K18</t>
  </si>
  <si>
    <t>De ICT oplossing beschikt over een koppeling met Cannock.</t>
  </si>
  <si>
    <t>Op dit moment leveren wij bestanden aan Cannock. Onze wens is om hier een automatische koppeling van te hebben</t>
  </si>
  <si>
    <t>Geef uw visie  op de nieuwe informatievoorziening Common Ground. Beschrijf zo concreet mogelijk die stappen die u zet om met de ICT oplossing te voldoen aan de Common Ground uitgangspunten.</t>
  </si>
  <si>
    <t>Besteed hierbij minimaal aandacht aan:
- Data blijven bij de bron. Data uit basisregistraties maar ook domein specifieke data uit uw oplossing.
- Ophalen van gegevens met API's.
- Een gemeenschappelijke integratie laag.
- Uniform maken van gegevens.
- Roadmap
- 5-lagen model</t>
  </si>
  <si>
    <t xml:space="preserve">Conversie </t>
  </si>
  <si>
    <t>C01</t>
  </si>
  <si>
    <t>Inschrijver is verantwoordelijk voor de migratie van informatie van oud naar nieuw.</t>
  </si>
  <si>
    <t xml:space="preserve">De huidige belastingapplicatie is Civision. De huidige waarderenapplicatie is VRiS. </t>
  </si>
  <si>
    <t>C02</t>
  </si>
  <si>
    <t>Inschrijver levert een test- en definitieve conversie. De gemeente Huizen moet goedkeuring geven voor de testconversie voordat de definitieve conversie start.</t>
  </si>
  <si>
    <t>C03</t>
  </si>
  <si>
    <t>De lopende invorderingsprocedures moeten één op één aansluiten op de oude applicatie.</t>
  </si>
  <si>
    <t>n.n.t.</t>
  </si>
  <si>
    <t>C04</t>
  </si>
  <si>
    <t>Inschrijver levert een conversieplan.</t>
  </si>
  <si>
    <t>Het conversieplan bevat minimaal:
- Beschrijving van welke data op welke wijze betrokken is bij conversie ( Historie / Subjecten / Objecten / Plichten / WOZ onderdelen / documenten / notities / aantekeningen e.d. );
- toelichting conversie verslagen oud /nieuw;
- toelichting of er data is die betrokken is bij de conversie waarvan u verwacht dat deze in de nieuwe applicatie niet meer leidend zal zijn maar deze overgenomen zal worden uit een andere basisregistratie ( b.v. BAG );
- een inschatting van de doorlooptijd;
- een inschatting van de benodigde resources aan de kant van de gemeente voor de conversie;
- historische zaken van belastingen in nieuwe oplossing;
- historische voor invorderingen in nieuwe oplossing;
- modeldocumenten/sjablonen;
- het niet mee converteren van informatie waarvan de vernietigingstermijn is verstreken.</t>
  </si>
  <si>
    <t>ja, max 1.750 woorden</t>
  </si>
  <si>
    <t>Roadmap</t>
  </si>
  <si>
    <t>Rm01</t>
  </si>
  <si>
    <t>Geef uw visie op de ontwikkelingen in het vakgebied Belastingen. Besteed daarbij aandacht aan de inzet van AI en robotisering binnen de gemeentelijke belastingen en het WOZ-waarderingsproces.</t>
  </si>
  <si>
    <t xml:space="preserve">Welke ontwikkeling ziet u en wat is de impact op de gemeentelijke  informatievoorziening en specifiek op de aangeboden oplossing. Beschrijf de roadmap van de aangeboden oplossing op deze onderwerpen voor de komende 5 jaar. Maak deze concreet voor 2026 en 2027. Besteed hierbij aandacht aan de wijze waarop wordt omgegaan met wensen van klanten. </t>
  </si>
  <si>
    <t>Rm02</t>
  </si>
  <si>
    <t xml:space="preserve">Geef uw visie op communicatie met belanghebbenden. Besteed daarbij aandacht aan de huidige werking en de ontwikkelingen van de Digitale Belastingbalie. </t>
  </si>
  <si>
    <t xml:space="preserve">Beschrijf de roadmap van de aangeboden oplossing op dit onderwerp voor de komende 5 jaar. Maak deze concreet voor 2026 en 2027. Besteed hierbij aandacht aan de wijze waarop wordt omgegaan met wensen van klanten. </t>
  </si>
  <si>
    <t>Exit Strategie</t>
  </si>
  <si>
    <t>Uitgangspunt: De gemeente Huizen is eigenaar van de gegevens en wil na beëindiging van de overeenkomst vlekkeloos over kunnen gaan naar een nieuwe oplossing.</t>
  </si>
  <si>
    <t>E01</t>
  </si>
  <si>
    <t>E02</t>
  </si>
  <si>
    <t>Geheimhouding blijft van kracht ná het overdragen of beëindigen van de dienst.</t>
  </si>
  <si>
    <t>E03</t>
  </si>
  <si>
    <t xml:space="preserve">Inschrijver levert na beëindiging van de dienst een bewijs aan van vernietiging van de data op hun servers. </t>
  </si>
  <si>
    <t>Informatiebeveiliging / Privacy</t>
  </si>
  <si>
    <t>Ib01</t>
  </si>
  <si>
    <t xml:space="preserve">  </t>
  </si>
  <si>
    <t>Ib02</t>
  </si>
  <si>
    <t>Inschrijver zorgt dat de ICT oplossing en de onderliggende ICT infrastructuur voldoet aan de eisen die de IBD stelt op het gebied van de informatiebeveiliging en die zijn vastgelegd in de Baseline Informatiebeveiliging Overheid (BIO).</t>
  </si>
  <si>
    <t xml:space="preserve"> Denk hierbij onder andere aan:
- Algemene verordening gegevensbescherming (AVG).
- De infrastructuur en organisatie van de leverancier zijn adequaat beveiligd volgens ISO/IEC 27001 en ISO/IEC 27002 of vergelijkbaar. De leverancier is bereid op eigen kosten jaarlijks (de eerste voor Acceptatie) een verklaring van getrouwheid (of vergelijkbaar) te verkrijgen via een onafhankelijke derde partij, om aan te tonen dat zij als contractant veilig om gaat met vertrouwelijke informatie. De toereikende van de informatiebeveiliging blijkt uit minimaal één van onderstaande:
 * Certificering;
  * Periodieke externe controles zoals audits of TPM’s (bijv. ISAE3xxx SOC type II);
  * Een Assurance rapport met conclusie over de bevindingen van de auditor;
  * Data Pro Certificaat
  * Een verwerkersovereenkomst.</t>
  </si>
  <si>
    <t>Ib03</t>
  </si>
  <si>
    <t>Bij uitbesteding van de hosting of andere onderdelen van de overeenkomst blijft de eindverantwoordelijkheid bij Inschrijver liggen. We willen één aanspreekpunt voor alle problemen, klachten, wensen, etc.</t>
  </si>
  <si>
    <t>Ib04</t>
  </si>
  <si>
    <t xml:space="preserve">Inschrijver heeft bij de softwareontwikkeling privacy by design ingericht. Daarnaast heeft Inschrijver privacy by default ingericht binnen de processen en systemen. </t>
  </si>
  <si>
    <t>Ib05</t>
  </si>
  <si>
    <t>De gebruikte cryptografische algoritmen voor versleuteling zijn als open standaard gedocumenteerd en zijn door onafhankelijke betrouwbare deskundigen getoetst.</t>
  </si>
  <si>
    <t>Ib06</t>
  </si>
  <si>
    <t xml:space="preserve">De beveiliging van de webapplicaties van de oplossing voldoet aan de NCSC ICT-beveiligingsrichtlijnen voor webapplicaties. </t>
  </si>
  <si>
    <t>Ib07</t>
  </si>
  <si>
    <t>De aspecten beschikbaarheid, integriteit en vertrouwelijkheid binnen de ICT oplossing geborgd.</t>
  </si>
  <si>
    <t>Ib08</t>
  </si>
  <si>
    <t>De ICT oplossing ondersteunt verschillende niveaus van vertrouwelijkheid.</t>
  </si>
  <si>
    <t>Ib09</t>
  </si>
  <si>
    <t>Logbestanden worden zodanig beschermd dat deze niet aangepast of gemanipuleerd kunnen worden.</t>
  </si>
  <si>
    <t>Ib10</t>
  </si>
  <si>
    <t>De ICT oplossing maakt het mogelijk dat het raadplegen van logbestanden is voorbehouden aan geautoriseerde gebruikers. Hierbij is de toegang beperkt tot leesrechten.</t>
  </si>
  <si>
    <t>Ib11</t>
  </si>
  <si>
    <t>In een logregel worden in geen geval gevoelige gegevens opgenomen. Dit betreft niet alleen persoonsgegevens maar ook gegevens waarmee de beveiliging doorbroken kan worden (zoals wachtwoorden, inbelnummers, enz.)</t>
  </si>
  <si>
    <t>Ib12</t>
  </si>
  <si>
    <t>Inschrijver levert voor ingang van de overeenkomst de volgende documenten aan bij Opdrachtgever:
- Incidentenprocedure
- Continuïteits- en herstelplan (BCP/DRP)
- Logging- en monitoringbeleid</t>
  </si>
  <si>
    <t>Deze documenten gebruiken wij om te beoordelen of de leverancier structureel voldoet aan de geldende beveiligingsnormen en of risico’s adequaat worden beheerst.</t>
  </si>
  <si>
    <t>Ib13</t>
  </si>
  <si>
    <t xml:space="preserve">Beschrijf de functionaliteit van de ICT oplossing m.b.t. auditing / logging. </t>
  </si>
  <si>
    <t>Ga daarbij ten minste in op (voor zover van toepassing):
- Wie heeft wanneer en waarom welke gegevens verwerkt;
- hoe lang de logs bewaard blijven;
- in welke mate en op welke wijze dit middels configuratie door functioneel beheerder wijzigen is.</t>
  </si>
  <si>
    <t>Uitgangspunt: Vanaf datum productie kan de gemeente Huizen volledig zelfstandig met de aangeboden oplossing werken. Beheerders hebben voldoende kennis om de bedrijfsprocessen zo optimaal mogelijk te ondersteunen met de aangeboden applicatie.</t>
  </si>
  <si>
    <t>Im01</t>
  </si>
  <si>
    <t>Inschrijver levert voorafgaan aan de implementatie een implementatieplan op. Inclusief een planning.</t>
  </si>
  <si>
    <r>
      <rPr>
        <sz val="10"/>
        <color rgb="FF000000"/>
        <rFont val="Arial"/>
        <family val="2"/>
      </rPr>
      <t>In het plan staat concreet beschreven wat de inspanningen zijn die van de gemeente Huizen</t>
    </r>
    <r>
      <rPr>
        <sz val="10"/>
        <color rgb="FFFF0000"/>
        <rFont val="Arial"/>
        <family val="2"/>
      </rPr>
      <t xml:space="preserve"> </t>
    </r>
    <r>
      <rPr>
        <sz val="10"/>
        <color rgb="FF000000"/>
        <rFont val="Arial"/>
        <family val="2"/>
      </rPr>
      <t>worden verwacht.</t>
    </r>
  </si>
  <si>
    <t>Im02</t>
  </si>
  <si>
    <t>Inschrijver levert uiterlijk 1 januari 2027 een werkende productieomgeving op.</t>
  </si>
  <si>
    <t>De gemeente Huizen wil vanaf 1 januari 2027 kunnen werken met de aangeboden oplossing.</t>
  </si>
  <si>
    <t>Im03</t>
  </si>
  <si>
    <t>Inschrijver zorgt ervoor dat er een productiestop is van maximaal 4 weken. Daarna moet de gemeente Huizen kunnen beschikken over de volledige functionaliteit van de aangeboden oplossing.</t>
  </si>
  <si>
    <t>Im04</t>
  </si>
  <si>
    <t>Beschrijf de training/opleiding voor de verschillende delen van de applicatie, vermeldt hierbij steeds de duur (aantal dagen en sessies, inclusief eventueel benodigde voorbereiding), opzet en inhoud van de training. Maak hierbij een onderscheid tussen eindgebruikers, functioneel beheer en technisch applicatiebeheer.</t>
  </si>
  <si>
    <t xml:space="preserve">De gemeente Huizen heeft een sterke voorkeur om alle trainingen/opleidingen/instructies op locatie bij de gemeente uit te voeren. </t>
  </si>
  <si>
    <t>Onderwerp</t>
  </si>
  <si>
    <t>Geo-informatie</t>
  </si>
  <si>
    <t>Conversie</t>
  </si>
  <si>
    <t>Informatiebeveiliging/Privacy</t>
  </si>
  <si>
    <t>Implementatie</t>
  </si>
  <si>
    <t>De aangeboden oplossing is schaalbaar en kan zonder prestatieverlies omgaan met een groot aantal belastingrecords en bijbehorende data.</t>
  </si>
  <si>
    <t>Zie het Beschrijvend document voor de aantallen die relevant zijn voor Opdrachtgever.</t>
  </si>
  <si>
    <t>Wensen</t>
  </si>
  <si>
    <t>Vragen</t>
  </si>
  <si>
    <t>Demonstratie</t>
  </si>
  <si>
    <t>SLA</t>
  </si>
  <si>
    <t>Max score</t>
  </si>
  <si>
    <t>Totalen</t>
  </si>
  <si>
    <t>#</t>
  </si>
  <si>
    <t>Voor ondernemers is het voor het behandelen van een kwijtscheldingsverzoek afwachten op de jaarrekening. Dit kan wel een jaar duren. Het zou fijn zijn als in één oogopslag in de werklijst te zien is dat het om deze categorie gaat.</t>
  </si>
  <si>
    <t>In de ICT oplossing en werkvoorraad is het mogelijk om inzichtelijk te maken dat het gaat om een ondernemer, ten behoeve van een afwijkend kwijtscheldingstraject.</t>
  </si>
  <si>
    <t>Met de ICT oplossing is het mogelijk om invulling te geven aan het beheer van WOZ-objecten, deelobjecten, kadastrale relaties, gebruikscodes en soort objectcodes.</t>
  </si>
  <si>
    <t>Doc01</t>
  </si>
  <si>
    <t>Doc02</t>
  </si>
  <si>
    <t>Doc03</t>
  </si>
  <si>
    <t>Doc04</t>
  </si>
  <si>
    <t>Doc05</t>
  </si>
  <si>
    <t>Doc06</t>
  </si>
  <si>
    <t>Doc07</t>
  </si>
  <si>
    <t>Doc08</t>
  </si>
  <si>
    <t>Doc09</t>
  </si>
  <si>
    <t>Doc10</t>
  </si>
  <si>
    <t>Doc11</t>
  </si>
  <si>
    <t>Doc12</t>
  </si>
  <si>
    <t>Doc13</t>
  </si>
  <si>
    <t>Doc14</t>
  </si>
  <si>
    <t>Doc15</t>
  </si>
  <si>
    <t>Doc16</t>
  </si>
  <si>
    <t>Doc17</t>
  </si>
  <si>
    <t>Doc18</t>
  </si>
  <si>
    <t xml:space="preserve">Inschrijver geeft volledige medewerking aan het einde en/of bij tussentijdse beëindiging van de overeenkomst van het contract voor het kosteloos overbrengen van de volledige dataset uit de Oplossing in een origineel en duurzaam bruikbaar bestandsformaat, aan Opdrachtgever. </t>
  </si>
  <si>
    <t>De grafrechten worden opgelegd vanuit Key2Begraven.</t>
  </si>
  <si>
    <t>Score totalen</t>
  </si>
  <si>
    <t>Kwaliteit</t>
  </si>
  <si>
    <t>Prijs</t>
  </si>
  <si>
    <t>%</t>
  </si>
  <si>
    <t>Inschrijver gaat akkoord met het toepassen van de standaard VNG verwerkersovereenkomst (bijlage 5c Standaard Verwerkersoverkeenkomst).</t>
  </si>
  <si>
    <t xml:space="preserve">De ICT oplossing integreert met het zaaksysteem via het integratieplatform van Opdrachtgever, conform geldende standaarden en koppelvlakken (zoals StUF en/of API). </t>
  </si>
  <si>
    <t>De ICT oplossing moet gegevens uit de Basisregistratie Adressen en Gebouwen (BAG) kunnen ontvangen, via het  integratieplatform van Opdrachtgever (zoals iConnect) of via de Landelijke Voorziening BAG, conform de geldende landelijke standaarden (zoals de BAG API’s of StUF-BAG)</t>
  </si>
  <si>
    <t>De ICT oplossing stelt Opdrachtgever in staat om als bronhouder gegevens aan te leveren en te ontvangen ten behoeve van de WOZ-administratie conform de geldende landelijke standaarden (zoals StUF-WOZ en opvolgende versies) via het integratieplatform van Opdrachtgever (zoals iConnect).</t>
  </si>
  <si>
    <t>De ICT oplossing ondersteunt geautomatiseerde gegevensontvangst uit het Handelsregister (HR) via het integratieplatform van Opdrachtgever (zoals iConnect).</t>
  </si>
  <si>
    <t>De ICT oplossing ondersteunt gegevensuitwisseling met de BRK via het integratieplatform van Opdrachtgever (zoals iConnect), op basis van geldende landelijke standaarden.</t>
  </si>
  <si>
    <t xml:space="preserve">De ICT oplossing is in staat om gegevens van de Basisregistratie Personen (BRP) te ontvangen via het integratieplatform van Opdrachtgever, waarbij gebruik wordt gemaakt van de geldende landelijke standaarden. </t>
  </si>
  <si>
    <t>Zie https://www.gemmaonline.nl/wiki/GEMMA_StUF-standaardenlijst.</t>
  </si>
  <si>
    <t>Berichtenuitwisseling is op basis van het BAG WOZ koppelvlak (Lk03 berichten) en betreft minimaal verblijfsobjecten, panden en nummeraanduidingen. Het via LV BAG afname binnenhalen voor alle 3 de gemeenten is ook een optie. Zie https://www.gemmaonline.nl/wiki/GEMMA_StUF-standaardenlijst.</t>
  </si>
  <si>
    <t>Opdrachtgever wil zich niet opstellen als system integrator. Inschrijver is volledig verantwoordelijk voor het opleveren van alle aangeboden koppelingen.</t>
  </si>
  <si>
    <t>Inschrijver conformeert zich volledig en onvoorwaardelijk aan de GIBIT 2023 (bijlage 9 VNG GIBIT 2023). Dit betekent dat uitsluitend de door Opdrachtgever gehanteerde voorwaarden van toepassing zijn.</t>
  </si>
  <si>
    <r>
      <t xml:space="preserve">Besteed hierbij minimaal aandacht aan:
- Opschonen subjecten wanneer er geen doelbinding meer is.
- Informatieobjecten overbrengen naar een e-depot conform </t>
    </r>
    <r>
      <rPr>
        <sz val="10"/>
        <color rgb="FFFF0000"/>
        <rFont val="Arial"/>
        <family val="2"/>
      </rPr>
      <t>MDTO</t>
    </r>
    <r>
      <rPr>
        <sz val="10"/>
        <rFont val="Arial"/>
        <family val="2"/>
      </rPr>
      <t xml:space="preserve">
- Samenstellen vernietigingslijst.
- Selecteren te vernietigen informatieobjecten.
- Te vernietigen informatie.
- Relatie met vernietiging in zaaksysteem.
- In bulk vernietigen van informatieobjecten</t>
    </r>
  </si>
  <si>
    <t>De ICT oplossing sluit aan op Haal Centraal voor het gebruik van basisgegevens uit de landelijke voorzieningen van de basisregistraties (zoals BAG, BRK) met de daarvoor bestemde API standaarden.</t>
  </si>
  <si>
    <r>
      <t xml:space="preserve">Facturen dienen </t>
    </r>
    <r>
      <rPr>
        <sz val="10"/>
        <color rgb="FFFF0000"/>
        <rFont val="Arial"/>
        <family val="2"/>
      </rPr>
      <t>jaarlijks</t>
    </r>
    <r>
      <rPr>
        <sz val="10"/>
        <color theme="1"/>
        <rFont val="Arial"/>
        <family val="2"/>
      </rPr>
      <t xml:space="preserve"> digitaal in PDF formaat aangeleverd te worden op het mailadres: facturen@huizen.nl </t>
    </r>
  </si>
  <si>
    <t>Aangepast n.a.v. vraag 125 (NvI 2)</t>
  </si>
  <si>
    <t>De data uit de test-/acceptatieomgeving moet door Opdrachtgever minimaal twee (2) keer per kalenderjaar, op een door Opdrachtgever aangegeven moment, ververst kunnen worden met data uit de productieomgeving. Dit heeft geen impact op de productieomgeving.</t>
  </si>
  <si>
    <t>Arch30</t>
  </si>
  <si>
    <t>Toegevoegd n.a.v. vraag 125 (NvI 2)</t>
  </si>
  <si>
    <t>De data uit de test-/acceptatieomgeving moet door Opdrachtgever op elk gewenst moment ververst kunnen worden met data uit de productieomgeving. Dit heeft geen impact op de productieomgeving.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</si>
</sst>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rgb="FF9C5700"/>
      <name val="Calibri"/>
      <family val="2"/>
      <scheme val="minor"/>
    </font>
    <font>
      <b/>
      <sz val="22"/>
      <name val="Calibri"/>
      <family val="2"/>
      <scheme val="minor"/>
    </font>
    <font>
      <sz val="10"/>
      <name val="Calibri"/>
      <family val="2"/>
      <scheme val="minor"/>
    </font>
    <font>
      <b/>
      <sz val="10"/>
      <color rgb="FF9C6500"/>
      <name val="Arial"/>
      <family val="2"/>
    </font>
    <font>
      <sz val="10"/>
      <name val="Arial"/>
      <family val="2"/>
    </font>
    <font>
      <sz val="10"/>
      <color rgb="FF000000"/>
      <name val="Arial"/>
      <family val="2"/>
    </font>
    <font>
      <sz val="8"/>
      <name val="Calibri"/>
      <family val="2"/>
      <scheme val="minor"/>
    </font>
    <font>
      <sz val="11"/>
      <color theme="1"/>
      <name val="Arial"/>
      <family val="2"/>
    </font>
    <font>
      <b/>
      <sz val="10"/>
      <name val="Arial"/>
      <family val="2"/>
    </font>
    <font>
      <sz val="11"/>
      <color rgb="FFFF0000"/>
      <name val="Arial"/>
      <family val="2"/>
    </font>
    <font>
      <sz val="10"/>
      <color theme="1"/>
      <name val="Arial"/>
      <family val="2"/>
    </font>
    <font>
      <sz val="10"/>
      <color rgb="FFFF0000"/>
      <name val="Arial"/>
      <family val="2"/>
    </font>
    <font>
      <b/>
      <sz val="22"/>
      <name val="Arial"/>
      <family val="2"/>
    </font>
    <font>
      <b/>
      <sz val="11"/>
      <color theme="1"/>
      <name val="Calibri"/>
      <family val="2"/>
      <scheme val="minor"/>
    </font>
    <font>
      <sz val="11"/>
      <color rgb="FF000000"/>
      <name val="Calibri"/>
      <family val="2"/>
      <scheme val="minor"/>
    </font>
    <font>
      <sz val="10"/>
      <color rgb="FF000000"/>
      <name val="Arial"/>
      <family val="2"/>
    </font>
    <font>
      <sz val="10"/>
      <color rgb="FFFF0000"/>
      <name val="Arial"/>
      <family val="2"/>
    </font>
    <font>
      <sz val="10"/>
      <color theme="1"/>
      <name val="Arial"/>
      <family val="2"/>
    </font>
    <font>
      <sz val="10"/>
      <name val="Arial"/>
      <family val="2"/>
    </font>
    <font>
      <sz val="10"/>
      <color rgb="FF000000"/>
      <name val="Arial"/>
      <family val="2"/>
    </font>
    <font>
      <b/>
      <sz val="10"/>
      <color theme="1"/>
      <name val="Arial"/>
      <family val="2"/>
    </font>
    <font>
      <sz val="11"/>
      <color theme="1"/>
      <name val="Arial"/>
      <family val="2"/>
    </font>
    <font>
      <b/>
      <sz val="10"/>
      <name val="Arial"/>
      <family val="2"/>
    </font>
    <font>
      <sz val="11"/>
      <color rgb="FFFF0000"/>
      <name val="Calibri"/>
      <family val="2"/>
      <scheme val="minor"/>
    </font>
    <font>
      <u/>
      <sz val="10"/>
      <color rgb="FF000000"/>
      <name val="Arial"/>
      <family val="2"/>
    </font>
    <font>
      <u/>
      <sz val="10"/>
      <name val="Arial"/>
      <family val="2"/>
    </font>
  </fonts>
  <fills count="6">
    <fill>
      <patternFill patternType="none"/>
    </fill>
    <fill>
      <patternFill patternType="gray125"/>
    </fill>
    <fill>
      <patternFill patternType="solid">
        <fgColor rgb="FFFFEB9C"/>
      </patternFill>
    </fill>
    <fill>
      <patternFill patternType="solid">
        <fgColor rgb="FF70AD47"/>
        <bgColor indexed="64"/>
      </patternFill>
    </fill>
    <fill>
      <patternFill patternType="solid">
        <fgColor rgb="FFFFFFFF"/>
        <bgColor rgb="FF000000"/>
      </patternFill>
    </fill>
    <fill>
      <patternFill patternType="solid">
        <fgColor rgb="FFFFC000"/>
        <bgColor indexed="64"/>
      </patternFill>
    </fill>
  </fills>
  <borders count="31">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indexed="64"/>
      </top>
      <bottom/>
      <diagonal/>
    </border>
    <border>
      <left style="thin">
        <color indexed="64"/>
      </left>
      <right/>
      <top/>
      <bottom style="thin">
        <color indexed="64"/>
      </bottom>
      <diagonal/>
    </border>
    <border>
      <left/>
      <right/>
      <top style="thin">
        <color rgb="FF000000"/>
      </top>
      <bottom style="thin">
        <color rgb="FF000000"/>
      </bottom>
      <diagonal/>
    </border>
    <border>
      <left style="thin">
        <color rgb="FF000000"/>
      </left>
      <right/>
      <top style="thin">
        <color rgb="FF000000"/>
      </top>
      <bottom/>
      <diagonal/>
    </border>
    <border>
      <left style="thin">
        <color indexed="64"/>
      </left>
      <right style="thin">
        <color rgb="FF000000"/>
      </right>
      <top style="thin">
        <color rgb="FF000000"/>
      </top>
      <bottom style="thin">
        <color indexed="64"/>
      </bottom>
      <diagonal/>
    </border>
    <border>
      <left style="thin">
        <color rgb="FF000000"/>
      </left>
      <right/>
      <top/>
      <bottom/>
      <diagonal/>
    </border>
    <border>
      <left style="thin">
        <color rgb="FF000000"/>
      </left>
      <right/>
      <top/>
      <bottom style="thin">
        <color rgb="FF000000"/>
      </bottom>
      <diagonal/>
    </border>
    <border>
      <left/>
      <right style="thin">
        <color indexed="64"/>
      </right>
      <top/>
      <bottom style="thin">
        <color indexed="64"/>
      </bottom>
      <diagonal/>
    </border>
    <border>
      <left style="thin">
        <color rgb="FF000000"/>
      </left>
      <right style="thin">
        <color rgb="FF000000"/>
      </right>
      <top style="thin">
        <color indexed="64"/>
      </top>
      <bottom style="thin">
        <color indexed="64"/>
      </bottom>
      <diagonal/>
    </border>
    <border>
      <left/>
      <right/>
      <top style="thin">
        <color rgb="FF000000"/>
      </top>
      <bottom/>
      <diagonal/>
    </border>
    <border>
      <left/>
      <right style="thin">
        <color rgb="FF000000"/>
      </right>
      <top style="thin">
        <color rgb="FF000000"/>
      </top>
      <bottom/>
      <diagonal/>
    </border>
    <border>
      <left style="thin">
        <color indexed="64"/>
      </left>
      <right style="thin">
        <color indexed="64"/>
      </right>
      <top/>
      <bottom/>
      <diagonal/>
    </border>
    <border>
      <left/>
      <right style="thin">
        <color rgb="FF000000"/>
      </right>
      <top/>
      <bottom style="thin">
        <color rgb="FF000000"/>
      </bottom>
      <diagonal/>
    </border>
    <border>
      <left/>
      <right/>
      <top style="thin">
        <color indexed="64"/>
      </top>
      <bottom style="thin">
        <color indexed="64"/>
      </bottom>
      <diagonal/>
    </border>
    <border>
      <left/>
      <right/>
      <top/>
      <bottom style="double">
        <color indexed="64"/>
      </bottom>
      <diagonal/>
    </border>
    <border>
      <left/>
      <right/>
      <top/>
      <bottom style="medium">
        <color indexed="64"/>
      </bottom>
      <diagonal/>
    </border>
    <border>
      <left style="thin">
        <color rgb="FF000000"/>
      </left>
      <right style="thin">
        <color indexed="64"/>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s>
  <cellStyleXfs count="2">
    <xf numFmtId="0" fontId="0" fillId="0" borderId="0"/>
    <xf numFmtId="0" fontId="1" fillId="2" borderId="0" applyNumberFormat="0" applyBorder="0" applyAlignment="0" applyProtection="0"/>
  </cellStyleXfs>
  <cellXfs count="313">
    <xf numFmtId="0" fontId="0" fillId="0" borderId="0" xfId="0"/>
    <xf numFmtId="0" fontId="2" fillId="0" borderId="0" xfId="0" applyFont="1" applyAlignment="1">
      <alignment horizontal="left" vertical="top"/>
    </xf>
    <xf numFmtId="0" fontId="3" fillId="0" borderId="0" xfId="0" applyFont="1" applyAlignment="1">
      <alignment horizontal="left" vertical="top" wrapText="1"/>
    </xf>
    <xf numFmtId="0" fontId="3" fillId="0" borderId="0" xfId="0" applyFont="1" applyAlignment="1">
      <alignment horizontal="left" vertical="top"/>
    </xf>
    <xf numFmtId="0" fontId="0" fillId="0" borderId="0" xfId="0" applyAlignment="1">
      <alignment horizontal="left" vertical="top"/>
    </xf>
    <xf numFmtId="0" fontId="4" fillId="0" borderId="0" xfId="1" applyFont="1" applyFill="1" applyBorder="1" applyAlignment="1">
      <alignment horizontal="left" vertical="top" wrapText="1"/>
    </xf>
    <xf numFmtId="0" fontId="5" fillId="0" borderId="2" xfId="1" applyFont="1" applyFill="1" applyBorder="1" applyAlignment="1">
      <alignment horizontal="left" vertical="top"/>
    </xf>
    <xf numFmtId="0" fontId="5" fillId="0" borderId="2" xfId="1" applyFont="1" applyFill="1" applyBorder="1" applyAlignment="1">
      <alignment horizontal="left" vertical="top" wrapText="1"/>
    </xf>
    <xf numFmtId="0" fontId="6" fillId="0" borderId="2" xfId="1" applyFont="1" applyFill="1" applyBorder="1" applyAlignment="1">
      <alignment horizontal="left" vertical="top" wrapText="1"/>
    </xf>
    <xf numFmtId="0" fontId="5" fillId="0" borderId="2" xfId="1" applyFont="1" applyFill="1" applyBorder="1" applyAlignment="1">
      <alignment horizontal="center" vertical="top"/>
    </xf>
    <xf numFmtId="0" fontId="5" fillId="0" borderId="2" xfId="1" applyFont="1" applyFill="1" applyBorder="1" applyAlignment="1">
      <alignment horizontal="center" vertical="top" wrapText="1"/>
    </xf>
    <xf numFmtId="0" fontId="8" fillId="0" borderId="0" xfId="0" applyFont="1" applyAlignment="1">
      <alignment horizontal="left" vertical="top"/>
    </xf>
    <xf numFmtId="0" fontId="5" fillId="3" borderId="1" xfId="0" applyFont="1" applyFill="1" applyBorder="1" applyAlignment="1">
      <alignment horizontal="left" vertical="top" wrapText="1"/>
    </xf>
    <xf numFmtId="0" fontId="8" fillId="0" borderId="0" xfId="0" applyFont="1"/>
    <xf numFmtId="0" fontId="5" fillId="0" borderId="0" xfId="0" applyFont="1" applyAlignment="1">
      <alignment horizontal="left" vertical="top" wrapText="1"/>
    </xf>
    <xf numFmtId="0" fontId="9" fillId="0" borderId="2" xfId="0" applyFont="1" applyBorder="1" applyAlignment="1">
      <alignment horizontal="left" vertical="top"/>
    </xf>
    <xf numFmtId="0" fontId="9" fillId="0" borderId="2" xfId="0" applyFont="1" applyBorder="1" applyAlignment="1">
      <alignment horizontal="left" vertical="top" wrapText="1"/>
    </xf>
    <xf numFmtId="0" fontId="9" fillId="0" borderId="2" xfId="0" applyFont="1" applyBorder="1" applyAlignment="1">
      <alignment horizontal="center" vertical="top" wrapText="1"/>
    </xf>
    <xf numFmtId="0" fontId="5" fillId="0" borderId="2" xfId="0" applyFont="1" applyBorder="1" applyAlignment="1">
      <alignment horizontal="left" vertical="top"/>
    </xf>
    <xf numFmtId="0" fontId="6" fillId="0" borderId="2" xfId="0" applyFont="1" applyBorder="1" applyAlignment="1">
      <alignment horizontal="center" vertical="top"/>
    </xf>
    <xf numFmtId="0" fontId="8" fillId="0" borderId="0" xfId="0" applyFont="1" applyAlignment="1">
      <alignment wrapText="1"/>
    </xf>
    <xf numFmtId="0" fontId="8" fillId="0" borderId="0" xfId="0" applyFont="1" applyAlignment="1">
      <alignment horizontal="center"/>
    </xf>
    <xf numFmtId="0" fontId="10" fillId="0" borderId="0" xfId="0" applyFont="1"/>
    <xf numFmtId="0" fontId="11" fillId="0" borderId="0" xfId="0" applyFont="1" applyAlignment="1">
      <alignment horizontal="left" vertical="top"/>
    </xf>
    <xf numFmtId="0" fontId="11" fillId="0" borderId="0" xfId="0" applyFont="1"/>
    <xf numFmtId="0" fontId="11" fillId="0" borderId="2" xfId="0" applyFont="1" applyBorder="1" applyAlignment="1">
      <alignment vertical="top" wrapText="1"/>
    </xf>
    <xf numFmtId="0" fontId="11" fillId="0" borderId="2" xfId="0" applyFont="1" applyBorder="1" applyAlignment="1">
      <alignment horizontal="center" vertical="top"/>
    </xf>
    <xf numFmtId="0" fontId="11" fillId="0" borderId="0" xfId="0" applyFont="1" applyAlignment="1">
      <alignment wrapText="1"/>
    </xf>
    <xf numFmtId="0" fontId="11" fillId="0" borderId="0" xfId="0" applyFont="1" applyAlignment="1">
      <alignment horizontal="center"/>
    </xf>
    <xf numFmtId="0" fontId="11" fillId="0" borderId="2" xfId="0" applyFont="1" applyBorder="1" applyAlignment="1">
      <alignment horizontal="center"/>
    </xf>
    <xf numFmtId="0" fontId="12" fillId="0" borderId="0" xfId="0" applyFont="1"/>
    <xf numFmtId="0" fontId="13" fillId="0" borderId="0" xfId="0" applyFont="1" applyAlignment="1">
      <alignment horizontal="left" vertical="top"/>
    </xf>
    <xf numFmtId="0" fontId="5" fillId="0" borderId="0" xfId="0" applyFont="1" applyAlignment="1">
      <alignment horizontal="left" vertical="top"/>
    </xf>
    <xf numFmtId="0" fontId="11" fillId="0" borderId="0" xfId="0" applyFont="1" applyAlignment="1">
      <alignment vertical="top" wrapText="1"/>
    </xf>
    <xf numFmtId="0" fontId="6" fillId="0" borderId="2" xfId="0" applyFont="1" applyBorder="1" applyAlignment="1">
      <alignment horizontal="center" vertical="top" wrapText="1"/>
    </xf>
    <xf numFmtId="0" fontId="6" fillId="0" borderId="0" xfId="0" applyFont="1" applyAlignment="1">
      <alignment horizontal="left" vertical="top"/>
    </xf>
    <xf numFmtId="0" fontId="11" fillId="0" borderId="2" xfId="0" applyFont="1" applyBorder="1" applyAlignment="1">
      <alignment horizontal="center"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4" borderId="2" xfId="0" applyFont="1" applyFill="1" applyBorder="1" applyAlignment="1">
      <alignment horizontal="left" vertical="top" wrapText="1"/>
    </xf>
    <xf numFmtId="0" fontId="12" fillId="0" borderId="0" xfId="0" applyFont="1" applyAlignment="1">
      <alignment horizontal="left" vertical="top" wrapText="1"/>
    </xf>
    <xf numFmtId="0" fontId="5" fillId="0" borderId="0" xfId="1" applyFont="1" applyFill="1" applyBorder="1" applyAlignment="1">
      <alignment horizontal="left" vertical="top"/>
    </xf>
    <xf numFmtId="0" fontId="12" fillId="0" borderId="2" xfId="0" applyFont="1" applyBorder="1" applyAlignment="1">
      <alignment horizontal="left" vertical="top" wrapText="1"/>
    </xf>
    <xf numFmtId="0" fontId="5" fillId="0" borderId="2" xfId="0" applyFont="1" applyBorder="1" applyAlignment="1">
      <alignment horizontal="left" wrapText="1"/>
    </xf>
    <xf numFmtId="0" fontId="5" fillId="0" borderId="2" xfId="0" applyFont="1" applyBorder="1" applyAlignment="1">
      <alignment horizontal="left"/>
    </xf>
    <xf numFmtId="0" fontId="15" fillId="0" borderId="2" xfId="1" applyFont="1" applyFill="1" applyBorder="1" applyAlignment="1">
      <alignment horizontal="left" vertical="top" wrapText="1"/>
    </xf>
    <xf numFmtId="0" fontId="5" fillId="0" borderId="1" xfId="1" applyFont="1" applyFill="1" applyBorder="1" applyAlignment="1">
      <alignment horizontal="left" vertical="top"/>
    </xf>
    <xf numFmtId="0" fontId="11" fillId="0" borderId="1" xfId="0" applyFont="1" applyBorder="1" applyAlignment="1">
      <alignment vertical="top" wrapText="1"/>
    </xf>
    <xf numFmtId="0" fontId="5" fillId="0" borderId="1" xfId="1" applyFont="1" applyFill="1" applyBorder="1" applyAlignment="1">
      <alignment horizontal="center" vertical="top"/>
    </xf>
    <xf numFmtId="0" fontId="6" fillId="0" borderId="1" xfId="0" applyFont="1" applyBorder="1" applyAlignment="1">
      <alignment horizontal="center" vertical="top"/>
    </xf>
    <xf numFmtId="0" fontId="5" fillId="0" borderId="3" xfId="1" applyFont="1" applyFill="1" applyBorder="1" applyAlignment="1">
      <alignment horizontal="left" vertical="top"/>
    </xf>
    <xf numFmtId="0" fontId="11" fillId="0" borderId="3" xfId="0" applyFont="1" applyBorder="1" applyAlignment="1">
      <alignment vertical="top" wrapText="1"/>
    </xf>
    <xf numFmtId="0" fontId="5" fillId="0" borderId="3" xfId="1" applyFont="1" applyFill="1" applyBorder="1" applyAlignment="1">
      <alignment horizontal="center" vertical="top"/>
    </xf>
    <xf numFmtId="0" fontId="6" fillId="0" borderId="3" xfId="0" applyFont="1" applyBorder="1" applyAlignment="1">
      <alignment horizontal="center" vertical="top"/>
    </xf>
    <xf numFmtId="0" fontId="11" fillId="0" borderId="6" xfId="0" applyFont="1" applyBorder="1" applyAlignment="1">
      <alignment horizontal="center"/>
    </xf>
    <xf numFmtId="0" fontId="6" fillId="0" borderId="1" xfId="1" applyFont="1" applyFill="1" applyBorder="1" applyAlignment="1">
      <alignment horizontal="left" vertical="top" wrapText="1"/>
    </xf>
    <xf numFmtId="0" fontId="5" fillId="0" borderId="5" xfId="1" applyFont="1" applyFill="1" applyBorder="1" applyAlignment="1">
      <alignment horizontal="center" vertical="top"/>
    </xf>
    <xf numFmtId="0" fontId="6" fillId="0" borderId="3" xfId="1" applyFont="1" applyFill="1" applyBorder="1" applyAlignment="1">
      <alignment horizontal="left" vertical="top" wrapText="1"/>
    </xf>
    <xf numFmtId="0" fontId="11" fillId="0" borderId="1" xfId="0" applyFont="1" applyBorder="1"/>
    <xf numFmtId="0" fontId="6" fillId="0" borderId="1" xfId="0" applyFont="1" applyBorder="1" applyAlignment="1">
      <alignment wrapText="1"/>
    </xf>
    <xf numFmtId="0" fontId="5" fillId="0" borderId="8" xfId="1" applyFont="1" applyFill="1" applyBorder="1" applyAlignment="1">
      <alignment horizontal="center" vertical="top"/>
    </xf>
    <xf numFmtId="0" fontId="11" fillId="0" borderId="9" xfId="0" applyFont="1" applyBorder="1" applyAlignment="1">
      <alignment vertical="top" wrapText="1"/>
    </xf>
    <xf numFmtId="0" fontId="6" fillId="0" borderId="9" xfId="1" applyFont="1" applyFill="1" applyBorder="1" applyAlignment="1">
      <alignment horizontal="left" vertical="top" wrapText="1"/>
    </xf>
    <xf numFmtId="0" fontId="6" fillId="0" borderId="5" xfId="1" applyFont="1" applyFill="1" applyBorder="1" applyAlignment="1">
      <alignment horizontal="left" vertical="top" wrapText="1"/>
    </xf>
    <xf numFmtId="0" fontId="11" fillId="0" borderId="1" xfId="0" applyFont="1" applyBorder="1" applyAlignment="1">
      <alignment wrapText="1"/>
    </xf>
    <xf numFmtId="0" fontId="16" fillId="0" borderId="2" xfId="1" applyFont="1" applyFill="1" applyBorder="1" applyAlignment="1">
      <alignment horizontal="left" vertical="top" wrapText="1"/>
    </xf>
    <xf numFmtId="0" fontId="17" fillId="0" borderId="2" xfId="1" applyFont="1" applyFill="1" applyBorder="1" applyAlignment="1">
      <alignment horizontal="left" vertical="top" wrapText="1"/>
    </xf>
    <xf numFmtId="0" fontId="12" fillId="0" borderId="2" xfId="1" applyFont="1" applyFill="1" applyBorder="1" applyAlignment="1">
      <alignment horizontal="left" vertical="top" wrapText="1"/>
    </xf>
    <xf numFmtId="0" fontId="12" fillId="0" borderId="2" xfId="0" applyFont="1" applyBorder="1" applyAlignment="1">
      <alignment vertical="top" wrapText="1"/>
    </xf>
    <xf numFmtId="0" fontId="11" fillId="0" borderId="10" xfId="0" applyFont="1" applyBorder="1" applyAlignment="1">
      <alignment vertical="top" wrapText="1"/>
    </xf>
    <xf numFmtId="0" fontId="6" fillId="0" borderId="8" xfId="1" applyFont="1" applyFill="1" applyBorder="1" applyAlignment="1">
      <alignment horizontal="left" vertical="top" wrapText="1"/>
    </xf>
    <xf numFmtId="0" fontId="11" fillId="0" borderId="8" xfId="0" applyFont="1" applyBorder="1" applyAlignment="1">
      <alignment vertical="top" wrapText="1"/>
    </xf>
    <xf numFmtId="0" fontId="9" fillId="0" borderId="3" xfId="0" applyFont="1" applyBorder="1" applyAlignment="1">
      <alignment horizontal="left" vertical="top" wrapText="1"/>
    </xf>
    <xf numFmtId="0" fontId="12" fillId="0" borderId="3" xfId="1" applyFont="1" applyFill="1" applyBorder="1" applyAlignment="1">
      <alignment horizontal="left" vertical="top" wrapText="1"/>
    </xf>
    <xf numFmtId="0" fontId="19" fillId="0" borderId="2" xfId="1" applyFont="1" applyFill="1" applyBorder="1" applyAlignment="1">
      <alignment horizontal="left" vertical="top" wrapText="1"/>
    </xf>
    <xf numFmtId="0" fontId="19" fillId="3" borderId="1" xfId="0" applyFont="1" applyFill="1" applyBorder="1" applyAlignment="1">
      <alignment horizontal="left" vertical="top" wrapText="1"/>
    </xf>
    <xf numFmtId="0" fontId="18" fillId="0" borderId="2" xfId="0" applyFont="1" applyBorder="1" applyAlignment="1">
      <alignment vertical="top" wrapText="1"/>
    </xf>
    <xf numFmtId="0" fontId="11" fillId="0" borderId="1" xfId="0" applyFont="1" applyBorder="1" applyAlignment="1">
      <alignment horizontal="center" vertical="top"/>
    </xf>
    <xf numFmtId="0" fontId="6" fillId="0" borderId="2" xfId="0" applyFont="1" applyBorder="1" applyAlignment="1">
      <alignment vertical="top" wrapText="1"/>
    </xf>
    <xf numFmtId="0" fontId="6" fillId="0" borderId="1" xfId="1" applyFont="1" applyFill="1" applyBorder="1" applyAlignment="1">
      <alignment horizontal="center" vertical="top"/>
    </xf>
    <xf numFmtId="0" fontId="16" fillId="0" borderId="2" xfId="0" applyFont="1" applyBorder="1" applyAlignment="1">
      <alignment horizontal="center" vertical="top"/>
    </xf>
    <xf numFmtId="0" fontId="5" fillId="0" borderId="2" xfId="0" applyFont="1" applyBorder="1" applyAlignment="1">
      <alignment vertical="top" wrapText="1"/>
    </xf>
    <xf numFmtId="0" fontId="5" fillId="0" borderId="13" xfId="1" applyFont="1" applyFill="1" applyBorder="1" applyAlignment="1">
      <alignment horizontal="center" vertical="top"/>
    </xf>
    <xf numFmtId="0" fontId="5" fillId="0" borderId="12" xfId="1" applyFont="1" applyFill="1" applyBorder="1" applyAlignment="1">
      <alignment horizontal="center" vertical="top"/>
    </xf>
    <xf numFmtId="0" fontId="6" fillId="0" borderId="11" xfId="0" applyFont="1" applyBorder="1" applyAlignment="1">
      <alignment horizontal="center" vertical="top"/>
    </xf>
    <xf numFmtId="0" fontId="19" fillId="0" borderId="2" xfId="1" applyFont="1" applyFill="1" applyBorder="1" applyAlignment="1">
      <alignment horizontal="center" vertical="top"/>
    </xf>
    <xf numFmtId="0" fontId="18" fillId="0" borderId="0" xfId="0" applyFont="1" applyAlignment="1">
      <alignment vertical="top" wrapText="1"/>
    </xf>
    <xf numFmtId="0" fontId="18" fillId="0" borderId="3" xfId="0" applyFont="1" applyBorder="1" applyAlignment="1">
      <alignment vertical="top" wrapText="1"/>
    </xf>
    <xf numFmtId="0" fontId="19" fillId="0" borderId="3" xfId="1" applyFont="1" applyFill="1" applyBorder="1" applyAlignment="1">
      <alignment horizontal="center" vertical="top"/>
    </xf>
    <xf numFmtId="0" fontId="16" fillId="0" borderId="3" xfId="0" applyFont="1" applyBorder="1" applyAlignment="1">
      <alignment horizontal="center" vertical="top"/>
    </xf>
    <xf numFmtId="0" fontId="19" fillId="0" borderId="11" xfId="1" applyFont="1" applyFill="1" applyBorder="1" applyAlignment="1">
      <alignment horizontal="center" vertical="top"/>
    </xf>
    <xf numFmtId="0" fontId="19" fillId="0" borderId="1" xfId="1" applyFont="1" applyFill="1" applyBorder="1" applyAlignment="1">
      <alignment horizontal="center" vertical="top"/>
    </xf>
    <xf numFmtId="0" fontId="16" fillId="0" borderId="1" xfId="0" applyFont="1" applyBorder="1" applyAlignment="1">
      <alignment horizontal="center" vertical="top"/>
    </xf>
    <xf numFmtId="0" fontId="19" fillId="0" borderId="1" xfId="1" applyFont="1" applyFill="1" applyBorder="1" applyAlignment="1">
      <alignment horizontal="left" vertical="top" wrapText="1"/>
    </xf>
    <xf numFmtId="0" fontId="16" fillId="0" borderId="1" xfId="1" applyFont="1" applyFill="1" applyBorder="1" applyAlignment="1">
      <alignment horizontal="left" vertical="top" wrapText="1"/>
    </xf>
    <xf numFmtId="0" fontId="19" fillId="0" borderId="1" xfId="1" applyFont="1" applyFill="1" applyBorder="1" applyAlignment="1">
      <alignment horizontal="center" vertical="top" wrapText="1"/>
    </xf>
    <xf numFmtId="0" fontId="5" fillId="0" borderId="7" xfId="1" applyFont="1" applyFill="1" applyBorder="1" applyAlignment="1">
      <alignment horizontal="center" vertical="top"/>
    </xf>
    <xf numFmtId="0" fontId="18" fillId="0" borderId="14" xfId="0" applyFont="1" applyBorder="1" applyAlignment="1">
      <alignment vertical="top" wrapText="1"/>
    </xf>
    <xf numFmtId="0" fontId="6" fillId="0" borderId="13" xfId="0" applyFont="1" applyBorder="1" applyAlignment="1">
      <alignment horizontal="center" vertical="top"/>
    </xf>
    <xf numFmtId="0" fontId="16" fillId="0" borderId="0" xfId="1" applyFont="1" applyFill="1" applyBorder="1" applyAlignment="1">
      <alignment horizontal="left" vertical="top" wrapText="1"/>
    </xf>
    <xf numFmtId="0" fontId="6" fillId="0" borderId="0" xfId="1" applyFont="1" applyFill="1" applyBorder="1" applyAlignment="1">
      <alignment horizontal="left" vertical="top" wrapText="1"/>
    </xf>
    <xf numFmtId="0" fontId="9" fillId="0" borderId="3" xfId="0" applyFont="1" applyBorder="1" applyAlignment="1">
      <alignment horizontal="left" vertical="top"/>
    </xf>
    <xf numFmtId="0" fontId="9" fillId="0" borderId="3" xfId="0" applyFont="1" applyBorder="1" applyAlignment="1">
      <alignment horizontal="center" vertical="top" wrapText="1"/>
    </xf>
    <xf numFmtId="0" fontId="16" fillId="0" borderId="1" xfId="0" applyFont="1" applyBorder="1"/>
    <xf numFmtId="0" fontId="12" fillId="0" borderId="5" xfId="1" applyFont="1" applyFill="1" applyBorder="1" applyAlignment="1">
      <alignment horizontal="left" vertical="top" wrapText="1"/>
    </xf>
    <xf numFmtId="0" fontId="18" fillId="0" borderId="2" xfId="0" applyFont="1" applyBorder="1" applyAlignment="1">
      <alignment horizontal="center" vertical="top" wrapText="1"/>
    </xf>
    <xf numFmtId="0" fontId="6" fillId="0" borderId="5" xfId="0" applyFont="1" applyBorder="1" applyAlignment="1">
      <alignment horizontal="center" vertical="top"/>
    </xf>
    <xf numFmtId="0" fontId="6" fillId="0" borderId="10" xfId="1" applyFont="1" applyFill="1" applyBorder="1" applyAlignment="1">
      <alignment horizontal="left" vertical="top" wrapText="1"/>
    </xf>
    <xf numFmtId="0" fontId="18" fillId="0" borderId="13" xfId="0" applyFont="1" applyBorder="1" applyAlignment="1">
      <alignment horizontal="center" vertical="top"/>
    </xf>
    <xf numFmtId="0" fontId="16" fillId="0" borderId="12" xfId="0" applyFont="1" applyBorder="1" applyAlignment="1">
      <alignment horizontal="center" vertical="top"/>
    </xf>
    <xf numFmtId="0" fontId="18" fillId="0" borderId="10" xfId="0" applyFont="1" applyBorder="1" applyAlignment="1">
      <alignment horizontal="center" vertical="top"/>
    </xf>
    <xf numFmtId="0" fontId="18" fillId="0" borderId="1" xfId="0" applyFont="1" applyBorder="1" applyAlignment="1">
      <alignment vertical="top" wrapText="1"/>
    </xf>
    <xf numFmtId="0" fontId="19" fillId="0" borderId="5" xfId="1" applyFont="1" applyFill="1" applyBorder="1" applyAlignment="1">
      <alignment horizontal="center" vertical="top"/>
    </xf>
    <xf numFmtId="0" fontId="15" fillId="0" borderId="3" xfId="1" applyFont="1" applyFill="1" applyBorder="1" applyAlignment="1">
      <alignment horizontal="left" vertical="top" wrapText="1"/>
    </xf>
    <xf numFmtId="0" fontId="19" fillId="0" borderId="11" xfId="1" applyFont="1" applyFill="1" applyBorder="1" applyAlignment="1">
      <alignment horizontal="left" vertical="top" wrapText="1"/>
    </xf>
    <xf numFmtId="0" fontId="8" fillId="0" borderId="0" xfId="0" applyFont="1" applyAlignment="1">
      <alignment vertical="top"/>
    </xf>
    <xf numFmtId="0" fontId="11" fillId="0" borderId="0" xfId="0" applyFont="1" applyAlignment="1">
      <alignment vertical="top"/>
    </xf>
    <xf numFmtId="0" fontId="11" fillId="0" borderId="0" xfId="0" applyFont="1" applyAlignment="1">
      <alignment horizontal="left" vertical="top" wrapText="1"/>
    </xf>
    <xf numFmtId="0" fontId="6" fillId="0" borderId="0" xfId="0" applyFont="1" applyAlignment="1">
      <alignment vertical="top" wrapText="1"/>
    </xf>
    <xf numFmtId="0" fontId="6" fillId="0" borderId="1" xfId="0" applyFont="1" applyBorder="1" applyAlignment="1">
      <alignment vertical="top" wrapText="1"/>
    </xf>
    <xf numFmtId="0" fontId="0" fillId="0" borderId="0" xfId="0" applyAlignment="1">
      <alignment vertical="top" wrapText="1"/>
    </xf>
    <xf numFmtId="0" fontId="8" fillId="0" borderId="0" xfId="0" applyFont="1" applyAlignment="1">
      <alignment vertical="top" wrapText="1"/>
    </xf>
    <xf numFmtId="0" fontId="11" fillId="0" borderId="17" xfId="0" applyFont="1" applyBorder="1" applyAlignment="1">
      <alignment vertical="top" wrapText="1"/>
    </xf>
    <xf numFmtId="0" fontId="12" fillId="0" borderId="1" xfId="1" applyFont="1" applyFill="1" applyBorder="1" applyAlignment="1">
      <alignment horizontal="left" vertical="top" wrapText="1"/>
    </xf>
    <xf numFmtId="0" fontId="11" fillId="0" borderId="14" xfId="0" applyFont="1" applyBorder="1" applyAlignment="1">
      <alignment vertical="top" wrapText="1"/>
    </xf>
    <xf numFmtId="0" fontId="9" fillId="0" borderId="4" xfId="0" applyFont="1" applyBorder="1" applyAlignment="1">
      <alignment horizontal="center" vertical="top" wrapText="1"/>
    </xf>
    <xf numFmtId="0" fontId="16" fillId="0" borderId="4" xfId="0" applyFont="1" applyBorder="1" applyAlignment="1">
      <alignment horizontal="center" vertical="top"/>
    </xf>
    <xf numFmtId="0" fontId="6" fillId="0" borderId="4" xfId="0" applyFont="1" applyBorder="1" applyAlignment="1">
      <alignment horizontal="center" vertical="top"/>
    </xf>
    <xf numFmtId="0" fontId="16" fillId="0" borderId="7" xfId="0" applyFont="1" applyBorder="1" applyAlignment="1">
      <alignment horizontal="center" vertical="top"/>
    </xf>
    <xf numFmtId="0" fontId="19" fillId="0" borderId="12" xfId="1" applyFont="1" applyFill="1" applyBorder="1" applyAlignment="1">
      <alignment horizontal="center" vertical="top" wrapText="1"/>
    </xf>
    <xf numFmtId="0" fontId="6" fillId="0" borderId="7" xfId="0" applyFont="1" applyBorder="1" applyAlignment="1">
      <alignment horizontal="center" vertical="top"/>
    </xf>
    <xf numFmtId="0" fontId="6" fillId="0" borderId="12" xfId="0" applyFont="1" applyBorder="1" applyAlignment="1">
      <alignment horizontal="center" vertical="top"/>
    </xf>
    <xf numFmtId="0" fontId="11" fillId="0" borderId="4" xfId="0" applyFont="1" applyBorder="1" applyAlignment="1">
      <alignment horizontal="center" vertical="top"/>
    </xf>
    <xf numFmtId="0" fontId="6" fillId="0" borderId="4" xfId="0" applyFont="1" applyBorder="1" applyAlignment="1">
      <alignment horizontal="center" vertical="top" wrapText="1"/>
    </xf>
    <xf numFmtId="0" fontId="11" fillId="0" borderId="4" xfId="0" applyFont="1" applyBorder="1" applyAlignment="1">
      <alignment horizontal="center" vertical="top" wrapText="1"/>
    </xf>
    <xf numFmtId="0" fontId="9" fillId="0" borderId="7" xfId="0" applyFont="1" applyBorder="1" applyAlignment="1">
      <alignment horizontal="center" vertical="top" wrapText="1"/>
    </xf>
    <xf numFmtId="0" fontId="11" fillId="0" borderId="12" xfId="0" applyFont="1" applyBorder="1" applyAlignment="1">
      <alignment horizontal="center" vertical="top"/>
    </xf>
    <xf numFmtId="0" fontId="6" fillId="0" borderId="2" xfId="0" applyFont="1" applyBorder="1" applyAlignment="1">
      <alignment horizontal="left" vertical="top" wrapText="1"/>
    </xf>
    <xf numFmtId="0" fontId="6" fillId="0" borderId="3" xfId="0" applyFont="1" applyBorder="1" applyAlignment="1">
      <alignment vertical="top" wrapText="1"/>
    </xf>
    <xf numFmtId="0" fontId="11" fillId="0" borderId="12" xfId="0" applyFont="1" applyBorder="1" applyAlignment="1">
      <alignment vertical="top" wrapText="1"/>
    </xf>
    <xf numFmtId="0" fontId="19" fillId="0" borderId="3" xfId="0" applyFont="1" applyBorder="1" applyAlignment="1">
      <alignment horizontal="left" vertical="top" wrapText="1"/>
    </xf>
    <xf numFmtId="0" fontId="6" fillId="0" borderId="11" xfId="0" applyFont="1" applyBorder="1" applyAlignment="1">
      <alignment vertical="top" wrapText="1"/>
    </xf>
    <xf numFmtId="0" fontId="8" fillId="0" borderId="0" xfId="0" applyFont="1" applyAlignment="1">
      <alignment horizontal="center" vertical="top"/>
    </xf>
    <xf numFmtId="0" fontId="16" fillId="0" borderId="2" xfId="0" applyFont="1" applyBorder="1" applyAlignment="1">
      <alignment horizontal="left" vertical="top" wrapText="1"/>
    </xf>
    <xf numFmtId="0" fontId="6" fillId="0" borderId="2" xfId="1" applyFont="1" applyFill="1" applyBorder="1" applyAlignment="1">
      <alignment horizontal="center" vertical="top"/>
    </xf>
    <xf numFmtId="0" fontId="16" fillId="0" borderId="2" xfId="0" applyFont="1" applyBorder="1" applyAlignment="1">
      <alignment horizontal="center" vertical="top" wrapText="1"/>
    </xf>
    <xf numFmtId="0" fontId="20" fillId="0" borderId="1" xfId="0" applyFont="1" applyBorder="1" applyAlignment="1">
      <alignment vertical="top" wrapText="1"/>
    </xf>
    <xf numFmtId="0" fontId="6" fillId="0" borderId="0" xfId="0" applyFont="1"/>
    <xf numFmtId="0" fontId="19" fillId="0" borderId="13" xfId="1" applyFont="1" applyFill="1" applyBorder="1" applyAlignment="1">
      <alignment horizontal="center" vertical="top"/>
    </xf>
    <xf numFmtId="0" fontId="19" fillId="0" borderId="12" xfId="1" applyFont="1" applyFill="1" applyBorder="1" applyAlignment="1">
      <alignment horizontal="center" vertical="top"/>
    </xf>
    <xf numFmtId="0" fontId="16" fillId="0" borderId="11" xfId="0" applyFont="1" applyBorder="1" applyAlignment="1">
      <alignment horizontal="center" vertical="top"/>
    </xf>
    <xf numFmtId="0" fontId="18" fillId="0" borderId="0" xfId="0" applyFont="1"/>
    <xf numFmtId="0" fontId="16" fillId="0" borderId="2" xfId="1" applyFont="1" applyFill="1" applyBorder="1" applyAlignment="1">
      <alignment horizontal="center" vertical="top"/>
    </xf>
    <xf numFmtId="0" fontId="19" fillId="0" borderId="9" xfId="1" applyFont="1" applyFill="1" applyBorder="1" applyAlignment="1">
      <alignment horizontal="center" vertical="top"/>
    </xf>
    <xf numFmtId="0" fontId="16" fillId="0" borderId="9" xfId="0" applyFont="1" applyBorder="1" applyAlignment="1">
      <alignment horizontal="center" vertical="top"/>
    </xf>
    <xf numFmtId="0" fontId="18" fillId="0" borderId="1" xfId="0" applyFont="1" applyBorder="1" applyAlignment="1">
      <alignment horizontal="center"/>
    </xf>
    <xf numFmtId="0" fontId="6" fillId="3" borderId="1" xfId="0" applyFont="1" applyFill="1" applyBorder="1" applyAlignment="1">
      <alignment horizontal="left" vertical="top" wrapText="1"/>
    </xf>
    <xf numFmtId="0" fontId="11" fillId="0" borderId="1" xfId="0" applyFont="1" applyBorder="1" applyAlignment="1">
      <alignment horizontal="center"/>
    </xf>
    <xf numFmtId="0" fontId="11" fillId="0" borderId="5" xfId="0" applyFont="1" applyBorder="1" applyAlignment="1">
      <alignment horizontal="center"/>
    </xf>
    <xf numFmtId="0" fontId="11" fillId="0" borderId="20" xfId="0" applyFont="1" applyBorder="1" applyAlignment="1">
      <alignment horizontal="center"/>
    </xf>
    <xf numFmtId="0" fontId="11" fillId="0" borderId="3" xfId="0" applyFont="1" applyBorder="1" applyAlignment="1">
      <alignment horizontal="center" vertical="top" wrapText="1"/>
    </xf>
    <xf numFmtId="0" fontId="16" fillId="0" borderId="3" xfId="0" applyFont="1" applyBorder="1" applyAlignment="1">
      <alignment horizontal="center" vertical="top" wrapText="1"/>
    </xf>
    <xf numFmtId="0" fontId="6" fillId="0" borderId="3" xfId="0" applyFont="1" applyBorder="1" applyAlignment="1">
      <alignment horizontal="center" vertical="top" wrapText="1"/>
    </xf>
    <xf numFmtId="0" fontId="16" fillId="0" borderId="2" xfId="0" applyFont="1" applyBorder="1" applyAlignment="1">
      <alignment vertical="top" wrapText="1"/>
    </xf>
    <xf numFmtId="0" fontId="16" fillId="0" borderId="10" xfId="0" applyFont="1" applyBorder="1" applyAlignment="1">
      <alignment vertical="top" wrapText="1"/>
    </xf>
    <xf numFmtId="0" fontId="18" fillId="0" borderId="19" xfId="0" applyFont="1" applyBorder="1" applyAlignment="1">
      <alignment horizontal="center" vertical="top"/>
    </xf>
    <xf numFmtId="0" fontId="18" fillId="0" borderId="12" xfId="0" applyFont="1" applyBorder="1" applyAlignment="1">
      <alignment horizontal="center" vertical="top"/>
    </xf>
    <xf numFmtId="0" fontId="5" fillId="0" borderId="2" xfId="0" applyFont="1" applyBorder="1" applyAlignment="1">
      <alignment horizontal="center" vertical="top"/>
    </xf>
    <xf numFmtId="0" fontId="5" fillId="0" borderId="12" xfId="0" applyFont="1" applyBorder="1" applyAlignment="1">
      <alignment horizontal="center" vertical="top"/>
    </xf>
    <xf numFmtId="0" fontId="5" fillId="0" borderId="15" xfId="0" applyFont="1" applyBorder="1" applyAlignment="1">
      <alignment horizontal="center" vertical="top"/>
    </xf>
    <xf numFmtId="0" fontId="23" fillId="0" borderId="2" xfId="0" applyFont="1" applyBorder="1" applyAlignment="1">
      <alignment horizontal="center" vertical="top" wrapText="1"/>
    </xf>
    <xf numFmtId="0" fontId="19" fillId="0" borderId="2" xfId="1" applyFont="1" applyFill="1" applyBorder="1" applyAlignment="1">
      <alignment horizontal="center" vertical="top" wrapText="1"/>
    </xf>
    <xf numFmtId="0" fontId="16" fillId="0" borderId="1" xfId="1" applyFont="1" applyFill="1" applyBorder="1" applyAlignment="1">
      <alignment horizontal="center" vertical="top" wrapText="1"/>
    </xf>
    <xf numFmtId="0" fontId="19" fillId="0" borderId="7" xfId="1" applyFont="1" applyFill="1" applyBorder="1" applyAlignment="1">
      <alignment horizontal="center" vertical="top"/>
    </xf>
    <xf numFmtId="0" fontId="16" fillId="0" borderId="13" xfId="0" applyFont="1" applyBorder="1" applyAlignment="1">
      <alignment horizontal="center" vertical="top"/>
    </xf>
    <xf numFmtId="0" fontId="19" fillId="0" borderId="2" xfId="0" applyFont="1" applyBorder="1" applyAlignment="1">
      <alignment vertical="top" wrapText="1"/>
    </xf>
    <xf numFmtId="0" fontId="11" fillId="0" borderId="11" xfId="0" applyFont="1" applyBorder="1" applyAlignment="1">
      <alignment horizontal="center" vertical="top"/>
    </xf>
    <xf numFmtId="0" fontId="6" fillId="0" borderId="1" xfId="0" applyFont="1" applyBorder="1" applyAlignment="1">
      <alignment horizontal="center" vertical="top" wrapText="1"/>
    </xf>
    <xf numFmtId="0" fontId="20" fillId="0" borderId="2" xfId="0" applyFont="1" applyBorder="1" applyAlignment="1">
      <alignment vertical="top" wrapText="1"/>
    </xf>
    <xf numFmtId="0" fontId="22" fillId="0" borderId="0" xfId="0" applyFont="1" applyAlignment="1">
      <alignment vertical="top" wrapText="1"/>
    </xf>
    <xf numFmtId="0" fontId="22" fillId="0" borderId="0" xfId="0" applyFont="1" applyAlignment="1">
      <alignment vertical="top"/>
    </xf>
    <xf numFmtId="0" fontId="11" fillId="0" borderId="21" xfId="0" applyFont="1" applyBorder="1" applyAlignment="1">
      <alignment vertical="top" wrapText="1"/>
    </xf>
    <xf numFmtId="0" fontId="16" fillId="5" borderId="2" xfId="0" applyFont="1" applyFill="1" applyBorder="1" applyAlignment="1" applyProtection="1">
      <alignment horizontal="center" vertical="top"/>
      <protection locked="0"/>
    </xf>
    <xf numFmtId="0" fontId="6" fillId="5" borderId="2" xfId="0" applyFont="1" applyFill="1" applyBorder="1" applyAlignment="1" applyProtection="1">
      <alignment horizontal="center" vertical="top"/>
      <protection locked="0"/>
    </xf>
    <xf numFmtId="0" fontId="16" fillId="5" borderId="3" xfId="0" applyFont="1" applyFill="1" applyBorder="1" applyAlignment="1" applyProtection="1">
      <alignment horizontal="center" vertical="top"/>
      <protection locked="0"/>
    </xf>
    <xf numFmtId="0" fontId="16" fillId="5" borderId="9" xfId="0" applyFont="1" applyFill="1" applyBorder="1" applyAlignment="1" applyProtection="1">
      <alignment horizontal="center" vertical="top"/>
      <protection locked="0"/>
    </xf>
    <xf numFmtId="0" fontId="16" fillId="5" borderId="1" xfId="0" applyFont="1" applyFill="1" applyBorder="1" applyAlignment="1" applyProtection="1">
      <alignment horizontal="center" vertical="top"/>
      <protection locked="0"/>
    </xf>
    <xf numFmtId="0" fontId="11" fillId="0" borderId="1" xfId="0" applyFont="1" applyBorder="1" applyAlignment="1" applyProtection="1">
      <alignment vertical="top"/>
      <protection locked="0"/>
    </xf>
    <xf numFmtId="0" fontId="11" fillId="0" borderId="1" xfId="0" applyFont="1" applyBorder="1" applyProtection="1">
      <protection locked="0"/>
    </xf>
    <xf numFmtId="0" fontId="6" fillId="0" borderId="10" xfId="0" applyFont="1" applyBorder="1" applyAlignment="1">
      <alignment horizontal="center" vertical="top"/>
    </xf>
    <xf numFmtId="0" fontId="11" fillId="0" borderId="16" xfId="0" applyFont="1" applyBorder="1" applyAlignment="1">
      <alignment vertical="top" wrapText="1"/>
    </xf>
    <xf numFmtId="0" fontId="5" fillId="0" borderId="12" xfId="0" applyFont="1" applyBorder="1" applyAlignment="1">
      <alignment vertical="top" wrapText="1"/>
    </xf>
    <xf numFmtId="0" fontId="19" fillId="0" borderId="2" xfId="0" applyFont="1" applyBorder="1" applyAlignment="1">
      <alignment horizontal="left" vertical="top" wrapText="1"/>
    </xf>
    <xf numFmtId="0" fontId="6" fillId="0" borderId="0" xfId="0" applyFont="1" applyAlignment="1">
      <alignment horizontal="center" vertical="top"/>
    </xf>
    <xf numFmtId="0" fontId="5" fillId="0" borderId="10" xfId="1" applyFont="1" applyFill="1" applyBorder="1" applyAlignment="1">
      <alignment horizontal="center" vertical="top"/>
    </xf>
    <xf numFmtId="0" fontId="5" fillId="0" borderId="22" xfId="0" applyFont="1" applyBorder="1" applyAlignment="1">
      <alignment horizontal="center" vertical="top"/>
    </xf>
    <xf numFmtId="0" fontId="11" fillId="0" borderId="14" xfId="0" applyFont="1" applyBorder="1" applyAlignment="1">
      <alignment horizontal="center" vertical="top"/>
    </xf>
    <xf numFmtId="0" fontId="18" fillId="0" borderId="0" xfId="0" applyFont="1" applyAlignment="1">
      <alignment horizontal="center" vertical="top"/>
    </xf>
    <xf numFmtId="0" fontId="5" fillId="0" borderId="16" xfId="0" applyFont="1" applyBorder="1" applyAlignment="1">
      <alignment horizontal="center" vertical="top"/>
    </xf>
    <xf numFmtId="0" fontId="5" fillId="0" borderId="3" xfId="0" applyFont="1" applyBorder="1" applyAlignment="1">
      <alignment horizontal="left" vertical="top"/>
    </xf>
    <xf numFmtId="0" fontId="11" fillId="0" borderId="10" xfId="0" applyFont="1" applyBorder="1" applyAlignment="1">
      <alignment horizontal="center"/>
    </xf>
    <xf numFmtId="0" fontId="5" fillId="0" borderId="9" xfId="1" applyFont="1" applyFill="1" applyBorder="1" applyAlignment="1">
      <alignment horizontal="center" vertical="top"/>
    </xf>
    <xf numFmtId="0" fontId="5" fillId="0" borderId="11" xfId="0" applyFont="1" applyBorder="1" applyAlignment="1">
      <alignment horizontal="center" vertical="top"/>
    </xf>
    <xf numFmtId="0" fontId="5" fillId="0" borderId="23" xfId="0" applyFont="1" applyBorder="1" applyAlignment="1">
      <alignment horizontal="center" vertical="top"/>
    </xf>
    <xf numFmtId="0" fontId="5" fillId="0" borderId="25" xfId="0" applyFont="1" applyBorder="1" applyAlignment="1">
      <alignment horizontal="center" vertical="top"/>
    </xf>
    <xf numFmtId="0" fontId="5" fillId="0" borderId="1"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horizontal="center" vertical="top"/>
    </xf>
    <xf numFmtId="0" fontId="5" fillId="0" borderId="2" xfId="0" applyFont="1" applyBorder="1" applyAlignment="1">
      <alignment horizontal="center" vertical="top" wrapText="1"/>
    </xf>
    <xf numFmtId="0" fontId="5" fillId="0" borderId="16" xfId="1" applyFont="1" applyFill="1" applyBorder="1" applyAlignment="1">
      <alignment horizontal="center" vertical="top"/>
    </xf>
    <xf numFmtId="0" fontId="11" fillId="0" borderId="19" xfId="0" applyFont="1" applyBorder="1" applyAlignment="1">
      <alignment horizontal="center" vertical="top"/>
    </xf>
    <xf numFmtId="0" fontId="11" fillId="0" borderId="20" xfId="0" applyFont="1" applyBorder="1" applyAlignment="1">
      <alignment horizontal="center" vertical="top"/>
    </xf>
    <xf numFmtId="0" fontId="11" fillId="0" borderId="9" xfId="0" applyFont="1" applyBorder="1" applyAlignment="1">
      <alignment horizontal="center"/>
    </xf>
    <xf numFmtId="0" fontId="5" fillId="0" borderId="1" xfId="0" applyFont="1" applyBorder="1" applyAlignment="1">
      <alignment vertical="top" wrapText="1"/>
    </xf>
    <xf numFmtId="0" fontId="9" fillId="0" borderId="5" xfId="0" applyFont="1" applyBorder="1" applyAlignment="1">
      <alignment horizontal="left" vertical="top"/>
    </xf>
    <xf numFmtId="0" fontId="5" fillId="0" borderId="5" xfId="0" applyFont="1" applyBorder="1" applyAlignment="1">
      <alignment horizontal="left" vertical="top"/>
    </xf>
    <xf numFmtId="0" fontId="5" fillId="0" borderId="5" xfId="1" applyFont="1" applyFill="1" applyBorder="1" applyAlignment="1">
      <alignment horizontal="left" vertical="top"/>
    </xf>
    <xf numFmtId="0" fontId="9" fillId="0" borderId="12" xfId="0" applyFont="1" applyBorder="1" applyAlignment="1">
      <alignment horizontal="center" vertical="top" wrapText="1"/>
    </xf>
    <xf numFmtId="0" fontId="9" fillId="0" borderId="6" xfId="0" applyFont="1" applyBorder="1" applyAlignment="1">
      <alignment horizontal="left" vertical="top" wrapText="1"/>
    </xf>
    <xf numFmtId="0" fontId="9" fillId="0" borderId="6" xfId="0" applyFont="1" applyBorder="1" applyAlignment="1">
      <alignment horizontal="center" vertical="top" wrapText="1"/>
    </xf>
    <xf numFmtId="0" fontId="9" fillId="0" borderId="24" xfId="0" applyFont="1" applyBorder="1" applyAlignment="1">
      <alignment horizontal="center" vertical="top" wrapText="1"/>
    </xf>
    <xf numFmtId="0" fontId="21" fillId="0" borderId="12" xfId="0" applyFont="1" applyBorder="1" applyAlignment="1">
      <alignment vertical="top" wrapText="1"/>
    </xf>
    <xf numFmtId="0" fontId="5" fillId="0" borderId="26" xfId="1" applyFont="1" applyFill="1" applyBorder="1" applyAlignment="1">
      <alignment horizontal="left" vertical="top"/>
    </xf>
    <xf numFmtId="0" fontId="14" fillId="0" borderId="12" xfId="0" applyFont="1" applyBorder="1" applyAlignment="1">
      <alignment vertical="top" wrapText="1"/>
    </xf>
    <xf numFmtId="0" fontId="11" fillId="0" borderId="5" xfId="0" applyFont="1" applyBorder="1" applyAlignment="1">
      <alignment vertical="top"/>
    </xf>
    <xf numFmtId="0" fontId="23" fillId="0" borderId="12" xfId="0" applyFont="1" applyBorder="1" applyAlignment="1">
      <alignment horizontal="center" vertical="top" wrapText="1"/>
    </xf>
    <xf numFmtId="0" fontId="18" fillId="0" borderId="19" xfId="0" applyFont="1" applyBorder="1" applyProtection="1">
      <protection locked="0"/>
    </xf>
    <xf numFmtId="0" fontId="18" fillId="0" borderId="12" xfId="0" applyFont="1" applyBorder="1" applyProtection="1">
      <protection locked="0"/>
    </xf>
    <xf numFmtId="0" fontId="0" fillId="0" borderId="27" xfId="0" applyBorder="1"/>
    <xf numFmtId="0" fontId="11" fillId="0" borderId="19" xfId="0" applyFont="1" applyBorder="1" applyProtection="1">
      <protection locked="0"/>
    </xf>
    <xf numFmtId="0" fontId="11" fillId="0" borderId="12" xfId="0" applyFont="1" applyBorder="1" applyProtection="1">
      <protection locked="0"/>
    </xf>
    <xf numFmtId="0" fontId="11" fillId="0" borderId="19" xfId="0" applyFont="1" applyBorder="1" applyAlignment="1" applyProtection="1">
      <alignment vertical="top"/>
      <protection locked="0"/>
    </xf>
    <xf numFmtId="0" fontId="11" fillId="0" borderId="12" xfId="0" applyFont="1" applyBorder="1" applyAlignment="1" applyProtection="1">
      <alignment vertical="top"/>
      <protection locked="0"/>
    </xf>
    <xf numFmtId="0" fontId="6" fillId="5" borderId="1" xfId="0" applyFont="1" applyFill="1" applyBorder="1" applyAlignment="1" applyProtection="1">
      <alignment horizontal="center" vertical="top"/>
      <protection locked="0"/>
    </xf>
    <xf numFmtId="0" fontId="14" fillId="0" borderId="28" xfId="0" applyFont="1" applyBorder="1"/>
    <xf numFmtId="0" fontId="0" fillId="0" borderId="0" xfId="0" applyAlignment="1">
      <alignment horizontal="center"/>
    </xf>
    <xf numFmtId="0" fontId="0" fillId="0" borderId="27" xfId="0" applyBorder="1" applyAlignment="1">
      <alignment horizontal="center"/>
    </xf>
    <xf numFmtId="0" fontId="12" fillId="0" borderId="12" xfId="0" applyFont="1" applyBorder="1" applyProtection="1">
      <protection locked="0"/>
    </xf>
    <xf numFmtId="0" fontId="6" fillId="5" borderId="2" xfId="0" applyFont="1" applyFill="1" applyBorder="1" applyAlignment="1" applyProtection="1">
      <alignment horizontal="center" vertical="top" wrapText="1"/>
      <protection locked="0"/>
    </xf>
    <xf numFmtId="0" fontId="11" fillId="5" borderId="2" xfId="0" applyFont="1" applyFill="1" applyBorder="1" applyAlignment="1" applyProtection="1">
      <alignment horizontal="center" vertical="top" wrapText="1"/>
      <protection locked="0"/>
    </xf>
    <xf numFmtId="0" fontId="18" fillId="5" borderId="2" xfId="0" applyFont="1" applyFill="1" applyBorder="1" applyAlignment="1" applyProtection="1">
      <alignment horizontal="center" vertical="top" wrapText="1"/>
      <protection locked="0"/>
    </xf>
    <xf numFmtId="0" fontId="16" fillId="0" borderId="2" xfId="0" applyFont="1" applyBorder="1" applyAlignment="1" applyProtection="1">
      <alignment horizontal="center" vertical="top"/>
      <protection locked="0"/>
    </xf>
    <xf numFmtId="0" fontId="6" fillId="0" borderId="2" xfId="0" applyFont="1" applyBorder="1" applyAlignment="1" applyProtection="1">
      <alignment horizontal="center" vertical="top"/>
      <protection locked="0"/>
    </xf>
    <xf numFmtId="0" fontId="18" fillId="0" borderId="12" xfId="0" applyFont="1" applyBorder="1" applyAlignment="1" applyProtection="1">
      <alignment vertical="top"/>
      <protection locked="0"/>
    </xf>
    <xf numFmtId="0" fontId="11" fillId="0" borderId="29" xfId="0" applyFont="1" applyBorder="1"/>
    <xf numFmtId="0" fontId="11" fillId="0" borderId="19" xfId="0" applyFont="1" applyBorder="1" applyAlignment="1" applyProtection="1">
      <alignment vertical="top" wrapText="1"/>
      <protection locked="0"/>
    </xf>
    <xf numFmtId="0" fontId="11" fillId="0" borderId="12" xfId="0" applyFont="1" applyBorder="1" applyAlignment="1" applyProtection="1">
      <alignment vertical="top" wrapText="1"/>
      <protection locked="0"/>
    </xf>
    <xf numFmtId="0" fontId="11" fillId="0" borderId="2" xfId="0" applyFont="1" applyBorder="1" applyAlignment="1" applyProtection="1">
      <alignment horizontal="center" vertical="top"/>
      <protection locked="0"/>
    </xf>
    <xf numFmtId="0" fontId="6" fillId="0" borderId="10" xfId="0" applyFont="1" applyBorder="1" applyAlignment="1" applyProtection="1">
      <alignment horizontal="center" vertical="top"/>
      <protection locked="0"/>
    </xf>
    <xf numFmtId="0" fontId="6" fillId="0" borderId="23" xfId="0" applyFont="1" applyBorder="1" applyAlignment="1" applyProtection="1">
      <alignment horizontal="center" vertical="top"/>
      <protection locked="0"/>
    </xf>
    <xf numFmtId="0" fontId="6" fillId="0" borderId="11" xfId="0" applyFont="1" applyBorder="1" applyAlignment="1" applyProtection="1">
      <alignment horizontal="center" vertical="top"/>
      <protection locked="0"/>
    </xf>
    <xf numFmtId="0" fontId="0" fillId="0" borderId="12" xfId="0" applyBorder="1" applyAlignment="1" applyProtection="1">
      <alignment vertical="top" wrapText="1"/>
      <protection locked="0"/>
    </xf>
    <xf numFmtId="0" fontId="16" fillId="0" borderId="12" xfId="0" applyFont="1" applyBorder="1" applyAlignment="1" applyProtection="1">
      <alignment horizontal="left" vertical="top" wrapText="1"/>
      <protection locked="0"/>
    </xf>
    <xf numFmtId="0" fontId="0" fillId="0" borderId="16" xfId="0" applyBorder="1" applyAlignment="1" applyProtection="1">
      <alignment vertical="top" wrapText="1"/>
      <protection locked="0"/>
    </xf>
    <xf numFmtId="0" fontId="24" fillId="0" borderId="12" xfId="0" applyFont="1" applyBorder="1" applyAlignment="1" applyProtection="1">
      <alignment vertical="top" wrapText="1"/>
      <protection locked="0"/>
    </xf>
    <xf numFmtId="0" fontId="0" fillId="0" borderId="19" xfId="0" applyBorder="1" applyAlignment="1" applyProtection="1">
      <alignment vertical="top" wrapText="1"/>
      <protection locked="0"/>
    </xf>
    <xf numFmtId="0" fontId="6" fillId="0" borderId="12" xfId="0" applyFont="1" applyBorder="1" applyAlignment="1" applyProtection="1">
      <alignment vertical="top" wrapText="1"/>
      <protection locked="0"/>
    </xf>
    <xf numFmtId="0" fontId="12" fillId="0" borderId="12" xfId="0" applyFont="1" applyBorder="1" applyAlignment="1" applyProtection="1">
      <alignment vertical="top" wrapText="1"/>
      <protection locked="0"/>
    </xf>
    <xf numFmtId="0" fontId="12" fillId="0" borderId="1" xfId="0" applyFont="1" applyBorder="1" applyAlignment="1" applyProtection="1">
      <alignment vertical="top" wrapText="1"/>
      <protection locked="0"/>
    </xf>
    <xf numFmtId="0" fontId="11" fillId="0" borderId="1" xfId="0" applyFont="1" applyBorder="1" applyAlignment="1" applyProtection="1">
      <alignment vertical="top" wrapText="1"/>
      <protection locked="0"/>
    </xf>
    <xf numFmtId="0" fontId="17" fillId="0" borderId="1" xfId="0" applyFont="1" applyBorder="1" applyAlignment="1" applyProtection="1">
      <alignment vertical="top" wrapText="1"/>
      <protection locked="0"/>
    </xf>
    <xf numFmtId="0" fontId="11" fillId="0" borderId="10" xfId="0" applyFont="1" applyBorder="1" applyAlignment="1" applyProtection="1">
      <alignment vertical="top" wrapText="1"/>
      <protection locked="0"/>
    </xf>
    <xf numFmtId="0" fontId="16" fillId="5" borderId="10" xfId="0" applyFont="1" applyFill="1" applyBorder="1" applyAlignment="1" applyProtection="1">
      <alignment horizontal="center" vertical="top"/>
      <protection locked="0"/>
    </xf>
    <xf numFmtId="0" fontId="6" fillId="5" borderId="10" xfId="0" applyFont="1" applyFill="1" applyBorder="1" applyAlignment="1" applyProtection="1">
      <alignment horizontal="center" vertical="top"/>
      <protection locked="0"/>
    </xf>
    <xf numFmtId="0" fontId="17" fillId="0" borderId="12" xfId="0" applyFont="1" applyBorder="1" applyProtection="1">
      <protection locked="0"/>
    </xf>
    <xf numFmtId="0" fontId="6" fillId="5" borderId="3" xfId="0" applyFont="1" applyFill="1" applyBorder="1" applyAlignment="1" applyProtection="1">
      <alignment horizontal="center" vertical="top"/>
      <protection locked="0"/>
    </xf>
    <xf numFmtId="0" fontId="6" fillId="0" borderId="1" xfId="0" applyFont="1" applyBorder="1" applyAlignment="1" applyProtection="1">
      <alignment horizontal="center" vertical="top"/>
      <protection locked="0"/>
    </xf>
    <xf numFmtId="0" fontId="6" fillId="0" borderId="9" xfId="0" applyFont="1" applyBorder="1" applyAlignment="1" applyProtection="1">
      <alignment horizontal="center" vertical="top"/>
      <protection locked="0"/>
    </xf>
    <xf numFmtId="0" fontId="12" fillId="0" borderId="1" xfId="0" applyFont="1" applyBorder="1" applyProtection="1">
      <protection locked="0"/>
    </xf>
    <xf numFmtId="0" fontId="17" fillId="0" borderId="1" xfId="0" applyFont="1" applyBorder="1" applyProtection="1">
      <protection locked="0"/>
    </xf>
    <xf numFmtId="0" fontId="11" fillId="0" borderId="10" xfId="0" applyFont="1" applyBorder="1" applyProtection="1">
      <protection locked="0"/>
    </xf>
    <xf numFmtId="0" fontId="11" fillId="0" borderId="30" xfId="0" applyFont="1" applyBorder="1" applyAlignment="1">
      <alignment horizontal="center"/>
    </xf>
    <xf numFmtId="0" fontId="11" fillId="0" borderId="30" xfId="0" applyFont="1" applyBorder="1"/>
    <xf numFmtId="0" fontId="5" fillId="0" borderId="30" xfId="0" applyFont="1" applyBorder="1" applyAlignment="1">
      <alignment horizontal="left" vertical="top"/>
    </xf>
    <xf numFmtId="0" fontId="11" fillId="0" borderId="30" xfId="0" applyFont="1" applyBorder="1" applyAlignment="1">
      <alignment wrapText="1"/>
    </xf>
    <xf numFmtId="0" fontId="11" fillId="0" borderId="18" xfId="0" applyFont="1" applyBorder="1" applyProtection="1">
      <protection locked="0"/>
    </xf>
    <xf numFmtId="0" fontId="5" fillId="0" borderId="16" xfId="1" applyFont="1" applyFill="1" applyBorder="1" applyAlignment="1">
      <alignment horizontal="left" vertical="top"/>
    </xf>
    <xf numFmtId="0" fontId="11" fillId="0" borderId="22" xfId="0" applyFont="1" applyBorder="1" applyAlignment="1">
      <alignment vertical="top" wrapText="1"/>
    </xf>
    <xf numFmtId="0" fontId="11" fillId="0" borderId="13" xfId="0" applyFont="1" applyBorder="1" applyAlignment="1">
      <alignment vertical="top" wrapText="1"/>
    </xf>
    <xf numFmtId="0" fontId="11" fillId="0" borderId="22" xfId="0" applyFont="1" applyBorder="1" applyAlignment="1">
      <alignment horizontal="center" vertical="top"/>
    </xf>
    <xf numFmtId="0" fontId="6" fillId="0" borderId="17" xfId="0" applyFont="1" applyBorder="1" applyAlignment="1">
      <alignment horizontal="center" vertical="top" wrapText="1"/>
    </xf>
    <xf numFmtId="0" fontId="16" fillId="0" borderId="10" xfId="0" applyFont="1" applyBorder="1" applyAlignment="1" applyProtection="1">
      <alignment horizontal="center" vertical="top"/>
      <protection locked="0"/>
    </xf>
    <xf numFmtId="0" fontId="9" fillId="0" borderId="5" xfId="0" applyFont="1" applyBorder="1" applyAlignment="1">
      <alignment horizontal="left" vertical="top" wrapText="1"/>
    </xf>
    <xf numFmtId="0" fontId="21" fillId="0" borderId="10" xfId="0" applyFont="1" applyBorder="1" applyAlignment="1">
      <alignment vertical="top" wrapText="1"/>
    </xf>
    <xf numFmtId="0" fontId="0" fillId="0" borderId="0" xfId="0" applyAlignment="1">
      <alignment wrapText="1"/>
    </xf>
    <xf numFmtId="0" fontId="16" fillId="0" borderId="1" xfId="0" applyFont="1" applyBorder="1" applyAlignment="1">
      <alignment vertical="top" wrapText="1"/>
    </xf>
    <xf numFmtId="0" fontId="6" fillId="0" borderId="4" xfId="0" applyFont="1" applyBorder="1" applyAlignment="1" applyProtection="1">
      <alignment horizontal="center" vertical="top"/>
      <protection hidden="1"/>
    </xf>
    <xf numFmtId="0" fontId="11" fillId="0" borderId="2" xfId="0" applyFont="1" applyBorder="1" applyAlignment="1" applyProtection="1">
      <alignment horizontal="center"/>
      <protection hidden="1"/>
    </xf>
    <xf numFmtId="0" fontId="5" fillId="0" borderId="1" xfId="0" applyFont="1" applyBorder="1" applyAlignment="1" applyProtection="1">
      <alignment horizontal="center"/>
      <protection hidden="1"/>
    </xf>
    <xf numFmtId="0" fontId="11" fillId="0" borderId="1" xfId="0" applyFont="1" applyBorder="1" applyAlignment="1" applyProtection="1">
      <alignment horizontal="center"/>
      <protection hidden="1"/>
    </xf>
    <xf numFmtId="0" fontId="6" fillId="0" borderId="30" xfId="0" applyFont="1" applyBorder="1" applyAlignment="1" applyProtection="1">
      <alignment horizontal="center" vertical="top" wrapText="1"/>
      <protection hidden="1"/>
    </xf>
    <xf numFmtId="0" fontId="18" fillId="0" borderId="1" xfId="0" applyFont="1" applyBorder="1" applyAlignment="1" applyProtection="1">
      <alignment horizontal="center" vertical="top"/>
      <protection hidden="1"/>
    </xf>
    <xf numFmtId="0" fontId="11" fillId="0" borderId="30" xfId="0" applyFont="1" applyBorder="1" applyAlignment="1" applyProtection="1">
      <alignment horizontal="center"/>
      <protection hidden="1"/>
    </xf>
    <xf numFmtId="0" fontId="5" fillId="0" borderId="30" xfId="0" applyFont="1" applyBorder="1" applyAlignment="1" applyProtection="1">
      <alignment horizontal="center"/>
      <protection hidden="1"/>
    </xf>
    <xf numFmtId="0" fontId="11" fillId="0" borderId="6" xfId="0" applyFont="1" applyBorder="1" applyAlignment="1" applyProtection="1">
      <alignment horizontal="center"/>
      <protection hidden="1"/>
    </xf>
    <xf numFmtId="0" fontId="6" fillId="0" borderId="12" xfId="0" applyFont="1" applyBorder="1" applyAlignment="1" applyProtection="1">
      <alignment horizontal="center" vertical="top"/>
      <protection hidden="1"/>
    </xf>
    <xf numFmtId="0" fontId="11" fillId="0" borderId="9" xfId="0" applyFont="1" applyBorder="1" applyAlignment="1" applyProtection="1">
      <alignment horizontal="center"/>
      <protection hidden="1"/>
    </xf>
    <xf numFmtId="0" fontId="11" fillId="0" borderId="4" xfId="0" applyFont="1" applyBorder="1" applyAlignment="1" applyProtection="1">
      <alignment horizontal="center" vertical="top" wrapText="1"/>
      <protection hidden="1"/>
    </xf>
    <xf numFmtId="0" fontId="5" fillId="0" borderId="2" xfId="0" applyFont="1" applyBorder="1" applyAlignment="1" applyProtection="1">
      <alignment horizontal="center" vertical="top"/>
      <protection hidden="1"/>
    </xf>
    <xf numFmtId="0" fontId="5" fillId="0" borderId="2" xfId="1" applyFont="1" applyFill="1" applyBorder="1" applyAlignment="1" applyProtection="1">
      <alignment horizontal="center" vertical="top"/>
      <protection hidden="1"/>
    </xf>
    <xf numFmtId="0" fontId="16" fillId="0" borderId="4" xfId="0" applyFont="1" applyBorder="1" applyAlignment="1" applyProtection="1">
      <alignment horizontal="center" vertical="top"/>
      <protection hidden="1"/>
    </xf>
    <xf numFmtId="0" fontId="11" fillId="0" borderId="4" xfId="0" applyFont="1" applyBorder="1" applyAlignment="1" applyProtection="1">
      <alignment horizontal="center"/>
      <protection hidden="1"/>
    </xf>
    <xf numFmtId="0" fontId="18" fillId="0" borderId="1" xfId="0" applyFont="1" applyBorder="1" applyAlignment="1" applyProtection="1">
      <alignment horizontal="center"/>
      <protection hidden="1"/>
    </xf>
    <xf numFmtId="0" fontId="16" fillId="0" borderId="2" xfId="0" applyFont="1" applyBorder="1" applyAlignment="1" applyProtection="1">
      <alignment horizontal="center" vertical="top"/>
      <protection hidden="1"/>
    </xf>
    <xf numFmtId="9" fontId="0" fillId="0" borderId="0" xfId="0" applyNumberFormat="1"/>
    <xf numFmtId="9" fontId="0" fillId="0" borderId="27" xfId="0" applyNumberFormat="1" applyBorder="1"/>
    <xf numFmtId="0" fontId="5" fillId="0" borderId="9" xfId="1" applyFont="1" applyFill="1" applyBorder="1" applyAlignment="1">
      <alignment horizontal="left" vertical="top"/>
    </xf>
    <xf numFmtId="0" fontId="5" fillId="0" borderId="1" xfId="1" applyFont="1" applyFill="1" applyBorder="1" applyAlignment="1">
      <alignment horizontal="left" vertical="top" wrapText="1"/>
    </xf>
    <xf numFmtId="0" fontId="5" fillId="0" borderId="0" xfId="1" applyFont="1" applyFill="1" applyBorder="1" applyAlignment="1">
      <alignment horizontal="center" vertical="top"/>
    </xf>
    <xf numFmtId="0" fontId="5" fillId="0" borderId="1" xfId="1" applyFont="1" applyFill="1" applyBorder="1" applyAlignment="1">
      <alignment horizontal="center" vertical="top"/>
    </xf>
    <xf numFmtId="0" fontId="5" fillId="0" borderId="9" xfId="1" applyFont="1" applyFill="1" applyBorder="1" applyAlignment="1">
      <alignment horizontal="center" vertical="top"/>
    </xf>
    <xf numFmtId="0" fontId="5" fillId="3" borderId="18" xfId="0" applyFont="1" applyFill="1" applyBorder="1" applyAlignment="1">
      <alignment horizontal="left" vertical="top" wrapText="1"/>
    </xf>
    <xf numFmtId="0" fontId="5" fillId="3" borderId="0" xfId="0" applyFont="1" applyFill="1" applyAlignment="1">
      <alignment horizontal="left" vertical="top" wrapText="1"/>
    </xf>
  </cellXfs>
  <cellStyles count="2">
    <cellStyle name="Neutral" xfId="1" builtinId="28"/>
    <cellStyle name="Normal" xfId="0" builtinId="0"/>
  </cellStyles>
  <dxfs count="249">
    <dxf>
      <font>
        <b val="0"/>
        <i val="0"/>
        <strike val="0"/>
        <condense val="0"/>
        <extend val="0"/>
        <outline val="0"/>
        <shadow val="0"/>
        <u val="none"/>
        <vertAlign val="baseline"/>
        <sz val="10"/>
        <color theme="1"/>
        <name val="Arial"/>
        <scheme val="none"/>
      </font>
      <border diagonalUp="0" diagonalDown="0">
        <left style="thin">
          <color rgb="FF000000"/>
        </left>
        <right/>
        <top style="thin">
          <color rgb="FF000000"/>
        </top>
        <bottom style="thin">
          <color rgb="FF000000"/>
        </bottom>
        <vertical/>
        <horizontal/>
      </border>
      <protection locked="0" hidden="0"/>
    </dxf>
    <dxf>
      <font>
        <b val="0"/>
        <i val="0"/>
        <strike val="0"/>
        <condense val="0"/>
        <extend val="0"/>
        <outline val="0"/>
        <shadow val="0"/>
        <u val="none"/>
        <vertAlign val="baseline"/>
        <sz val="10"/>
        <color rgb="FF000000"/>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Arial"/>
        <family val="2"/>
        <scheme val="none"/>
      </font>
      <fill>
        <patternFill patternType="solid">
          <fgColor indexed="64"/>
          <bgColor rgb="FFFFC00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rgb="FF000000"/>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rgb="FF000000"/>
        </right>
      </border>
    </dxf>
    <dxf>
      <font>
        <b val="0"/>
        <i val="0"/>
        <strike val="0"/>
        <condense val="0"/>
        <extend val="0"/>
        <outline val="0"/>
        <shadow val="0"/>
        <u val="none"/>
        <vertAlign val="baseline"/>
        <sz val="10"/>
        <color rgb="FF000000"/>
        <name val="Arial"/>
        <family val="2"/>
        <scheme val="none"/>
      </font>
      <alignment horizontal="center" vertical="top" textRotation="0" wrapText="0" indent="0" justifyLastLine="0" shrinkToFit="0" readingOrder="0"/>
    </dxf>
    <dxf>
      <font>
        <b/>
        <i val="0"/>
        <strike val="0"/>
        <condense val="0"/>
        <extend val="0"/>
        <outline val="0"/>
        <shadow val="0"/>
        <u val="none"/>
        <vertAlign val="baseline"/>
        <sz val="10"/>
        <color auto="1"/>
        <name val="Arial"/>
        <family val="2"/>
        <scheme val="none"/>
      </font>
      <alignment horizontal="center"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border diagonalUp="0" diagonalDown="0">
        <left style="thin">
          <color rgb="FF000000"/>
        </left>
        <right/>
        <top/>
        <bottom style="thin">
          <color rgb="FF000000"/>
        </bottom>
        <vertical/>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Arial"/>
        <family val="2"/>
        <scheme val="none"/>
      </font>
      <alignment horizontal="center"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Arial"/>
        <family val="2"/>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Arial"/>
        <family val="2"/>
        <scheme val="none"/>
      </font>
      <alignment horizontal="center"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right style="thin">
          <color rgb="FF000000"/>
        </right>
      </border>
    </dxf>
    <dxf>
      <font>
        <b/>
        <i val="0"/>
        <strike val="0"/>
        <condense val="0"/>
        <extend val="0"/>
        <outline val="0"/>
        <shadow val="0"/>
        <u val="none"/>
        <vertAlign val="baseline"/>
        <sz val="10"/>
        <color auto="1"/>
        <name val="Arial"/>
        <family val="2"/>
        <scheme val="none"/>
      </font>
      <alignment horizontal="center" vertical="top" textRotation="0" wrapText="1" indent="0" justifyLastLine="0" shrinkToFit="0" readingOrder="0"/>
    </dxf>
    <dxf>
      <font>
        <b val="0"/>
        <i val="0"/>
        <strike val="0"/>
        <condense val="0"/>
        <extend val="0"/>
        <outline val="0"/>
        <shadow val="0"/>
        <u val="none"/>
        <vertAlign val="baseline"/>
        <sz val="10"/>
        <color theme="1"/>
        <name val="Arial"/>
        <family val="2"/>
        <scheme val="none"/>
      </font>
      <border diagonalUp="0" diagonalDown="0">
        <left style="thin">
          <color rgb="FF000000"/>
        </left>
        <right/>
        <top style="thin">
          <color rgb="FF000000"/>
        </top>
        <bottom style="thin">
          <color rgb="FF000000"/>
        </bottom>
        <vertical/>
        <horizontal/>
      </border>
      <protection locked="0" hidden="0"/>
    </dxf>
    <dxf>
      <font>
        <b val="0"/>
        <i val="0"/>
        <strike val="0"/>
        <condense val="0"/>
        <extend val="0"/>
        <outline val="0"/>
        <shadow val="0"/>
        <u val="none"/>
        <vertAlign val="baseline"/>
        <sz val="10"/>
        <color rgb="FF000000"/>
        <name val="Arial"/>
        <family val="2"/>
        <scheme val="none"/>
      </font>
      <alignment horizontal="center" vertical="top"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rgb="FF000000"/>
        <name val="Arial"/>
        <family val="2"/>
        <scheme val="none"/>
      </font>
      <fill>
        <patternFill patternType="solid">
          <fgColor indexed="64"/>
          <bgColor rgb="FFFFC00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rgb="FF000000"/>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rgb="FF000000"/>
        </right>
      </border>
    </dxf>
    <dxf>
      <font>
        <b/>
        <i val="0"/>
        <strike val="0"/>
        <condense val="0"/>
        <extend val="0"/>
        <outline val="0"/>
        <shadow val="0"/>
        <u val="none"/>
        <vertAlign val="baseline"/>
        <sz val="10"/>
        <color auto="1"/>
        <name val="Arial"/>
        <family val="2"/>
        <scheme val="none"/>
      </font>
      <alignment horizontal="center" vertical="top" textRotation="0" wrapText="1" indent="0" justifyLastLine="0" shrinkToFit="0" readingOrder="0"/>
    </dxf>
    <dxf>
      <font>
        <b val="0"/>
        <i val="0"/>
        <strike val="0"/>
        <condense val="0"/>
        <extend val="0"/>
        <outline val="0"/>
        <shadow val="0"/>
        <u val="none"/>
        <vertAlign val="baseline"/>
        <sz val="10"/>
        <color theme="1"/>
        <name val="Arial"/>
        <family val="2"/>
        <scheme val="none"/>
      </font>
      <border diagonalUp="0" diagonalDown="0">
        <left style="thin">
          <color rgb="FF000000"/>
        </left>
        <right/>
        <top style="thin">
          <color rgb="FF000000"/>
        </top>
        <bottom style="thin">
          <color rgb="FF000000"/>
        </bottom>
        <vertical/>
        <horizontal/>
      </border>
      <protection locked="0" hidden="0"/>
    </dxf>
    <dxf>
      <font>
        <b val="0"/>
        <i val="0"/>
        <strike val="0"/>
        <condense val="0"/>
        <extend val="0"/>
        <outline val="0"/>
        <shadow val="0"/>
        <u val="none"/>
        <vertAlign val="baseline"/>
        <sz val="10"/>
        <color rgb="FF000000"/>
        <name val="Arial"/>
        <family val="2"/>
        <scheme val="none"/>
      </font>
      <alignment horizontal="center" vertical="top"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rgb="FF000000"/>
        <name val="Arial"/>
        <family val="2"/>
        <scheme val="none"/>
      </font>
      <fill>
        <patternFill patternType="solid">
          <fgColor indexed="64"/>
          <bgColor rgb="FFFFC00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rgb="FF000000"/>
        </right>
      </border>
    </dxf>
    <dxf>
      <font>
        <b/>
        <i val="0"/>
        <strike val="0"/>
        <condense val="0"/>
        <extend val="0"/>
        <outline val="0"/>
        <shadow val="0"/>
        <u val="none"/>
        <vertAlign val="baseline"/>
        <sz val="10"/>
        <color auto="1"/>
        <name val="Arial"/>
        <family val="2"/>
        <scheme val="none"/>
      </font>
      <alignment horizontal="center" vertical="top" textRotation="0" wrapText="1" indent="0" justifyLastLine="0" shrinkToFit="0" readingOrder="0"/>
    </dxf>
    <dxf>
      <font>
        <b val="0"/>
        <i val="0"/>
        <strike val="0"/>
        <condense val="0"/>
        <extend val="0"/>
        <outline val="0"/>
        <shadow val="0"/>
        <u val="none"/>
        <vertAlign val="baseline"/>
        <sz val="10"/>
        <color theme="1"/>
        <name val="Arial"/>
        <family val="2"/>
        <scheme val="none"/>
      </font>
      <border diagonalUp="0" diagonalDown="0">
        <left style="thin">
          <color rgb="FF000000"/>
        </left>
        <right/>
        <top style="thin">
          <color rgb="FF000000"/>
        </top>
        <bottom style="thin">
          <color rgb="FF000000"/>
        </bottom>
        <vertical/>
        <horizontal/>
      </border>
      <protection locked="0" hidden="0"/>
    </dxf>
    <dxf>
      <font>
        <b val="0"/>
        <i val="0"/>
        <strike val="0"/>
        <condense val="0"/>
        <extend val="0"/>
        <outline val="0"/>
        <shadow val="0"/>
        <u val="none"/>
        <vertAlign val="baseline"/>
        <sz val="10"/>
        <color rgb="FF000000"/>
        <name val="Arial"/>
        <family val="2"/>
        <scheme val="none"/>
      </font>
      <alignment horizontal="center" vertical="top"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rgb="FF000000"/>
        <name val="Arial"/>
        <family val="2"/>
        <scheme val="none"/>
      </font>
      <fill>
        <patternFill patternType="solid">
          <fgColor indexed="64"/>
          <bgColor rgb="FFFFC00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rgb="FF000000"/>
        </right>
      </border>
    </dxf>
    <dxf>
      <font>
        <b/>
        <i val="0"/>
        <strike val="0"/>
        <condense val="0"/>
        <extend val="0"/>
        <outline val="0"/>
        <shadow val="0"/>
        <u val="none"/>
        <vertAlign val="baseline"/>
        <sz val="10"/>
        <color auto="1"/>
        <name val="Arial"/>
        <family val="2"/>
        <scheme val="none"/>
      </font>
      <alignment horizontal="center"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border diagonalUp="0" diagonalDown="0">
        <left style="thin">
          <color rgb="FF000000"/>
        </left>
        <right/>
        <top style="thin">
          <color rgb="FF000000"/>
        </top>
        <bottom style="thin">
          <color rgb="FF000000"/>
        </bottom>
        <vertical/>
        <horizontal/>
      </border>
      <protection locked="0" hidden="0"/>
    </dxf>
    <dxf>
      <alignment horizontal="center"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rgb="FF000000"/>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rgb="FF000000"/>
        </right>
      </border>
    </dxf>
    <dxf>
      <font>
        <b val="0"/>
        <i val="0"/>
        <strike val="0"/>
        <condense val="0"/>
        <extend val="0"/>
        <outline val="0"/>
        <shadow val="0"/>
        <u val="none"/>
        <vertAlign val="baseline"/>
        <sz val="10"/>
        <color rgb="FF000000"/>
        <name val="Arial"/>
        <family val="2"/>
        <scheme val="none"/>
      </font>
      <alignment horizontal="center" vertical="top" textRotation="0" wrapText="0" indent="0" justifyLastLine="0" shrinkToFit="0" readingOrder="0"/>
    </dxf>
    <dxf>
      <font>
        <b/>
        <i val="0"/>
        <strike val="0"/>
        <condense val="0"/>
        <extend val="0"/>
        <outline val="0"/>
        <shadow val="0"/>
        <u val="none"/>
        <vertAlign val="baseline"/>
        <sz val="10"/>
        <color auto="1"/>
        <name val="Arial"/>
        <family val="2"/>
        <scheme val="none"/>
      </font>
      <alignment horizontal="center" vertical="top" textRotation="0" wrapText="1" indent="0" justifyLastLine="0" shrinkToFit="0" readingOrder="0"/>
    </dxf>
    <dxf>
      <font>
        <b val="0"/>
        <i val="0"/>
        <strike val="0"/>
        <condense val="0"/>
        <extend val="0"/>
        <outline val="0"/>
        <shadow val="0"/>
        <u val="none"/>
        <vertAlign val="baseline"/>
        <sz val="10"/>
        <color theme="1"/>
        <name val="Arial"/>
        <family val="2"/>
        <scheme val="none"/>
      </font>
      <border diagonalUp="0" diagonalDown="0">
        <left style="thin">
          <color rgb="FF000000"/>
        </left>
        <right/>
        <top style="thin">
          <color rgb="FF000000"/>
        </top>
        <bottom style="thin">
          <color rgb="FF000000"/>
        </bottom>
        <vertical/>
        <horizontal/>
      </border>
      <protection locked="0" hidden="0"/>
    </dxf>
    <dxf>
      <font>
        <b val="0"/>
        <i val="0"/>
        <strike val="0"/>
        <condense val="0"/>
        <extend val="0"/>
        <outline val="0"/>
        <shadow val="0"/>
        <u val="none"/>
        <vertAlign val="baseline"/>
        <sz val="10"/>
        <color rgb="FF000000"/>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0"/>
        <color rgb="FF000000"/>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right style="thin">
          <color rgb="FF000000"/>
        </right>
      </border>
    </dxf>
    <dxf>
      <font>
        <b/>
        <i val="0"/>
        <strike val="0"/>
        <condense val="0"/>
        <extend val="0"/>
        <outline val="0"/>
        <shadow val="0"/>
        <u val="none"/>
        <vertAlign val="baseline"/>
        <sz val="10"/>
        <color auto="1"/>
        <name val="Arial"/>
        <family val="2"/>
        <scheme val="none"/>
      </font>
      <alignment horizontal="center" vertical="top" textRotation="0" wrapText="1" indent="0" justifyLastLine="0" shrinkToFit="0" readingOrder="0"/>
    </dxf>
    <dxf>
      <font>
        <b val="0"/>
        <i val="0"/>
        <strike val="0"/>
        <condense val="0"/>
        <extend val="0"/>
        <outline val="0"/>
        <shadow val="0"/>
        <u val="none"/>
        <vertAlign val="baseline"/>
        <sz val="10"/>
        <color theme="1"/>
        <name val="Arial"/>
        <family val="2"/>
        <scheme val="none"/>
      </font>
      <border diagonalUp="0" diagonalDown="0">
        <left style="thin">
          <color rgb="FF000000"/>
        </left>
        <right/>
        <top style="thin">
          <color rgb="FF000000"/>
        </top>
        <bottom style="thin">
          <color rgb="FF000000"/>
        </bottom>
        <vertical/>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rgb="FF000000"/>
        </right>
      </border>
    </dxf>
    <dxf>
      <font>
        <b/>
        <i val="0"/>
        <strike val="0"/>
        <condense val="0"/>
        <extend val="0"/>
        <outline val="0"/>
        <shadow val="0"/>
        <u val="none"/>
        <vertAlign val="baseline"/>
        <sz val="10"/>
        <color auto="1"/>
        <name val="Arial"/>
        <family val="2"/>
        <scheme val="none"/>
      </font>
      <alignment horizontal="center"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border diagonalUp="0" diagonalDown="0">
        <left style="thin">
          <color rgb="FF000000"/>
        </left>
        <right/>
        <top style="thin">
          <color rgb="FF000000"/>
        </top>
        <bottom style="thin">
          <color rgb="FF000000"/>
        </bottom>
        <vertical/>
        <horizontal/>
      </border>
      <protection locked="0" hidden="0"/>
    </dxf>
    <dxf>
      <alignment horizontal="center"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rgb="FF000000"/>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Arial"/>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rgb="FF000000"/>
        </right>
      </border>
    </dxf>
    <dxf>
      <font>
        <b/>
        <i val="0"/>
        <strike val="0"/>
        <condense val="0"/>
        <extend val="0"/>
        <outline val="0"/>
        <shadow val="0"/>
        <u val="none"/>
        <vertAlign val="baseline"/>
        <sz val="10"/>
        <color auto="1"/>
        <name val="Arial"/>
        <family val="2"/>
        <scheme val="none"/>
      </font>
      <alignment horizontal="center"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border diagonalUp="0" diagonalDown="0">
        <left style="thin">
          <color rgb="FF000000"/>
        </left>
        <right/>
        <top style="thin">
          <color rgb="FF000000"/>
        </top>
        <bottom style="thin">
          <color rgb="FF000000"/>
        </bottom>
        <vertical/>
        <horizontal/>
      </border>
      <protection locked="0" hidden="0"/>
    </dxf>
    <dxf>
      <alignment horizontal="center"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rgb="FF000000"/>
        </right>
      </border>
    </dxf>
    <dxf>
      <font>
        <b/>
        <i val="0"/>
        <strike val="0"/>
        <condense val="0"/>
        <extend val="0"/>
        <outline val="0"/>
        <shadow val="0"/>
        <u val="none"/>
        <vertAlign val="baseline"/>
        <sz val="10"/>
        <color auto="1"/>
        <name val="Arial"/>
        <family val="2"/>
        <scheme val="none"/>
      </font>
      <alignment horizontal="center" vertical="top" textRotation="0" wrapText="1" indent="0" justifyLastLine="0" shrinkToFit="0" readingOrder="0"/>
    </dxf>
    <dxf>
      <alignment horizontal="general" vertical="top" textRotation="0" wrapText="1" indent="0" justifyLastLine="0" shrinkToFit="0" readingOrder="0"/>
      <border diagonalUp="0" diagonalDown="0">
        <left style="thin">
          <color rgb="FF000000"/>
        </left>
        <right/>
        <top style="thin">
          <color rgb="FF000000"/>
        </top>
        <bottom/>
        <vertical/>
        <horizontal/>
      </border>
      <protection locked="0" hidden="0"/>
    </dxf>
    <dxf>
      <font>
        <b val="0"/>
        <i val="0"/>
        <strike val="0"/>
        <condense val="0"/>
        <extend val="0"/>
        <outline val="0"/>
        <shadow val="0"/>
        <u val="none"/>
        <vertAlign val="baseline"/>
        <sz val="10"/>
        <color rgb="FF000000"/>
        <name val="Arial"/>
        <family val="2"/>
        <scheme val="none"/>
      </font>
      <alignment horizontal="center" vertical="top" textRotation="0" wrapText="0" indent="0" justifyLastLine="0" shrinkToFit="0" readingOrder="0"/>
      <border diagonalUp="0" diagonalDown="0">
        <left style="thin">
          <color rgb="FF000000"/>
        </left>
        <right/>
        <top style="thin">
          <color rgb="FF000000"/>
        </top>
        <bottom/>
        <vertical/>
        <horizontal/>
      </border>
    </dxf>
    <dxf>
      <font>
        <b val="0"/>
        <i val="0"/>
        <strike val="0"/>
        <condense val="0"/>
        <extend val="0"/>
        <outline val="0"/>
        <shadow val="0"/>
        <u val="none"/>
        <vertAlign val="baseline"/>
        <sz val="10"/>
        <color auto="1"/>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border diagonalUp="0" diagonalDown="0">
        <left style="thin">
          <color rgb="FF000000"/>
        </left>
        <right style="thin">
          <color rgb="FF000000"/>
        </right>
        <top style="thin">
          <color rgb="FF000000"/>
        </top>
        <bottom/>
        <vertical/>
        <horizontal/>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top" textRotation="0" wrapText="0" indent="0" justifyLastLine="0" shrinkToFit="0" readingOrder="0"/>
      <border diagonalUp="0" diagonalDown="0">
        <left/>
        <right/>
        <top style="thin">
          <color indexed="64"/>
        </top>
        <bottom style="thin">
          <color indexed="64"/>
        </bottom>
        <vertical/>
        <horizontal/>
      </border>
    </dxf>
    <dxf>
      <border outline="0">
        <left style="thin">
          <color indexed="64"/>
        </left>
        <right style="thin">
          <color rgb="FF000000"/>
        </right>
      </border>
    </dxf>
    <dxf>
      <font>
        <b/>
        <i val="0"/>
        <strike val="0"/>
        <condense val="0"/>
        <extend val="0"/>
        <outline val="0"/>
        <shadow val="0"/>
        <u val="none"/>
        <vertAlign val="baseline"/>
        <sz val="10"/>
        <color auto="1"/>
        <name val="Arial"/>
        <family val="2"/>
        <scheme val="none"/>
      </font>
      <alignment horizontal="center"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border diagonalUp="0" diagonalDown="0">
        <left style="thin">
          <color rgb="FF000000"/>
        </left>
        <right/>
        <top style="thin">
          <color rgb="FF000000"/>
        </top>
        <bottom style="thin">
          <color rgb="FF000000"/>
        </bottom>
        <vertical/>
        <horizontal/>
      </border>
      <protection locked="0" hidden="0"/>
    </dxf>
    <dxf>
      <font>
        <b val="0"/>
        <i val="0"/>
        <strike val="0"/>
        <condense val="0"/>
        <extend val="0"/>
        <outline val="0"/>
        <shadow val="0"/>
        <u val="none"/>
        <vertAlign val="baseline"/>
        <sz val="10"/>
        <color rgb="FF000000"/>
        <name val="Arial"/>
        <family val="2"/>
        <scheme val="none"/>
      </font>
      <alignment horizontal="center" vertical="top"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0"/>
        <color rgb="FF000000"/>
        <name val="Arial"/>
        <family val="2"/>
        <scheme val="none"/>
      </font>
      <alignment horizontal="center" vertical="top" textRotation="0" wrapText="0" indent="0" justifyLastLine="0" shrinkToFit="0" readingOrder="0"/>
      <border diagonalUp="0" diagonalDown="0">
        <left style="thin">
          <color rgb="FF000000"/>
        </left>
        <right style="thin">
          <color rgb="FF000000"/>
        </right>
        <top style="thin">
          <color rgb="FF000000"/>
        </top>
        <bottom/>
        <vertical/>
        <horizontal/>
      </border>
    </dxf>
    <dxf>
      <font>
        <b val="0"/>
        <i val="0"/>
        <strike val="0"/>
        <condense val="0"/>
        <extend val="0"/>
        <outline val="0"/>
        <shadow val="0"/>
        <u val="none"/>
        <vertAlign val="baseline"/>
        <sz val="10"/>
        <color rgb="FF000000"/>
        <name val="Arial"/>
        <family val="2"/>
        <scheme val="none"/>
      </font>
      <alignment horizontal="center" vertical="top" textRotation="0" wrapText="0"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Arial"/>
        <family val="2"/>
        <scheme val="none"/>
      </font>
      <alignment horizontal="center"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auto="1"/>
        <name val="Arial"/>
        <family val="2"/>
        <scheme val="none"/>
      </font>
      <alignment horizontal="center" vertical="top"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center" vertical="top"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0"/>
        <color rgb="FF000000"/>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top" textRotation="0" wrapText="0" indent="0" justifyLastLine="0" shrinkToFit="0" readingOrder="0"/>
      <border diagonalUp="0" diagonalDown="0">
        <left style="thin">
          <color indexed="64"/>
        </left>
        <right style="thin">
          <color indexed="64"/>
        </right>
        <top style="thin">
          <color indexed="64"/>
        </top>
        <bottom/>
        <vertical/>
        <horizontal/>
      </border>
    </dxf>
    <dxf>
      <border outline="0">
        <right style="thin">
          <color rgb="FF000000"/>
        </right>
      </border>
    </dxf>
    <dxf>
      <font>
        <b/>
        <i val="0"/>
        <strike val="0"/>
        <condense val="0"/>
        <extend val="0"/>
        <outline val="0"/>
        <shadow val="0"/>
        <u val="none"/>
        <vertAlign val="baseline"/>
        <sz val="10"/>
        <color auto="1"/>
        <name val="Arial"/>
        <family val="2"/>
        <scheme val="none"/>
      </font>
      <alignment horizontal="center"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border diagonalUp="0" diagonalDown="0">
        <left style="thin">
          <color rgb="FF000000"/>
        </left>
        <right/>
        <top style="thin">
          <color rgb="FF000000"/>
        </top>
        <bottom style="thin">
          <color rgb="FF000000"/>
        </bottom>
        <vertical/>
        <horizontal/>
      </border>
      <protection locked="0" hidden="0"/>
    </dxf>
    <dxf>
      <font>
        <b val="0"/>
        <i val="0"/>
        <strike val="0"/>
        <condense val="0"/>
        <extend val="0"/>
        <outline val="0"/>
        <shadow val="0"/>
        <u val="none"/>
        <vertAlign val="baseline"/>
        <sz val="10"/>
        <color rgb="FF000000"/>
        <name val="Arial"/>
        <family val="2"/>
        <scheme val="none"/>
      </font>
      <alignment horizontal="center" vertical="top"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rgb="FF000000"/>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Arial"/>
        <family val="2"/>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alignment horizontal="left"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rgb="FF000000"/>
        </right>
      </border>
    </dxf>
    <dxf>
      <font>
        <b/>
        <i val="0"/>
        <strike val="0"/>
        <condense val="0"/>
        <extend val="0"/>
        <outline val="0"/>
        <shadow val="0"/>
        <u val="none"/>
        <vertAlign val="baseline"/>
        <sz val="10"/>
        <color auto="1"/>
        <name val="Arial"/>
        <family val="2"/>
        <scheme val="none"/>
      </font>
      <alignment horizontal="center"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border diagonalUp="0" diagonalDown="0">
        <left style="thin">
          <color rgb="FF000000"/>
        </left>
        <right/>
        <top style="thin">
          <color rgb="FF000000"/>
        </top>
        <bottom style="thin">
          <color rgb="FF000000"/>
        </bottom>
        <vertical/>
        <horizontal/>
      </border>
      <protection locked="0" hidden="0"/>
    </dxf>
    <dxf>
      <font>
        <b val="0"/>
        <i val="0"/>
        <strike val="0"/>
        <condense val="0"/>
        <extend val="0"/>
        <outline val="0"/>
        <shadow val="0"/>
        <u val="none"/>
        <vertAlign val="baseline"/>
        <sz val="10"/>
        <color rgb="FF000000"/>
        <name val="Arial"/>
        <scheme val="none"/>
      </font>
      <alignment horizontal="center" vertical="top"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center" vertical="top"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center"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rgb="FF000000"/>
        </right>
      </border>
    </dxf>
    <dxf>
      <font>
        <b/>
        <i val="0"/>
        <strike val="0"/>
        <condense val="0"/>
        <extend val="0"/>
        <outline val="0"/>
        <shadow val="0"/>
        <u val="none"/>
        <vertAlign val="baseline"/>
        <sz val="10"/>
        <color auto="1"/>
        <name val="Arial"/>
        <family val="2"/>
        <scheme val="none"/>
      </font>
      <alignment horizontal="center"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border diagonalUp="0" diagonalDown="0">
        <left style="thin">
          <color rgb="FF000000"/>
        </left>
        <right/>
        <top style="thin">
          <color rgb="FF000000"/>
        </top>
        <bottom style="thin">
          <color rgb="FF000000"/>
        </bottom>
        <vertical/>
        <horizontal/>
      </border>
      <protection locked="0" hidden="0"/>
    </dxf>
    <dxf>
      <font>
        <b val="0"/>
        <i val="0"/>
        <strike val="0"/>
        <condense val="0"/>
        <extend val="0"/>
        <outline val="0"/>
        <shadow val="0"/>
        <u val="none"/>
        <vertAlign val="baseline"/>
        <sz val="10"/>
        <color rgb="FF000000"/>
        <name val="Arial"/>
        <family val="2"/>
        <scheme val="none"/>
      </font>
      <alignment horizontal="center" vertical="top"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rgb="FF000000"/>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Arial"/>
        <family val="2"/>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auto="1"/>
        <name val="Arial"/>
        <family val="2"/>
        <scheme val="none"/>
      </font>
      <alignment horizontal="left"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rgb="FF000000"/>
        </right>
      </border>
    </dxf>
    <dxf>
      <font>
        <b/>
        <i val="0"/>
        <strike val="0"/>
        <condense val="0"/>
        <extend val="0"/>
        <outline val="0"/>
        <shadow val="0"/>
        <u val="none"/>
        <vertAlign val="baseline"/>
        <sz val="10"/>
        <color auto="1"/>
        <name val="Arial"/>
        <family val="2"/>
        <scheme val="none"/>
      </font>
      <alignment horizontal="center" vertical="top" textRotation="0" wrapText="1" indent="0" justifyLastLine="0" shrinkToFit="0" readingOrder="0"/>
    </dxf>
    <dxf>
      <protection locked="0" hidden="0"/>
    </dxf>
    <dxf>
      <font>
        <b val="0"/>
        <i val="0"/>
        <strike val="0"/>
        <condense val="0"/>
        <extend val="0"/>
        <outline val="0"/>
        <shadow val="0"/>
        <u val="none"/>
        <vertAlign val="baseline"/>
        <sz val="10"/>
        <color rgb="FF000000"/>
        <name val="Arial"/>
        <family val="2"/>
        <scheme val="none"/>
      </font>
      <alignment horizontal="center" vertical="top"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rgb="FF000000"/>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0"/>
        <color auto="1"/>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0"/>
        <color rgb="FF000000"/>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vertical/>
        <horizontal/>
      </border>
    </dxf>
    <dxf>
      <border outline="0">
        <top style="thin">
          <color indexed="64"/>
        </top>
        <bottom style="thin">
          <color rgb="FF000000"/>
        </bottom>
      </border>
    </dxf>
    <dxf>
      <font>
        <b/>
        <i val="0"/>
        <strike val="0"/>
        <condense val="0"/>
        <extend val="0"/>
        <outline val="0"/>
        <shadow val="0"/>
        <u val="none"/>
        <vertAlign val="baseline"/>
        <sz val="10"/>
        <color auto="1"/>
        <name val="Arial"/>
        <family val="2"/>
        <scheme val="none"/>
      </font>
      <alignment horizontal="center"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border diagonalUp="0" diagonalDown="0">
        <left style="thin">
          <color rgb="FF000000"/>
        </left>
        <right/>
        <top style="thin">
          <color rgb="FF000000"/>
        </top>
        <bottom style="thin">
          <color rgb="FF000000"/>
        </bottom>
        <vertical/>
        <horizontal/>
      </border>
      <protection locked="0" hidden="0"/>
    </dxf>
    <dxf>
      <font>
        <b val="0"/>
        <i val="0"/>
        <strike val="0"/>
        <condense val="0"/>
        <extend val="0"/>
        <outline val="0"/>
        <shadow val="0"/>
        <u val="none"/>
        <vertAlign val="baseline"/>
        <sz val="10"/>
        <color auto="1"/>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rgb="FF000000"/>
        </right>
      </border>
    </dxf>
    <dxf>
      <font>
        <b/>
        <i val="0"/>
        <strike val="0"/>
        <condense val="0"/>
        <extend val="0"/>
        <outline val="0"/>
        <shadow val="0"/>
        <u val="none"/>
        <vertAlign val="baseline"/>
        <sz val="10"/>
        <color auto="1"/>
        <name val="Arial"/>
        <family val="2"/>
        <scheme val="none"/>
      </font>
      <alignment horizontal="center" vertical="top" textRotation="0" wrapText="1" indent="0" justifyLastLine="0" shrinkToFit="0" readingOrder="0"/>
    </dxf>
    <dxf>
      <font>
        <b val="0"/>
        <i val="0"/>
        <strike val="0"/>
        <condense val="0"/>
        <extend val="0"/>
        <outline val="0"/>
        <shadow val="0"/>
        <u val="none"/>
        <vertAlign val="baseline"/>
        <sz val="10"/>
        <color theme="1"/>
        <name val="Arial"/>
        <family val="2"/>
        <scheme val="none"/>
      </font>
      <border diagonalUp="0" diagonalDown="0">
        <left style="thin">
          <color rgb="FF000000"/>
        </left>
        <right style="thin">
          <color rgb="FF000000"/>
        </right>
        <top style="thin">
          <color rgb="FF000000"/>
        </top>
        <bottom style="thin">
          <color rgb="FF000000"/>
        </bottom>
        <vertical/>
        <horizontal/>
      </border>
      <protection locked="0" hidden="0"/>
    </dxf>
    <dxf>
      <font>
        <b val="0"/>
        <i val="0"/>
        <strike val="0"/>
        <condense val="0"/>
        <extend val="0"/>
        <outline val="0"/>
        <shadow val="0"/>
        <u val="none"/>
        <vertAlign val="baseline"/>
        <sz val="10"/>
        <color theme="1"/>
        <name val="Arial"/>
        <scheme val="none"/>
      </font>
      <alignment horizontal="center" vertical="top" textRotation="0" wrapText="0" indent="0" justifyLastLine="0" shrinkToFit="0" readingOrder="0"/>
      <border diagonalUp="0" diagonalDown="0">
        <left style="thin">
          <color rgb="FF000000"/>
        </left>
        <right style="thin">
          <color rgb="FF000000"/>
        </right>
        <top style="thin">
          <color rgb="FF000000"/>
        </top>
        <bottom/>
        <vertical/>
        <horizontal/>
      </border>
    </dxf>
    <dxf>
      <protection locked="0" hidden="0"/>
    </dxf>
    <dxf>
      <font>
        <b val="0"/>
        <i val="0"/>
        <strike val="0"/>
        <condense val="0"/>
        <extend val="0"/>
        <outline val="0"/>
        <shadow val="0"/>
        <u val="none"/>
        <vertAlign val="baseline"/>
        <sz val="10"/>
        <color rgb="FF000000"/>
        <name val="Arial"/>
        <family val="2"/>
        <scheme val="none"/>
      </font>
      <alignment horizontal="center" vertical="top" textRotation="0" wrapText="0" indent="0" justifyLastLine="0" shrinkToFit="0" readingOrder="0"/>
      <border diagonalUp="0" diagonalDown="0">
        <left style="thin">
          <color rgb="FF000000"/>
        </left>
        <right style="thin">
          <color rgb="FF000000"/>
        </right>
        <top style="thin">
          <color rgb="FF000000"/>
        </top>
        <bottom/>
        <vertical/>
        <horizontal/>
      </border>
    </dxf>
    <dxf>
      <font>
        <b val="0"/>
        <i val="0"/>
        <strike val="0"/>
        <condense val="0"/>
        <extend val="0"/>
        <outline val="0"/>
        <shadow val="0"/>
        <u val="none"/>
        <vertAlign val="baseline"/>
        <sz val="10"/>
        <color auto="1"/>
        <name val="Arial"/>
        <family val="2"/>
        <scheme val="none"/>
      </font>
      <alignment horizontal="center" vertical="top" textRotation="0" wrapText="0" indent="0" justifyLastLine="0" shrinkToFit="0" readingOrder="0"/>
      <border diagonalUp="0" diagonalDown="0">
        <left style="thin">
          <color rgb="FF000000"/>
        </left>
        <right/>
        <top style="thin">
          <color rgb="FF000000"/>
        </top>
        <bottom/>
        <vertical/>
        <horizontal/>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top" textRotation="0" wrapText="0"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auto="1"/>
        <name val="Arial"/>
        <family val="2"/>
        <scheme val="none"/>
      </font>
      <alignment horizontal="center" vertical="top" textRotation="0" wrapText="1" indent="0" justifyLastLine="0" shrinkToFit="0" readingOrder="0"/>
    </dxf>
    <dxf>
      <font>
        <b val="0"/>
        <i val="0"/>
        <strike val="0"/>
        <condense val="0"/>
        <extend val="0"/>
        <outline val="0"/>
        <shadow val="0"/>
        <u val="none"/>
        <vertAlign val="baseline"/>
        <sz val="10"/>
        <color theme="1"/>
        <name val="Arial"/>
        <family val="2"/>
        <scheme val="none"/>
      </font>
      <border diagonalUp="0" diagonalDown="0">
        <left style="thin">
          <color rgb="FF000000"/>
        </left>
        <right/>
        <top/>
        <bottom style="thin">
          <color rgb="FF000000"/>
        </bottom>
        <vertical/>
        <horizontal/>
      </border>
      <protection locked="0" hidden="0"/>
    </dxf>
    <dxf>
      <font>
        <b val="0"/>
        <i val="0"/>
        <strike val="0"/>
        <condense val="0"/>
        <extend val="0"/>
        <outline val="0"/>
        <shadow val="0"/>
        <u val="none"/>
        <vertAlign val="baseline"/>
        <sz val="10"/>
        <color rgb="FF000000"/>
        <name val="Arial"/>
        <family val="2"/>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Arial"/>
        <family val="2"/>
        <scheme val="none"/>
      </font>
      <fill>
        <patternFill patternType="solid">
          <fgColor indexed="64"/>
          <bgColor rgb="FFFFC00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rgb="FF000000"/>
        <name val="Arial"/>
        <family val="2"/>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Arial"/>
        <family val="2"/>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border diagonalUp="0" diagonalDown="0">
        <left style="thin">
          <color rgb="FF000000"/>
        </left>
        <right style="thin">
          <color rgb="FF000000"/>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right style="thin">
          <color rgb="FF000000"/>
        </right>
      </border>
    </dxf>
    <dxf>
      <font>
        <b val="0"/>
        <i val="0"/>
        <strike val="0"/>
        <condense val="0"/>
        <extend val="0"/>
        <outline val="0"/>
        <shadow val="0"/>
        <u val="none"/>
        <vertAlign val="baseline"/>
        <sz val="10"/>
        <color rgb="FF000000"/>
        <name val="Arial"/>
        <family val="2"/>
        <scheme val="none"/>
      </font>
      <alignment horizontal="center" vertical="top" textRotation="0" wrapText="1" indent="0" justifyLastLine="0" shrinkToFit="0" readingOrder="0"/>
    </dxf>
    <dxf>
      <font>
        <b/>
        <i val="0"/>
        <strike val="0"/>
        <condense val="0"/>
        <extend val="0"/>
        <outline val="0"/>
        <shadow val="0"/>
        <u val="none"/>
        <vertAlign val="baseline"/>
        <sz val="10"/>
        <color auto="1"/>
        <name val="Arial"/>
        <family val="2"/>
        <scheme val="none"/>
      </font>
      <alignment horizontal="center"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border diagonalUp="0" diagonalDown="0">
        <left style="thin">
          <color rgb="FF000000"/>
        </left>
        <right/>
        <top style="thin">
          <color rgb="FF000000"/>
        </top>
        <bottom style="thin">
          <color rgb="FF000000"/>
        </bottom>
        <vertical/>
        <horizontal/>
      </border>
      <protection locked="0"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center"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rgb="FF000000"/>
        </right>
      </border>
    </dxf>
    <dxf>
      <font>
        <b/>
        <i val="0"/>
        <strike val="0"/>
        <condense val="0"/>
        <extend val="0"/>
        <outline val="0"/>
        <shadow val="0"/>
        <u val="none"/>
        <vertAlign val="baseline"/>
        <sz val="10"/>
        <color auto="1"/>
        <name val="Arial"/>
        <family val="2"/>
        <scheme val="none"/>
      </font>
      <alignment horizontal="center"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border diagonalUp="0" diagonalDown="0">
        <left style="thin">
          <color rgb="FF000000"/>
        </left>
        <right/>
        <top style="thin">
          <color rgb="FF000000"/>
        </top>
        <bottom style="thin">
          <color rgb="FF000000"/>
        </bottom>
        <vertical/>
        <horizontal/>
      </border>
      <protection locked="0" hidden="0"/>
    </dxf>
    <dxf>
      <font>
        <b val="0"/>
        <i val="0"/>
        <strike val="0"/>
        <condense val="0"/>
        <extend val="0"/>
        <outline val="0"/>
        <shadow val="0"/>
        <u val="none"/>
        <vertAlign val="baseline"/>
        <sz val="10"/>
        <color rgb="FF000000"/>
        <name val="Arial"/>
        <scheme val="none"/>
      </font>
      <alignment horizontal="center" vertical="top"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rgb="FF000000"/>
        <name val="Arial"/>
        <scheme val="none"/>
      </font>
      <fill>
        <patternFill patternType="solid">
          <fgColor indexed="64"/>
          <bgColor rgb="FFFFC00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rgb="FF000000"/>
        <name val="Arial"/>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Arial"/>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rgb="FF000000"/>
        </right>
      </border>
    </dxf>
    <dxf>
      <font>
        <b/>
        <i val="0"/>
        <strike val="0"/>
        <condense val="0"/>
        <extend val="0"/>
        <outline val="0"/>
        <shadow val="0"/>
        <u val="none"/>
        <vertAlign val="baseline"/>
        <sz val="10"/>
        <color auto="1"/>
        <name val="Arial"/>
        <family val="2"/>
        <scheme val="none"/>
      </font>
      <alignment horizontal="center" vertical="top"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Arial"/>
        <family val="2"/>
        <scheme val="none"/>
      </font>
      <fill>
        <patternFill patternType="solid">
          <fgColor indexed="64"/>
          <bgColor rgb="FFFFC00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rgb="FF000000"/>
        <name val="Arial"/>
        <family val="2"/>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Arial"/>
        <family val="2"/>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right style="thin">
          <color rgb="FF000000"/>
        </right>
      </border>
    </dxf>
    <dxf>
      <font>
        <b val="0"/>
        <i val="0"/>
        <strike val="0"/>
        <condense val="0"/>
        <extend val="0"/>
        <outline val="0"/>
        <shadow val="0"/>
        <u val="none"/>
        <vertAlign val="baseline"/>
        <sz val="10"/>
        <color rgb="FF000000"/>
        <name val="Arial"/>
        <family val="2"/>
        <scheme val="none"/>
      </font>
      <alignment horizontal="center" vertical="top" textRotation="0" wrapText="1" indent="0" justifyLastLine="0" shrinkToFit="0" readingOrder="0"/>
    </dxf>
    <dxf>
      <font>
        <b/>
        <i val="0"/>
        <strike val="0"/>
        <condense val="0"/>
        <extend val="0"/>
        <outline val="0"/>
        <shadow val="0"/>
        <u val="none"/>
        <vertAlign val="baseline"/>
        <sz val="10"/>
        <color auto="1"/>
        <name val="Arial"/>
        <family val="2"/>
        <scheme val="none"/>
      </font>
      <alignment horizontal="center" vertical="top" textRotation="0" wrapText="1" indent="0" justifyLastLine="0" shrinkToFit="0" readingOrder="0"/>
    </dxf>
    <dxf>
      <font>
        <b val="0"/>
        <i val="0"/>
        <strike val="0"/>
        <condense val="0"/>
        <extend val="0"/>
        <outline val="0"/>
        <shadow val="0"/>
        <u val="none"/>
        <vertAlign val="baseline"/>
        <sz val="10"/>
        <color theme="1"/>
        <name val="Arial"/>
        <family val="2"/>
        <scheme val="none"/>
      </font>
      <border diagonalUp="0" diagonalDown="0">
        <left style="thin">
          <color rgb="FF000000"/>
        </left>
        <right/>
        <top/>
        <bottom style="thin">
          <color rgb="FF000000"/>
        </bottom>
        <vertical/>
        <horizontal/>
      </border>
      <protection locked="0" hidden="0"/>
    </dxf>
    <dxf>
      <font>
        <b val="0"/>
        <i val="0"/>
        <strike val="0"/>
        <condense val="0"/>
        <extend val="0"/>
        <outline val="0"/>
        <shadow val="0"/>
        <u val="none"/>
        <vertAlign val="baseline"/>
        <sz val="10"/>
        <color rgb="FF000000"/>
        <name val="Arial"/>
        <family val="2"/>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Arial"/>
        <family val="2"/>
        <scheme val="none"/>
      </font>
      <fill>
        <patternFill patternType="solid">
          <fgColor indexed="64"/>
          <bgColor rgb="FFFFC00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rgb="FF000000"/>
        <name val="Arial"/>
        <family val="2"/>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Arial"/>
        <family val="2"/>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border diagonalUp="0" diagonalDown="0">
        <left style="thin">
          <color rgb="FF000000"/>
        </left>
        <right style="thin">
          <color rgb="FF000000"/>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right style="thin">
          <color rgb="FF000000"/>
        </right>
      </border>
    </dxf>
    <dxf>
      <font>
        <b val="0"/>
        <i val="0"/>
        <strike val="0"/>
        <condense val="0"/>
        <extend val="0"/>
        <outline val="0"/>
        <shadow val="0"/>
        <u val="none"/>
        <vertAlign val="baseline"/>
        <sz val="10"/>
        <color rgb="FF000000"/>
        <name val="Arial"/>
        <family val="2"/>
        <scheme val="none"/>
      </font>
      <alignment horizontal="center" vertical="top" textRotation="0" wrapText="1" indent="0" justifyLastLine="0" shrinkToFit="0" readingOrder="0"/>
    </dxf>
    <dxf>
      <font>
        <b/>
        <i val="0"/>
        <strike val="0"/>
        <condense val="0"/>
        <extend val="0"/>
        <outline val="0"/>
        <shadow val="0"/>
        <u val="none"/>
        <vertAlign val="baseline"/>
        <sz val="10"/>
        <color auto="1"/>
        <name val="Arial"/>
        <family val="2"/>
        <scheme val="none"/>
      </font>
      <alignment horizontal="center" vertical="top" textRotation="0" wrapText="1" indent="0" justifyLastLine="0" shrinkToFit="0" readingOrder="0"/>
    </dxf>
    <dxf>
      <font>
        <b val="0"/>
        <i val="0"/>
        <strike val="0"/>
        <condense val="0"/>
        <extend val="0"/>
        <outline val="0"/>
        <shadow val="0"/>
        <u val="none"/>
        <vertAlign val="baseline"/>
        <sz val="10"/>
        <color theme="1"/>
        <name val="Arial"/>
        <family val="2"/>
        <scheme val="none"/>
      </font>
      <border diagonalUp="0" diagonalDown="0">
        <left style="thin">
          <color rgb="FF000000"/>
        </left>
        <right/>
        <top/>
        <bottom style="thin">
          <color rgb="FF000000"/>
        </bottom>
        <vertical/>
        <horizontal/>
      </border>
      <protection locked="0" hidden="0"/>
    </dxf>
    <dxf>
      <font>
        <b val="0"/>
        <i val="0"/>
        <strike val="0"/>
        <condense val="0"/>
        <extend val="0"/>
        <outline val="0"/>
        <shadow val="0"/>
        <u val="none"/>
        <vertAlign val="baseline"/>
        <sz val="10"/>
        <color rgb="FF000000"/>
        <name val="Arial"/>
        <family val="2"/>
        <scheme val="none"/>
      </font>
      <alignment horizontal="center" vertical="top"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rgb="FF000000"/>
        <name val="Arial"/>
        <family val="2"/>
        <scheme val="none"/>
      </font>
      <fill>
        <patternFill patternType="solid">
          <fgColor indexed="64"/>
          <bgColor rgb="FFFFC00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rgb="FF000000"/>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rgb="FF000000"/>
        </right>
      </border>
    </dxf>
    <dxf>
      <font>
        <b/>
        <i val="0"/>
        <strike val="0"/>
        <condense val="0"/>
        <extend val="0"/>
        <outline val="0"/>
        <shadow val="0"/>
        <u val="none"/>
        <vertAlign val="baseline"/>
        <sz val="10"/>
        <color auto="1"/>
        <name val="Arial"/>
        <family val="2"/>
        <scheme val="none"/>
      </font>
      <alignment horizontal="center" vertical="top"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2EFE672B-E428-41BF-9F4A-7DA19EF180BF}" name="Algemeen" displayName="Algemeen" ref="A4:J14" totalsRowShown="0" headerRowDxfId="248" tableBorderDxfId="247">
  <tableColumns count="10">
    <tableColumn id="1" xr3:uid="{E555D819-2799-431B-A944-12D67D97E0DD}" name="Nr." dataDxfId="246"/>
    <tableColumn id="2" xr3:uid="{90451825-1C92-4FDD-ACD2-E6D0646C7D96}" name="Omschrijving" dataDxfId="245"/>
    <tableColumn id="3" xr3:uid="{38AC7921-1756-4A53-8663-C70BE0D40164}" name="Toelichting" dataDxfId="244"/>
    <tableColumn id="4" xr3:uid="{4968480B-8965-4803-A463-5563DE7EC833}" name="Eis, Wens of Vraag" dataDxfId="243"/>
    <tableColumn id="5" xr3:uid="{878D363D-578A-4144-A6FD-353B1AB6D4B3}" name="Prio: hoog/midden/laag" dataDxfId="242"/>
    <tableColumn id="6" xr3:uid="{8DD12258-BE43-440E-8579-9CAAA736B5B9}" name="Schriftelijk toelichten bij inschrijving gewenst" dataDxfId="241"/>
    <tableColumn id="7" xr3:uid="{7A53C875-FCB0-4D74-886F-6D743A784D69}" name="Max. te behalen punten" dataDxfId="240"/>
    <tableColumn id="8" xr3:uid="{0EAC5CCE-E643-4243-9005-428C42A207B4}" name="Voldoet de oplossing? ja/nee" dataDxfId="239"/>
    <tableColumn id="9" xr3:uid="{D83D3A6E-B770-49F6-AA43-28D6DECED7A4}" name="Score" dataDxfId="238"/>
    <tableColumn id="10" xr3:uid="{FD2DC971-3C98-4533-972F-70CFC800BBBF}" name="Opmerkingen" dataDxfId="237"/>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9965E92-7EEA-4AC1-9D8C-58DA7A00AD95}" name="WOZ" displayName="WOZ" ref="A4:J18" totalsRowShown="0" headerRowDxfId="160" tableBorderDxfId="159">
  <tableColumns count="10">
    <tableColumn id="1" xr3:uid="{6318F982-F6DF-4F9C-B1E2-67DA2480E7D1}" name="Nr." dataDxfId="158"/>
    <tableColumn id="2" xr3:uid="{55987AE9-0AA3-4116-A021-0D6AD6F2CBE6}" name="Omschrijving" dataDxfId="157"/>
    <tableColumn id="3" xr3:uid="{1CF7ABBF-DB55-4DE9-83FA-B08BDB3FB9A3}" name="Toelichting" dataDxfId="156"/>
    <tableColumn id="4" xr3:uid="{DEF8FA36-6EA7-4284-B180-7DC8A150EBD1}" name="Eis, Wens of Vraag" dataDxfId="155"/>
    <tableColumn id="5" xr3:uid="{B665226F-DA1B-4506-96DC-123B5FFA0455}" name="Prio: hoog/midden/laag" dataDxfId="154"/>
    <tableColumn id="6" xr3:uid="{9DFFAD12-668D-47F8-BA07-841D7765DB91}" name="Schriftelijk toelichten bij inschrijving gewenst" dataDxfId="153"/>
    <tableColumn id="7" xr3:uid="{530EBBE1-B881-431C-B80C-58A6994DB94C}" name="Max. te behalen punten" dataDxfId="152"/>
    <tableColumn id="8" xr3:uid="{20C7B579-EAF8-4439-A4AE-B8790D5044CF}" name="Voldoet de oplossing? ja/nee" dataDxfId="151"/>
    <tableColumn id="9" xr3:uid="{A4A93012-35F4-436E-8667-ACAAF2581F77}" name="Score" dataDxfId="150"/>
    <tableColumn id="10" xr3:uid="{1B05CDAA-247A-44B6-BDC9-DB3483CF45C2}" name="Opmerkingen" dataDxfId="149"/>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8FD495F-127F-417B-AB89-D003DADE5811}" name="Waarderen" displayName="Waarderen" ref="A3:J20" totalsRowShown="0" headerRowDxfId="148" tableBorderDxfId="147">
  <tableColumns count="10">
    <tableColumn id="1" xr3:uid="{13E9791B-BC68-4D60-9AE3-176D1BE83113}" name="Nr." dataDxfId="146"/>
    <tableColumn id="2" xr3:uid="{17B1F958-7198-4CE8-B384-7BD5D36EFE01}" name="Omschrijving" dataDxfId="145"/>
    <tableColumn id="3" xr3:uid="{241AD974-80F7-47A0-9F5B-2CDE9F93B0E8}" name="Toelichting"/>
    <tableColumn id="4" xr3:uid="{4AE6F6B7-23DF-4C7F-A5D2-6EED5F695BDD}" name="Eis, Wens of Vraag" dataDxfId="144"/>
    <tableColumn id="5" xr3:uid="{9F8C13B2-07A6-4519-BF60-8316D3D2334B}" name="Prio: hoog/midden/laag" dataDxfId="143"/>
    <tableColumn id="6" xr3:uid="{42A0E29A-C21A-4F96-9170-80772CADF338}" name="Schriftelijk toelichten bij inschrijving gewenst" dataDxfId="142"/>
    <tableColumn id="7" xr3:uid="{10185D2E-B261-4E39-9E8C-C8F28DF63383}" name="Max. te behalen punten" dataDxfId="141"/>
    <tableColumn id="8" xr3:uid="{88A0989C-F1DA-4D1B-B061-FA3A49E4D7DC}" name="Voldoet de oplossing? ja/nee" dataDxfId="140"/>
    <tableColumn id="9" xr3:uid="{48E8E897-981D-4644-9496-E885005816CD}" name="Score" dataDxfId="139"/>
    <tableColumn id="10" xr3:uid="{44DACDA0-8D0C-41AC-8994-4CEF3F8EA2EE}" name="Opmerkingen" dataDxfId="138"/>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781A893-6BC2-4434-A1E5-E35D9701BC39}" name="Bezwaar_beroep" displayName="Bezwaar_beroep" ref="A4:J15" totalsRowShown="0" headerRowDxfId="137" tableBorderDxfId="136">
  <tableColumns count="10">
    <tableColumn id="1" xr3:uid="{B94BD6B4-FF3D-4FB7-972D-4E597D647E97}" name="Nr." dataDxfId="135"/>
    <tableColumn id="2" xr3:uid="{E4C178F2-011E-4D4A-BF62-9E4AFD1E13B1}" name="Omschrijving" dataDxfId="134"/>
    <tableColumn id="3" xr3:uid="{88A2B0E2-9827-4B0E-B639-F466CCE055B0}" name="Toelichting"/>
    <tableColumn id="4" xr3:uid="{6E7F125A-2CB9-4128-AD68-48046CA3C9FC}" name="Eis, Wens of Vraag" dataDxfId="133"/>
    <tableColumn id="5" xr3:uid="{6C4AA20A-8275-4EA7-A622-DF61F5DB4B0B}" name="Prio: hoog/midden/laag" dataDxfId="132"/>
    <tableColumn id="6" xr3:uid="{7C935E4F-4556-4A31-AA12-994F7D2EB9C8}" name="Schriftelijk toelichten bij inschrijving gewenst" dataDxfId="131"/>
    <tableColumn id="7" xr3:uid="{E7ED98C9-8E45-4CCC-BA59-660D5CF86B1C}" name="Max. te behalen punten" dataDxfId="130"/>
    <tableColumn id="8" xr3:uid="{DC4C279F-9F79-4D45-A254-9B0BE2A5D673}" name="Voldoet de oplossing? ja/nee" dataDxfId="129"/>
    <tableColumn id="9" xr3:uid="{5B357A43-B56F-4A9F-B3F2-24BF27F2119C}" name="Score" dataDxfId="128"/>
    <tableColumn id="10" xr3:uid="{1FFC6D8D-8D88-4484-B4F3-D67EACDA1FE3}" name="Opmerkingen" dataDxfId="127"/>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606FB40-A742-4A77-AE60-AAECC5D617BF}" name="Workflow" displayName="Workflow" ref="A4:J12" totalsRowShown="0" headerRowDxfId="126" tableBorderDxfId="125">
  <tableColumns count="10">
    <tableColumn id="1" xr3:uid="{E4F1C723-F419-4A63-ABA0-4847A5171D62}" name="Nr." dataDxfId="124"/>
    <tableColumn id="2" xr3:uid="{0A3B26E3-9BF8-4FCE-A652-8D5ED64D9E17}" name="Omschrijving" dataDxfId="123"/>
    <tableColumn id="3" xr3:uid="{2B6AC1A5-86A1-4733-A7CB-43FCFD31A6CE}" name="Toelichting" dataDxfId="122"/>
    <tableColumn id="4" xr3:uid="{6CEBCD21-5A97-4B07-8E08-8AC9E3514CC9}" name="Eis, Wens of Vraag" dataDxfId="121"/>
    <tableColumn id="5" xr3:uid="{E1B90388-DBCE-40E9-9AF4-4896FAE2FE80}" name="Prio: hoog/midden/laag" dataDxfId="120"/>
    <tableColumn id="6" xr3:uid="{B979FF17-DC42-40D2-9D6E-4BDAC7F5F077}" name="Schriftelijk toelichten bij inschrijving gewenst" dataDxfId="119"/>
    <tableColumn id="7" xr3:uid="{4D0E5D25-557E-415D-8482-041C3E65C664}" name="Max. te behalen punten" dataDxfId="118"/>
    <tableColumn id="8" xr3:uid="{5A7C323D-634E-481D-9552-7C1BE5165F43}" name="Voldoet de oplossing? ja/nee" dataDxfId="117"/>
    <tableColumn id="9" xr3:uid="{6776C15C-482B-4261-BE80-45BCED0D98C3}" name="Score" dataDxfId="116"/>
    <tableColumn id="10" xr3:uid="{1BA65248-71BB-4BAC-8012-AD7C4D01BB90}" name="Opmerkingen" dataDxfId="115"/>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2C0F624-491D-4815-A9AC-80ACD879AED1}" name="Digitale_belastingbalie" displayName="Digitale_belastingbalie" ref="A4:J20" totalsRowShown="0" headerRowDxfId="114" tableBorderDxfId="113">
  <tableColumns count="10">
    <tableColumn id="1" xr3:uid="{CDA68590-2AB0-4670-A03B-4C2FE84154B2}" name="Nr." dataDxfId="112"/>
    <tableColumn id="2" xr3:uid="{568DADCD-E0E4-4616-8105-2CEABD23F829}" name="Omschrijving" dataDxfId="111"/>
    <tableColumn id="3" xr3:uid="{9B471837-4A65-40E9-B53B-90F3B4FE2879}" name="Toelichting" dataDxfId="110"/>
    <tableColumn id="4" xr3:uid="{B6178B6E-23C6-429C-9DF3-CB53AB4BBE4A}" name="Eis, Wens of Vraag"/>
    <tableColumn id="5" xr3:uid="{20A52C97-DE9E-407E-9026-845121DE4FF8}" name="Prio: hoog/midden/laag" dataDxfId="109"/>
    <tableColumn id="6" xr3:uid="{1F46F79B-C02D-4D07-B061-BD7F2BC97DC1}" name="Schriftelijk toelichten bij inschrijving gewenst"/>
    <tableColumn id="7" xr3:uid="{9B6FFE6E-2C9B-46C2-BCD9-3862714D4CA4}" name="Max. te behalen punten"/>
    <tableColumn id="8" xr3:uid="{D60A18F8-3BA2-4DE4-8E3D-2DEBE62B0CA4}" name="Voldoet de oplossing? ja/nee"/>
    <tableColumn id="9" xr3:uid="{D5EEE7BA-15E7-44B0-BBCF-1EA6B9EC020D}" name="Score" dataDxfId="108"/>
    <tableColumn id="10" xr3:uid="{9D362A54-BB63-46AE-8851-68EAC78766E5}" name="Opmerkingen" dataDxfId="107"/>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91BD1394-5174-4DF9-818B-6C88E2404155}" name="Geo_informatie" displayName="Geo_informatie" ref="A4:J9" totalsRowShown="0" headerRowDxfId="106" tableBorderDxfId="105">
  <tableColumns count="10">
    <tableColumn id="1" xr3:uid="{552B9FB8-9F47-4C68-88DA-C4E8C3CF88CD}" name="Nr." dataDxfId="104"/>
    <tableColumn id="2" xr3:uid="{3EC0ED91-B036-4840-8226-DF3866461F97}" name="Omschrijving" dataDxfId="103"/>
    <tableColumn id="3" xr3:uid="{B1A21F44-36A6-4B00-922E-749871DE79DE}" name="Toelichting" dataDxfId="102"/>
    <tableColumn id="4" xr3:uid="{70AC7531-8972-48A1-8D42-0EC5A763082B}" name="Eis, Wens of Vraag" dataDxfId="101"/>
    <tableColumn id="5" xr3:uid="{DB578861-906D-4F84-95A2-1FA8E7AA6678}" name="Prio: hoog/midden/laag" dataDxfId="100"/>
    <tableColumn id="6" xr3:uid="{180EDE59-08C2-42EF-B989-4ACE12E1ABE1}" name="Schriftelijk toelichten bij inschrijving gewenst" dataDxfId="99"/>
    <tableColumn id="7" xr3:uid="{CD9E8CFE-1CBF-450D-9D91-3A308B713DD8}" name="Max. te behalen punten" dataDxfId="98"/>
    <tableColumn id="8" xr3:uid="{4E67975F-DA4A-4FF2-AB3C-F7F1792B7B19}" name="Voldoet de oplossing? ja/nee" dataDxfId="97"/>
    <tableColumn id="9" xr3:uid="{D19D698D-7558-41BE-BDC2-8FF5663C79E3}" name="Score" dataDxfId="96"/>
    <tableColumn id="10" xr3:uid="{77A87951-0ED9-4A2C-B17C-07EB07B09530}" name="Opmerkingen" dataDxfId="95"/>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CB710B3F-6C89-4CA5-A5A6-FAD92632C271}" name="Rapportages" displayName="Rapportages" ref="A4:J16" totalsRowShown="0" headerRowDxfId="94" tableBorderDxfId="93">
  <tableColumns count="10">
    <tableColumn id="1" xr3:uid="{408004C1-8EED-4305-BFA8-FF2EA1E1ABE2}" name="Nr." dataDxfId="92"/>
    <tableColumn id="2" xr3:uid="{9AA0B191-F012-484D-BE70-418C00CDBB81}" name="Omschrijving" dataDxfId="91"/>
    <tableColumn id="3" xr3:uid="{58022A92-B2E5-400E-A8BF-9004CD3F13B0}" name="Toelichting" dataDxfId="90"/>
    <tableColumn id="4" xr3:uid="{B5692122-E8FA-4AFE-9F8B-A8FFFEFF681E}" name="Eis, Wens of Vraag" dataDxfId="89"/>
    <tableColumn id="5" xr3:uid="{3B3E95FB-0F69-4264-A8BE-DB59D8C50417}" name="Prio: hoog/midden/laag" dataDxfId="88"/>
    <tableColumn id="6" xr3:uid="{D28C655A-5ADC-4F7D-B988-6B9FA7129AF2}" name="Schriftelijk toelichten bij inschrijving gewenst" dataDxfId="87"/>
    <tableColumn id="7" xr3:uid="{FE1AC784-3DBA-4FCD-8E3D-1280230F41F9}" name="Max. te behalen punten" dataDxfId="86"/>
    <tableColumn id="8" xr3:uid="{669677F4-985E-4110-BD9E-F10139225AC6}" name="Voldoet de oplossing? ja/nee" dataDxfId="85"/>
    <tableColumn id="9" xr3:uid="{502F7166-E4B7-47CD-9177-32D04432481F}" name="Score" dataDxfId="84"/>
    <tableColumn id="10" xr3:uid="{1E0EC64B-292F-4C39-9F45-0F4EBFA5A1F1}" name="Opmerkingen" dataDxfId="83"/>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AAFC688-20F2-4F8D-AA44-797E1683B60D}" name="Documenten" displayName="Documenten" ref="A4:J22" totalsRowShown="0" headerRowDxfId="82" tableBorderDxfId="81">
  <tableColumns count="10">
    <tableColumn id="1" xr3:uid="{941F87FB-434C-4064-9CB9-D3B33275A31C}" name="Nr." dataDxfId="80"/>
    <tableColumn id="2" xr3:uid="{D96CED05-DE03-49B4-9A33-ECDA5393BBD0}" name="Omschrijving"/>
    <tableColumn id="3" xr3:uid="{D4872C7B-A658-4818-986D-B8D5C92C6A1C}" name="Toelichting" dataDxfId="79"/>
    <tableColumn id="4" xr3:uid="{14991F8F-17E1-453A-90BE-9E2C3E9A7667}" name="Eis, Wens of Vraag" dataDxfId="78"/>
    <tableColumn id="5" xr3:uid="{DE534C57-F842-4775-A05C-E8B59011821E}" name="Prio: hoog/midden/laag"/>
    <tableColumn id="6" xr3:uid="{E6974ABF-9856-4940-8F48-51CDBCED5122}" name="Schriftelijk toelichten bij inschrijving gewenst"/>
    <tableColumn id="7" xr3:uid="{B1335913-3F09-4631-9940-BBF8286A6E44}" name="Max. te behalen punten" dataDxfId="77"/>
    <tableColumn id="8" xr3:uid="{94A95256-319C-4C2F-ACB4-FCC289309B73}" name="Voldoet de oplossing? ja/nee" dataDxfId="76"/>
    <tableColumn id="9" xr3:uid="{3BA0C24E-7868-4229-B1C0-99951CF550C8}" name="Score" dataDxfId="75"/>
    <tableColumn id="10" xr3:uid="{AEA7614D-B371-4A0D-9495-3CF5395EB22C}" name="Opmerkingen" dataDxfId="74"/>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984C5A28-C91F-45F1-9476-E2D7AED522CD}" name="Functioneel_beheer" displayName="Functioneel_beheer" ref="A4:J14" totalsRowShown="0" headerRowDxfId="73" tableBorderDxfId="72">
  <autoFilter ref="A4:J14" xr:uid="{984C5A28-C91F-45F1-9476-E2D7AED522CD}"/>
  <tableColumns count="10">
    <tableColumn id="1" xr3:uid="{BBFE86A4-10C3-47C4-B8AE-ED58E455212A}" name="Nr." dataDxfId="71"/>
    <tableColumn id="2" xr3:uid="{BB558D7E-9A3D-4BDE-93BF-07DADA0A1513}" name="Omschrijving" dataDxfId="70"/>
    <tableColumn id="3" xr3:uid="{6E276950-AF50-4755-8719-85FA4E71B36C}" name="Toelichting" dataDxfId="69"/>
    <tableColumn id="4" xr3:uid="{932B09B3-0C57-4AC4-8D91-9EB7F62E0438}" name="Eis, Wens of Vraag"/>
    <tableColumn id="5" xr3:uid="{9FBF7423-4D34-422F-93D6-3A0646F4FC13}" name="Prio: hoog/midden/laag"/>
    <tableColumn id="6" xr3:uid="{8BCAA831-707E-45FA-80ED-8872712CFA58}" name="Schriftelijk toelichten bij inschrijving gewenst"/>
    <tableColumn id="7" xr3:uid="{950896EB-BDBB-4837-AB1A-BAEC8784A444}" name="Max. te behalen punten" dataDxfId="68"/>
    <tableColumn id="8" xr3:uid="{691CA327-BDF0-4D4F-96CF-9B3AAFEBC81B}" name="Voldoet de oplossing? ja/nee" dataDxfId="67"/>
    <tableColumn id="9" xr3:uid="{D51D8508-9408-48DB-B5A9-B9F645D285D9}" name="Score"/>
    <tableColumn id="10" xr3:uid="{B38A55D7-4D9E-4F53-82FC-1B776144F87A}" name="Opmerkingen" dataDxfId="66"/>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5D75E9B1-C988-4E0F-9BD6-D3F68ED609FB}" name="Koppelingen" displayName="Koppelingen" ref="A4:J22" totalsRowShown="0" headerRowDxfId="65" dataDxfId="64" tableBorderDxfId="63">
  <tableColumns count="10">
    <tableColumn id="1" xr3:uid="{B22D515C-A0D6-4890-BAD1-46950C090767}" name="Nr." dataDxfId="62"/>
    <tableColumn id="2" xr3:uid="{A27AD2C9-6425-49C9-97E8-3C8CFA216B46}" name="Omschrijving" dataDxfId="61"/>
    <tableColumn id="3" xr3:uid="{816CEF74-FB08-4A4C-8B1E-31C5AFD7025B}" name="Toelichting" dataDxfId="60"/>
    <tableColumn id="4" xr3:uid="{D2B3D019-9E2B-4FFB-9D80-28ED5F7965A9}" name="Eis, Wens of Vraag" dataDxfId="59"/>
    <tableColumn id="5" xr3:uid="{DE10E96B-E20A-4C5A-8200-08EA3B0B9AF6}" name="Prio: hoog/midden/laag" dataDxfId="58"/>
    <tableColumn id="6" xr3:uid="{2D6B8DBE-5756-468B-9086-00FC1670DE38}" name="Schriftelijk toelichten bij inschrijving gewenst" dataDxfId="57"/>
    <tableColumn id="7" xr3:uid="{E89A2BA5-BA10-4657-AE17-B2700787FEED}" name="Max. te behalen punten" dataDxfId="56"/>
    <tableColumn id="8" xr3:uid="{557558BF-B0EB-40BA-910F-B2D3A3E7C179}" name="Voldoet de oplossing? ja/nee" dataDxfId="55"/>
    <tableColumn id="9" xr3:uid="{9E470F73-B335-4A65-ABAF-A0AB01F11CCB}" name="Score" dataDxfId="54"/>
    <tableColumn id="10" xr3:uid="{E42EBBA3-129F-4F30-9B94-440560D46D57}" name="Opmerkingen" dataDxfId="53"/>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51444B1F-88D8-436F-8263-BDAFDEC71F92}" name="Facturatie" displayName="Facturatie" ref="A4:J8" totalsRowShown="0" headerRowDxfId="236" dataDxfId="235" tableBorderDxfId="234">
  <tableColumns count="10">
    <tableColumn id="1" xr3:uid="{EDC943B5-727F-44FA-8139-BE1ACA7C9B09}" name="Nr." dataDxfId="233"/>
    <tableColumn id="2" xr3:uid="{E108F76C-2B98-4C80-A77C-76EBCD39517F}" name="Omschrijving" dataDxfId="232"/>
    <tableColumn id="3" xr3:uid="{05F9C008-B62E-4B2F-8C24-8236BE0403B1}" name="Toelichting" dataDxfId="231"/>
    <tableColumn id="4" xr3:uid="{3CB2C6A5-3E15-4791-8BA2-B2A629A3F540}" name="Eis, Wens of Vraag" dataDxfId="230"/>
    <tableColumn id="5" xr3:uid="{3C360180-F49B-43C0-B155-9F0AC7B3D7D3}" name="Prio: hoog/midden/laag" dataDxfId="229"/>
    <tableColumn id="6" xr3:uid="{969FCC93-0676-45B9-9812-330387524FF4}" name="Schriftelijk toelichten bij inschrijving gewenst" dataDxfId="228"/>
    <tableColumn id="7" xr3:uid="{E53D9BD7-5D95-4278-93D4-F57C187921A7}" name="Max. te behalen punten" dataDxfId="227"/>
    <tableColumn id="8" xr3:uid="{21CC1024-7F74-4989-8673-4F96F79D376D}" name="Voldoet de oplossing? ja/nee" dataDxfId="226"/>
    <tableColumn id="9" xr3:uid="{E6C52B38-4221-4BF7-9B4A-856F5707396F}" name="Score" dataDxfId="225"/>
    <tableColumn id="10" xr3:uid="{D5706C14-F30F-401F-8B0E-6851BC0558C6}" name="Opmerkingen" dataDxfId="224"/>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8E8D736-3CCF-43F7-BD98-1B658F2D5B1B}" name="Conversie" displayName="Conversie" ref="A4:J8" totalsRowShown="0" headerRowDxfId="52" tableBorderDxfId="51">
  <tableColumns count="10">
    <tableColumn id="1" xr3:uid="{717E8FC5-5CF2-4683-B645-28ADB28EC24D}" name="Nr." dataDxfId="50"/>
    <tableColumn id="2" xr3:uid="{BF55940A-083A-46F1-A185-71B470783B1B}" name="Omschrijving"/>
    <tableColumn id="3" xr3:uid="{2B2E7706-822C-40D1-9FEC-2BDE1714CDBD}" name="Toelichting" dataDxfId="49"/>
    <tableColumn id="4" xr3:uid="{090F08A5-51F1-41EE-900F-626C40D4B6D0}" name="Eis, Wens of Vraag" dataDxfId="48"/>
    <tableColumn id="5" xr3:uid="{4588EA4C-6B27-4AAF-AFDE-6BCC31C987B6}" name="Prio: hoog/midden/laag" dataDxfId="47"/>
    <tableColumn id="6" xr3:uid="{7108273E-BDC5-498F-B9A3-2EA6F60E1640}" name="Schriftelijk toelichten bij inschrijving gewenst" dataDxfId="46"/>
    <tableColumn id="7" xr3:uid="{106E4C69-38DF-4495-B859-B54F92DCD075}" name="Max. te behalen punten" dataDxfId="45"/>
    <tableColumn id="8" xr3:uid="{AAAF9996-AF8F-4CE3-9C57-7D4D4F547620}" name="Voldoet de oplossing? ja/nee" dataDxfId="44"/>
    <tableColumn id="9" xr3:uid="{A6675241-507A-48F3-9F77-1C80585FAD3C}" name="Score" dataDxfId="43"/>
    <tableColumn id="10" xr3:uid="{3A8B5309-CE18-48E6-98BF-C04B2C9B7ABA}" name="Opmerkingen" dataDxfId="42"/>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290AED63-7CB6-41F3-834C-C490795A70B1}" name="Implementatie" displayName="Implementatie" ref="A4:J8" totalsRowShown="0" headerRowDxfId="41" tableBorderDxfId="40">
  <tableColumns count="10">
    <tableColumn id="1" xr3:uid="{3637AD85-AAB2-48B3-8801-BC0ADC44DB7C}" name="Nr." dataDxfId="39"/>
    <tableColumn id="2" xr3:uid="{A480934D-5D15-4017-982A-AC0148C333B7}" name="Omschrijving" dataDxfId="38"/>
    <tableColumn id="3" xr3:uid="{5B59926E-FCC7-4041-A11F-4A832DEE8776}" name="Toelichting"/>
    <tableColumn id="4" xr3:uid="{7E11DFB9-F19D-4C50-84CA-D26C125D4436}" name="Eis, Wens of Vraag" dataDxfId="37"/>
    <tableColumn id="5" xr3:uid="{7619D9BB-6152-42BC-8411-1D5FFAFD96F0}" name="Prio: hoog/midden/laag" dataDxfId="36"/>
    <tableColumn id="6" xr3:uid="{AD8717D8-A9E1-41A6-BDBF-34C08E093DFF}" name="Schriftelijk toelichten bij inschrijving gewenst" dataDxfId="35"/>
    <tableColumn id="7" xr3:uid="{50023114-B55B-4B74-95FA-AB0F5A096A3D}" name="Max. te behalen punten" dataDxfId="34"/>
    <tableColumn id="8" xr3:uid="{80F88C4B-6AA4-40C5-9A26-1F9EF9B58DC0}" name="Voldoet de oplossing? ja/nee" dataDxfId="33"/>
    <tableColumn id="9" xr3:uid="{8ED43825-288B-4F1B-A7DB-D050130352CF}" name="Score" dataDxfId="32"/>
    <tableColumn id="10" xr3:uid="{B6BF1AE4-649D-4CF8-A461-4BD0977FF98D}" name="Opmerkingen" dataDxfId="31"/>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3DD48B3C-9E21-4C30-A39D-FB80C79072E5}" name="Exit" displayName="Exit" ref="A4:J7" totalsRowShown="0" headerRowDxfId="30" tableBorderDxfId="29">
  <tableColumns count="10">
    <tableColumn id="1" xr3:uid="{72553D67-9B8D-4C98-AF58-F678A7C411A6}" name="Nr." dataDxfId="28"/>
    <tableColumn id="2" xr3:uid="{36D45193-4182-4DEA-AF6C-CEAFA0AB09DF}" name="Omschrijving"/>
    <tableColumn id="3" xr3:uid="{ED594200-AD34-40CC-912B-0AE396F188CE}" name="Toelichting"/>
    <tableColumn id="4" xr3:uid="{B17C3C9E-2C96-42F7-AC15-8D1259B5DD72}" name="Eis, Wens of Vraag" dataDxfId="27"/>
    <tableColumn id="5" xr3:uid="{C1E166F1-A292-45A9-B33A-4ABE23F2122D}" name="Prio: hoog/midden/laag" dataDxfId="26"/>
    <tableColumn id="6" xr3:uid="{66D20AE9-4A37-4289-9981-7B0D6FD6EC5E}" name="Schriftelijk toelichten bij inschrijving gewenst" dataDxfId="25"/>
    <tableColumn id="7" xr3:uid="{D95403AF-A022-4BD1-93E9-8924D1BAE4DC}" name="Max. te behalen punten" dataDxfId="24"/>
    <tableColumn id="8" xr3:uid="{354DD9F7-9412-4200-82BC-9327CFE86464}" name="Voldoet de oplossing? ja/nee" dataDxfId="23"/>
    <tableColumn id="9" xr3:uid="{E065233F-4C18-48E1-9B2A-4420F9B43946}" name="Score" dataDxfId="22"/>
    <tableColumn id="10" xr3:uid="{343F8781-8182-4B0A-B720-AF274CB27A76}" name="Opmerkingen" dataDxfId="21"/>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6379BB40-AA83-403B-BBEB-D25A5F1F9F53}" name="Roadmap" displayName="Roadmap" ref="A4:J6" totalsRowShown="0" headerRowDxfId="20" tableBorderDxfId="19">
  <tableColumns count="10">
    <tableColumn id="1" xr3:uid="{AED3C2A4-5520-4B02-B195-50D1B7680BCB}" name="Nr." dataDxfId="18"/>
    <tableColumn id="2" xr3:uid="{2BE2184E-4181-48B8-A22F-33BBFFABA45D}" name="Omschrijving"/>
    <tableColumn id="3" xr3:uid="{D2F2EF54-5E3E-444E-9C73-D23A36F1EDA2}" name="Toelichting"/>
    <tableColumn id="4" xr3:uid="{2BDD6F33-2DAE-4F2B-98C2-CA950AC36552}" name="Eis, Wens of Vraag"/>
    <tableColumn id="5" xr3:uid="{849DEF3F-A7B7-475E-AE17-EEEDDF212232}" name="Prio: hoog/midden/laag" dataDxfId="17"/>
    <tableColumn id="6" xr3:uid="{8A6860C9-08C1-467B-86CE-7D6458587C9B}" name="Schriftelijk toelichten bij inschrijving gewenst" dataDxfId="16"/>
    <tableColumn id="7" xr3:uid="{75F8A935-F877-45E8-A117-56E0B196BC33}" name="Max. te behalen punten" dataDxfId="15"/>
    <tableColumn id="8" xr3:uid="{10361137-5BD5-4024-B466-0BF421FA4D74}" name="Voldoet de oplossing? ja/nee" dataDxfId="14"/>
    <tableColumn id="9" xr3:uid="{C3F7975B-B1E6-4ACA-8BE9-F06E58D8EBC7}" name="Score" dataDxfId="13"/>
    <tableColumn id="10" xr3:uid="{0679E9D8-E849-4FAC-AEF7-E82720714CD2}" name="Opmerkingen" dataDxfId="12"/>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5D29184E-D514-4275-B2F2-0B6D15668DFD}" name="IBP" displayName="IBP" ref="A4:J17" totalsRowShown="0" headerRowDxfId="11" dataDxfId="10" tableBorderDxfId="9">
  <tableColumns count="10">
    <tableColumn id="1" xr3:uid="{47D87B82-B82D-4232-AED8-550AE428C259}" name="Nr." dataDxfId="8"/>
    <tableColumn id="2" xr3:uid="{698A8D2D-FBC7-44BB-8EEA-F6214C030A01}" name="Omschrijving" dataDxfId="7"/>
    <tableColumn id="3" xr3:uid="{C6388AA0-A38E-44F4-815C-9D99032893F1}" name="Toelichting"/>
    <tableColumn id="4" xr3:uid="{818960DC-BD1C-4A22-8CA0-EAEA09257C43}" name="Eis, Wens of Vraag" dataDxfId="6"/>
    <tableColumn id="5" xr3:uid="{38A30C8B-A15E-4FB5-8875-C66D518A2AA4}" name="Prio: hoog/midden/laag" dataDxfId="5"/>
    <tableColumn id="6" xr3:uid="{8F32DAB9-0C43-4614-A089-60BF997DCFD0}" name="Schriftelijk toelichten bij inschrijving gewenst" dataDxfId="4"/>
    <tableColumn id="7" xr3:uid="{3490BE47-D304-447B-8797-813256F1C818}" name="Max. te behalen punten" dataDxfId="3"/>
    <tableColumn id="8" xr3:uid="{F3AA50A6-3611-41C8-8B68-5C9B843EEE53}" name="Voldoet de oplossing? ja/nee" dataDxfId="2"/>
    <tableColumn id="9" xr3:uid="{9E689410-6E84-4847-A463-F327897D5F9C}" name="Score" dataDxfId="1"/>
    <tableColumn id="10" xr3:uid="{CDDE7074-FF66-46E9-A727-78593ED8F12E}" name="Opmerkingen" dataDxfId="0"/>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5E813DBB-EFC5-4C84-97C6-2A0AD56F6CAF}" name="SLA" displayName="SLA" ref="A4:J7" totalsRowShown="0" headerRowDxfId="223" dataDxfId="222" tableBorderDxfId="221">
  <tableColumns count="10">
    <tableColumn id="1" xr3:uid="{752CB15E-40C1-4F01-8522-54396FC064D3}" name="Nr." dataDxfId="220"/>
    <tableColumn id="2" xr3:uid="{500C0105-797A-45EE-A092-7FBF588A8413}" name="Omschrijving"/>
    <tableColumn id="3" xr3:uid="{7734EE86-47C8-4E1D-ABA8-520D63B340D4}" name="Toelichting"/>
    <tableColumn id="4" xr3:uid="{FA58F456-7EED-4D1F-9B70-5B081C74FDF3}" name="Eis, Wens of Vraag"/>
    <tableColumn id="5" xr3:uid="{09D662A8-6529-42AD-8C9D-F9C4638B6805}" name="Prio: hoog/midden/laag" dataDxfId="219"/>
    <tableColumn id="6" xr3:uid="{E0C80F15-7A4B-45F1-BC90-44D3DFC81E7E}" name="Schriftelijk toelichten bij inschrijving gewenst" dataDxfId="218"/>
    <tableColumn id="7" xr3:uid="{191B100A-4B7D-46D0-BD1B-D1ADE651FDC6}" name="Max. te behalen punten" dataDxfId="217"/>
    <tableColumn id="8" xr3:uid="{E9ED5146-ADDD-4419-B3D8-08E532047FD9}" name="Voldoet de oplossing? ja/nee" dataDxfId="216"/>
    <tableColumn id="9" xr3:uid="{C7DAC700-C8AD-4305-AD5D-5A833A17B1E6}" name="Score" dataDxfId="215"/>
    <tableColumn id="10" xr3:uid="{321341A3-70B9-453A-BB72-D2FDB931E73E}" name="Opmerkingen"/>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99CF76FB-3A8F-4935-BB5E-EF8367881CDE}" name="Informatiebeheer" displayName="Informatiebeheer" ref="A4:J18" totalsRowShown="0" headerRowDxfId="214" tableBorderDxfId="213">
  <tableColumns count="10">
    <tableColumn id="1" xr3:uid="{6F32583D-4387-48CD-8CCE-23FCEBEF3342}" name="Nr." dataDxfId="212"/>
    <tableColumn id="2" xr3:uid="{D6EE7C82-4A98-4A1B-8991-023D5702CD5D}" name="Omschrijving"/>
    <tableColumn id="3" xr3:uid="{F77ECAC0-30AB-443F-A6A1-9BBB0E11F7C9}" name="Toelichting" dataDxfId="211"/>
    <tableColumn id="4" xr3:uid="{602CDAB3-3E54-4F80-A4BF-0ECC62323FB7}" name="Eis, Wens of Vraag" dataDxfId="210"/>
    <tableColumn id="5" xr3:uid="{4314BC5C-86A4-420F-8F15-773DD257FDFE}" name="Prio: hoog/midden/laag" dataDxfId="209"/>
    <tableColumn id="6" xr3:uid="{85785BC5-5504-4FDB-A066-A9E25A401ED7}" name="Schriftelijk toelichten bij inschrijving gewenst" dataDxfId="208"/>
    <tableColumn id="7" xr3:uid="{5E3946E7-F2AD-4EEF-86A0-0C766ACED5EE}" name="Max. te behalen punten" dataDxfId="207"/>
    <tableColumn id="8" xr3:uid="{E727D959-CE18-48AC-A65B-7F4791C1C9B6}" name="Voldoet de oplossing? ja/nee" dataDxfId="206"/>
    <tableColumn id="9" xr3:uid="{566803D2-4885-4D36-B69D-8CDA68EC0D11}" name="Score" dataDxfId="205"/>
    <tableColumn id="10" xr3:uid="{E0D45128-87D0-40CC-BFA4-1C9D540B180A}" name="Opmerkingen" dataDxfId="204"/>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6298261C-B012-454C-8E2E-35F30AB81596}" name="Architectuur" displayName="Architectuur" ref="A4:J34" totalsRowShown="0" headerRowDxfId="203" tableBorderDxfId="202">
  <tableColumns count="10">
    <tableColumn id="1" xr3:uid="{2FF43BDA-97F8-4144-8ECE-5E8F8A9DE17A}" name="Nr." dataDxfId="201"/>
    <tableColumn id="2" xr3:uid="{FB2E704A-F513-4F32-AB27-BB2A6A03F509}" name="Omschrijving"/>
    <tableColumn id="3" xr3:uid="{1D304B4D-A1B8-442C-835B-5D1875F9393C}" name="Toelichting"/>
    <tableColumn id="4" xr3:uid="{E31E70EB-912F-4326-B9E1-EE324171AE49}" name="Eis, Wens of Vraag" dataDxfId="200"/>
    <tableColumn id="5" xr3:uid="{7FE8A2F8-E00C-4D8F-9B5A-1A3B78C93A54}" name="Prio: hoog/midden/laag"/>
    <tableColumn id="6" xr3:uid="{451E0824-5F76-4C84-AFC6-F6580EF47652}" name="Schriftelijk toelichten bij inschrijving gewenst"/>
    <tableColumn id="7" xr3:uid="{DF51B5E0-61AE-4D46-8726-1BF814F19147}" name="Max. te behalen punten"/>
    <tableColumn id="8" xr3:uid="{269D3EBF-2B14-4837-85A3-77459A924FDD}" name="Voldoet de oplossing? ja/nee"/>
    <tableColumn id="9" xr3:uid="{D7895B55-204C-4229-B162-221814C15A87}" name="Score"/>
    <tableColumn id="10" xr3:uid="{65AB3A61-F9EE-4C7B-B4A2-91883BD31E8B}" name="Opmerkingen" dataDxfId="199"/>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16033453-5983-4DAE-8C90-A216080B35DF}" name="Data" displayName="Data" ref="A4:J11" totalsRowShown="0" headerRowDxfId="198" dataDxfId="197" tableBorderDxfId="196">
  <tableColumns count="10">
    <tableColumn id="1" xr3:uid="{593F3988-1F11-4767-8576-3490428ED7F0}" name="Nr." dataDxfId="195"/>
    <tableColumn id="2" xr3:uid="{996DD27D-932D-4AE8-B871-0E81AA3B0717}" name="Omschrijving" dataDxfId="194"/>
    <tableColumn id="3" xr3:uid="{2A681A3F-A7A4-4D6F-8C03-B95734AEF11F}" name="Toelichting" dataDxfId="193"/>
    <tableColumn id="4" xr3:uid="{7AB566D8-6096-46F6-8452-6CE778264688}" name="Eis, Wens of Vraag" dataDxfId="192"/>
    <tableColumn id="5" xr3:uid="{CB48FF98-CE1E-43A2-B313-695851C9EF6E}" name="Prio: hoog/midden/laag" dataDxfId="191"/>
    <tableColumn id="6" xr3:uid="{EB188BFE-21AB-446E-B04F-9EFEB6E2EF5B}" name="Schriftelijk toelichten bij inschrijving gewenst" dataDxfId="190"/>
    <tableColumn id="7" xr3:uid="{29919AE2-36E0-4628-9D17-F570CE227880}" name="Max. te behalen punten" dataDxfId="189"/>
    <tableColumn id="8" xr3:uid="{86409E6B-0672-4413-8906-8438418C632D}" name="Voldoet de oplossing? ja/nee" dataDxfId="188"/>
    <tableColumn id="9" xr3:uid="{B176492E-F059-44C1-9C1C-513DAED3975D}" name="Score" dataDxfId="187"/>
    <tableColumn id="10" xr3:uid="{3174F74C-30FA-4308-881E-52D0A2213832}" name="Opmerkingen" dataDxfId="186"/>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8439D75-44CC-4DE1-A15F-35CF4604B119}" name="Heffen" displayName="Heffen" ref="A4:J20" totalsRowShown="0" headerRowDxfId="185">
  <tableColumns count="10">
    <tableColumn id="1" xr3:uid="{F9C20B24-98AD-4EDC-AEFC-3BB1C3FFF61B}" name="Nr." dataDxfId="184"/>
    <tableColumn id="2" xr3:uid="{6B3165D8-2EB3-47E2-B9F0-91B4BEE24565}" name="Omschrijving"/>
    <tableColumn id="3" xr3:uid="{C3721408-3F5D-4BE7-842C-DFD077DFAA48}" name="Toelichting"/>
    <tableColumn id="4" xr3:uid="{61C588D3-6667-43B2-B20F-0C3742910A93}" name="Eis, Wens of Vraag"/>
    <tableColumn id="5" xr3:uid="{9E04934D-88BB-4542-9319-E47FD1485727}" name="Prio: hoog/midden/laag" dataDxfId="183"/>
    <tableColumn id="6" xr3:uid="{8EE6A2E8-58DE-4456-BD87-FE31CCAB4153}" name="Schriftelijk toelichten bij inschrijving gewenst" dataDxfId="182"/>
    <tableColumn id="7" xr3:uid="{619CE0CE-06BF-4299-AB35-35F46D5305B5}" name="Max. te behalen punten"/>
    <tableColumn id="8" xr3:uid="{3E8EED52-83CA-46D4-B6B6-8606FDF32424}" name="Voldoet de oplossing? ja/nee" dataDxfId="181"/>
    <tableColumn id="9" xr3:uid="{8470733A-514C-46CB-8DA9-AB90B2BE3B53}" name="Score" dataDxfId="180"/>
    <tableColumn id="10" xr3:uid="{589319B7-7627-4FE9-A725-DA529542F532}" name="Opmerkingen" dataDxfId="179"/>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FB3CAF0-8291-4462-AB78-96AA7C28F2C5}" name="Invordering" displayName="Invordering" ref="A4:J22" totalsRowShown="0" headerRowDxfId="178" tableBorderDxfId="177">
  <tableColumns count="10">
    <tableColumn id="1" xr3:uid="{B46D24A0-4314-406A-B9F1-79AF889A82C1}" name="Nr." dataDxfId="176"/>
    <tableColumn id="2" xr3:uid="{0C2BA91E-5C64-4EB6-AB52-79FA46940AFE}" name="Omschrijving" dataDxfId="175"/>
    <tableColumn id="3" xr3:uid="{296B57E9-A516-4815-9BFF-1FBAEDFDEA04}" name="Toelichting" dataDxfId="174"/>
    <tableColumn id="4" xr3:uid="{1930FB1A-1388-4B25-95EF-38979AD2B390}" name="Eis, Wens of Vraag"/>
    <tableColumn id="5" xr3:uid="{71BADA84-3D7A-48B2-9EF4-23AC1C20EFE6}" name="Prio: hoog/midden/laag"/>
    <tableColumn id="6" xr3:uid="{3CFC6CB0-2740-473B-B749-18011BE91023}" name="Schriftelijk toelichten bij inschrijving gewenst"/>
    <tableColumn id="7" xr3:uid="{23E1C87F-43C6-4679-88B7-AEA5CBB47B3F}" name="Max. te behalen punten" dataDxfId="173"/>
    <tableColumn id="8" xr3:uid="{6A808616-BD8A-490F-8AB5-17DCCA540ACD}" name="Voldoet de oplossing? ja/nee"/>
    <tableColumn id="9" xr3:uid="{007A5214-44F2-4285-8F45-BD8DAA41E447}" name="Score"/>
    <tableColumn id="10" xr3:uid="{4F7C355B-3F81-41C1-878C-7EF57E8CBEFD}" name="Opmerkingen" dataDxfId="172"/>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053931F-6857-499A-8F33-EA0B9496C927}" name="Kwijtschelding" displayName="Kwijtschelding" ref="A4:J18" totalsRowShown="0" headerRowDxfId="171" tableBorderDxfId="170">
  <tableColumns count="10">
    <tableColumn id="1" xr3:uid="{F5280A8D-CB23-41C1-ADAC-C3BEC6740B94}" name="Nr." dataDxfId="169"/>
    <tableColumn id="2" xr3:uid="{65AF8D2E-5506-442A-9159-7B6FA15A517B}" name="Omschrijving" dataDxfId="168"/>
    <tableColumn id="3" xr3:uid="{BA78773D-4673-45A3-AD3C-28E3ABD691FF}" name="Toelichting" dataDxfId="167"/>
    <tableColumn id="4" xr3:uid="{8FF1048B-3839-4C41-A7B2-D71638F30867}" name="Eis, Wens of Vraag" dataDxfId="166"/>
    <tableColumn id="5" xr3:uid="{D7F6B10E-4E86-48D8-A0D3-1C4DC95E051C}" name="Prio: hoog/midden/laag" dataDxfId="165"/>
    <tableColumn id="6" xr3:uid="{C3136DF3-323A-4F04-97BB-D7FFD874A864}" name="Schriftelijk toelichten bij inschrijving gewenst"/>
    <tableColumn id="7" xr3:uid="{6E1477A9-7D03-4C56-928D-AC612600AA2F}" name="Max. te behalen punten" dataDxfId="164"/>
    <tableColumn id="8" xr3:uid="{8E8FBF20-98B9-4541-99B1-E2A869F92035}" name="Voldoet de oplossing? ja/nee" dataDxfId="163"/>
    <tableColumn id="9" xr3:uid="{3C7D54CD-9A88-4E4B-B82D-AAD3FF557BDC}" name="Score" dataDxfId="162"/>
    <tableColumn id="10" xr3:uid="{0011DF80-D3A5-4945-BBB6-2AAED2E47FB1}" name="Opmerkingen" dataDxfId="161"/>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3.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5.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7.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6F7B6-23A5-4C01-84A7-A473204991A9}">
  <dimension ref="A1:J15"/>
  <sheetViews>
    <sheetView tabSelected="1" workbookViewId="0">
      <selection activeCell="C2" sqref="C2"/>
    </sheetView>
  </sheetViews>
  <sheetFormatPr defaultColWidth="9.140625" defaultRowHeight="14.25" x14ac:dyDescent="0.2"/>
  <cols>
    <col min="1" max="1" width="9.140625" style="13"/>
    <col min="2" max="2" width="64.5703125" style="13" customWidth="1"/>
    <col min="3" max="3" width="48.5703125" style="13" customWidth="1"/>
    <col min="4" max="4" width="11.140625" style="13" customWidth="1"/>
    <col min="5" max="5" width="18.5703125" style="13" customWidth="1"/>
    <col min="6" max="6" width="24.140625" style="13" customWidth="1"/>
    <col min="7" max="7" width="16.42578125" style="13" customWidth="1"/>
    <col min="8" max="8" width="21.7109375" style="13" customWidth="1"/>
    <col min="9" max="9" width="12.28515625" style="13" customWidth="1"/>
    <col min="10" max="10" width="24.85546875" style="13" customWidth="1"/>
    <col min="11" max="16384" width="9.140625" style="13"/>
  </cols>
  <sheetData>
    <row r="1" spans="1:10" ht="27.75" x14ac:dyDescent="0.2">
      <c r="A1" s="31" t="s">
        <v>0</v>
      </c>
      <c r="B1" s="14"/>
      <c r="C1" s="32"/>
      <c r="D1" s="11"/>
      <c r="E1" s="11"/>
      <c r="F1" s="11"/>
      <c r="G1" s="11"/>
      <c r="H1" s="11"/>
    </row>
    <row r="2" spans="1:10" s="24" customFormat="1" ht="12.75" x14ac:dyDescent="0.2">
      <c r="A2" s="23"/>
      <c r="B2" s="14"/>
      <c r="C2" s="23"/>
      <c r="D2" s="23"/>
      <c r="E2" s="5"/>
      <c r="F2" s="5"/>
      <c r="G2" s="5"/>
      <c r="H2" s="5"/>
    </row>
    <row r="3" spans="1:10" s="24" customFormat="1" ht="12.75" x14ac:dyDescent="0.2">
      <c r="A3" s="23"/>
      <c r="B3" s="14"/>
      <c r="C3" s="23"/>
      <c r="D3" s="23"/>
      <c r="E3" s="5"/>
      <c r="F3" s="5"/>
      <c r="G3" s="5"/>
      <c r="H3" s="5"/>
    </row>
    <row r="4" spans="1:10" s="27" customFormat="1" ht="25.5" x14ac:dyDescent="0.2">
      <c r="A4" s="282" t="s">
        <v>1</v>
      </c>
      <c r="B4" s="16" t="s">
        <v>2</v>
      </c>
      <c r="C4" s="16" t="s">
        <v>3</v>
      </c>
      <c r="D4" s="17" t="s">
        <v>4</v>
      </c>
      <c r="E4" s="17" t="s">
        <v>5</v>
      </c>
      <c r="F4" s="17" t="s">
        <v>6</v>
      </c>
      <c r="G4" s="17" t="s">
        <v>7</v>
      </c>
      <c r="H4" s="17" t="s">
        <v>8</v>
      </c>
      <c r="I4" s="125" t="s">
        <v>9</v>
      </c>
      <c r="J4" s="217" t="s">
        <v>10</v>
      </c>
    </row>
    <row r="5" spans="1:10" s="24" customFormat="1" ht="25.5" x14ac:dyDescent="0.2">
      <c r="A5" s="216" t="s">
        <v>11</v>
      </c>
      <c r="B5" s="7" t="s">
        <v>12</v>
      </c>
      <c r="C5" s="7"/>
      <c r="D5" s="9" t="s">
        <v>13</v>
      </c>
      <c r="E5" s="9" t="s">
        <v>14</v>
      </c>
      <c r="F5" s="19" t="s">
        <v>15</v>
      </c>
      <c r="G5" s="19" t="s">
        <v>15</v>
      </c>
      <c r="H5" s="183"/>
      <c r="I5" s="127" t="s">
        <v>15</v>
      </c>
      <c r="J5" s="229"/>
    </row>
    <row r="6" spans="1:10" s="24" customFormat="1" ht="12.75" x14ac:dyDescent="0.2">
      <c r="A6" s="216" t="s">
        <v>16</v>
      </c>
      <c r="B6" s="7" t="s">
        <v>17</v>
      </c>
      <c r="C6" s="7"/>
      <c r="D6" s="9" t="s">
        <v>13</v>
      </c>
      <c r="E6" s="9" t="s">
        <v>14</v>
      </c>
      <c r="F6" s="19" t="s">
        <v>15</v>
      </c>
      <c r="G6" s="19" t="s">
        <v>15</v>
      </c>
      <c r="H6" s="183"/>
      <c r="I6" s="127" t="s">
        <v>15</v>
      </c>
      <c r="J6" s="229"/>
    </row>
    <row r="7" spans="1:10" s="24" customFormat="1" ht="25.5" x14ac:dyDescent="0.2">
      <c r="A7" s="216" t="s">
        <v>18</v>
      </c>
      <c r="B7" s="7" t="s">
        <v>20</v>
      </c>
      <c r="C7" s="7"/>
      <c r="D7" s="9" t="s">
        <v>13</v>
      </c>
      <c r="E7" s="9" t="s">
        <v>14</v>
      </c>
      <c r="F7" s="19" t="s">
        <v>15</v>
      </c>
      <c r="G7" s="19" t="s">
        <v>15</v>
      </c>
      <c r="H7" s="183"/>
      <c r="I7" s="127" t="s">
        <v>15</v>
      </c>
      <c r="J7" s="229"/>
    </row>
    <row r="8" spans="1:10" s="24" customFormat="1" ht="76.5" x14ac:dyDescent="0.2">
      <c r="A8" s="216" t="s">
        <v>19</v>
      </c>
      <c r="B8" s="7" t="s">
        <v>22</v>
      </c>
      <c r="C8" s="7"/>
      <c r="D8" s="9" t="s">
        <v>13</v>
      </c>
      <c r="E8" s="9" t="s">
        <v>14</v>
      </c>
      <c r="F8" s="19" t="s">
        <v>15</v>
      </c>
      <c r="G8" s="19" t="s">
        <v>15</v>
      </c>
      <c r="H8" s="183"/>
      <c r="I8" s="127" t="s">
        <v>15</v>
      </c>
      <c r="J8" s="229"/>
    </row>
    <row r="9" spans="1:10" s="24" customFormat="1" ht="51" x14ac:dyDescent="0.2">
      <c r="A9" s="216" t="s">
        <v>21</v>
      </c>
      <c r="B9" s="7" t="s">
        <v>24</v>
      </c>
      <c r="C9" s="7"/>
      <c r="D9" s="9" t="s">
        <v>13</v>
      </c>
      <c r="E9" s="9" t="s">
        <v>14</v>
      </c>
      <c r="F9" s="19" t="s">
        <v>15</v>
      </c>
      <c r="G9" s="19" t="s">
        <v>15</v>
      </c>
      <c r="H9" s="183"/>
      <c r="I9" s="127" t="s">
        <v>15</v>
      </c>
      <c r="J9" s="229"/>
    </row>
    <row r="10" spans="1:10" s="24" customFormat="1" ht="111" customHeight="1" x14ac:dyDescent="0.2">
      <c r="A10" s="216" t="s">
        <v>23</v>
      </c>
      <c r="B10" s="7" t="s">
        <v>26</v>
      </c>
      <c r="C10" s="7"/>
      <c r="D10" s="9" t="s">
        <v>13</v>
      </c>
      <c r="E10" s="9" t="s">
        <v>14</v>
      </c>
      <c r="F10" s="19" t="s">
        <v>15</v>
      </c>
      <c r="G10" s="19" t="s">
        <v>15</v>
      </c>
      <c r="H10" s="183"/>
      <c r="I10" s="127" t="s">
        <v>15</v>
      </c>
      <c r="J10" s="229"/>
    </row>
    <row r="11" spans="1:10" s="24" customFormat="1" ht="38.25" x14ac:dyDescent="0.2">
      <c r="A11" s="216" t="s">
        <v>25</v>
      </c>
      <c r="B11" s="7" t="s">
        <v>724</v>
      </c>
      <c r="C11" s="7" t="s">
        <v>28</v>
      </c>
      <c r="D11" s="9" t="s">
        <v>13</v>
      </c>
      <c r="E11" s="9" t="s">
        <v>14</v>
      </c>
      <c r="F11" s="19" t="s">
        <v>15</v>
      </c>
      <c r="G11" s="19" t="s">
        <v>15</v>
      </c>
      <c r="H11" s="183"/>
      <c r="I11" s="127" t="s">
        <v>15</v>
      </c>
      <c r="J11" s="229"/>
    </row>
    <row r="12" spans="1:10" s="24" customFormat="1" ht="25.5" x14ac:dyDescent="0.2">
      <c r="A12" s="216" t="s">
        <v>27</v>
      </c>
      <c r="B12" s="7" t="s">
        <v>30</v>
      </c>
      <c r="C12" s="7"/>
      <c r="D12" s="9" t="s">
        <v>13</v>
      </c>
      <c r="E12" s="9" t="s">
        <v>14</v>
      </c>
      <c r="F12" s="19" t="s">
        <v>15</v>
      </c>
      <c r="G12" s="19" t="s">
        <v>15</v>
      </c>
      <c r="H12" s="183"/>
      <c r="I12" s="127" t="s">
        <v>15</v>
      </c>
      <c r="J12" s="229"/>
    </row>
    <row r="13" spans="1:10" s="24" customFormat="1" ht="25.5" x14ac:dyDescent="0.2">
      <c r="A13" s="216" t="s">
        <v>29</v>
      </c>
      <c r="B13" s="7" t="s">
        <v>32</v>
      </c>
      <c r="C13" s="67"/>
      <c r="D13" s="9" t="s">
        <v>13</v>
      </c>
      <c r="E13" s="9" t="s">
        <v>14</v>
      </c>
      <c r="F13" s="19" t="s">
        <v>15</v>
      </c>
      <c r="G13" s="19" t="s">
        <v>15</v>
      </c>
      <c r="H13" s="183"/>
      <c r="I13" s="127" t="s">
        <v>15</v>
      </c>
      <c r="J13" s="229"/>
    </row>
    <row r="14" spans="1:10" s="24" customFormat="1" ht="38.25" x14ac:dyDescent="0.2">
      <c r="A14" s="216" t="s">
        <v>31</v>
      </c>
      <c r="B14" s="7" t="s">
        <v>33</v>
      </c>
      <c r="C14" s="7" t="s">
        <v>34</v>
      </c>
      <c r="D14" s="9" t="s">
        <v>13</v>
      </c>
      <c r="E14" s="9" t="s">
        <v>14</v>
      </c>
      <c r="F14" s="19" t="s">
        <v>15</v>
      </c>
      <c r="G14" s="19" t="s">
        <v>15</v>
      </c>
      <c r="H14" s="183"/>
      <c r="I14" s="127" t="s">
        <v>15</v>
      </c>
      <c r="J14" s="229"/>
    </row>
    <row r="15" spans="1:10" s="24" customFormat="1" ht="12.75" x14ac:dyDescent="0.2">
      <c r="B15" s="27"/>
      <c r="C15" s="27"/>
      <c r="D15" s="28"/>
      <c r="E15" s="28"/>
      <c r="F15" s="157" t="s">
        <v>35</v>
      </c>
      <c r="G15" s="289">
        <f>SUM(G5:G14)</f>
        <v>0</v>
      </c>
      <c r="H15" s="54" t="s">
        <v>36</v>
      </c>
      <c r="I15" s="289">
        <f>SUM(I5:I14)</f>
        <v>0</v>
      </c>
    </row>
  </sheetData>
  <sheetProtection algorithmName="SHA-512" hashValue="jkejoN2OMiEXP+/LB9ecl3qc1wHL82k6f7fbiJBjODSibDYvnqlV7CA7UXYfOozle/cvYhuyKKLPe0YJyU4xBA==" saltValue="xdFEr5EK6TJPI6hIyvphLQ==" spinCount="100000" sheet="1" objects="1" scenarios="1"/>
  <phoneticPr fontId="7" type="noConversion"/>
  <dataValidations count="1">
    <dataValidation type="list" allowBlank="1" showInputMessage="1" showErrorMessage="1" sqref="H5:H14" xr:uid="{DCA14D92-A4B8-4232-B7BE-700DE94DA48F}">
      <formula1>"Ja,Nee"</formula1>
    </dataValidation>
  </dataValidations>
  <pageMargins left="0.7" right="0.7" top="0.75" bottom="0.75" header="0.3" footer="0.3"/>
  <pageSetup paperSize="9" orientation="portrait" horizontalDpi="300" verticalDpi="300"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7FA45-065F-4D6D-A18C-82893178FC08}">
  <dimension ref="A1:J20"/>
  <sheetViews>
    <sheetView workbookViewId="0">
      <selection activeCell="B23" sqref="B23"/>
    </sheetView>
  </sheetViews>
  <sheetFormatPr defaultColWidth="9.140625" defaultRowHeight="14.25" x14ac:dyDescent="0.2"/>
  <cols>
    <col min="1" max="1" width="7.85546875" style="13" customWidth="1"/>
    <col min="2" max="2" width="67.140625" style="13" customWidth="1"/>
    <col min="3" max="3" width="52" style="13" customWidth="1"/>
    <col min="4" max="4" width="9.7109375" style="13" customWidth="1"/>
    <col min="5" max="5" width="17.42578125" style="13" customWidth="1"/>
    <col min="6" max="6" width="23.85546875" style="13" customWidth="1"/>
    <col min="7" max="7" width="16.140625" style="13" customWidth="1"/>
    <col min="8" max="8" width="21" style="13" customWidth="1"/>
    <col min="9" max="9" width="10.28515625" style="13" customWidth="1"/>
    <col min="10" max="10" width="31.85546875" style="115" customWidth="1"/>
    <col min="11" max="16384" width="9.140625" style="13"/>
  </cols>
  <sheetData>
    <row r="1" spans="1:10" ht="27.75" x14ac:dyDescent="0.2">
      <c r="A1" s="31" t="s">
        <v>294</v>
      </c>
      <c r="B1" s="14"/>
      <c r="C1" s="32"/>
      <c r="D1" s="11"/>
      <c r="E1" s="11"/>
      <c r="F1" s="11"/>
      <c r="G1" s="11"/>
      <c r="H1" s="11"/>
    </row>
    <row r="2" spans="1:10" s="24" customFormat="1" ht="25.5" x14ac:dyDescent="0.2">
      <c r="A2" s="23"/>
      <c r="B2" s="12" t="s">
        <v>295</v>
      </c>
      <c r="C2" s="23"/>
      <c r="D2" s="23"/>
      <c r="E2" s="5"/>
      <c r="F2" s="5"/>
      <c r="G2" s="5"/>
      <c r="H2" s="5"/>
      <c r="J2" s="116"/>
    </row>
    <row r="3" spans="1:10" s="24" customFormat="1" ht="12.75" x14ac:dyDescent="0.2">
      <c r="A3" s="23"/>
      <c r="B3" s="14"/>
      <c r="C3" s="23"/>
      <c r="D3" s="23"/>
      <c r="E3" s="5"/>
      <c r="F3" s="5"/>
      <c r="G3" s="5"/>
      <c r="H3" s="5"/>
      <c r="J3" s="116"/>
    </row>
    <row r="4" spans="1:10" s="27" customFormat="1" ht="38.25" x14ac:dyDescent="0.2">
      <c r="A4" s="282" t="s">
        <v>1</v>
      </c>
      <c r="B4" s="16" t="s">
        <v>2</v>
      </c>
      <c r="C4" s="16" t="s">
        <v>3</v>
      </c>
      <c r="D4" s="17" t="s">
        <v>4</v>
      </c>
      <c r="E4" s="17" t="s">
        <v>5</v>
      </c>
      <c r="F4" s="17" t="s">
        <v>6</v>
      </c>
      <c r="G4" s="17" t="s">
        <v>7</v>
      </c>
      <c r="H4" s="17" t="s">
        <v>8</v>
      </c>
      <c r="I4" s="125" t="s">
        <v>9</v>
      </c>
      <c r="J4" s="221" t="s">
        <v>10</v>
      </c>
    </row>
    <row r="5" spans="1:10" s="24" customFormat="1" ht="25.5" x14ac:dyDescent="0.2">
      <c r="A5" s="215" t="s">
        <v>296</v>
      </c>
      <c r="B5" s="37" t="s">
        <v>297</v>
      </c>
      <c r="C5" s="15"/>
      <c r="D5" s="9" t="s">
        <v>13</v>
      </c>
      <c r="E5" s="9" t="s">
        <v>14</v>
      </c>
      <c r="F5" s="19" t="s">
        <v>15</v>
      </c>
      <c r="G5" s="19" t="s">
        <v>15</v>
      </c>
      <c r="H5" s="240"/>
      <c r="I5" s="127" t="s">
        <v>15</v>
      </c>
      <c r="J5" s="232"/>
    </row>
    <row r="6" spans="1:10" s="24" customFormat="1" ht="38.25" x14ac:dyDescent="0.2">
      <c r="A6" s="215" t="s">
        <v>298</v>
      </c>
      <c r="B6" s="25" t="s">
        <v>689</v>
      </c>
      <c r="C6" s="15"/>
      <c r="D6" s="9" t="s">
        <v>13</v>
      </c>
      <c r="E6" s="9" t="s">
        <v>14</v>
      </c>
      <c r="F6" s="19" t="s">
        <v>15</v>
      </c>
      <c r="G6" s="19" t="s">
        <v>15</v>
      </c>
      <c r="H6" s="240"/>
      <c r="I6" s="127" t="s">
        <v>15</v>
      </c>
      <c r="J6" s="232"/>
    </row>
    <row r="7" spans="1:10" s="24" customFormat="1" ht="76.5" x14ac:dyDescent="0.2">
      <c r="A7" s="215" t="s">
        <v>299</v>
      </c>
      <c r="B7" s="25" t="s">
        <v>300</v>
      </c>
      <c r="C7" s="15"/>
      <c r="D7" s="9" t="s">
        <v>13</v>
      </c>
      <c r="E7" s="9" t="s">
        <v>14</v>
      </c>
      <c r="F7" s="19" t="s">
        <v>15</v>
      </c>
      <c r="G7" s="19" t="s">
        <v>15</v>
      </c>
      <c r="H7" s="240"/>
      <c r="I7" s="127" t="s">
        <v>15</v>
      </c>
      <c r="J7" s="232"/>
    </row>
    <row r="8" spans="1:10" s="24" customFormat="1" ht="25.5" x14ac:dyDescent="0.2">
      <c r="A8" s="215" t="s">
        <v>301</v>
      </c>
      <c r="B8" s="78" t="s">
        <v>302</v>
      </c>
      <c r="C8" s="15"/>
      <c r="D8" s="9" t="s">
        <v>13</v>
      </c>
      <c r="E8" s="9" t="s">
        <v>14</v>
      </c>
      <c r="F8" s="19" t="s">
        <v>15</v>
      </c>
      <c r="G8" s="19" t="s">
        <v>15</v>
      </c>
      <c r="H8" s="240"/>
      <c r="I8" s="127" t="s">
        <v>15</v>
      </c>
      <c r="J8" s="232"/>
    </row>
    <row r="9" spans="1:10" s="24" customFormat="1" ht="25.5" x14ac:dyDescent="0.2">
      <c r="A9" s="215" t="s">
        <v>303</v>
      </c>
      <c r="B9" s="25" t="s">
        <v>304</v>
      </c>
      <c r="C9" s="8" t="s">
        <v>305</v>
      </c>
      <c r="D9" s="9" t="s">
        <v>13</v>
      </c>
      <c r="E9" s="9" t="s">
        <v>14</v>
      </c>
      <c r="F9" s="19" t="s">
        <v>15</v>
      </c>
      <c r="G9" s="19" t="s">
        <v>15</v>
      </c>
      <c r="H9" s="240"/>
      <c r="I9" s="127" t="s">
        <v>15</v>
      </c>
      <c r="J9" s="232"/>
    </row>
    <row r="10" spans="1:10" s="24" customFormat="1" ht="25.5" x14ac:dyDescent="0.2">
      <c r="A10" s="215" t="s">
        <v>306</v>
      </c>
      <c r="B10" s="138" t="s">
        <v>307</v>
      </c>
      <c r="C10" s="8"/>
      <c r="D10" s="9" t="s">
        <v>13</v>
      </c>
      <c r="E10" s="9" t="s">
        <v>14</v>
      </c>
      <c r="F10" s="19" t="s">
        <v>15</v>
      </c>
      <c r="G10" s="19" t="s">
        <v>15</v>
      </c>
      <c r="H10" s="240"/>
      <c r="I10" s="127" t="s">
        <v>15</v>
      </c>
      <c r="J10" s="232"/>
    </row>
    <row r="11" spans="1:10" s="24" customFormat="1" ht="25.5" x14ac:dyDescent="0.2">
      <c r="A11" s="215" t="s">
        <v>308</v>
      </c>
      <c r="B11" s="138" t="s">
        <v>309</v>
      </c>
      <c r="C11" s="8" t="s">
        <v>310</v>
      </c>
      <c r="D11" s="9" t="s">
        <v>13</v>
      </c>
      <c r="E11" s="9" t="s">
        <v>14</v>
      </c>
      <c r="F11" s="19" t="s">
        <v>15</v>
      </c>
      <c r="G11" s="19" t="s">
        <v>15</v>
      </c>
      <c r="H11" s="240"/>
      <c r="I11" s="127" t="s">
        <v>15</v>
      </c>
      <c r="J11" s="232"/>
    </row>
    <row r="12" spans="1:10" s="24" customFormat="1" ht="38.25" x14ac:dyDescent="0.2">
      <c r="A12" s="215" t="s">
        <v>311</v>
      </c>
      <c r="B12" s="25" t="s">
        <v>312</v>
      </c>
      <c r="C12" s="15"/>
      <c r="D12" s="9" t="s">
        <v>150</v>
      </c>
      <c r="E12" s="9" t="s">
        <v>313</v>
      </c>
      <c r="F12" s="19" t="s">
        <v>15</v>
      </c>
      <c r="G12" s="19">
        <v>10</v>
      </c>
      <c r="H12" s="242"/>
      <c r="I12" s="286">
        <f>IF(WOZ[[#This Row],[Voldoet de oplossing? ja/nee]]="Ja",WOZ[[#This Row],[Max. te behalen punten]],0)</f>
        <v>0</v>
      </c>
      <c r="J12" s="232"/>
    </row>
    <row r="13" spans="1:10" s="24" customFormat="1" ht="25.5" x14ac:dyDescent="0.2">
      <c r="A13" s="215" t="s">
        <v>314</v>
      </c>
      <c r="B13" s="78" t="s">
        <v>315</v>
      </c>
      <c r="C13" s="15"/>
      <c r="D13" s="9" t="s">
        <v>150</v>
      </c>
      <c r="E13" s="9" t="s">
        <v>316</v>
      </c>
      <c r="F13" s="34" t="s">
        <v>15</v>
      </c>
      <c r="G13" s="167">
        <v>15</v>
      </c>
      <c r="H13" s="242"/>
      <c r="I13" s="286">
        <f>IF(WOZ[[#This Row],[Voldoet de oplossing? ja/nee]]="Ja",WOZ[[#This Row],[Max. te behalen punten]],0)</f>
        <v>0</v>
      </c>
      <c r="J13" s="232"/>
    </row>
    <row r="14" spans="1:10" s="24" customFormat="1" ht="12.75" x14ac:dyDescent="0.2">
      <c r="A14" s="215" t="s">
        <v>317</v>
      </c>
      <c r="B14" s="103" t="s">
        <v>318</v>
      </c>
      <c r="C14" s="63"/>
      <c r="D14" s="9" t="s">
        <v>150</v>
      </c>
      <c r="E14" s="9" t="s">
        <v>316</v>
      </c>
      <c r="F14" s="34" t="s">
        <v>15</v>
      </c>
      <c r="G14" s="167">
        <v>15</v>
      </c>
      <c r="H14" s="242"/>
      <c r="I14" s="286">
        <f>IF(WOZ[[#This Row],[Voldoet de oplossing? ja/nee]]="Ja",WOZ[[#This Row],[Max. te behalen punten]],0)</f>
        <v>0</v>
      </c>
      <c r="J14" s="232"/>
    </row>
    <row r="15" spans="1:10" s="24" customFormat="1" ht="38.25" x14ac:dyDescent="0.2">
      <c r="A15" s="215" t="s">
        <v>319</v>
      </c>
      <c r="B15" s="59" t="s">
        <v>320</v>
      </c>
      <c r="C15" s="104"/>
      <c r="D15" s="9" t="s">
        <v>150</v>
      </c>
      <c r="E15" s="9" t="s">
        <v>313</v>
      </c>
      <c r="F15" s="34" t="s">
        <v>15</v>
      </c>
      <c r="G15" s="167">
        <v>10</v>
      </c>
      <c r="H15" s="242"/>
      <c r="I15" s="286">
        <f>IF(WOZ[[#This Row],[Voldoet de oplossing? ja/nee]]="Ja",WOZ[[#This Row],[Max. te behalen punten]],0)</f>
        <v>0</v>
      </c>
      <c r="J15" s="232"/>
    </row>
    <row r="16" spans="1:10" s="24" customFormat="1" ht="25.5" x14ac:dyDescent="0.2">
      <c r="A16" s="215" t="s">
        <v>321</v>
      </c>
      <c r="B16" s="51" t="s">
        <v>322</v>
      </c>
      <c r="C16" s="63"/>
      <c r="D16" s="9" t="s">
        <v>150</v>
      </c>
      <c r="E16" s="9" t="s">
        <v>316</v>
      </c>
      <c r="F16" s="34" t="s">
        <v>15</v>
      </c>
      <c r="G16" s="167">
        <v>15</v>
      </c>
      <c r="H16" s="242"/>
      <c r="I16" s="286">
        <f>IF(WOZ[[#This Row],[Voldoet de oplossing? ja/nee]]="Ja",WOZ[[#This Row],[Max. te behalen punten]],0)</f>
        <v>0</v>
      </c>
      <c r="J16" s="232"/>
    </row>
    <row r="17" spans="1:10" s="24" customFormat="1" ht="38.25" x14ac:dyDescent="0.2">
      <c r="A17" s="215" t="s">
        <v>323</v>
      </c>
      <c r="B17" s="59" t="s">
        <v>324</v>
      </c>
      <c r="C17" s="63"/>
      <c r="D17" s="9" t="s">
        <v>150</v>
      </c>
      <c r="E17" s="9" t="s">
        <v>313</v>
      </c>
      <c r="F17" s="34" t="s">
        <v>15</v>
      </c>
      <c r="G17" s="167">
        <v>10</v>
      </c>
      <c r="H17" s="242"/>
      <c r="I17" s="286">
        <f>IF(WOZ[[#This Row],[Voldoet de oplossing? ja/nee]]="Ja",WOZ[[#This Row],[Max. te behalen punten]],0)</f>
        <v>0</v>
      </c>
      <c r="J17" s="232"/>
    </row>
    <row r="18" spans="1:10" s="24" customFormat="1" ht="38.25" x14ac:dyDescent="0.2">
      <c r="A18" s="215" t="s">
        <v>325</v>
      </c>
      <c r="B18" s="59" t="s">
        <v>326</v>
      </c>
      <c r="C18" s="285" t="s">
        <v>327</v>
      </c>
      <c r="D18" s="9" t="s">
        <v>150</v>
      </c>
      <c r="E18" s="9" t="s">
        <v>328</v>
      </c>
      <c r="F18" s="162" t="s">
        <v>15</v>
      </c>
      <c r="G18" s="207">
        <v>5</v>
      </c>
      <c r="H18" s="242"/>
      <c r="I18" s="286">
        <f>IF(WOZ[[#This Row],[Voldoet de oplossing? ja/nee]]="Ja",WOZ[[#This Row],[Max. te behalen punten]],0)</f>
        <v>0</v>
      </c>
      <c r="J18" s="232"/>
    </row>
    <row r="19" spans="1:10" s="24" customFormat="1" ht="12.75" x14ac:dyDescent="0.2">
      <c r="B19" s="27"/>
      <c r="C19" s="27"/>
      <c r="D19" s="28"/>
      <c r="E19" s="28"/>
      <c r="F19" s="200" t="s">
        <v>35</v>
      </c>
      <c r="G19" s="288">
        <f>SUM(WOZ[Max. te behalen punten])</f>
        <v>80</v>
      </c>
      <c r="H19" s="159" t="s">
        <v>36</v>
      </c>
      <c r="I19" s="294">
        <f>SUM(WOZ[Score])</f>
        <v>0</v>
      </c>
      <c r="J19" s="116"/>
    </row>
    <row r="20" spans="1:10" s="24" customFormat="1" ht="12.75" x14ac:dyDescent="0.2">
      <c r="A20" s="309" t="s">
        <v>329</v>
      </c>
      <c r="B20" s="309"/>
      <c r="C20" s="309"/>
      <c r="D20" s="309"/>
      <c r="E20" s="309"/>
      <c r="F20" s="309"/>
      <c r="G20" s="204">
        <v>50</v>
      </c>
      <c r="H20" s="193"/>
      <c r="I20" s="197"/>
    </row>
  </sheetData>
  <sheetProtection algorithmName="SHA-512" hashValue="0emyyBOScW/MfbgfAZp8Pm4zgTf2pDRSnYwHk7//q8B/aC4kApSKqBL0Tn6wjjk2Ye/60g9ua/FxDidmXd3Fjg==" saltValue="NN8U0KpLoMP7upw+6kPtNg==" spinCount="100000" sheet="1" objects="1" scenarios="1"/>
  <mergeCells count="1">
    <mergeCell ref="A20:F20"/>
  </mergeCells>
  <phoneticPr fontId="7" type="noConversion"/>
  <dataValidations count="1">
    <dataValidation type="list" allowBlank="1" showInputMessage="1" showErrorMessage="1" sqref="H20 H5:H18" xr:uid="{B528659B-6908-446A-8426-F43F3FBB84B2}">
      <formula1>"Ja,Nee"</formula1>
    </dataValidation>
  </dataValidations>
  <pageMargins left="0.7" right="0.7" top="0.75" bottom="0.75" header="0.3" footer="0.3"/>
  <pageSetup paperSize="9" orientation="portrait" horizontalDpi="300" verticalDpi="300"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929A0-AC55-4246-9866-0D3316FF9268}">
  <dimension ref="A1:M22"/>
  <sheetViews>
    <sheetView workbookViewId="0">
      <pane ySplit="3" topLeftCell="A4" activePane="bottomLeft" state="frozen"/>
      <selection activeCell="B23" sqref="B23"/>
      <selection pane="bottomLeft" activeCell="B23" sqref="B23"/>
    </sheetView>
  </sheetViews>
  <sheetFormatPr defaultRowHeight="15" x14ac:dyDescent="0.25"/>
  <cols>
    <col min="1" max="1" width="7.28515625" customWidth="1"/>
    <col min="2" max="2" width="66.42578125" customWidth="1"/>
    <col min="3" max="3" width="60.42578125" style="120" customWidth="1"/>
    <col min="4" max="4" width="9.85546875" customWidth="1"/>
    <col min="5" max="5" width="18" customWidth="1"/>
    <col min="6" max="6" width="23.85546875" customWidth="1"/>
    <col min="7" max="7" width="16.28515625" customWidth="1"/>
    <col min="8" max="8" width="21.5703125" customWidth="1"/>
    <col min="10" max="10" width="30.85546875" style="120" customWidth="1"/>
  </cols>
  <sheetData>
    <row r="1" spans="1:10" ht="27.75" x14ac:dyDescent="0.25">
      <c r="A1" s="31" t="s">
        <v>330</v>
      </c>
      <c r="B1" s="14"/>
      <c r="C1" s="14"/>
      <c r="D1" s="11"/>
      <c r="E1" s="11"/>
      <c r="F1" s="11"/>
      <c r="G1" s="11"/>
      <c r="H1" s="11"/>
      <c r="I1" s="13"/>
      <c r="J1" s="121"/>
    </row>
    <row r="2" spans="1:10" x14ac:dyDescent="0.25">
      <c r="A2" s="23"/>
      <c r="B2" s="14"/>
      <c r="C2" s="117"/>
      <c r="D2" s="23"/>
      <c r="E2" s="5"/>
      <c r="F2" s="5"/>
      <c r="G2" s="5"/>
      <c r="H2" s="5"/>
      <c r="I2" s="24"/>
      <c r="J2" s="33"/>
    </row>
    <row r="3" spans="1:10" s="284" customFormat="1" ht="25.5" x14ac:dyDescent="0.25">
      <c r="A3" s="282" t="s">
        <v>1</v>
      </c>
      <c r="B3" s="16" t="s">
        <v>2</v>
      </c>
      <c r="C3" s="16" t="s">
        <v>3</v>
      </c>
      <c r="D3" s="17" t="s">
        <v>4</v>
      </c>
      <c r="E3" s="17" t="s">
        <v>5</v>
      </c>
      <c r="F3" s="17" t="s">
        <v>6</v>
      </c>
      <c r="G3" s="17" t="s">
        <v>7</v>
      </c>
      <c r="H3" s="17" t="s">
        <v>8</v>
      </c>
      <c r="I3" s="125" t="s">
        <v>9</v>
      </c>
      <c r="J3" s="221" t="s">
        <v>10</v>
      </c>
    </row>
    <row r="4" spans="1:10" ht="38.25" x14ac:dyDescent="0.25">
      <c r="A4" s="216" t="s">
        <v>331</v>
      </c>
      <c r="B4" s="37" t="s">
        <v>332</v>
      </c>
      <c r="C4" s="37"/>
      <c r="D4" s="9" t="s">
        <v>13</v>
      </c>
      <c r="E4" s="9" t="s">
        <v>14</v>
      </c>
      <c r="F4" s="19" t="s">
        <v>15</v>
      </c>
      <c r="G4" s="19" t="s">
        <v>15</v>
      </c>
      <c r="H4" s="240"/>
      <c r="I4" s="127" t="s">
        <v>15</v>
      </c>
      <c r="J4" s="246"/>
    </row>
    <row r="5" spans="1:10" ht="38.25" x14ac:dyDescent="0.25">
      <c r="A5" s="216" t="s">
        <v>333</v>
      </c>
      <c r="B5" s="37" t="s">
        <v>334</v>
      </c>
      <c r="C5" s="37" t="s">
        <v>335</v>
      </c>
      <c r="D5" s="9" t="s">
        <v>13</v>
      </c>
      <c r="E5" s="9" t="s">
        <v>14</v>
      </c>
      <c r="F5" s="19" t="s">
        <v>15</v>
      </c>
      <c r="G5" s="19" t="s">
        <v>15</v>
      </c>
      <c r="H5" s="240"/>
      <c r="I5" s="127" t="s">
        <v>15</v>
      </c>
      <c r="J5" s="246"/>
    </row>
    <row r="6" spans="1:10" ht="51" x14ac:dyDescent="0.25">
      <c r="A6" s="216" t="s">
        <v>336</v>
      </c>
      <c r="B6" s="37" t="s">
        <v>337</v>
      </c>
      <c r="C6" s="37"/>
      <c r="D6" s="9" t="s">
        <v>13</v>
      </c>
      <c r="E6" s="9" t="s">
        <v>14</v>
      </c>
      <c r="F6" s="19" t="s">
        <v>15</v>
      </c>
      <c r="G6" s="19" t="s">
        <v>15</v>
      </c>
      <c r="H6" s="240"/>
      <c r="I6" s="127" t="s">
        <v>15</v>
      </c>
      <c r="J6" s="246"/>
    </row>
    <row r="7" spans="1:10" ht="38.25" x14ac:dyDescent="0.25">
      <c r="A7" s="216" t="s">
        <v>338</v>
      </c>
      <c r="B7" s="37" t="s">
        <v>339</v>
      </c>
      <c r="C7" s="37" t="s">
        <v>340</v>
      </c>
      <c r="D7" s="9" t="s">
        <v>13</v>
      </c>
      <c r="E7" s="9" t="s">
        <v>14</v>
      </c>
      <c r="F7" s="19" t="s">
        <v>15</v>
      </c>
      <c r="G7" s="19" t="s">
        <v>15</v>
      </c>
      <c r="H7" s="240"/>
      <c r="I7" s="127" t="s">
        <v>15</v>
      </c>
      <c r="J7" s="246"/>
    </row>
    <row r="8" spans="1:10" ht="63.75" x14ac:dyDescent="0.25">
      <c r="A8" s="216" t="s">
        <v>341</v>
      </c>
      <c r="B8" s="137" t="s">
        <v>342</v>
      </c>
      <c r="C8" s="37"/>
      <c r="D8" s="9" t="s">
        <v>13</v>
      </c>
      <c r="E8" s="9" t="s">
        <v>14</v>
      </c>
      <c r="F8" s="19" t="s">
        <v>15</v>
      </c>
      <c r="G8" s="19" t="s">
        <v>15</v>
      </c>
      <c r="H8" s="240"/>
      <c r="I8" s="127" t="s">
        <v>15</v>
      </c>
      <c r="J8" s="246"/>
    </row>
    <row r="9" spans="1:10" x14ac:dyDescent="0.25">
      <c r="A9" s="216" t="s">
        <v>343</v>
      </c>
      <c r="B9" s="137" t="s">
        <v>344</v>
      </c>
      <c r="C9" s="37"/>
      <c r="D9" s="9" t="s">
        <v>13</v>
      </c>
      <c r="E9" s="9" t="s">
        <v>14</v>
      </c>
      <c r="F9" s="19" t="s">
        <v>15</v>
      </c>
      <c r="G9" s="19" t="s">
        <v>15</v>
      </c>
      <c r="H9" s="240"/>
      <c r="I9" s="127" t="s">
        <v>15</v>
      </c>
      <c r="J9" s="246"/>
    </row>
    <row r="10" spans="1:10" ht="25.5" x14ac:dyDescent="0.25">
      <c r="A10" s="216" t="s">
        <v>345</v>
      </c>
      <c r="B10" s="37" t="s">
        <v>346</v>
      </c>
      <c r="C10" s="37"/>
      <c r="D10" s="9" t="s">
        <v>13</v>
      </c>
      <c r="E10" s="9" t="s">
        <v>14</v>
      </c>
      <c r="F10" s="19" t="s">
        <v>15</v>
      </c>
      <c r="G10" s="19" t="s">
        <v>15</v>
      </c>
      <c r="H10" s="240"/>
      <c r="I10" s="127" t="s">
        <v>15</v>
      </c>
      <c r="J10" s="246"/>
    </row>
    <row r="11" spans="1:10" ht="38.25" x14ac:dyDescent="0.25">
      <c r="A11" s="216" t="s">
        <v>347</v>
      </c>
      <c r="B11" s="37" t="s">
        <v>348</v>
      </c>
      <c r="C11" s="37"/>
      <c r="D11" s="9" t="s">
        <v>150</v>
      </c>
      <c r="E11" s="9" t="s">
        <v>316</v>
      </c>
      <c r="F11" s="34" t="s">
        <v>15</v>
      </c>
      <c r="G11" s="167">
        <v>15</v>
      </c>
      <c r="H11" s="242"/>
      <c r="I11" s="286">
        <f>IF(Waarderen[[#This Row],[Voldoet de oplossing? ja/nee]]="Ja",Waarderen[[#This Row],[Max. te behalen punten]],0)</f>
        <v>0</v>
      </c>
      <c r="J11" s="246"/>
    </row>
    <row r="12" spans="1:10" ht="38.25" x14ac:dyDescent="0.25">
      <c r="A12" s="216" t="s">
        <v>349</v>
      </c>
      <c r="B12" s="37" t="s">
        <v>350</v>
      </c>
      <c r="C12" s="37" t="s">
        <v>351</v>
      </c>
      <c r="D12" s="9" t="s">
        <v>150</v>
      </c>
      <c r="E12" s="9" t="s">
        <v>316</v>
      </c>
      <c r="F12" s="34" t="s">
        <v>15</v>
      </c>
      <c r="G12" s="167">
        <v>15</v>
      </c>
      <c r="H12" s="242"/>
      <c r="I12" s="286">
        <f>IF(Waarderen[[#This Row],[Voldoet de oplossing? ja/nee]]="Ja",Waarderen[[#This Row],[Max. te behalen punten]],0)</f>
        <v>0</v>
      </c>
      <c r="J12" s="246"/>
    </row>
    <row r="13" spans="1:10" ht="25.5" x14ac:dyDescent="0.25">
      <c r="A13" s="216" t="s">
        <v>352</v>
      </c>
      <c r="B13" s="37" t="s">
        <v>353</v>
      </c>
      <c r="C13" s="37" t="s">
        <v>354</v>
      </c>
      <c r="D13" s="9" t="s">
        <v>150</v>
      </c>
      <c r="E13" s="9" t="s">
        <v>316</v>
      </c>
      <c r="F13" s="34" t="s">
        <v>15</v>
      </c>
      <c r="G13" s="167">
        <v>15</v>
      </c>
      <c r="H13" s="242"/>
      <c r="I13" s="286">
        <f>IF(Waarderen[[#This Row],[Voldoet de oplossing? ja/nee]]="Ja",Waarderen[[#This Row],[Max. te behalen punten]],0)</f>
        <v>0</v>
      </c>
      <c r="J13" s="246"/>
    </row>
    <row r="14" spans="1:10" ht="25.5" x14ac:dyDescent="0.25">
      <c r="A14" s="216" t="s">
        <v>355</v>
      </c>
      <c r="B14" s="37" t="s">
        <v>356</v>
      </c>
      <c r="C14" s="37" t="s">
        <v>357</v>
      </c>
      <c r="D14" s="9" t="s">
        <v>150</v>
      </c>
      <c r="E14" s="9" t="s">
        <v>313</v>
      </c>
      <c r="F14" s="34" t="s">
        <v>15</v>
      </c>
      <c r="G14" s="167">
        <v>10</v>
      </c>
      <c r="H14" s="242"/>
      <c r="I14" s="286">
        <f>IF(Waarderen[[#This Row],[Voldoet de oplossing? ja/nee]]="Ja",Waarderen[[#This Row],[Max. te behalen punten]],0)</f>
        <v>0</v>
      </c>
      <c r="J14" s="246"/>
    </row>
    <row r="15" spans="1:10" ht="38.25" x14ac:dyDescent="0.25">
      <c r="A15" s="216" t="s">
        <v>358</v>
      </c>
      <c r="B15" s="51" t="s">
        <v>359</v>
      </c>
      <c r="C15" s="45"/>
      <c r="D15" s="9" t="s">
        <v>150</v>
      </c>
      <c r="E15" s="9" t="s">
        <v>328</v>
      </c>
      <c r="F15" s="34" t="s">
        <v>15</v>
      </c>
      <c r="G15" s="167">
        <v>5</v>
      </c>
      <c r="H15" s="242"/>
      <c r="I15" s="286">
        <f>IF(Waarderen[[#This Row],[Voldoet de oplossing? ja/nee]]="Ja",Waarderen[[#This Row],[Max. te behalen punten]],0)</f>
        <v>0</v>
      </c>
      <c r="J15" s="246"/>
    </row>
    <row r="16" spans="1:10" ht="38.25" x14ac:dyDescent="0.25">
      <c r="A16" s="216" t="s">
        <v>360</v>
      </c>
      <c r="B16" s="51" t="s">
        <v>361</v>
      </c>
      <c r="C16" s="118" t="s">
        <v>362</v>
      </c>
      <c r="D16" s="9" t="s">
        <v>150</v>
      </c>
      <c r="E16" s="9" t="s">
        <v>328</v>
      </c>
      <c r="F16" s="34" t="s">
        <v>15</v>
      </c>
      <c r="G16" s="167">
        <v>5</v>
      </c>
      <c r="H16" s="242"/>
      <c r="I16" s="286">
        <f>IF(Waarderen[[#This Row],[Voldoet de oplossing? ja/nee]]="Ja",Waarderen[[#This Row],[Max. te behalen punten]],0)</f>
        <v>0</v>
      </c>
      <c r="J16" s="246"/>
    </row>
    <row r="17" spans="1:13" ht="25.5" x14ac:dyDescent="0.25">
      <c r="A17" s="216" t="s">
        <v>363</v>
      </c>
      <c r="B17" s="87" t="s">
        <v>364</v>
      </c>
      <c r="C17" s="113"/>
      <c r="D17" s="52" t="s">
        <v>150</v>
      </c>
      <c r="E17" s="9" t="s">
        <v>316</v>
      </c>
      <c r="F17" s="34" t="s">
        <v>15</v>
      </c>
      <c r="G17" s="167">
        <v>15</v>
      </c>
      <c r="H17" s="242"/>
      <c r="I17" s="286">
        <f>IF(Waarderen[[#This Row],[Voldoet de oplossing? ja/nee]]="Ja",Waarderen[[#This Row],[Max. te behalen punten]],0)</f>
        <v>0</v>
      </c>
      <c r="J17" s="246"/>
    </row>
    <row r="18" spans="1:13" ht="76.5" x14ac:dyDescent="0.25">
      <c r="A18" s="216" t="s">
        <v>365</v>
      </c>
      <c r="B18" s="47" t="s">
        <v>366</v>
      </c>
      <c r="C18" s="143" t="s">
        <v>367</v>
      </c>
      <c r="D18" s="91" t="s">
        <v>84</v>
      </c>
      <c r="E18" s="112" t="s">
        <v>15</v>
      </c>
      <c r="F18" s="167" t="s">
        <v>368</v>
      </c>
      <c r="G18" s="167">
        <v>20</v>
      </c>
      <c r="H18" s="105" t="s">
        <v>15</v>
      </c>
      <c r="I18" s="126"/>
      <c r="J18" s="246"/>
    </row>
    <row r="19" spans="1:13" ht="38.25" x14ac:dyDescent="0.25">
      <c r="A19" s="216" t="s">
        <v>369</v>
      </c>
      <c r="B19" s="47" t="s">
        <v>370</v>
      </c>
      <c r="C19" s="119"/>
      <c r="D19" s="91" t="s">
        <v>84</v>
      </c>
      <c r="E19" s="112" t="s">
        <v>15</v>
      </c>
      <c r="F19" s="167" t="s">
        <v>368</v>
      </c>
      <c r="G19" s="167">
        <v>20</v>
      </c>
      <c r="H19" s="105" t="s">
        <v>15</v>
      </c>
      <c r="I19" s="126"/>
      <c r="J19" s="246"/>
    </row>
    <row r="20" spans="1:13" ht="38.25" x14ac:dyDescent="0.25">
      <c r="A20" s="216" t="s">
        <v>371</v>
      </c>
      <c r="B20" s="47" t="s">
        <v>372</v>
      </c>
      <c r="C20" s="119" t="s">
        <v>373</v>
      </c>
      <c r="D20" s="91" t="s">
        <v>84</v>
      </c>
      <c r="E20" s="112" t="s">
        <v>15</v>
      </c>
      <c r="F20" s="207" t="s">
        <v>368</v>
      </c>
      <c r="G20" s="207">
        <v>20</v>
      </c>
      <c r="H20" s="105" t="s">
        <v>15</v>
      </c>
      <c r="I20" s="126"/>
      <c r="J20" s="246"/>
    </row>
    <row r="21" spans="1:13" x14ac:dyDescent="0.25">
      <c r="A21" s="24"/>
      <c r="B21" s="27"/>
      <c r="C21" s="33"/>
      <c r="D21" s="28"/>
      <c r="E21" s="28"/>
      <c r="F21" s="157" t="s">
        <v>35</v>
      </c>
      <c r="G21" s="288">
        <f>SUM(Waarderen[Max. te behalen punten])</f>
        <v>140</v>
      </c>
      <c r="H21" s="158" t="s">
        <v>36</v>
      </c>
      <c r="I21" s="287">
        <f>SUM(Waarderen[Score])</f>
        <v>0</v>
      </c>
      <c r="J21" s="33"/>
    </row>
    <row r="22" spans="1:13" x14ac:dyDescent="0.25">
      <c r="A22" s="309" t="s">
        <v>374</v>
      </c>
      <c r="B22" s="309"/>
      <c r="C22" s="309"/>
      <c r="D22" s="309"/>
      <c r="E22" s="309"/>
      <c r="F22" s="309"/>
      <c r="G22" s="204">
        <v>50</v>
      </c>
      <c r="H22" s="193"/>
      <c r="I22" s="197"/>
      <c r="J22" s="24"/>
      <c r="K22" s="24"/>
      <c r="L22" s="24"/>
      <c r="M22" s="24"/>
    </row>
  </sheetData>
  <sheetProtection algorithmName="SHA-512" hashValue="Fnq1EWBvBiEdWa8XjeqR7FsrLAee9cz4/Jj+RkFrTGNwX9IaRyxmP3qmEmEbztFg8qtvxmstJ60mQO/r6Jpr4g==" saltValue="+mc/QdGLq8I+wLPE+/51dw==" spinCount="100000" sheet="1" objects="1" scenarios="1"/>
  <mergeCells count="1">
    <mergeCell ref="A22:F22"/>
  </mergeCells>
  <phoneticPr fontId="7" type="noConversion"/>
  <dataValidations count="1">
    <dataValidation type="list" allowBlank="1" showInputMessage="1" showErrorMessage="1" sqref="H22 H4:H17" xr:uid="{31FA337E-752B-4A19-903C-3129F7A0EEAE}">
      <formula1>"Ja,Nee"</formula1>
    </dataValidation>
  </dataValidations>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FC8BF-C42F-4044-BCEF-29A6AEE2C985}">
  <dimension ref="A1:J17"/>
  <sheetViews>
    <sheetView workbookViewId="0">
      <selection activeCell="B23" sqref="B23"/>
    </sheetView>
  </sheetViews>
  <sheetFormatPr defaultColWidth="9.140625" defaultRowHeight="14.25" x14ac:dyDescent="0.2"/>
  <cols>
    <col min="1" max="1" width="6.140625" style="13" customWidth="1"/>
    <col min="2" max="2" width="70.28515625" style="13" customWidth="1"/>
    <col min="3" max="3" width="56.140625" style="121" customWidth="1"/>
    <col min="4" max="4" width="11.42578125" style="13" customWidth="1"/>
    <col min="5" max="5" width="19.28515625" style="13" customWidth="1"/>
    <col min="6" max="6" width="24" style="13" customWidth="1"/>
    <col min="7" max="7" width="16.140625" style="13" customWidth="1"/>
    <col min="8" max="8" width="21.85546875" style="13" customWidth="1"/>
    <col min="9" max="9" width="12.28515625" style="13" customWidth="1"/>
    <col min="10" max="10" width="34.5703125" style="121" customWidth="1"/>
    <col min="11" max="16384" width="9.140625" style="13"/>
  </cols>
  <sheetData>
    <row r="1" spans="1:10" ht="27.75" x14ac:dyDescent="0.2">
      <c r="A1" s="31" t="s">
        <v>375</v>
      </c>
      <c r="B1" s="14"/>
      <c r="C1" s="14"/>
      <c r="D1" s="11"/>
      <c r="E1" s="11"/>
      <c r="F1" s="11"/>
      <c r="G1" s="11"/>
      <c r="H1" s="11"/>
    </row>
    <row r="2" spans="1:10" s="24" customFormat="1" ht="22.5" customHeight="1" x14ac:dyDescent="0.2">
      <c r="A2" s="23"/>
      <c r="B2" s="12" t="s">
        <v>376</v>
      </c>
      <c r="C2" s="117"/>
      <c r="D2" s="23"/>
      <c r="E2" s="5"/>
      <c r="F2" s="5"/>
      <c r="G2" s="5"/>
      <c r="H2" s="5"/>
      <c r="J2" s="33"/>
    </row>
    <row r="3" spans="1:10" s="24" customFormat="1" ht="12.75" x14ac:dyDescent="0.2">
      <c r="A3" s="23"/>
      <c r="B3" s="14"/>
      <c r="C3" s="117"/>
      <c r="D3" s="23"/>
      <c r="E3" s="5"/>
      <c r="F3" s="5"/>
      <c r="G3" s="5"/>
      <c r="H3" s="5"/>
      <c r="J3" s="33"/>
    </row>
    <row r="4" spans="1:10" s="27" customFormat="1" ht="25.5" x14ac:dyDescent="0.2">
      <c r="A4" s="282" t="s">
        <v>1</v>
      </c>
      <c r="B4" s="16" t="s">
        <v>2</v>
      </c>
      <c r="C4" s="16" t="s">
        <v>3</v>
      </c>
      <c r="D4" s="17" t="s">
        <v>4</v>
      </c>
      <c r="E4" s="17" t="s">
        <v>5</v>
      </c>
      <c r="F4" s="17" t="s">
        <v>6</v>
      </c>
      <c r="G4" s="17" t="s">
        <v>7</v>
      </c>
      <c r="H4" s="17" t="s">
        <v>8</v>
      </c>
      <c r="I4" s="125" t="s">
        <v>9</v>
      </c>
      <c r="J4" s="221" t="s">
        <v>10</v>
      </c>
    </row>
    <row r="5" spans="1:10" s="24" customFormat="1" ht="25.5" x14ac:dyDescent="0.2">
      <c r="A5" s="215" t="s">
        <v>377</v>
      </c>
      <c r="B5" s="8" t="s">
        <v>378</v>
      </c>
      <c r="C5" s="8"/>
      <c r="D5" s="9" t="s">
        <v>13</v>
      </c>
      <c r="E5" s="9" t="s">
        <v>14</v>
      </c>
      <c r="F5" s="19" t="s">
        <v>15</v>
      </c>
      <c r="G5" s="19" t="s">
        <v>15</v>
      </c>
      <c r="H5" s="240"/>
      <c r="I5" s="127" t="s">
        <v>15</v>
      </c>
      <c r="J5" s="246"/>
    </row>
    <row r="6" spans="1:10" s="24" customFormat="1" ht="25.5" x14ac:dyDescent="0.2">
      <c r="A6" s="215" t="s">
        <v>379</v>
      </c>
      <c r="B6" s="8" t="s">
        <v>380</v>
      </c>
      <c r="C6" s="37" t="s">
        <v>381</v>
      </c>
      <c r="D6" s="9" t="s">
        <v>13</v>
      </c>
      <c r="E6" s="9" t="s">
        <v>14</v>
      </c>
      <c r="F6" s="19" t="s">
        <v>15</v>
      </c>
      <c r="G6" s="19" t="s">
        <v>15</v>
      </c>
      <c r="H6" s="240"/>
      <c r="I6" s="127" t="s">
        <v>15</v>
      </c>
      <c r="J6" s="257"/>
    </row>
    <row r="7" spans="1:10" s="24" customFormat="1" ht="38.25" x14ac:dyDescent="0.2">
      <c r="A7" s="215" t="s">
        <v>382</v>
      </c>
      <c r="B7" s="51" t="s">
        <v>383</v>
      </c>
      <c r="C7" s="8" t="s">
        <v>384</v>
      </c>
      <c r="D7" s="9" t="s">
        <v>13</v>
      </c>
      <c r="E7" s="9" t="s">
        <v>14</v>
      </c>
      <c r="F7" s="19" t="s">
        <v>15</v>
      </c>
      <c r="G7" s="19" t="s">
        <v>15</v>
      </c>
      <c r="H7" s="240"/>
      <c r="I7" s="127" t="s">
        <v>15</v>
      </c>
      <c r="J7" s="257"/>
    </row>
    <row r="8" spans="1:10" s="24" customFormat="1" ht="25.5" x14ac:dyDescent="0.2">
      <c r="A8" s="215" t="s">
        <v>385</v>
      </c>
      <c r="B8" s="47" t="s">
        <v>386</v>
      </c>
      <c r="C8" s="63"/>
      <c r="D8" s="9" t="s">
        <v>13</v>
      </c>
      <c r="E8" s="9" t="s">
        <v>14</v>
      </c>
      <c r="F8" s="19" t="s">
        <v>15</v>
      </c>
      <c r="G8" s="19" t="s">
        <v>15</v>
      </c>
      <c r="H8" s="240"/>
      <c r="I8" s="127" t="s">
        <v>15</v>
      </c>
      <c r="J8" s="246"/>
    </row>
    <row r="9" spans="1:10" s="24" customFormat="1" ht="38.25" x14ac:dyDescent="0.2">
      <c r="A9" s="215" t="s">
        <v>387</v>
      </c>
      <c r="B9" s="69" t="s">
        <v>388</v>
      </c>
      <c r="C9" s="70"/>
      <c r="D9" s="9" t="s">
        <v>13</v>
      </c>
      <c r="E9" s="9" t="s">
        <v>14</v>
      </c>
      <c r="F9" s="19" t="s">
        <v>15</v>
      </c>
      <c r="G9" s="19" t="s">
        <v>15</v>
      </c>
      <c r="H9" s="240"/>
      <c r="I9" s="127" t="s">
        <v>15</v>
      </c>
      <c r="J9" s="246"/>
    </row>
    <row r="10" spans="1:10" s="24" customFormat="1" ht="25.5" x14ac:dyDescent="0.2">
      <c r="A10" s="215" t="s">
        <v>389</v>
      </c>
      <c r="B10" s="47" t="s">
        <v>390</v>
      </c>
      <c r="C10" s="55" t="s">
        <v>391</v>
      </c>
      <c r="D10" s="144" t="s">
        <v>150</v>
      </c>
      <c r="E10" s="9" t="s">
        <v>203</v>
      </c>
      <c r="F10" s="19" t="s">
        <v>15</v>
      </c>
      <c r="G10" s="19">
        <v>5</v>
      </c>
      <c r="H10" s="242"/>
      <c r="I10" s="286">
        <f>IF(Bezwaar_beroep[[#This Row],[Voldoet de oplossing? ja/nee]]="Ja",Bezwaar_beroep[[#This Row],[Max. te behalen punten]],0)</f>
        <v>0</v>
      </c>
      <c r="J10" s="246"/>
    </row>
    <row r="11" spans="1:10" s="24" customFormat="1" ht="12.75" x14ac:dyDescent="0.2">
      <c r="A11" s="215" t="s">
        <v>392</v>
      </c>
      <c r="B11" s="25" t="s">
        <v>393</v>
      </c>
      <c r="C11" s="37" t="s">
        <v>394</v>
      </c>
      <c r="D11" s="9" t="s">
        <v>150</v>
      </c>
      <c r="E11" s="9" t="s">
        <v>200</v>
      </c>
      <c r="F11" s="34" t="s">
        <v>15</v>
      </c>
      <c r="G11" s="167">
        <v>10</v>
      </c>
      <c r="H11" s="242"/>
      <c r="I11" s="286">
        <f>IF(Bezwaar_beroep[[#This Row],[Voldoet de oplossing? ja/nee]]="Ja",Bezwaar_beroep[[#This Row],[Max. te behalen punten]],0)</f>
        <v>0</v>
      </c>
      <c r="J11" s="246"/>
    </row>
    <row r="12" spans="1:10" s="24" customFormat="1" ht="51" x14ac:dyDescent="0.2">
      <c r="A12" s="215" t="s">
        <v>395</v>
      </c>
      <c r="B12" s="25" t="s">
        <v>396</v>
      </c>
      <c r="C12" s="8"/>
      <c r="D12" s="9" t="s">
        <v>150</v>
      </c>
      <c r="E12" s="9" t="s">
        <v>151</v>
      </c>
      <c r="F12" s="34" t="s">
        <v>15</v>
      </c>
      <c r="G12" s="167">
        <v>15</v>
      </c>
      <c r="H12" s="242"/>
      <c r="I12" s="286">
        <f>IF(Bezwaar_beroep[[#This Row],[Voldoet de oplossing? ja/nee]]="Ja",Bezwaar_beroep[[#This Row],[Max. te behalen punten]],0)</f>
        <v>0</v>
      </c>
      <c r="J12" s="246"/>
    </row>
    <row r="13" spans="1:10" s="24" customFormat="1" ht="38.25" x14ac:dyDescent="0.2">
      <c r="A13" s="215" t="s">
        <v>397</v>
      </c>
      <c r="B13" s="25" t="s">
        <v>398</v>
      </c>
      <c r="C13" s="37"/>
      <c r="D13" s="9" t="s">
        <v>150</v>
      </c>
      <c r="E13" s="9" t="s">
        <v>151</v>
      </c>
      <c r="F13" s="34" t="s">
        <v>15</v>
      </c>
      <c r="G13" s="167">
        <v>15</v>
      </c>
      <c r="H13" s="242"/>
      <c r="I13" s="286">
        <f>IF(Bezwaar_beroep[[#This Row],[Voldoet de oplossing? ja/nee]]="Ja",Bezwaar_beroep[[#This Row],[Max. te behalen punten]],0)</f>
        <v>0</v>
      </c>
      <c r="J13" s="246"/>
    </row>
    <row r="14" spans="1:10" s="24" customFormat="1" ht="51" x14ac:dyDescent="0.2">
      <c r="A14" s="215" t="s">
        <v>399</v>
      </c>
      <c r="B14" s="47" t="s">
        <v>400</v>
      </c>
      <c r="C14" s="140" t="s">
        <v>401</v>
      </c>
      <c r="D14" s="9" t="s">
        <v>150</v>
      </c>
      <c r="E14" s="9" t="s">
        <v>151</v>
      </c>
      <c r="F14" s="34" t="s">
        <v>15</v>
      </c>
      <c r="G14" s="167">
        <v>15</v>
      </c>
      <c r="H14" s="242"/>
      <c r="I14" s="286">
        <f>IF(Bezwaar_beroep[[#This Row],[Voldoet de oplossing? ja/nee]]="Ja",Bezwaar_beroep[[#This Row],[Max. te behalen punten]],0)</f>
        <v>0</v>
      </c>
      <c r="J14" s="246"/>
    </row>
    <row r="15" spans="1:10" s="24" customFormat="1" ht="25.5" x14ac:dyDescent="0.2">
      <c r="A15" s="215" t="s">
        <v>402</v>
      </c>
      <c r="B15" s="139" t="s">
        <v>403</v>
      </c>
      <c r="C15" s="146" t="s">
        <v>404</v>
      </c>
      <c r="D15" s="85" t="s">
        <v>150</v>
      </c>
      <c r="E15" s="9" t="s">
        <v>151</v>
      </c>
      <c r="F15" s="161" t="s">
        <v>15</v>
      </c>
      <c r="G15" s="207">
        <v>15</v>
      </c>
      <c r="H15" s="241"/>
      <c r="I15" s="286">
        <f>IF(Bezwaar_beroep[[#This Row],[Voldoet de oplossing? ja/nee]]="Ja",Bezwaar_beroep[[#This Row],[Max. te behalen punten]],0)</f>
        <v>0</v>
      </c>
      <c r="J15" s="246"/>
    </row>
    <row r="16" spans="1:10" s="24" customFormat="1" ht="12.75" x14ac:dyDescent="0.2">
      <c r="B16" s="27"/>
      <c r="C16" s="33"/>
      <c r="D16" s="28"/>
      <c r="E16" s="28"/>
      <c r="F16" s="157" t="s">
        <v>35</v>
      </c>
      <c r="G16" s="288">
        <f>SUM(Bezwaar_beroep[Max. te behalen punten])</f>
        <v>75</v>
      </c>
      <c r="H16" s="158" t="s">
        <v>36</v>
      </c>
      <c r="I16" s="287">
        <f>SUM(Bezwaar_beroep[Score])</f>
        <v>0</v>
      </c>
      <c r="J16" s="33"/>
    </row>
    <row r="17" spans="1:9" s="24" customFormat="1" ht="12.75" x14ac:dyDescent="0.2">
      <c r="A17" s="309" t="s">
        <v>405</v>
      </c>
      <c r="B17" s="309"/>
      <c r="C17" s="309"/>
      <c r="D17" s="309"/>
      <c r="E17" s="309"/>
      <c r="F17" s="309"/>
      <c r="G17" s="204">
        <v>50</v>
      </c>
      <c r="H17" s="193"/>
      <c r="I17" s="197"/>
    </row>
  </sheetData>
  <sheetProtection algorithmName="SHA-512" hashValue="SqRyYe01gWO0U2qON0abK8hAJeQkpWiiqkz/ajeMGdWS+p0KqCDE+tOH2JFDg+DupLbHlZSMB3RsGz/pYIR9FA==" saltValue="6Q3gunYurSQ6+NV4G7hA8w==" spinCount="100000" sheet="1" objects="1" scenarios="1"/>
  <mergeCells count="1">
    <mergeCell ref="A17:F17"/>
  </mergeCells>
  <phoneticPr fontId="7" type="noConversion"/>
  <dataValidations count="1">
    <dataValidation type="list" allowBlank="1" showInputMessage="1" showErrorMessage="1" sqref="H17 H5:H15" xr:uid="{11E5C4B8-6724-4B13-8A25-E9558F6EED20}">
      <formula1>"Ja,Nee"</formula1>
    </dataValidation>
  </dataValidations>
  <pageMargins left="0.7" right="0.7" top="0.75" bottom="0.75" header="0.3" footer="0.3"/>
  <pageSetup paperSize="9" orientation="portrait" horizontalDpi="300" verticalDpi="30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B96C5-8FF6-4477-8853-1D3082E32E66}">
  <dimension ref="A1:J16"/>
  <sheetViews>
    <sheetView workbookViewId="0">
      <selection activeCell="B23" sqref="B23"/>
    </sheetView>
  </sheetViews>
  <sheetFormatPr defaultColWidth="9.140625" defaultRowHeight="14.25" x14ac:dyDescent="0.2"/>
  <cols>
    <col min="1" max="1" width="5.7109375" style="13" customWidth="1"/>
    <col min="2" max="2" width="59.7109375" style="13" customWidth="1"/>
    <col min="3" max="3" width="51.140625" style="13" customWidth="1"/>
    <col min="4" max="4" width="10.85546875" style="13" customWidth="1"/>
    <col min="5" max="5" width="18.5703125" style="13" customWidth="1"/>
    <col min="6" max="6" width="23.85546875" style="13" customWidth="1"/>
    <col min="7" max="7" width="16.28515625" style="13" customWidth="1"/>
    <col min="8" max="8" width="21.42578125" style="13" customWidth="1"/>
    <col min="9" max="9" width="10.42578125" style="13" customWidth="1"/>
    <col min="10" max="10" width="34.140625" style="121" customWidth="1"/>
    <col min="11" max="16384" width="9.140625" style="13"/>
  </cols>
  <sheetData>
    <row r="1" spans="1:10" ht="27.75" x14ac:dyDescent="0.2">
      <c r="A1" s="31" t="s">
        <v>406</v>
      </c>
      <c r="B1" s="14"/>
      <c r="C1" s="32"/>
      <c r="D1" s="11"/>
      <c r="E1" s="11"/>
      <c r="F1" s="11"/>
      <c r="G1" s="11"/>
      <c r="H1" s="11"/>
    </row>
    <row r="2" spans="1:10" s="24" customFormat="1" ht="12.75" x14ac:dyDescent="0.2">
      <c r="A2" s="23"/>
      <c r="B2" s="14"/>
      <c r="C2" s="23"/>
      <c r="D2" s="23"/>
      <c r="E2" s="5"/>
      <c r="F2" s="5"/>
      <c r="G2" s="5"/>
      <c r="H2" s="5"/>
      <c r="J2" s="33"/>
    </row>
    <row r="3" spans="1:10" s="24" customFormat="1" ht="12.75" x14ac:dyDescent="0.2">
      <c r="A3" s="23"/>
      <c r="B3" s="14"/>
      <c r="C3" s="23"/>
      <c r="D3" s="23"/>
      <c r="E3" s="5"/>
      <c r="F3" s="5"/>
      <c r="G3" s="5"/>
      <c r="H3" s="5"/>
      <c r="J3" s="33"/>
    </row>
    <row r="4" spans="1:10" s="27" customFormat="1" ht="25.5" x14ac:dyDescent="0.2">
      <c r="A4" s="16" t="s">
        <v>1</v>
      </c>
      <c r="B4" s="16" t="s">
        <v>2</v>
      </c>
      <c r="C4" s="16" t="s">
        <v>3</v>
      </c>
      <c r="D4" s="17" t="s">
        <v>4</v>
      </c>
      <c r="E4" s="17" t="s">
        <v>5</v>
      </c>
      <c r="F4" s="17" t="s">
        <v>6</v>
      </c>
      <c r="G4" s="17" t="s">
        <v>7</v>
      </c>
      <c r="H4" s="17" t="s">
        <v>8</v>
      </c>
      <c r="I4" s="125" t="s">
        <v>9</v>
      </c>
      <c r="J4" s="221" t="s">
        <v>10</v>
      </c>
    </row>
    <row r="5" spans="1:10" s="24" customFormat="1" ht="25.5" x14ac:dyDescent="0.2">
      <c r="A5" s="50" t="s">
        <v>407</v>
      </c>
      <c r="B5" s="47" t="s">
        <v>408</v>
      </c>
      <c r="C5" s="73"/>
      <c r="D5" s="9" t="s">
        <v>13</v>
      </c>
      <c r="E5" s="9" t="s">
        <v>14</v>
      </c>
      <c r="F5" s="19" t="s">
        <v>15</v>
      </c>
      <c r="G5" s="19" t="s">
        <v>15</v>
      </c>
      <c r="H5" s="240"/>
      <c r="I5" s="127" t="s">
        <v>15</v>
      </c>
      <c r="J5" s="246"/>
    </row>
    <row r="6" spans="1:10" s="24" customFormat="1" ht="25.5" x14ac:dyDescent="0.2">
      <c r="A6" s="50" t="s">
        <v>409</v>
      </c>
      <c r="B6" s="47" t="s">
        <v>410</v>
      </c>
      <c r="C6" s="55"/>
      <c r="D6" s="9" t="s">
        <v>13</v>
      </c>
      <c r="E6" s="9" t="s">
        <v>14</v>
      </c>
      <c r="F6" s="19" t="s">
        <v>15</v>
      </c>
      <c r="G6" s="19" t="s">
        <v>15</v>
      </c>
      <c r="H6" s="240"/>
      <c r="I6" s="127" t="s">
        <v>15</v>
      </c>
      <c r="J6" s="246"/>
    </row>
    <row r="7" spans="1:10" s="24" customFormat="1" ht="25.5" x14ac:dyDescent="0.2">
      <c r="A7" s="50" t="s">
        <v>411</v>
      </c>
      <c r="B7" s="47" t="s">
        <v>412</v>
      </c>
      <c r="C7" s="55" t="s">
        <v>413</v>
      </c>
      <c r="D7" s="82" t="s">
        <v>150</v>
      </c>
      <c r="E7" s="168" t="s">
        <v>151</v>
      </c>
      <c r="F7" s="49" t="s">
        <v>15</v>
      </c>
      <c r="G7" s="84">
        <v>15</v>
      </c>
      <c r="H7" s="248"/>
      <c r="I7" s="295">
        <f>IF(Workflow[[#This Row],[Voldoet de oplossing? ja/nee]]="Ja",Workflow[[#This Row],[Max. te behalen punten]],0)</f>
        <v>0</v>
      </c>
      <c r="J7" s="246"/>
    </row>
    <row r="8" spans="1:10" s="24" customFormat="1" ht="12.75" x14ac:dyDescent="0.2">
      <c r="A8" s="50" t="s">
        <v>414</v>
      </c>
      <c r="B8" s="47" t="s">
        <v>415</v>
      </c>
      <c r="C8" s="55"/>
      <c r="D8" s="82" t="s">
        <v>150</v>
      </c>
      <c r="E8" s="168" t="s">
        <v>151</v>
      </c>
      <c r="F8" s="49" t="s">
        <v>15</v>
      </c>
      <c r="G8" s="84">
        <v>15</v>
      </c>
      <c r="H8" s="248"/>
      <c r="I8" s="295">
        <f>IF(Workflow[[#This Row],[Voldoet de oplossing? ja/nee]]="Ja",Workflow[[#This Row],[Max. te behalen punten]],0)</f>
        <v>0</v>
      </c>
      <c r="J8" s="246"/>
    </row>
    <row r="9" spans="1:10" s="24" customFormat="1" ht="25.5" x14ac:dyDescent="0.2">
      <c r="A9" s="50" t="s">
        <v>416</v>
      </c>
      <c r="B9" s="47" t="s">
        <v>417</v>
      </c>
      <c r="C9" s="55" t="s">
        <v>418</v>
      </c>
      <c r="D9" s="82" t="s">
        <v>150</v>
      </c>
      <c r="E9" s="168" t="s">
        <v>200</v>
      </c>
      <c r="F9" s="49" t="s">
        <v>15</v>
      </c>
      <c r="G9" s="84">
        <v>10</v>
      </c>
      <c r="H9" s="248"/>
      <c r="I9" s="295">
        <f>IF(Workflow[[#This Row],[Voldoet de oplossing? ja/nee]]="Ja",Workflow[[#This Row],[Max. te behalen punten]],0)</f>
        <v>0</v>
      </c>
      <c r="J9" s="246"/>
    </row>
    <row r="10" spans="1:10" s="24" customFormat="1" ht="25.5" x14ac:dyDescent="0.2">
      <c r="A10" s="50" t="s">
        <v>419</v>
      </c>
      <c r="B10" s="69" t="s">
        <v>420</v>
      </c>
      <c r="C10" s="107"/>
      <c r="D10" s="82" t="s">
        <v>150</v>
      </c>
      <c r="E10" s="168" t="s">
        <v>200</v>
      </c>
      <c r="F10" s="49" t="s">
        <v>15</v>
      </c>
      <c r="G10" s="84">
        <v>10</v>
      </c>
      <c r="H10" s="248"/>
      <c r="I10" s="295">
        <f>IF(Workflow[[#This Row],[Voldoet de oplossing? ja/nee]]="Ja",Workflow[[#This Row],[Max. te behalen punten]],0)</f>
        <v>0</v>
      </c>
      <c r="J10" s="246"/>
    </row>
    <row r="11" spans="1:10" s="24" customFormat="1" ht="114.75" x14ac:dyDescent="0.2">
      <c r="A11" s="50" t="s">
        <v>421</v>
      </c>
      <c r="B11" s="47" t="s">
        <v>422</v>
      </c>
      <c r="C11" s="55"/>
      <c r="D11" s="48" t="s">
        <v>150</v>
      </c>
      <c r="E11" s="169" t="s">
        <v>151</v>
      </c>
      <c r="F11" s="49" t="s">
        <v>15</v>
      </c>
      <c r="G11" s="84">
        <v>15</v>
      </c>
      <c r="H11" s="248"/>
      <c r="I11" s="295">
        <f>IF(Workflow[[#This Row],[Voldoet de oplossing? ja/nee]]="Ja",Workflow[[#This Row],[Max. te behalen punten]],0)</f>
        <v>0</v>
      </c>
      <c r="J11" s="246"/>
    </row>
    <row r="12" spans="1:10" s="147" customFormat="1" ht="38.25" x14ac:dyDescent="0.2">
      <c r="A12" s="46" t="s">
        <v>423</v>
      </c>
      <c r="B12" s="119" t="s">
        <v>424</v>
      </c>
      <c r="C12" s="119" t="s">
        <v>425</v>
      </c>
      <c r="D12" s="49" t="s">
        <v>84</v>
      </c>
      <c r="E12" s="106" t="s">
        <v>15</v>
      </c>
      <c r="F12" s="53" t="s">
        <v>85</v>
      </c>
      <c r="G12" s="53">
        <v>20</v>
      </c>
      <c r="H12" s="189" t="s">
        <v>15</v>
      </c>
      <c r="I12" s="127"/>
      <c r="J12" s="256"/>
    </row>
    <row r="13" spans="1:10" s="24" customFormat="1" ht="12.75" x14ac:dyDescent="0.2">
      <c r="B13" s="27"/>
      <c r="C13" s="27"/>
      <c r="D13" s="28"/>
      <c r="E13" s="28"/>
      <c r="F13" s="157" t="s">
        <v>35</v>
      </c>
      <c r="G13" s="289">
        <f>SUM(Workflow[Max. te behalen punten])</f>
        <v>85</v>
      </c>
      <c r="H13" s="158" t="s">
        <v>36</v>
      </c>
      <c r="I13" s="287">
        <f>SUM(Workflow[Score])</f>
        <v>0</v>
      </c>
      <c r="J13" s="33"/>
    </row>
    <row r="16" spans="1:10" x14ac:dyDescent="0.2">
      <c r="B16" s="22"/>
    </row>
  </sheetData>
  <sheetProtection algorithmName="SHA-512" hashValue="BCitos67co2yZn71viFMU8jAHYM4wUJ4EFUTWdXZCUmBsBdZUCXWQ1qKZlfZgi1H6F80D/KdhudArL2p2ogWFQ==" saltValue="S2ky4iqotLFnHnZFFb++xA==" spinCount="100000" sheet="1" objects="1" scenarios="1"/>
  <phoneticPr fontId="7" type="noConversion"/>
  <dataValidations count="1">
    <dataValidation type="list" allowBlank="1" showInputMessage="1" showErrorMessage="1" sqref="H5:H11" xr:uid="{959606B7-F06A-48F3-8E7A-2B8472D01F78}">
      <formula1>"Ja,Nee"</formula1>
    </dataValidation>
  </dataValidations>
  <pageMargins left="0.7" right="0.7" top="0.75" bottom="0.75" header="0.3" footer="0.3"/>
  <pageSetup paperSize="9" orientation="portrait" horizontalDpi="300" verticalDpi="300"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8D9EA-D5A0-48A9-934C-C5E496509730}">
  <dimension ref="A1:M23"/>
  <sheetViews>
    <sheetView workbookViewId="0">
      <pane ySplit="4" topLeftCell="A5" activePane="bottomLeft" state="frozen"/>
      <selection activeCell="B23" sqref="B23"/>
      <selection pane="bottomLeft" activeCell="B23" sqref="B23"/>
    </sheetView>
  </sheetViews>
  <sheetFormatPr defaultRowHeight="15" x14ac:dyDescent="0.25"/>
  <cols>
    <col min="1" max="1" width="7" customWidth="1"/>
    <col min="2" max="2" width="70.140625" customWidth="1"/>
    <col min="3" max="3" width="56.85546875" customWidth="1"/>
    <col min="4" max="4" width="11.140625" customWidth="1"/>
    <col min="5" max="5" width="18.5703125" customWidth="1"/>
    <col min="6" max="6" width="23.85546875" customWidth="1"/>
    <col min="7" max="7" width="16.28515625" customWidth="1"/>
    <col min="8" max="8" width="21.5703125" customWidth="1"/>
    <col min="10" max="10" width="28.42578125" style="120" customWidth="1"/>
  </cols>
  <sheetData>
    <row r="1" spans="1:10" ht="27.75" x14ac:dyDescent="0.25">
      <c r="A1" s="31" t="s">
        <v>426</v>
      </c>
      <c r="B1" s="14"/>
      <c r="C1" s="32"/>
      <c r="D1" s="11"/>
      <c r="E1" s="11"/>
      <c r="F1" s="11"/>
      <c r="G1" s="11"/>
      <c r="H1" s="11"/>
      <c r="I1" s="13"/>
    </row>
    <row r="2" spans="1:10" x14ac:dyDescent="0.25">
      <c r="A2" s="23"/>
      <c r="B2" s="14"/>
      <c r="C2" s="23"/>
      <c r="D2" s="23"/>
      <c r="E2" s="5"/>
      <c r="F2" s="5"/>
      <c r="G2" s="5"/>
      <c r="H2" s="5"/>
      <c r="I2" s="24"/>
    </row>
    <row r="3" spans="1:10" x14ac:dyDescent="0.25">
      <c r="A3" s="23"/>
      <c r="B3" s="14"/>
      <c r="C3" s="23"/>
      <c r="D3" s="23"/>
      <c r="E3" s="5"/>
      <c r="F3" s="5"/>
      <c r="G3" s="5"/>
      <c r="H3" s="5"/>
      <c r="I3" s="24"/>
    </row>
    <row r="4" spans="1:10" s="284" customFormat="1" ht="25.5" x14ac:dyDescent="0.25">
      <c r="A4" s="282" t="s">
        <v>1</v>
      </c>
      <c r="B4" s="72" t="s">
        <v>2</v>
      </c>
      <c r="C4" s="16" t="s">
        <v>3</v>
      </c>
      <c r="D4" s="17" t="s">
        <v>4</v>
      </c>
      <c r="E4" s="17" t="s">
        <v>5</v>
      </c>
      <c r="F4" s="17" t="s">
        <v>6</v>
      </c>
      <c r="G4" s="17" t="s">
        <v>7</v>
      </c>
      <c r="H4" s="17" t="s">
        <v>8</v>
      </c>
      <c r="I4" s="125" t="s">
        <v>9</v>
      </c>
      <c r="J4" s="223" t="s">
        <v>10</v>
      </c>
    </row>
    <row r="5" spans="1:10" ht="25.5" x14ac:dyDescent="0.25">
      <c r="A5" s="222" t="s">
        <v>427</v>
      </c>
      <c r="B5" s="47" t="s">
        <v>428</v>
      </c>
      <c r="C5" s="63"/>
      <c r="D5" s="9" t="s">
        <v>13</v>
      </c>
      <c r="E5" s="9" t="s">
        <v>14</v>
      </c>
      <c r="F5" s="19" t="s">
        <v>15</v>
      </c>
      <c r="G5" s="19" t="s">
        <v>15</v>
      </c>
      <c r="H5" s="240"/>
      <c r="I5" s="127" t="s">
        <v>15</v>
      </c>
      <c r="J5" s="251"/>
    </row>
    <row r="6" spans="1:10" ht="25.5" x14ac:dyDescent="0.25">
      <c r="A6" s="222" t="s">
        <v>429</v>
      </c>
      <c r="B6" s="47" t="s">
        <v>430</v>
      </c>
      <c r="C6" s="70"/>
      <c r="D6" s="9" t="s">
        <v>13</v>
      </c>
      <c r="E6" s="9" t="s">
        <v>14</v>
      </c>
      <c r="F6" s="19" t="s">
        <v>15</v>
      </c>
      <c r="G6" s="19" t="s">
        <v>15</v>
      </c>
      <c r="H6" s="240"/>
      <c r="I6" s="127" t="s">
        <v>15</v>
      </c>
      <c r="J6" s="251"/>
    </row>
    <row r="7" spans="1:10" ht="51" x14ac:dyDescent="0.25">
      <c r="A7" s="222" t="s">
        <v>431</v>
      </c>
      <c r="B7" s="47" t="s">
        <v>432</v>
      </c>
      <c r="C7" s="71"/>
      <c r="D7" s="52" t="s">
        <v>13</v>
      </c>
      <c r="E7" s="52" t="s">
        <v>14</v>
      </c>
      <c r="F7" s="53" t="s">
        <v>15</v>
      </c>
      <c r="G7" s="53" t="s">
        <v>15</v>
      </c>
      <c r="H7" s="240"/>
      <c r="I7" s="130" t="s">
        <v>15</v>
      </c>
      <c r="J7" s="251"/>
    </row>
    <row r="8" spans="1:10" ht="51" x14ac:dyDescent="0.25">
      <c r="A8" s="222" t="s">
        <v>433</v>
      </c>
      <c r="B8" s="119" t="s">
        <v>434</v>
      </c>
      <c r="C8" s="47"/>
      <c r="D8" s="48" t="s">
        <v>150</v>
      </c>
      <c r="E8" s="169" t="s">
        <v>151</v>
      </c>
      <c r="F8" s="19" t="s">
        <v>15</v>
      </c>
      <c r="G8" s="19">
        <v>15</v>
      </c>
      <c r="H8" s="242"/>
      <c r="I8" s="286">
        <f>IF(Digitale_belastingbalie[[#This Row],[Voldoet de oplossing? ja/nee]]="Ja",Digitale_belastingbalie[[#This Row],[Max. te behalen punten]],0)</f>
        <v>0</v>
      </c>
      <c r="J8" s="252"/>
    </row>
    <row r="9" spans="1:10" ht="25.5" x14ac:dyDescent="0.25">
      <c r="A9" s="222" t="s">
        <v>435</v>
      </c>
      <c r="B9" s="47" t="s">
        <v>436</v>
      </c>
      <c r="C9" s="70" t="s">
        <v>437</v>
      </c>
      <c r="D9" s="48" t="s">
        <v>150</v>
      </c>
      <c r="E9" s="169" t="s">
        <v>151</v>
      </c>
      <c r="F9" s="49" t="s">
        <v>15</v>
      </c>
      <c r="G9" s="202">
        <v>15</v>
      </c>
      <c r="H9" s="248"/>
      <c r="I9" s="286">
        <f>IF(Digitale_belastingbalie[[#This Row],[Voldoet de oplossing? ja/nee]]="Ja",Digitale_belastingbalie[[#This Row],[Max. te behalen punten]],0)</f>
        <v>0</v>
      </c>
      <c r="J9" s="251"/>
    </row>
    <row r="10" spans="1:10" ht="25.5" x14ac:dyDescent="0.25">
      <c r="A10" s="222" t="s">
        <v>438</v>
      </c>
      <c r="B10" s="47" t="s">
        <v>439</v>
      </c>
      <c r="C10" s="70" t="s">
        <v>440</v>
      </c>
      <c r="D10" s="48" t="s">
        <v>150</v>
      </c>
      <c r="E10" s="169" t="s">
        <v>151</v>
      </c>
      <c r="F10" s="49" t="s">
        <v>15</v>
      </c>
      <c r="G10" s="202">
        <v>15</v>
      </c>
      <c r="H10" s="248"/>
      <c r="I10" s="286">
        <f>IF(Digitale_belastingbalie[[#This Row],[Voldoet de oplossing? ja/nee]]="Ja",Digitale_belastingbalie[[#This Row],[Max. te behalen punten]],0)</f>
        <v>0</v>
      </c>
      <c r="J10" s="251"/>
    </row>
    <row r="11" spans="1:10" ht="38.25" x14ac:dyDescent="0.25">
      <c r="A11" s="222" t="s">
        <v>441</v>
      </c>
      <c r="B11" s="47" t="s">
        <v>442</v>
      </c>
      <c r="C11" s="141" t="s">
        <v>443</v>
      </c>
      <c r="D11" s="48" t="s">
        <v>150</v>
      </c>
      <c r="E11" s="169" t="s">
        <v>151</v>
      </c>
      <c r="F11" s="49" t="s">
        <v>15</v>
      </c>
      <c r="G11" s="202">
        <v>15</v>
      </c>
      <c r="H11" s="248"/>
      <c r="I11" s="286">
        <f>IF(Digitale_belastingbalie[[#This Row],[Voldoet de oplossing? ja/nee]]="Ja",Digitale_belastingbalie[[#This Row],[Max. te behalen punten]],0)</f>
        <v>0</v>
      </c>
      <c r="J11" s="251"/>
    </row>
    <row r="12" spans="1:10" ht="25.5" x14ac:dyDescent="0.25">
      <c r="A12" s="222" t="s">
        <v>444</v>
      </c>
      <c r="B12" s="61" t="s">
        <v>445</v>
      </c>
      <c r="C12" s="141" t="s">
        <v>446</v>
      </c>
      <c r="D12" s="48" t="s">
        <v>150</v>
      </c>
      <c r="E12" s="169" t="s">
        <v>151</v>
      </c>
      <c r="F12" s="49" t="s">
        <v>15</v>
      </c>
      <c r="G12" s="202">
        <v>15</v>
      </c>
      <c r="H12" s="248"/>
      <c r="I12" s="286">
        <f>IF(Digitale_belastingbalie[[#This Row],[Voldoet de oplossing? ja/nee]]="Ja",Digitale_belastingbalie[[#This Row],[Max. te behalen punten]],0)</f>
        <v>0</v>
      </c>
      <c r="J12" s="251"/>
    </row>
    <row r="13" spans="1:10" ht="25.5" x14ac:dyDescent="0.25">
      <c r="A13" s="222" t="s">
        <v>447</v>
      </c>
      <c r="B13" s="47" t="s">
        <v>448</v>
      </c>
      <c r="C13" s="141" t="s">
        <v>446</v>
      </c>
      <c r="D13" s="48" t="s">
        <v>150</v>
      </c>
      <c r="E13" s="169" t="s">
        <v>151</v>
      </c>
      <c r="F13" s="49" t="s">
        <v>15</v>
      </c>
      <c r="G13" s="202">
        <v>15</v>
      </c>
      <c r="H13" s="248"/>
      <c r="I13" s="286">
        <f>IF(Digitale_belastingbalie[[#This Row],[Voldoet de oplossing? ja/nee]]="Ja",Digitale_belastingbalie[[#This Row],[Max. te behalen punten]],0)</f>
        <v>0</v>
      </c>
      <c r="J13" s="251"/>
    </row>
    <row r="14" spans="1:10" ht="38.25" x14ac:dyDescent="0.25">
      <c r="A14" s="222" t="s">
        <v>449</v>
      </c>
      <c r="B14" s="47" t="s">
        <v>450</v>
      </c>
      <c r="C14" s="47" t="s">
        <v>451</v>
      </c>
      <c r="D14" s="48" t="s">
        <v>150</v>
      </c>
      <c r="E14" s="169" t="s">
        <v>200</v>
      </c>
      <c r="F14" s="49" t="s">
        <v>15</v>
      </c>
      <c r="G14" s="202">
        <v>10</v>
      </c>
      <c r="H14" s="248"/>
      <c r="I14" s="286">
        <f>IF(Digitale_belastingbalie[[#This Row],[Voldoet de oplossing? ja/nee]]="Ja",Digitale_belastingbalie[[#This Row],[Max. te behalen punten]],0)</f>
        <v>0</v>
      </c>
      <c r="J14" s="251"/>
    </row>
    <row r="15" spans="1:10" ht="38.25" x14ac:dyDescent="0.25">
      <c r="A15" s="222" t="s">
        <v>452</v>
      </c>
      <c r="B15" s="47" t="s">
        <v>453</v>
      </c>
      <c r="C15" s="119" t="s">
        <v>454</v>
      </c>
      <c r="D15" s="48" t="s">
        <v>150</v>
      </c>
      <c r="E15" s="169" t="s">
        <v>151</v>
      </c>
      <c r="F15" s="49" t="s">
        <v>15</v>
      </c>
      <c r="G15" s="202">
        <v>15</v>
      </c>
      <c r="H15" s="248"/>
      <c r="I15" s="286">
        <f>IF(Digitale_belastingbalie[[#This Row],[Voldoet de oplossing? ja/nee]]="Ja",Digitale_belastingbalie[[#This Row],[Max. te behalen punten]],0)</f>
        <v>0</v>
      </c>
      <c r="J15" s="251"/>
    </row>
    <row r="16" spans="1:10" ht="153" x14ac:dyDescent="0.25">
      <c r="A16" s="222" t="s">
        <v>455</v>
      </c>
      <c r="B16" s="47" t="s">
        <v>456</v>
      </c>
      <c r="C16" s="47"/>
      <c r="D16" s="48" t="s">
        <v>150</v>
      </c>
      <c r="E16" s="169" t="s">
        <v>151</v>
      </c>
      <c r="F16" s="49" t="s">
        <v>15</v>
      </c>
      <c r="G16" s="202">
        <v>15</v>
      </c>
      <c r="H16" s="248"/>
      <c r="I16" s="286">
        <f>IF(Digitale_belastingbalie[[#This Row],[Voldoet de oplossing? ja/nee]]="Ja",Digitale_belastingbalie[[#This Row],[Max. te behalen punten]],0)</f>
        <v>0</v>
      </c>
      <c r="J16" s="251"/>
    </row>
    <row r="17" spans="1:13" ht="25.5" x14ac:dyDescent="0.25">
      <c r="A17" s="222" t="s">
        <v>457</v>
      </c>
      <c r="B17" s="47" t="s">
        <v>458</v>
      </c>
      <c r="C17" s="47"/>
      <c r="D17" s="48" t="s">
        <v>150</v>
      </c>
      <c r="E17" s="195" t="s">
        <v>200</v>
      </c>
      <c r="F17" s="189" t="s">
        <v>15</v>
      </c>
      <c r="G17" s="203">
        <v>10</v>
      </c>
      <c r="H17" s="248"/>
      <c r="I17" s="286">
        <f>IF(Digitale_belastingbalie[[#This Row],[Voldoet de oplossing? ja/nee]]="Ja",Digitale_belastingbalie[[#This Row],[Max. te behalen punten]],0)</f>
        <v>0</v>
      </c>
      <c r="J17" s="251"/>
    </row>
    <row r="18" spans="1:13" ht="25.5" x14ac:dyDescent="0.25">
      <c r="A18" s="222" t="s">
        <v>459</v>
      </c>
      <c r="B18" s="69" t="s">
        <v>460</v>
      </c>
      <c r="C18" s="69"/>
      <c r="D18" s="209" t="s">
        <v>150</v>
      </c>
      <c r="E18" s="167" t="s">
        <v>200</v>
      </c>
      <c r="F18" s="19" t="s">
        <v>15</v>
      </c>
      <c r="G18" s="167">
        <v>10</v>
      </c>
      <c r="H18" s="249"/>
      <c r="I18" s="286">
        <f>IF(Digitale_belastingbalie[[#This Row],[Voldoet de oplossing? ja/nee]]="Ja",Digitale_belastingbalie[[#This Row],[Max. te behalen punten]],0)</f>
        <v>0</v>
      </c>
      <c r="J18" s="253"/>
    </row>
    <row r="19" spans="1:13" ht="25.5" x14ac:dyDescent="0.25">
      <c r="A19" s="222" t="s">
        <v>461</v>
      </c>
      <c r="B19" s="213" t="s">
        <v>462</v>
      </c>
      <c r="C19" s="47"/>
      <c r="D19" s="83" t="s">
        <v>150</v>
      </c>
      <c r="E19" s="167" t="s">
        <v>200</v>
      </c>
      <c r="F19" s="19" t="s">
        <v>15</v>
      </c>
      <c r="G19" s="167">
        <v>10</v>
      </c>
      <c r="H19" s="250"/>
      <c r="I19" s="286">
        <f>IF(Digitale_belastingbalie[[#This Row],[Voldoet de oplossing? ja/nee]]="Ja",Digitale_belastingbalie[[#This Row],[Max. te behalen punten]],0)</f>
        <v>0</v>
      </c>
      <c r="J19" s="254"/>
    </row>
    <row r="20" spans="1:13" ht="63.75" x14ac:dyDescent="0.25">
      <c r="A20" s="222" t="s">
        <v>463</v>
      </c>
      <c r="B20" s="61" t="s">
        <v>464</v>
      </c>
      <c r="C20" s="61"/>
      <c r="D20" s="210" t="s">
        <v>84</v>
      </c>
      <c r="E20" s="167" t="s">
        <v>15</v>
      </c>
      <c r="F20" s="208" t="s">
        <v>465</v>
      </c>
      <c r="G20" s="208">
        <v>40</v>
      </c>
      <c r="H20" s="211" t="s">
        <v>15</v>
      </c>
      <c r="I20" s="196"/>
      <c r="J20" s="255"/>
    </row>
    <row r="21" spans="1:13" x14ac:dyDescent="0.25">
      <c r="A21" s="24"/>
      <c r="B21" s="27"/>
      <c r="C21" s="27"/>
      <c r="D21" s="28"/>
      <c r="E21" s="28"/>
      <c r="F21" s="212" t="s">
        <v>35</v>
      </c>
      <c r="G21" s="296">
        <f>SUM(G8:G20)</f>
        <v>200</v>
      </c>
      <c r="H21" s="159" t="s">
        <v>36</v>
      </c>
      <c r="I21" s="294">
        <f>SUM(Digitale_belastingbalie[Score])</f>
        <v>0</v>
      </c>
    </row>
    <row r="22" spans="1:13" x14ac:dyDescent="0.25">
      <c r="A22" s="309" t="s">
        <v>466</v>
      </c>
      <c r="B22" s="309"/>
      <c r="C22" s="309"/>
      <c r="D22" s="309"/>
      <c r="E22" s="309"/>
      <c r="F22" s="309"/>
      <c r="G22" s="204">
        <v>50</v>
      </c>
      <c r="H22" s="193"/>
      <c r="I22" s="197"/>
      <c r="J22" s="24"/>
      <c r="K22" s="24"/>
      <c r="L22" s="24"/>
      <c r="M22" s="24"/>
    </row>
    <row r="23" spans="1:13" x14ac:dyDescent="0.25">
      <c r="A23" s="13"/>
      <c r="B23" s="13"/>
      <c r="C23" s="13"/>
      <c r="D23" s="13"/>
      <c r="E23" s="13"/>
      <c r="F23" s="13"/>
      <c r="G23" s="13"/>
      <c r="H23" s="13"/>
      <c r="I23" s="13"/>
    </row>
  </sheetData>
  <sheetProtection algorithmName="SHA-512" hashValue="c880TVZQbH1wMD46ECkO6TilPoL44T31mSq2q7m+fDS1CEnfgrssyufLeVxc0wpRGqH8dgKLSChwn9uMEgcUyw==" saltValue="bjMyfLCbq7bs0oCgWh+KLA==" spinCount="100000" sheet="1" objects="1" scenarios="1"/>
  <mergeCells count="1">
    <mergeCell ref="A22:F22"/>
  </mergeCells>
  <phoneticPr fontId="7" type="noConversion"/>
  <dataValidations count="1">
    <dataValidation type="list" allowBlank="1" showInputMessage="1" showErrorMessage="1" sqref="H22 H5:H19" xr:uid="{FD8F47A7-0524-4CA7-9D47-7C1A33D48703}">
      <formula1>"Ja,Nee"</formula1>
    </dataValidation>
  </dataValidations>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workbookViewId="0">
      <selection activeCell="B23" sqref="B23"/>
    </sheetView>
  </sheetViews>
  <sheetFormatPr defaultColWidth="9.140625" defaultRowHeight="14.25" x14ac:dyDescent="0.25"/>
  <cols>
    <col min="1" max="1" width="9.140625" style="115"/>
    <col min="2" max="2" width="64.5703125" style="115" customWidth="1"/>
    <col min="3" max="3" width="53.85546875" style="115" customWidth="1"/>
    <col min="4" max="4" width="10.85546875" style="115" customWidth="1"/>
    <col min="5" max="5" width="18.140625" style="115" customWidth="1"/>
    <col min="6" max="6" width="24.140625" style="115" customWidth="1"/>
    <col min="7" max="7" width="16.28515625" style="115" customWidth="1"/>
    <col min="8" max="8" width="21.7109375" style="115" customWidth="1"/>
    <col min="9" max="9" width="12.28515625" style="115" customWidth="1"/>
    <col min="10" max="10" width="30.28515625" style="115" customWidth="1"/>
    <col min="11" max="16384" width="9.140625" style="115"/>
  </cols>
  <sheetData>
    <row r="1" spans="1:10" ht="27.75" x14ac:dyDescent="0.25">
      <c r="A1" s="31" t="s">
        <v>467</v>
      </c>
      <c r="B1" s="14"/>
      <c r="C1" s="32"/>
      <c r="D1" s="11"/>
      <c r="E1" s="11"/>
      <c r="F1" s="11"/>
      <c r="G1" s="11" t="s">
        <v>468</v>
      </c>
      <c r="H1" s="11"/>
    </row>
    <row r="2" spans="1:10" s="116" customFormat="1" ht="25.5" x14ac:dyDescent="0.25">
      <c r="A2" s="23"/>
      <c r="B2" s="156" t="s">
        <v>469</v>
      </c>
      <c r="C2" s="23"/>
      <c r="D2" s="23"/>
      <c r="E2" s="5"/>
      <c r="F2" s="5"/>
      <c r="G2" s="5"/>
      <c r="H2" s="5"/>
    </row>
    <row r="3" spans="1:10" s="116" customFormat="1" ht="12.75" x14ac:dyDescent="0.25">
      <c r="A3" s="23"/>
      <c r="B3" s="14"/>
      <c r="C3" s="23"/>
      <c r="D3" s="23"/>
      <c r="E3" s="5"/>
      <c r="F3" s="5"/>
      <c r="G3" s="5"/>
      <c r="H3" s="5"/>
    </row>
    <row r="4" spans="1:10" s="33" customFormat="1" ht="25.5" x14ac:dyDescent="0.25">
      <c r="A4" s="282" t="s">
        <v>1</v>
      </c>
      <c r="B4" s="16" t="s">
        <v>2</v>
      </c>
      <c r="C4" s="16" t="s">
        <v>3</v>
      </c>
      <c r="D4" s="17" t="s">
        <v>4</v>
      </c>
      <c r="E4" s="17" t="s">
        <v>5</v>
      </c>
      <c r="F4" s="17" t="s">
        <v>6</v>
      </c>
      <c r="G4" s="17" t="s">
        <v>7</v>
      </c>
      <c r="H4" s="17" t="s">
        <v>8</v>
      </c>
      <c r="I4" s="125" t="s">
        <v>9</v>
      </c>
      <c r="J4" s="221" t="s">
        <v>10</v>
      </c>
    </row>
    <row r="5" spans="1:10" s="116" customFormat="1" ht="25.5" x14ac:dyDescent="0.25">
      <c r="A5" s="216" t="s">
        <v>470</v>
      </c>
      <c r="B5" s="8" t="s">
        <v>471</v>
      </c>
      <c r="C5" s="8" t="s">
        <v>472</v>
      </c>
      <c r="D5" s="9" t="s">
        <v>13</v>
      </c>
      <c r="E5" s="9" t="s">
        <v>14</v>
      </c>
      <c r="F5" s="19" t="s">
        <v>15</v>
      </c>
      <c r="G5" s="19" t="s">
        <v>15</v>
      </c>
      <c r="H5" s="240"/>
      <c r="I5" s="133" t="s">
        <v>15</v>
      </c>
      <c r="J5" s="232"/>
    </row>
    <row r="6" spans="1:10" s="116" customFormat="1" ht="12.75" x14ac:dyDescent="0.25">
      <c r="A6" s="216" t="s">
        <v>473</v>
      </c>
      <c r="B6" s="7" t="s">
        <v>474</v>
      </c>
      <c r="C6" s="7"/>
      <c r="D6" s="9" t="s">
        <v>150</v>
      </c>
      <c r="E6" s="9" t="s">
        <v>151</v>
      </c>
      <c r="F6" s="19" t="s">
        <v>15</v>
      </c>
      <c r="G6" s="167">
        <v>15</v>
      </c>
      <c r="H6" s="247"/>
      <c r="I6" s="297">
        <f>IF(Geo_informatie[[#This Row],[Voldoet de oplossing? ja/nee]]="Ja",Geo_informatie[[#This Row],[Max. te behalen punten]],0)</f>
        <v>0</v>
      </c>
      <c r="J6" s="232"/>
    </row>
    <row r="7" spans="1:10" s="116" customFormat="1" ht="25.5" x14ac:dyDescent="0.25">
      <c r="A7" s="216" t="s">
        <v>475</v>
      </c>
      <c r="B7" s="25" t="s">
        <v>476</v>
      </c>
      <c r="C7" s="25"/>
      <c r="D7" s="26" t="s">
        <v>150</v>
      </c>
      <c r="E7" s="167" t="s">
        <v>203</v>
      </c>
      <c r="F7" s="19" t="s">
        <v>15</v>
      </c>
      <c r="G7" s="167">
        <v>5</v>
      </c>
      <c r="H7" s="247"/>
      <c r="I7" s="297">
        <f>IF(Geo_informatie[[#This Row],[Voldoet de oplossing? ja/nee]]="Ja",Geo_informatie[[#This Row],[Max. te behalen punten]],0)</f>
        <v>0</v>
      </c>
      <c r="J7" s="232"/>
    </row>
    <row r="8" spans="1:10" s="116" customFormat="1" ht="12.75" x14ac:dyDescent="0.25">
      <c r="A8" s="216" t="s">
        <v>477</v>
      </c>
      <c r="B8" s="25" t="s">
        <v>478</v>
      </c>
      <c r="C8" s="25"/>
      <c r="D8" s="26" t="s">
        <v>150</v>
      </c>
      <c r="E8" s="167" t="s">
        <v>203</v>
      </c>
      <c r="F8" s="19" t="s">
        <v>15</v>
      </c>
      <c r="G8" s="167">
        <v>5</v>
      </c>
      <c r="H8" s="247"/>
      <c r="I8" s="297">
        <f>IF(Geo_informatie[[#This Row],[Voldoet de oplossing? ja/nee]]="Ja",Geo_informatie[[#This Row],[Max. te behalen punten]],0)</f>
        <v>0</v>
      </c>
      <c r="J8" s="232"/>
    </row>
    <row r="9" spans="1:10" s="116" customFormat="1" ht="178.5" x14ac:dyDescent="0.25">
      <c r="A9" s="216" t="s">
        <v>479</v>
      </c>
      <c r="B9" s="25" t="s">
        <v>480</v>
      </c>
      <c r="C9" s="25" t="s">
        <v>481</v>
      </c>
      <c r="D9" s="26" t="s">
        <v>84</v>
      </c>
      <c r="E9" s="167" t="s">
        <v>15</v>
      </c>
      <c r="F9" s="206" t="s">
        <v>482</v>
      </c>
      <c r="G9" s="207">
        <v>20</v>
      </c>
      <c r="H9" s="26" t="s">
        <v>15</v>
      </c>
      <c r="I9" s="134"/>
      <c r="J9" s="232"/>
    </row>
    <row r="10" spans="1:10" x14ac:dyDescent="0.25">
      <c r="B10" s="121"/>
      <c r="C10" s="121"/>
      <c r="D10" s="142"/>
      <c r="E10" s="142"/>
      <c r="F10" s="167" t="s">
        <v>35</v>
      </c>
      <c r="G10" s="298">
        <f>SUM(Geo_informatie[Max. te behalen punten])</f>
        <v>45</v>
      </c>
      <c r="H10" s="167" t="s">
        <v>36</v>
      </c>
      <c r="I10" s="298">
        <f>SUM(Geo_informatie[Score])</f>
        <v>0</v>
      </c>
    </row>
  </sheetData>
  <sheetProtection algorithmName="SHA-512" hashValue="DqfBz8bnFqcJE0OFQ6FarTEf6Cqfqey6v6ThpSf6atXFywmhqYvJdzHICHtnGU65gaPVv3trOv4CbmiFDbhVrQ==" saltValue="h+Ij6qvgf4kMGOaHOYPqrA==" spinCount="100000" sheet="1" objects="1" scenarios="1"/>
  <phoneticPr fontId="7" type="noConversion"/>
  <dataValidations count="1">
    <dataValidation type="list" allowBlank="1" showInputMessage="1" showErrorMessage="1" sqref="H5:H8" xr:uid="{B1111E4D-8483-4378-949F-00DE6A7234E5}">
      <formula1>"Ja,Nee"</formula1>
    </dataValidation>
  </dataValidations>
  <pageMargins left="0.7" right="0.7" top="0.75" bottom="0.75" header="0.3" footer="0.3"/>
  <pageSetup paperSize="9" orientation="portrait" horizontalDpi="300" verticalDpi="300"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5DB36-705E-4590-815C-CCA7521CC166}">
  <dimension ref="A1:J22"/>
  <sheetViews>
    <sheetView workbookViewId="0">
      <pane ySplit="4" topLeftCell="A5" activePane="bottomLeft" state="frozen"/>
      <selection activeCell="B23" sqref="B23"/>
      <selection pane="bottomLeft" activeCell="B23" sqref="B23"/>
    </sheetView>
  </sheetViews>
  <sheetFormatPr defaultColWidth="9.140625" defaultRowHeight="14.25" x14ac:dyDescent="0.25"/>
  <cols>
    <col min="1" max="1" width="9.140625" style="115"/>
    <col min="2" max="2" width="66.85546875" style="115" customWidth="1"/>
    <col min="3" max="3" width="47.42578125" style="115" customWidth="1"/>
    <col min="4" max="4" width="11.140625" style="115" customWidth="1"/>
    <col min="5" max="5" width="19" style="115" customWidth="1"/>
    <col min="6" max="6" width="24.5703125" style="115" customWidth="1"/>
    <col min="7" max="7" width="15.7109375" style="115" customWidth="1"/>
    <col min="8" max="8" width="21.7109375" style="115" customWidth="1"/>
    <col min="9" max="9" width="9.5703125" style="115" customWidth="1"/>
    <col min="10" max="10" width="39" style="121" customWidth="1"/>
    <col min="11" max="16384" width="9.140625" style="115"/>
  </cols>
  <sheetData>
    <row r="1" spans="1:10" ht="27.75" x14ac:dyDescent="0.25">
      <c r="A1" s="31" t="s">
        <v>483</v>
      </c>
      <c r="B1" s="14"/>
      <c r="C1" s="32"/>
      <c r="D1" s="11"/>
      <c r="E1" s="11"/>
      <c r="F1" s="11"/>
      <c r="G1" s="11"/>
      <c r="H1" s="11"/>
    </row>
    <row r="2" spans="1:10" s="116" customFormat="1" ht="25.5" x14ac:dyDescent="0.25">
      <c r="A2" s="23"/>
      <c r="B2" s="156" t="s">
        <v>484</v>
      </c>
      <c r="C2" s="23"/>
      <c r="D2" s="23"/>
      <c r="E2" s="5"/>
      <c r="F2" s="5"/>
      <c r="G2" s="5"/>
      <c r="H2" s="5"/>
      <c r="J2" s="33"/>
    </row>
    <row r="3" spans="1:10" s="116" customFormat="1" ht="12.75" x14ac:dyDescent="0.25">
      <c r="A3" s="23"/>
      <c r="B3" s="14"/>
      <c r="C3" s="23"/>
      <c r="D3" s="23"/>
      <c r="E3" s="5"/>
      <c r="F3" s="5"/>
      <c r="G3" s="5"/>
      <c r="H3" s="5"/>
      <c r="J3" s="33"/>
    </row>
    <row r="4" spans="1:10" s="116" customFormat="1" ht="25.5" x14ac:dyDescent="0.25">
      <c r="A4" s="214" t="s">
        <v>1</v>
      </c>
      <c r="B4" s="16" t="s">
        <v>2</v>
      </c>
      <c r="C4" s="15" t="s">
        <v>3</v>
      </c>
      <c r="D4" s="17" t="s">
        <v>4</v>
      </c>
      <c r="E4" s="17" t="s">
        <v>5</v>
      </c>
      <c r="F4" s="17" t="s">
        <v>6</v>
      </c>
      <c r="G4" s="17" t="s">
        <v>7</v>
      </c>
      <c r="H4" s="17" t="s">
        <v>8</v>
      </c>
      <c r="I4" s="125" t="s">
        <v>9</v>
      </c>
      <c r="J4" s="217" t="s">
        <v>10</v>
      </c>
    </row>
    <row r="5" spans="1:10" s="116" customFormat="1" ht="25.5" x14ac:dyDescent="0.25">
      <c r="A5" s="216" t="s">
        <v>485</v>
      </c>
      <c r="B5" s="47" t="s">
        <v>486</v>
      </c>
      <c r="C5" s="8"/>
      <c r="D5" s="9" t="s">
        <v>13</v>
      </c>
      <c r="E5" s="9" t="s">
        <v>14</v>
      </c>
      <c r="F5" s="19" t="s">
        <v>15</v>
      </c>
      <c r="G5" s="19" t="s">
        <v>15</v>
      </c>
      <c r="H5" s="240"/>
      <c r="I5" s="133" t="s">
        <v>15</v>
      </c>
      <c r="J5" s="245"/>
    </row>
    <row r="6" spans="1:10" s="116" customFormat="1" ht="25.5" x14ac:dyDescent="0.25">
      <c r="A6" s="216" t="s">
        <v>487</v>
      </c>
      <c r="B6" s="8" t="s">
        <v>488</v>
      </c>
      <c r="C6" s="8"/>
      <c r="D6" s="9" t="s">
        <v>13</v>
      </c>
      <c r="E6" s="9" t="s">
        <v>14</v>
      </c>
      <c r="F6" s="19" t="s">
        <v>15</v>
      </c>
      <c r="G6" s="19" t="s">
        <v>15</v>
      </c>
      <c r="H6" s="240"/>
      <c r="I6" s="133" t="s">
        <v>15</v>
      </c>
      <c r="J6" s="246"/>
    </row>
    <row r="7" spans="1:10" s="116" customFormat="1" ht="25.5" x14ac:dyDescent="0.25">
      <c r="A7" s="216" t="s">
        <v>489</v>
      </c>
      <c r="B7" s="8" t="s">
        <v>490</v>
      </c>
      <c r="C7" s="8"/>
      <c r="D7" s="9" t="s">
        <v>13</v>
      </c>
      <c r="E7" s="9" t="s">
        <v>14</v>
      </c>
      <c r="F7" s="19" t="s">
        <v>15</v>
      </c>
      <c r="G7" s="19" t="s">
        <v>15</v>
      </c>
      <c r="H7" s="240"/>
      <c r="I7" s="133" t="s">
        <v>15</v>
      </c>
      <c r="J7" s="246"/>
    </row>
    <row r="8" spans="1:10" s="116" customFormat="1" ht="140.25" x14ac:dyDescent="0.25">
      <c r="A8" s="216" t="s">
        <v>491</v>
      </c>
      <c r="B8" s="8" t="s">
        <v>492</v>
      </c>
      <c r="C8" s="8" t="s">
        <v>493</v>
      </c>
      <c r="D8" s="9" t="s">
        <v>150</v>
      </c>
      <c r="E8" s="9" t="s">
        <v>151</v>
      </c>
      <c r="F8" s="19" t="s">
        <v>15</v>
      </c>
      <c r="G8" s="167">
        <v>15</v>
      </c>
      <c r="H8" s="242"/>
      <c r="I8" s="298">
        <f>IF(Rapportages[[#This Row],[Voldoet de oplossing? ja/nee]]="Ja",Rapportages[[#This Row],[Max. te behalen punten]],0)</f>
        <v>0</v>
      </c>
      <c r="J8" s="246"/>
    </row>
    <row r="9" spans="1:10" s="116" customFormat="1" ht="204" x14ac:dyDescent="0.25">
      <c r="A9" s="216" t="s">
        <v>494</v>
      </c>
      <c r="B9" s="65" t="s">
        <v>495</v>
      </c>
      <c r="C9" s="8"/>
      <c r="D9" s="9" t="s">
        <v>150</v>
      </c>
      <c r="E9" s="9" t="s">
        <v>151</v>
      </c>
      <c r="F9" s="19" t="s">
        <v>15</v>
      </c>
      <c r="G9" s="167">
        <v>15</v>
      </c>
      <c r="H9" s="242"/>
      <c r="I9" s="298">
        <f>IF(Rapportages[[#This Row],[Voldoet de oplossing? ja/nee]]="Ja",Rapportages[[#This Row],[Max. te behalen punten]],0)</f>
        <v>0</v>
      </c>
      <c r="J9" s="246"/>
    </row>
    <row r="10" spans="1:10" s="116" customFormat="1" ht="153" x14ac:dyDescent="0.25">
      <c r="A10" s="216" t="s">
        <v>496</v>
      </c>
      <c r="B10" s="65" t="s">
        <v>497</v>
      </c>
      <c r="C10" s="8"/>
      <c r="D10" s="9" t="s">
        <v>150</v>
      </c>
      <c r="E10" s="9" t="s">
        <v>151</v>
      </c>
      <c r="F10" s="19" t="s">
        <v>15</v>
      </c>
      <c r="G10" s="167">
        <v>15</v>
      </c>
      <c r="H10" s="242"/>
      <c r="I10" s="298">
        <f>IF(Rapportages[[#This Row],[Voldoet de oplossing? ja/nee]]="Ja",Rapportages[[#This Row],[Max. te behalen punten]],0)</f>
        <v>0</v>
      </c>
      <c r="J10" s="246"/>
    </row>
    <row r="11" spans="1:10" s="116" customFormat="1" ht="102" x14ac:dyDescent="0.25">
      <c r="A11" s="216" t="s">
        <v>498</v>
      </c>
      <c r="B11" s="76" t="s">
        <v>499</v>
      </c>
      <c r="C11" s="8"/>
      <c r="D11" s="9" t="s">
        <v>150</v>
      </c>
      <c r="E11" s="9" t="s">
        <v>200</v>
      </c>
      <c r="F11" s="19" t="s">
        <v>15</v>
      </c>
      <c r="G11" s="167">
        <v>10</v>
      </c>
      <c r="H11" s="242"/>
      <c r="I11" s="298">
        <f>IF(Rapportages[[#This Row],[Voldoet de oplossing? ja/nee]]="Ja",Rapportages[[#This Row],[Max. te behalen punten]],0)</f>
        <v>0</v>
      </c>
      <c r="J11" s="246"/>
    </row>
    <row r="12" spans="1:10" s="116" customFormat="1" ht="89.25" x14ac:dyDescent="0.25">
      <c r="A12" s="216" t="s">
        <v>500</v>
      </c>
      <c r="B12" s="65" t="s">
        <v>501</v>
      </c>
      <c r="C12" s="8"/>
      <c r="D12" s="9" t="s">
        <v>150</v>
      </c>
      <c r="E12" s="9" t="s">
        <v>200</v>
      </c>
      <c r="F12" s="19" t="s">
        <v>15</v>
      </c>
      <c r="G12" s="167">
        <v>10</v>
      </c>
      <c r="H12" s="242"/>
      <c r="I12" s="298">
        <f>IF(Rapportages[[#This Row],[Voldoet de oplossing? ja/nee]]="Ja",Rapportages[[#This Row],[Max. te behalen punten]],0)</f>
        <v>0</v>
      </c>
      <c r="J12" s="246"/>
    </row>
    <row r="13" spans="1:10" s="116" customFormat="1" ht="25.5" x14ac:dyDescent="0.25">
      <c r="A13" s="216" t="s">
        <v>502</v>
      </c>
      <c r="B13" s="65" t="s">
        <v>503</v>
      </c>
      <c r="C13" s="8"/>
      <c r="D13" s="9" t="s">
        <v>150</v>
      </c>
      <c r="E13" s="9" t="s">
        <v>200</v>
      </c>
      <c r="F13" s="19" t="s">
        <v>15</v>
      </c>
      <c r="G13" s="167">
        <v>10</v>
      </c>
      <c r="H13" s="242"/>
      <c r="I13" s="298">
        <f>IF(Rapportages[[#This Row],[Voldoet de oplossing? ja/nee]]="Ja",Rapportages[[#This Row],[Max. te behalen punten]],0)</f>
        <v>0</v>
      </c>
      <c r="J13" s="246"/>
    </row>
    <row r="14" spans="1:10" s="116" customFormat="1" ht="25.5" x14ac:dyDescent="0.25">
      <c r="A14" s="216" t="s">
        <v>504</v>
      </c>
      <c r="B14" s="65" t="s">
        <v>505</v>
      </c>
      <c r="C14" s="8"/>
      <c r="D14" s="9" t="s">
        <v>150</v>
      </c>
      <c r="E14" s="9" t="s">
        <v>200</v>
      </c>
      <c r="F14" s="19" t="s">
        <v>15</v>
      </c>
      <c r="G14" s="167">
        <v>10</v>
      </c>
      <c r="H14" s="242"/>
      <c r="I14" s="298">
        <f>IF(Rapportages[[#This Row],[Voldoet de oplossing? ja/nee]]="Ja",Rapportages[[#This Row],[Max. te behalen punten]],0)</f>
        <v>0</v>
      </c>
      <c r="J14" s="246"/>
    </row>
    <row r="15" spans="1:10" s="116" customFormat="1" ht="25.5" x14ac:dyDescent="0.25">
      <c r="A15" s="216" t="s">
        <v>506</v>
      </c>
      <c r="B15" s="74" t="s">
        <v>507</v>
      </c>
      <c r="C15" s="7" t="s">
        <v>508</v>
      </c>
      <c r="D15" s="9" t="s">
        <v>150</v>
      </c>
      <c r="E15" s="9" t="s">
        <v>200</v>
      </c>
      <c r="F15" s="19" t="s">
        <v>15</v>
      </c>
      <c r="G15" s="167">
        <v>10</v>
      </c>
      <c r="H15" s="242"/>
      <c r="I15" s="298">
        <f>IF(Rapportages[[#This Row],[Voldoet de oplossing? ja/nee]]="Ja",Rapportages[[#This Row],[Max. te behalen punten]],0)</f>
        <v>0</v>
      </c>
      <c r="J15" s="246"/>
    </row>
    <row r="16" spans="1:10" s="116" customFormat="1" ht="76.5" x14ac:dyDescent="0.25">
      <c r="A16" s="216" t="s">
        <v>509</v>
      </c>
      <c r="B16" s="74" t="s">
        <v>510</v>
      </c>
      <c r="C16" s="7" t="s">
        <v>511</v>
      </c>
      <c r="D16" s="9" t="s">
        <v>84</v>
      </c>
      <c r="E16" s="9" t="s">
        <v>15</v>
      </c>
      <c r="F16" s="206" t="s">
        <v>512</v>
      </c>
      <c r="G16" s="207">
        <v>20</v>
      </c>
      <c r="H16" s="19" t="s">
        <v>15</v>
      </c>
      <c r="I16" s="127"/>
      <c r="J16" s="246"/>
    </row>
    <row r="17" spans="2:9" x14ac:dyDescent="0.25">
      <c r="B17" s="179"/>
      <c r="C17" s="121"/>
      <c r="D17" s="142"/>
      <c r="E17" s="142"/>
      <c r="F17" s="9" t="s">
        <v>35</v>
      </c>
      <c r="G17" s="299">
        <f>SUM(Rapportages[Max. te behalen punten])</f>
        <v>115</v>
      </c>
      <c r="H17" s="9" t="s">
        <v>36</v>
      </c>
      <c r="I17" s="298">
        <f>SUM(Rapportages[Score])</f>
        <v>0</v>
      </c>
    </row>
    <row r="18" spans="2:9" x14ac:dyDescent="0.25">
      <c r="B18" s="180"/>
    </row>
    <row r="19" spans="2:9" x14ac:dyDescent="0.25">
      <c r="B19" s="180"/>
    </row>
    <row r="20" spans="2:9" x14ac:dyDescent="0.25">
      <c r="B20" s="180"/>
    </row>
    <row r="21" spans="2:9" x14ac:dyDescent="0.25">
      <c r="B21" s="180"/>
    </row>
    <row r="22" spans="2:9" x14ac:dyDescent="0.25">
      <c r="B22" s="180"/>
    </row>
  </sheetData>
  <sheetProtection algorithmName="SHA-512" hashValue="2I7WW7pttOIDTE5JYHzcRu7TjJhrw8lZZhqjky4s+pG3QGv3YtJAMbTsnW1dmHJNzoSkPxUIbYw11kLwjQKQ1Q==" saltValue="BUr+T18SSianNeGjBB8HGg==" spinCount="100000" sheet="1" objects="1" scenarios="1"/>
  <phoneticPr fontId="7" type="noConversion"/>
  <dataValidations count="1">
    <dataValidation type="list" allowBlank="1" showInputMessage="1" showErrorMessage="1" sqref="H5:H15" xr:uid="{333762E2-4C2D-4445-8B25-DCECC4F191C4}">
      <formula1>"Ja,Nee"</formula1>
    </dataValidation>
  </dataValidations>
  <pageMargins left="0.7" right="0.7" top="0.75" bottom="0.75" header="0.3" footer="0.3"/>
  <pageSetup paperSize="9" orientation="portrait" horizontalDpi="300" verticalDpi="300"/>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BC84E-55E5-4C42-BDD1-87DC98DA2949}">
  <dimension ref="A1:J30"/>
  <sheetViews>
    <sheetView workbookViewId="0">
      <pane ySplit="4" topLeftCell="A5" activePane="bottomLeft" state="frozen"/>
      <selection activeCell="B23" sqref="B23"/>
      <selection pane="bottomLeft" activeCell="J19" sqref="J19"/>
    </sheetView>
  </sheetViews>
  <sheetFormatPr defaultColWidth="9.140625" defaultRowHeight="14.25" x14ac:dyDescent="0.2"/>
  <cols>
    <col min="1" max="1" width="9.140625" style="13"/>
    <col min="2" max="2" width="61.5703125" style="13" customWidth="1"/>
    <col min="3" max="3" width="57.42578125" style="13" customWidth="1"/>
    <col min="4" max="4" width="13.85546875" style="13" customWidth="1"/>
    <col min="5" max="5" width="19.85546875" style="13" customWidth="1"/>
    <col min="6" max="6" width="25.5703125" style="13" customWidth="1"/>
    <col min="7" max="7" width="16.28515625" style="13" customWidth="1"/>
    <col min="8" max="8" width="14.140625" style="13" customWidth="1"/>
    <col min="9" max="9" width="9.85546875" style="13" customWidth="1"/>
    <col min="10" max="10" width="24.85546875" style="13" customWidth="1"/>
    <col min="11" max="16384" width="9.140625" style="13"/>
  </cols>
  <sheetData>
    <row r="1" spans="1:10" ht="27.75" x14ac:dyDescent="0.2">
      <c r="A1" s="31" t="s">
        <v>513</v>
      </c>
      <c r="B1" s="14"/>
      <c r="C1" s="32"/>
      <c r="D1" s="11"/>
      <c r="E1" s="11"/>
      <c r="F1" s="11"/>
      <c r="G1" s="11"/>
      <c r="H1" s="11"/>
    </row>
    <row r="2" spans="1:10" s="24" customFormat="1" ht="38.25" x14ac:dyDescent="0.2">
      <c r="A2" s="23"/>
      <c r="B2" s="12" t="s">
        <v>514</v>
      </c>
      <c r="C2" s="23"/>
      <c r="D2" s="23"/>
      <c r="E2" s="5"/>
      <c r="F2" s="5"/>
      <c r="G2" s="5"/>
      <c r="H2" s="5"/>
    </row>
    <row r="3" spans="1:10" s="24" customFormat="1" ht="12.75" x14ac:dyDescent="0.2">
      <c r="A3" s="23"/>
      <c r="B3" s="14"/>
      <c r="C3" s="23"/>
      <c r="D3" s="23"/>
      <c r="E3" s="5"/>
      <c r="F3" s="5"/>
      <c r="G3" s="5"/>
      <c r="H3" s="5"/>
    </row>
    <row r="4" spans="1:10" s="24" customFormat="1" ht="38.25" x14ac:dyDescent="0.2">
      <c r="A4" s="214" t="s">
        <v>1</v>
      </c>
      <c r="B4" s="16" t="s">
        <v>2</v>
      </c>
      <c r="C4" s="15" t="s">
        <v>3</v>
      </c>
      <c r="D4" s="17" t="s">
        <v>4</v>
      </c>
      <c r="E4" s="17" t="s">
        <v>5</v>
      </c>
      <c r="F4" s="17" t="s">
        <v>6</v>
      </c>
      <c r="G4" s="17" t="s">
        <v>7</v>
      </c>
      <c r="H4" s="17" t="s">
        <v>8</v>
      </c>
      <c r="I4" s="125" t="s">
        <v>9</v>
      </c>
      <c r="J4" s="217" t="s">
        <v>10</v>
      </c>
    </row>
    <row r="5" spans="1:10" s="24" customFormat="1" ht="25.5" x14ac:dyDescent="0.2">
      <c r="A5" s="216" t="s">
        <v>690</v>
      </c>
      <c r="B5" s="37" t="s">
        <v>515</v>
      </c>
      <c r="C5" s="15"/>
      <c r="D5" s="9" t="s">
        <v>13</v>
      </c>
      <c r="E5" s="9" t="s">
        <v>14</v>
      </c>
      <c r="F5" s="19" t="s">
        <v>15</v>
      </c>
      <c r="G5" s="19" t="s">
        <v>15</v>
      </c>
      <c r="H5" s="240"/>
      <c r="I5" s="127" t="s">
        <v>15</v>
      </c>
      <c r="J5" s="229"/>
    </row>
    <row r="6" spans="1:10" s="24" customFormat="1" ht="25.5" x14ac:dyDescent="0.2">
      <c r="A6" s="216" t="s">
        <v>691</v>
      </c>
      <c r="B6" s="65" t="s">
        <v>516</v>
      </c>
      <c r="C6" s="66"/>
      <c r="D6" s="9" t="s">
        <v>13</v>
      </c>
      <c r="E6" s="9" t="s">
        <v>14</v>
      </c>
      <c r="F6" s="19" t="s">
        <v>15</v>
      </c>
      <c r="G6" s="19" t="s">
        <v>15</v>
      </c>
      <c r="H6" s="240"/>
      <c r="I6" s="127" t="s">
        <v>15</v>
      </c>
      <c r="J6" s="230"/>
    </row>
    <row r="7" spans="1:10" s="24" customFormat="1" ht="25.5" x14ac:dyDescent="0.2">
      <c r="A7" s="216" t="s">
        <v>692</v>
      </c>
      <c r="B7" s="65" t="s">
        <v>517</v>
      </c>
      <c r="C7" s="7"/>
      <c r="D7" s="9" t="s">
        <v>13</v>
      </c>
      <c r="E7" s="9" t="s">
        <v>14</v>
      </c>
      <c r="F7" s="19" t="s">
        <v>15</v>
      </c>
      <c r="G7" s="19" t="s">
        <v>15</v>
      </c>
      <c r="H7" s="240"/>
      <c r="I7" s="127" t="s">
        <v>15</v>
      </c>
      <c r="J7" s="230"/>
    </row>
    <row r="8" spans="1:10" s="24" customFormat="1" ht="25.5" x14ac:dyDescent="0.2">
      <c r="A8" s="216" t="s">
        <v>693</v>
      </c>
      <c r="B8" s="65" t="s">
        <v>518</v>
      </c>
      <c r="C8" s="7"/>
      <c r="D8" s="9" t="s">
        <v>13</v>
      </c>
      <c r="E8" s="9" t="s">
        <v>14</v>
      </c>
      <c r="F8" s="19" t="s">
        <v>15</v>
      </c>
      <c r="G8" s="19" t="s">
        <v>15</v>
      </c>
      <c r="H8" s="240"/>
      <c r="I8" s="127" t="s">
        <v>15</v>
      </c>
      <c r="J8" s="230"/>
    </row>
    <row r="9" spans="1:10" s="24" customFormat="1" ht="25.5" x14ac:dyDescent="0.2">
      <c r="A9" s="216" t="s">
        <v>694</v>
      </c>
      <c r="B9" s="7" t="s">
        <v>519</v>
      </c>
      <c r="C9" s="7"/>
      <c r="D9" s="9" t="s">
        <v>13</v>
      </c>
      <c r="E9" s="9" t="s">
        <v>14</v>
      </c>
      <c r="F9" s="19" t="s">
        <v>15</v>
      </c>
      <c r="G9" s="19" t="s">
        <v>15</v>
      </c>
      <c r="H9" s="240"/>
      <c r="I9" s="127" t="s">
        <v>15</v>
      </c>
      <c r="J9" s="230"/>
    </row>
    <row r="10" spans="1:10" s="24" customFormat="1" ht="25.5" x14ac:dyDescent="0.2">
      <c r="A10" s="216" t="s">
        <v>695</v>
      </c>
      <c r="B10" s="47" t="s">
        <v>520</v>
      </c>
      <c r="C10" s="8"/>
      <c r="D10" s="9" t="s">
        <v>13</v>
      </c>
      <c r="E10" s="9" t="s">
        <v>14</v>
      </c>
      <c r="F10" s="19" t="s">
        <v>15</v>
      </c>
      <c r="G10" s="19" t="s">
        <v>15</v>
      </c>
      <c r="H10" s="240"/>
      <c r="I10" s="127" t="s">
        <v>15</v>
      </c>
      <c r="J10" s="230"/>
    </row>
    <row r="11" spans="1:10" s="24" customFormat="1" ht="25.5" x14ac:dyDescent="0.2">
      <c r="A11" s="216" t="s">
        <v>696</v>
      </c>
      <c r="B11" s="8" t="s">
        <v>521</v>
      </c>
      <c r="C11" s="8" t="s">
        <v>522</v>
      </c>
      <c r="D11" s="9" t="s">
        <v>13</v>
      </c>
      <c r="E11" s="9" t="s">
        <v>14</v>
      </c>
      <c r="F11" s="19" t="s">
        <v>15</v>
      </c>
      <c r="G11" s="19" t="s">
        <v>15</v>
      </c>
      <c r="H11" s="240"/>
      <c r="I11" s="127" t="s">
        <v>15</v>
      </c>
      <c r="J11" s="230"/>
    </row>
    <row r="12" spans="1:10" s="24" customFormat="1" ht="25.5" x14ac:dyDescent="0.2">
      <c r="A12" s="216" t="s">
        <v>697</v>
      </c>
      <c r="B12" s="8" t="s">
        <v>523</v>
      </c>
      <c r="C12" s="8" t="s">
        <v>522</v>
      </c>
      <c r="D12" s="9" t="s">
        <v>13</v>
      </c>
      <c r="E12" s="9" t="s">
        <v>14</v>
      </c>
      <c r="F12" s="19" t="s">
        <v>15</v>
      </c>
      <c r="G12" s="19" t="s">
        <v>15</v>
      </c>
      <c r="H12" s="240"/>
      <c r="I12" s="127" t="s">
        <v>15</v>
      </c>
      <c r="J12" s="230"/>
    </row>
    <row r="13" spans="1:10" s="24" customFormat="1" ht="63.75" x14ac:dyDescent="0.2">
      <c r="A13" s="216" t="s">
        <v>698</v>
      </c>
      <c r="B13" s="8" t="s">
        <v>524</v>
      </c>
      <c r="C13" s="7" t="s">
        <v>525</v>
      </c>
      <c r="D13" s="9" t="s">
        <v>13</v>
      </c>
      <c r="E13" s="9" t="s">
        <v>14</v>
      </c>
      <c r="F13" s="19" t="s">
        <v>15</v>
      </c>
      <c r="G13" s="19" t="s">
        <v>15</v>
      </c>
      <c r="H13" s="240"/>
      <c r="I13" s="127" t="s">
        <v>15</v>
      </c>
      <c r="J13" s="230"/>
    </row>
    <row r="14" spans="1:10" s="24" customFormat="1" ht="38.25" x14ac:dyDescent="0.2">
      <c r="A14" s="216" t="s">
        <v>699</v>
      </c>
      <c r="B14" s="8" t="s">
        <v>526</v>
      </c>
      <c r="C14" s="7"/>
      <c r="D14" s="9" t="s">
        <v>150</v>
      </c>
      <c r="E14" s="9" t="s">
        <v>151</v>
      </c>
      <c r="F14" s="19" t="s">
        <v>15</v>
      </c>
      <c r="G14" s="19">
        <v>15</v>
      </c>
      <c r="H14" s="242"/>
      <c r="I14" s="286">
        <f>IF(Documenten[[#This Row],[Voldoet de oplossing? ja/nee]]="Ja",Documenten[[#This Row],[Max. te behalen punten]],0)</f>
        <v>0</v>
      </c>
      <c r="J14" s="230"/>
    </row>
    <row r="15" spans="1:10" s="24" customFormat="1" ht="25.5" x14ac:dyDescent="0.2">
      <c r="A15" s="216" t="s">
        <v>700</v>
      </c>
      <c r="B15" s="8" t="s">
        <v>527</v>
      </c>
      <c r="C15" s="7"/>
      <c r="D15" s="9" t="s">
        <v>150</v>
      </c>
      <c r="E15" s="9" t="s">
        <v>151</v>
      </c>
      <c r="F15" s="19" t="s">
        <v>15</v>
      </c>
      <c r="G15" s="19">
        <v>15</v>
      </c>
      <c r="H15" s="242"/>
      <c r="I15" s="286">
        <f>IF(Documenten[[#This Row],[Voldoet de oplossing? ja/nee]]="Ja",Documenten[[#This Row],[Max. te behalen punten]],0)</f>
        <v>0</v>
      </c>
      <c r="J15" s="230"/>
    </row>
    <row r="16" spans="1:10" s="24" customFormat="1" ht="12.75" x14ac:dyDescent="0.2">
      <c r="A16" s="216" t="s">
        <v>701</v>
      </c>
      <c r="B16" s="7" t="s">
        <v>528</v>
      </c>
      <c r="C16" s="7" t="s">
        <v>529</v>
      </c>
      <c r="D16" s="9" t="s">
        <v>150</v>
      </c>
      <c r="E16" s="9" t="s">
        <v>151</v>
      </c>
      <c r="F16" s="19" t="s">
        <v>15</v>
      </c>
      <c r="G16" s="167">
        <v>15</v>
      </c>
      <c r="H16" s="242"/>
      <c r="I16" s="286">
        <f>IF(Documenten[[#This Row],[Voldoet de oplossing? ja/nee]]="Ja",Documenten[[#This Row],[Max. te behalen punten]],0)</f>
        <v>0</v>
      </c>
      <c r="J16" s="230"/>
    </row>
    <row r="17" spans="1:10" s="24" customFormat="1" ht="38.25" x14ac:dyDescent="0.2">
      <c r="A17" s="216" t="s">
        <v>702</v>
      </c>
      <c r="B17" s="8" t="s">
        <v>530</v>
      </c>
      <c r="C17" s="7"/>
      <c r="D17" s="9" t="s">
        <v>150</v>
      </c>
      <c r="E17" s="9" t="s">
        <v>151</v>
      </c>
      <c r="F17" s="19" t="s">
        <v>15</v>
      </c>
      <c r="G17" s="167">
        <v>15</v>
      </c>
      <c r="H17" s="242"/>
      <c r="I17" s="286">
        <f>IF(Documenten[[#This Row],[Voldoet de oplossing? ja/nee]]="Ja",Documenten[[#This Row],[Max. te behalen punten]],0)</f>
        <v>0</v>
      </c>
      <c r="J17" s="230"/>
    </row>
    <row r="18" spans="1:10" s="24" customFormat="1" ht="25.5" x14ac:dyDescent="0.2">
      <c r="A18" s="216" t="s">
        <v>703</v>
      </c>
      <c r="B18" s="100" t="s">
        <v>531</v>
      </c>
      <c r="C18" s="7"/>
      <c r="D18" s="9" t="s">
        <v>150</v>
      </c>
      <c r="E18" s="9" t="s">
        <v>200</v>
      </c>
      <c r="F18" s="19" t="s">
        <v>15</v>
      </c>
      <c r="G18" s="167">
        <v>10</v>
      </c>
      <c r="H18" s="242"/>
      <c r="I18" s="286">
        <f>IF(Documenten[[#This Row],[Voldoet de oplossing? ja/nee]]="Ja",Documenten[[#This Row],[Max. te behalen punten]],0)</f>
        <v>0</v>
      </c>
      <c r="J18" s="230"/>
    </row>
    <row r="19" spans="1:10" s="24" customFormat="1" ht="255" x14ac:dyDescent="0.2">
      <c r="A19" s="216" t="s">
        <v>704</v>
      </c>
      <c r="B19" s="87" t="s">
        <v>532</v>
      </c>
      <c r="C19" s="7"/>
      <c r="D19" s="9" t="s">
        <v>150</v>
      </c>
      <c r="E19" s="9" t="s">
        <v>200</v>
      </c>
      <c r="F19" s="19" t="s">
        <v>15</v>
      </c>
      <c r="G19" s="167">
        <v>10</v>
      </c>
      <c r="H19" s="242"/>
      <c r="I19" s="286">
        <f>IF(Documenten[[#This Row],[Voldoet de oplossing? ja/nee]]="Ja",Documenten[[#This Row],[Max. te behalen punten]],0)</f>
        <v>0</v>
      </c>
      <c r="J19" s="230"/>
    </row>
    <row r="20" spans="1:10" s="24" customFormat="1" ht="25.5" x14ac:dyDescent="0.2">
      <c r="A20" s="216" t="s">
        <v>705</v>
      </c>
      <c r="B20" s="8" t="s">
        <v>533</v>
      </c>
      <c r="C20" s="7" t="s">
        <v>534</v>
      </c>
      <c r="D20" s="9" t="s">
        <v>84</v>
      </c>
      <c r="E20" s="167" t="s">
        <v>15</v>
      </c>
      <c r="F20" s="26" t="s">
        <v>535</v>
      </c>
      <c r="G20" s="167">
        <v>20</v>
      </c>
      <c r="H20" s="26" t="s">
        <v>15</v>
      </c>
      <c r="I20" s="132"/>
      <c r="J20" s="230"/>
    </row>
    <row r="21" spans="1:10" s="24" customFormat="1" ht="25.5" x14ac:dyDescent="0.2">
      <c r="A21" s="216" t="s">
        <v>706</v>
      </c>
      <c r="B21" s="78" t="s">
        <v>536</v>
      </c>
      <c r="C21" s="68"/>
      <c r="D21" s="26" t="s">
        <v>84</v>
      </c>
      <c r="E21" s="167" t="s">
        <v>15</v>
      </c>
      <c r="F21" s="26" t="s">
        <v>535</v>
      </c>
      <c r="G21" s="167">
        <v>20</v>
      </c>
      <c r="H21" s="26" t="s">
        <v>15</v>
      </c>
      <c r="I21" s="132"/>
      <c r="J21" s="230"/>
    </row>
    <row r="22" spans="1:10" s="24" customFormat="1" ht="51" x14ac:dyDescent="0.2">
      <c r="A22" s="216" t="s">
        <v>707</v>
      </c>
      <c r="B22" s="8" t="s">
        <v>537</v>
      </c>
      <c r="C22" s="7" t="s">
        <v>538</v>
      </c>
      <c r="D22" s="9" t="s">
        <v>84</v>
      </c>
      <c r="E22" s="19" t="s">
        <v>15</v>
      </c>
      <c r="F22" s="160" t="s">
        <v>157</v>
      </c>
      <c r="G22" s="207">
        <v>20</v>
      </c>
      <c r="H22" s="26" t="s">
        <v>15</v>
      </c>
      <c r="I22" s="132"/>
      <c r="J22" s="230"/>
    </row>
    <row r="23" spans="1:10" s="24" customFormat="1" ht="12.75" x14ac:dyDescent="0.2">
      <c r="B23" s="27"/>
      <c r="C23" s="27"/>
      <c r="D23" s="28"/>
      <c r="E23" s="28"/>
      <c r="F23" s="157" t="s">
        <v>35</v>
      </c>
      <c r="G23" s="289">
        <f>SUM(Documenten[Max. te behalen punten])</f>
        <v>140</v>
      </c>
      <c r="H23" s="159" t="s">
        <v>36</v>
      </c>
      <c r="I23" s="294">
        <f>SUM(Documenten[Score])</f>
        <v>0</v>
      </c>
    </row>
    <row r="24" spans="1:10" s="24" customFormat="1" ht="12.75" x14ac:dyDescent="0.2"/>
    <row r="25" spans="1:10" s="24" customFormat="1" ht="12.75" x14ac:dyDescent="0.2"/>
    <row r="26" spans="1:10" s="24" customFormat="1" ht="12.75" x14ac:dyDescent="0.2"/>
    <row r="27" spans="1:10" s="24" customFormat="1" ht="12.75" x14ac:dyDescent="0.2"/>
    <row r="28" spans="1:10" s="24" customFormat="1" ht="12.75" x14ac:dyDescent="0.2"/>
    <row r="29" spans="1:10" s="24" customFormat="1" ht="12.75" x14ac:dyDescent="0.2"/>
    <row r="30" spans="1:10" s="24" customFormat="1" ht="12.75" x14ac:dyDescent="0.2"/>
  </sheetData>
  <sheetProtection algorithmName="SHA-512" hashValue="9N0p8rgTIiF7UfurIBCgkwJOs5gR6y1GDkCByEnGF/zguQ/mR4OgZeGUx+CX2PBgzRUdRtFVh6UTlhlMmyiq9g==" saltValue="Yi05zRtZHNsLwQtGsv4UTA==" spinCount="100000" sheet="1" objects="1" scenarios="1"/>
  <phoneticPr fontId="7" type="noConversion"/>
  <dataValidations count="1">
    <dataValidation type="list" allowBlank="1" showInputMessage="1" showErrorMessage="1" sqref="H5:H19" xr:uid="{9E8DD44B-496F-4FD9-BB15-3D1042243ED4}">
      <formula1>"Ja,Nee"</formula1>
    </dataValidation>
  </dataValidations>
  <pageMargins left="0.7" right="0.7" top="0.75" bottom="0.75" header="0.3" footer="0.3"/>
  <pageSetup paperSize="9" orientation="portrait" horizontalDpi="300" verticalDpi="300"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3E0A8-5BA4-4E71-9F6B-5FB1419833F7}">
  <dimension ref="A1:J16"/>
  <sheetViews>
    <sheetView workbookViewId="0">
      <selection activeCell="B23" sqref="B23"/>
    </sheetView>
  </sheetViews>
  <sheetFormatPr defaultRowHeight="15" x14ac:dyDescent="0.25"/>
  <cols>
    <col min="2" max="2" width="67.85546875" customWidth="1"/>
    <col min="3" max="3" width="59.85546875" customWidth="1"/>
    <col min="4" max="4" width="11" customWidth="1"/>
    <col min="5" max="5" width="18.140625" customWidth="1"/>
    <col min="6" max="6" width="24.7109375" customWidth="1"/>
    <col min="7" max="7" width="11.42578125" customWidth="1"/>
    <col min="8" max="8" width="13.7109375" customWidth="1"/>
    <col min="9" max="9" width="10.85546875" customWidth="1"/>
    <col min="10" max="10" width="26.7109375" customWidth="1"/>
  </cols>
  <sheetData>
    <row r="1" spans="1:10" ht="28.5" x14ac:dyDescent="0.25">
      <c r="A1" s="1" t="s">
        <v>539</v>
      </c>
      <c r="B1" s="2"/>
      <c r="C1" s="3"/>
      <c r="D1" s="4"/>
      <c r="E1" s="4"/>
      <c r="F1" s="4"/>
      <c r="G1" s="4"/>
      <c r="H1" s="4"/>
    </row>
    <row r="2" spans="1:10" s="24" customFormat="1" ht="12.75" x14ac:dyDescent="0.2">
      <c r="A2" s="23"/>
      <c r="B2" s="14"/>
      <c r="C2" s="23"/>
      <c r="D2" s="23"/>
      <c r="E2" s="5"/>
      <c r="F2" s="5"/>
      <c r="G2" s="5"/>
      <c r="H2" s="5"/>
    </row>
    <row r="3" spans="1:10" s="24" customFormat="1" ht="12.75" x14ac:dyDescent="0.2">
      <c r="A3" s="23"/>
      <c r="B3" s="14"/>
      <c r="C3" s="23"/>
      <c r="D3" s="23"/>
      <c r="E3" s="5"/>
      <c r="F3" s="5"/>
      <c r="G3" s="5"/>
      <c r="H3" s="5"/>
    </row>
    <row r="4" spans="1:10" s="24" customFormat="1" ht="38.25" x14ac:dyDescent="0.2">
      <c r="A4" s="15" t="s">
        <v>1</v>
      </c>
      <c r="B4" s="16" t="s">
        <v>2</v>
      </c>
      <c r="C4" s="15" t="s">
        <v>3</v>
      </c>
      <c r="D4" s="17" t="s">
        <v>4</v>
      </c>
      <c r="E4" s="17" t="s">
        <v>5</v>
      </c>
      <c r="F4" s="17" t="s">
        <v>6</v>
      </c>
      <c r="G4" s="17" t="s">
        <v>7</v>
      </c>
      <c r="H4" s="17" t="s">
        <v>8</v>
      </c>
      <c r="I4" s="125" t="s">
        <v>9</v>
      </c>
      <c r="J4" s="217" t="s">
        <v>10</v>
      </c>
    </row>
    <row r="5" spans="1:10" s="24" customFormat="1" ht="38.25" x14ac:dyDescent="0.2">
      <c r="A5" s="6" t="s">
        <v>540</v>
      </c>
      <c r="B5" s="8" t="s">
        <v>541</v>
      </c>
      <c r="C5" s="8"/>
      <c r="D5" s="9" t="s">
        <v>13</v>
      </c>
      <c r="E5" s="9" t="s">
        <v>14</v>
      </c>
      <c r="F5" s="19" t="s">
        <v>15</v>
      </c>
      <c r="G5" s="19" t="s">
        <v>15</v>
      </c>
      <c r="H5" s="240"/>
      <c r="I5" s="127" t="s">
        <v>15</v>
      </c>
      <c r="J5" s="229"/>
    </row>
    <row r="6" spans="1:10" s="24" customFormat="1" ht="12.75" x14ac:dyDescent="0.2">
      <c r="A6" s="6" t="s">
        <v>542</v>
      </c>
      <c r="B6" s="8" t="s">
        <v>543</v>
      </c>
      <c r="C6" s="8"/>
      <c r="D6" s="9" t="s">
        <v>13</v>
      </c>
      <c r="E6" s="9" t="s">
        <v>14</v>
      </c>
      <c r="F6" s="19" t="s">
        <v>15</v>
      </c>
      <c r="G6" s="19" t="s">
        <v>15</v>
      </c>
      <c r="H6" s="240"/>
      <c r="I6" s="127" t="s">
        <v>15</v>
      </c>
      <c r="J6" s="230"/>
    </row>
    <row r="7" spans="1:10" s="24" customFormat="1" ht="25.5" x14ac:dyDescent="0.2">
      <c r="A7" s="6" t="s">
        <v>544</v>
      </c>
      <c r="B7" s="8" t="s">
        <v>545</v>
      </c>
      <c r="C7" s="8"/>
      <c r="D7" s="9" t="s">
        <v>13</v>
      </c>
      <c r="E7" s="9" t="s">
        <v>14</v>
      </c>
      <c r="F7" s="19" t="s">
        <v>15</v>
      </c>
      <c r="G7" s="19" t="s">
        <v>15</v>
      </c>
      <c r="H7" s="240"/>
      <c r="I7" s="127" t="s">
        <v>15</v>
      </c>
      <c r="J7" s="230"/>
    </row>
    <row r="8" spans="1:10" s="24" customFormat="1" ht="25.5" x14ac:dyDescent="0.2">
      <c r="A8" s="6" t="s">
        <v>546</v>
      </c>
      <c r="B8" s="8" t="s">
        <v>547</v>
      </c>
      <c r="C8" s="8"/>
      <c r="D8" s="9" t="s">
        <v>13</v>
      </c>
      <c r="E8" s="9" t="s">
        <v>14</v>
      </c>
      <c r="F8" s="19" t="s">
        <v>15</v>
      </c>
      <c r="G8" s="19" t="s">
        <v>15</v>
      </c>
      <c r="H8" s="240"/>
      <c r="I8" s="127" t="s">
        <v>15</v>
      </c>
      <c r="J8" s="230"/>
    </row>
    <row r="9" spans="1:10" s="24" customFormat="1" ht="38.25" x14ac:dyDescent="0.2">
      <c r="A9" s="6" t="s">
        <v>548</v>
      </c>
      <c r="B9" s="78" t="s">
        <v>549</v>
      </c>
      <c r="C9" s="78" t="s">
        <v>550</v>
      </c>
      <c r="D9" s="9" t="s">
        <v>13</v>
      </c>
      <c r="E9" s="9" t="s">
        <v>14</v>
      </c>
      <c r="F9" s="19" t="s">
        <v>15</v>
      </c>
      <c r="G9" s="80" t="s">
        <v>15</v>
      </c>
      <c r="H9" s="240"/>
      <c r="I9" s="126" t="s">
        <v>15</v>
      </c>
      <c r="J9" s="230"/>
    </row>
    <row r="10" spans="1:10" s="24" customFormat="1" ht="25.5" x14ac:dyDescent="0.2">
      <c r="A10" s="6" t="s">
        <v>551</v>
      </c>
      <c r="B10" s="8" t="s">
        <v>553</v>
      </c>
      <c r="C10" s="8" t="s">
        <v>554</v>
      </c>
      <c r="D10" s="9" t="s">
        <v>150</v>
      </c>
      <c r="E10" s="9" t="s">
        <v>203</v>
      </c>
      <c r="F10" s="19" t="s">
        <v>15</v>
      </c>
      <c r="G10" s="19">
        <v>5</v>
      </c>
      <c r="H10" s="242"/>
      <c r="I10" s="300">
        <f>IF(Functioneel_beheer[[#This Row],[Voldoet de oplossing? ja/nee]]="Ja",Functioneel_beheer[[#This Row],[Max. te behalen punten]],0)</f>
        <v>0</v>
      </c>
      <c r="J10" s="230"/>
    </row>
    <row r="11" spans="1:10" s="24" customFormat="1" ht="25.5" x14ac:dyDescent="0.2">
      <c r="A11" s="6" t="s">
        <v>552</v>
      </c>
      <c r="B11" s="8" t="s">
        <v>556</v>
      </c>
      <c r="C11" s="8" t="s">
        <v>557</v>
      </c>
      <c r="D11" s="9" t="s">
        <v>150</v>
      </c>
      <c r="E11" s="9" t="s">
        <v>151</v>
      </c>
      <c r="F11" s="19" t="s">
        <v>15</v>
      </c>
      <c r="G11" s="19">
        <v>15</v>
      </c>
      <c r="H11" s="242"/>
      <c r="I11" s="300">
        <f>IF(Functioneel_beheer[[#This Row],[Voldoet de oplossing? ja/nee]]="Ja",Functioneel_beheer[[#This Row],[Max. te behalen punten]],0)</f>
        <v>0</v>
      </c>
      <c r="J11" s="230"/>
    </row>
    <row r="12" spans="1:10" s="24" customFormat="1" ht="76.5" x14ac:dyDescent="0.2">
      <c r="A12" s="6" t="s">
        <v>555</v>
      </c>
      <c r="B12" s="97" t="s">
        <v>559</v>
      </c>
      <c r="C12" s="94" t="s">
        <v>560</v>
      </c>
      <c r="D12" s="91" t="s">
        <v>150</v>
      </c>
      <c r="E12" s="9" t="s">
        <v>151</v>
      </c>
      <c r="F12" s="172" t="s">
        <v>15</v>
      </c>
      <c r="G12" s="172">
        <v>15</v>
      </c>
      <c r="H12" s="241"/>
      <c r="I12" s="300">
        <f>IF(Functioneel_beheer[[#This Row],[Voldoet de oplossing? ja/nee]]="Ja",Functioneel_beheer[[#This Row],[Max. te behalen punten]],0)</f>
        <v>0</v>
      </c>
      <c r="J12" s="237"/>
    </row>
    <row r="13" spans="1:10" s="24" customFormat="1" ht="63.75" x14ac:dyDescent="0.2">
      <c r="A13" s="6" t="s">
        <v>558</v>
      </c>
      <c r="B13" s="8" t="s">
        <v>562</v>
      </c>
      <c r="C13" s="8" t="s">
        <v>563</v>
      </c>
      <c r="D13" s="26" t="s">
        <v>84</v>
      </c>
      <c r="E13" s="167" t="s">
        <v>15</v>
      </c>
      <c r="F13" s="34" t="s">
        <v>157</v>
      </c>
      <c r="G13" s="19">
        <v>20</v>
      </c>
      <c r="H13" s="19" t="s">
        <v>15</v>
      </c>
      <c r="I13" s="127"/>
      <c r="J13" s="230"/>
    </row>
    <row r="14" spans="1:10" s="24" customFormat="1" ht="38.25" x14ac:dyDescent="0.2">
      <c r="A14" s="6" t="s">
        <v>561</v>
      </c>
      <c r="B14" s="8" t="s">
        <v>564</v>
      </c>
      <c r="C14" s="8" t="s">
        <v>565</v>
      </c>
      <c r="D14" s="26" t="s">
        <v>84</v>
      </c>
      <c r="E14" s="19" t="s">
        <v>15</v>
      </c>
      <c r="F14" s="162" t="s">
        <v>85</v>
      </c>
      <c r="G14" s="53">
        <v>20</v>
      </c>
      <c r="H14" s="19" t="s">
        <v>15</v>
      </c>
      <c r="I14" s="127"/>
      <c r="J14" s="230"/>
    </row>
    <row r="15" spans="1:10" s="24" customFormat="1" ht="12.75" x14ac:dyDescent="0.2">
      <c r="B15" s="27"/>
      <c r="C15" s="27"/>
      <c r="D15" s="28"/>
      <c r="E15" s="28"/>
      <c r="F15" s="157" t="s">
        <v>35</v>
      </c>
      <c r="G15" s="289">
        <f>SUM(Functioneel_beheer[Max. te behalen punten])</f>
        <v>75</v>
      </c>
      <c r="H15" s="158" t="s">
        <v>36</v>
      </c>
      <c r="I15" s="301">
        <f>SUM(Functioneel_beheer[Score])</f>
        <v>0</v>
      </c>
      <c r="J15" s="244"/>
    </row>
    <row r="16" spans="1:10" s="24" customFormat="1" ht="12.75" x14ac:dyDescent="0.2">
      <c r="A16" s="309" t="s">
        <v>566</v>
      </c>
      <c r="B16" s="309"/>
      <c r="C16" s="309"/>
      <c r="D16" s="309"/>
      <c r="E16" s="309"/>
      <c r="F16" s="309"/>
      <c r="G16" s="204">
        <v>50</v>
      </c>
      <c r="H16" s="193"/>
      <c r="I16" s="197"/>
    </row>
  </sheetData>
  <sheetProtection algorithmName="SHA-512" hashValue="Q18CILkKNO1n+Fx69xxknkaMxRcoCm3WJdxusMBxQH/yoyxw0HocBRsfe2qdIXcFRvgg8rKsD5Hs2jfkcu8vSA==" saltValue="da9v5yzRwM5Mle6IHcVhXw==" spinCount="100000" sheet="1" objects="1" scenarios="1"/>
  <mergeCells count="1">
    <mergeCell ref="A16:F16"/>
  </mergeCells>
  <phoneticPr fontId="7" type="noConversion"/>
  <dataValidations count="1">
    <dataValidation type="list" allowBlank="1" showInputMessage="1" showErrorMessage="1" sqref="H16 H5:H12" xr:uid="{0E085CCD-9F0B-4E8C-94DB-852F1DFA58CC}">
      <formula1>"Ja,Nee"</formula1>
    </dataValidation>
  </dataValidations>
  <pageMargins left="0.7" right="0.7" top="0.75" bottom="0.75" header="0.3" footer="0.3"/>
  <pageSetup paperSize="8" fitToWidth="0" fitToHeight="0" orientation="landscape" horizontalDpi="300" verticalDpi="300"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F2CAE-8318-4458-8D3E-89551C3D7CBD}">
  <sheetPr>
    <pageSetUpPr fitToPage="1"/>
  </sheetPr>
  <dimension ref="A1:K24"/>
  <sheetViews>
    <sheetView zoomScaleNormal="100" workbookViewId="0">
      <pane ySplit="4" topLeftCell="A5" activePane="bottomLeft" state="frozen"/>
      <selection activeCell="B23" sqref="B23"/>
      <selection pane="bottomLeft" activeCell="B23" sqref="B23"/>
    </sheetView>
  </sheetViews>
  <sheetFormatPr defaultColWidth="9.140625" defaultRowHeight="14.25" x14ac:dyDescent="0.2"/>
  <cols>
    <col min="1" max="1" width="9.140625" style="13"/>
    <col min="2" max="2" width="60.7109375" style="13" customWidth="1"/>
    <col min="3" max="3" width="55.140625" style="13" customWidth="1"/>
    <col min="4" max="4" width="10.42578125" style="13" customWidth="1"/>
    <col min="5" max="5" width="18.28515625" style="13" customWidth="1"/>
    <col min="6" max="6" width="24" style="13" customWidth="1"/>
    <col min="7" max="7" width="11.85546875" style="13" customWidth="1"/>
    <col min="8" max="8" width="21.5703125" style="13" customWidth="1"/>
    <col min="9" max="9" width="12.28515625" style="13" customWidth="1"/>
    <col min="10" max="10" width="26.85546875" style="13" customWidth="1"/>
    <col min="11" max="16384" width="9.140625" style="13"/>
  </cols>
  <sheetData>
    <row r="1" spans="1:11" ht="27.75" x14ac:dyDescent="0.2">
      <c r="A1" s="31" t="s">
        <v>567</v>
      </c>
      <c r="B1" s="14"/>
      <c r="C1" s="32"/>
      <c r="D1" s="11"/>
      <c r="E1" s="11"/>
      <c r="F1" s="11"/>
      <c r="G1" s="11"/>
      <c r="H1" s="11"/>
    </row>
    <row r="2" spans="1:11" s="24" customFormat="1" ht="63.75" customHeight="1" x14ac:dyDescent="0.2">
      <c r="A2" s="23"/>
      <c r="B2" s="311" t="s">
        <v>568</v>
      </c>
      <c r="C2" s="312"/>
      <c r="D2" s="23"/>
      <c r="E2" s="5"/>
      <c r="F2" s="5"/>
      <c r="G2" s="5"/>
      <c r="H2" s="5"/>
    </row>
    <row r="3" spans="1:11" s="24" customFormat="1" ht="12.75" x14ac:dyDescent="0.2">
      <c r="A3" s="23"/>
      <c r="B3" s="14"/>
      <c r="C3" s="23"/>
      <c r="D3" s="23"/>
      <c r="E3" s="5"/>
      <c r="F3" s="5"/>
      <c r="G3" s="5"/>
      <c r="H3" s="5"/>
    </row>
    <row r="4" spans="1:11" s="27" customFormat="1" ht="38.25" x14ac:dyDescent="0.2">
      <c r="A4" s="282" t="s">
        <v>1</v>
      </c>
      <c r="B4" s="16" t="s">
        <v>2</v>
      </c>
      <c r="C4" s="16" t="s">
        <v>3</v>
      </c>
      <c r="D4" s="17" t="s">
        <v>4</v>
      </c>
      <c r="E4" s="17" t="s">
        <v>5</v>
      </c>
      <c r="F4" s="17" t="s">
        <v>6</v>
      </c>
      <c r="G4" s="17" t="s">
        <v>7</v>
      </c>
      <c r="H4" s="17" t="s">
        <v>8</v>
      </c>
      <c r="I4" s="125" t="s">
        <v>9</v>
      </c>
      <c r="J4" s="217" t="s">
        <v>10</v>
      </c>
    </row>
    <row r="5" spans="1:11" s="24" customFormat="1" ht="63.75" x14ac:dyDescent="0.2">
      <c r="A5" s="216" t="s">
        <v>569</v>
      </c>
      <c r="B5" s="8" t="s">
        <v>717</v>
      </c>
      <c r="C5" s="8" t="s">
        <v>721</v>
      </c>
      <c r="D5" s="10" t="s">
        <v>13</v>
      </c>
      <c r="E5" s="10" t="s">
        <v>14</v>
      </c>
      <c r="F5" s="34" t="s">
        <v>15</v>
      </c>
      <c r="G5" s="34" t="s">
        <v>15</v>
      </c>
      <c r="H5" s="238"/>
      <c r="I5" s="133" t="s">
        <v>15</v>
      </c>
      <c r="J5" s="231"/>
    </row>
    <row r="6" spans="1:11" s="24" customFormat="1" ht="67.5" customHeight="1" x14ac:dyDescent="0.2">
      <c r="A6" s="224" t="s">
        <v>570</v>
      </c>
      <c r="B6" s="81" t="s">
        <v>716</v>
      </c>
      <c r="C6" s="25" t="s">
        <v>722</v>
      </c>
      <c r="D6" s="36" t="s">
        <v>13</v>
      </c>
      <c r="E6" s="36" t="s">
        <v>14</v>
      </c>
      <c r="F6" s="34" t="s">
        <v>15</v>
      </c>
      <c r="G6" s="34" t="s">
        <v>15</v>
      </c>
      <c r="H6" s="238"/>
      <c r="I6" s="133" t="s">
        <v>15</v>
      </c>
      <c r="J6" s="232"/>
      <c r="K6" s="35"/>
    </row>
    <row r="7" spans="1:11" s="24" customFormat="1" ht="38.25" x14ac:dyDescent="0.2">
      <c r="A7" s="216" t="s">
        <v>571</v>
      </c>
      <c r="B7" s="81" t="s">
        <v>718</v>
      </c>
      <c r="C7" s="25"/>
      <c r="D7" s="36" t="s">
        <v>13</v>
      </c>
      <c r="E7" s="36" t="s">
        <v>14</v>
      </c>
      <c r="F7" s="34" t="s">
        <v>15</v>
      </c>
      <c r="G7" s="34" t="s">
        <v>15</v>
      </c>
      <c r="H7" s="238"/>
      <c r="I7" s="133" t="s">
        <v>15</v>
      </c>
      <c r="J7" s="232"/>
    </row>
    <row r="8" spans="1:11" s="24" customFormat="1" ht="38.25" x14ac:dyDescent="0.2">
      <c r="A8" s="224" t="s">
        <v>572</v>
      </c>
      <c r="B8" s="78" t="s">
        <v>719</v>
      </c>
      <c r="C8" s="25" t="s">
        <v>721</v>
      </c>
      <c r="D8" s="36" t="s">
        <v>13</v>
      </c>
      <c r="E8" s="36" t="s">
        <v>14</v>
      </c>
      <c r="F8" s="34" t="s">
        <v>15</v>
      </c>
      <c r="G8" s="34" t="s">
        <v>15</v>
      </c>
      <c r="H8" s="238"/>
      <c r="I8" s="133" t="s">
        <v>15</v>
      </c>
      <c r="J8" s="232"/>
    </row>
    <row r="9" spans="1:11" s="24" customFormat="1" ht="12.75" x14ac:dyDescent="0.2">
      <c r="A9" s="216" t="s">
        <v>573</v>
      </c>
      <c r="B9" s="81" t="s">
        <v>574</v>
      </c>
      <c r="C9" s="25"/>
      <c r="D9" s="36" t="s">
        <v>13</v>
      </c>
      <c r="E9" s="36" t="s">
        <v>14</v>
      </c>
      <c r="F9" s="34" t="s">
        <v>15</v>
      </c>
      <c r="G9" s="34" t="s">
        <v>15</v>
      </c>
      <c r="H9" s="238"/>
      <c r="I9" s="133" t="s">
        <v>15</v>
      </c>
      <c r="J9" s="232"/>
    </row>
    <row r="10" spans="1:11" s="24" customFormat="1" ht="51" x14ac:dyDescent="0.2">
      <c r="A10" s="224" t="s">
        <v>575</v>
      </c>
      <c r="B10" s="25" t="s">
        <v>723</v>
      </c>
      <c r="C10" s="81" t="s">
        <v>577</v>
      </c>
      <c r="D10" s="36" t="s">
        <v>13</v>
      </c>
      <c r="E10" s="36" t="s">
        <v>14</v>
      </c>
      <c r="F10" s="34" t="s">
        <v>15</v>
      </c>
      <c r="G10" s="34" t="s">
        <v>15</v>
      </c>
      <c r="H10" s="238"/>
      <c r="I10" s="133" t="s">
        <v>15</v>
      </c>
      <c r="J10" s="232"/>
    </row>
    <row r="11" spans="1:11" s="24" customFormat="1" ht="51" x14ac:dyDescent="0.2">
      <c r="A11" s="216" t="s">
        <v>576</v>
      </c>
      <c r="B11" s="81" t="s">
        <v>720</v>
      </c>
      <c r="C11" s="81" t="s">
        <v>721</v>
      </c>
      <c r="D11" s="36" t="s">
        <v>13</v>
      </c>
      <c r="E11" s="36" t="s">
        <v>14</v>
      </c>
      <c r="F11" s="34" t="s">
        <v>15</v>
      </c>
      <c r="G11" s="34" t="s">
        <v>15</v>
      </c>
      <c r="H11" s="238"/>
      <c r="I11" s="133" t="s">
        <v>15</v>
      </c>
      <c r="J11" s="232"/>
    </row>
    <row r="12" spans="1:11" s="24" customFormat="1" ht="25.5" x14ac:dyDescent="0.2">
      <c r="A12" s="224" t="s">
        <v>578</v>
      </c>
      <c r="B12" s="81" t="s">
        <v>580</v>
      </c>
      <c r="C12" s="25"/>
      <c r="D12" s="36" t="s">
        <v>13</v>
      </c>
      <c r="E12" s="10" t="s">
        <v>14</v>
      </c>
      <c r="F12" s="34" t="s">
        <v>15</v>
      </c>
      <c r="G12" s="34" t="s">
        <v>15</v>
      </c>
      <c r="H12" s="238"/>
      <c r="I12" s="133" t="s">
        <v>15</v>
      </c>
      <c r="J12" s="232"/>
    </row>
    <row r="13" spans="1:11" s="24" customFormat="1" ht="12.75" x14ac:dyDescent="0.2">
      <c r="A13" s="216" t="s">
        <v>579</v>
      </c>
      <c r="B13" s="78" t="s">
        <v>582</v>
      </c>
      <c r="C13" s="25"/>
      <c r="D13" s="36" t="s">
        <v>13</v>
      </c>
      <c r="E13" s="10" t="s">
        <v>14</v>
      </c>
      <c r="F13" s="34" t="s">
        <v>15</v>
      </c>
      <c r="G13" s="34" t="s">
        <v>15</v>
      </c>
      <c r="H13" s="238"/>
      <c r="I13" s="133" t="s">
        <v>15</v>
      </c>
      <c r="J13" s="232"/>
    </row>
    <row r="14" spans="1:11" s="24" customFormat="1" ht="38.25" x14ac:dyDescent="0.2">
      <c r="A14" s="224" t="s">
        <v>581</v>
      </c>
      <c r="B14" s="78" t="s">
        <v>584</v>
      </c>
      <c r="C14" s="25"/>
      <c r="D14" s="36" t="s">
        <v>13</v>
      </c>
      <c r="E14" s="171" t="s">
        <v>14</v>
      </c>
      <c r="F14" s="34" t="s">
        <v>15</v>
      </c>
      <c r="G14" s="34" t="s">
        <v>15</v>
      </c>
      <c r="H14" s="239"/>
      <c r="I14" s="133" t="s">
        <v>15</v>
      </c>
      <c r="J14" s="232"/>
    </row>
    <row r="15" spans="1:11" s="24" customFormat="1" ht="12.75" x14ac:dyDescent="0.2">
      <c r="A15" s="216" t="s">
        <v>583</v>
      </c>
      <c r="B15" s="78" t="s">
        <v>586</v>
      </c>
      <c r="C15" s="25"/>
      <c r="D15" s="36" t="s">
        <v>13</v>
      </c>
      <c r="E15" s="171" t="s">
        <v>14</v>
      </c>
      <c r="F15" s="34" t="s">
        <v>15</v>
      </c>
      <c r="G15" s="34" t="s">
        <v>15</v>
      </c>
      <c r="H15" s="239"/>
      <c r="I15" s="133" t="s">
        <v>15</v>
      </c>
      <c r="J15" s="232"/>
    </row>
    <row r="16" spans="1:11" s="24" customFormat="1" ht="12.75" x14ac:dyDescent="0.2">
      <c r="A16" s="224" t="s">
        <v>585</v>
      </c>
      <c r="B16" s="25" t="s">
        <v>588</v>
      </c>
      <c r="C16" s="25"/>
      <c r="D16" s="36" t="s">
        <v>13</v>
      </c>
      <c r="E16" s="171" t="s">
        <v>14</v>
      </c>
      <c r="F16" s="145" t="s">
        <v>15</v>
      </c>
      <c r="G16" s="145" t="s">
        <v>15</v>
      </c>
      <c r="H16" s="240"/>
      <c r="I16" s="133" t="s">
        <v>15</v>
      </c>
      <c r="J16" s="232"/>
    </row>
    <row r="17" spans="1:10" s="24" customFormat="1" ht="51" x14ac:dyDescent="0.2">
      <c r="A17" s="216" t="s">
        <v>587</v>
      </c>
      <c r="B17" s="175" t="s">
        <v>590</v>
      </c>
      <c r="C17" s="76" t="s">
        <v>591</v>
      </c>
      <c r="D17" s="85" t="s">
        <v>150</v>
      </c>
      <c r="E17" s="171" t="s">
        <v>151</v>
      </c>
      <c r="F17" s="80" t="s">
        <v>15</v>
      </c>
      <c r="G17" s="80">
        <v>15</v>
      </c>
      <c r="H17" s="241"/>
      <c r="I17" s="303">
        <f>IF(Koppelingen[[#This Row],[Voldoet de oplossing? ja/nee]]="Ja",Koppelingen[[#This Row],[Max. te behalen punten]],0)</f>
        <v>0</v>
      </c>
      <c r="J17" s="243"/>
    </row>
    <row r="18" spans="1:10" s="24" customFormat="1" ht="25.5" x14ac:dyDescent="0.2">
      <c r="A18" s="224" t="s">
        <v>589</v>
      </c>
      <c r="B18" s="78" t="s">
        <v>593</v>
      </c>
      <c r="C18" s="78" t="s">
        <v>594</v>
      </c>
      <c r="D18" s="9" t="s">
        <v>150</v>
      </c>
      <c r="E18" s="171" t="s">
        <v>203</v>
      </c>
      <c r="F18" s="19" t="s">
        <v>15</v>
      </c>
      <c r="G18" s="19">
        <v>5</v>
      </c>
      <c r="H18" s="242"/>
      <c r="I18" s="303">
        <f>IF(Koppelingen[[#This Row],[Voldoet de oplossing? ja/nee]]="Ja",Koppelingen[[#This Row],[Max. te behalen punten]],0)</f>
        <v>0</v>
      </c>
      <c r="J18" s="232"/>
    </row>
    <row r="19" spans="1:10" s="24" customFormat="1" ht="25.5" x14ac:dyDescent="0.2">
      <c r="A19" s="216" t="s">
        <v>592</v>
      </c>
      <c r="B19" s="81" t="s">
        <v>596</v>
      </c>
      <c r="C19" s="25"/>
      <c r="D19" s="9" t="s">
        <v>150</v>
      </c>
      <c r="E19" s="171" t="s">
        <v>151</v>
      </c>
      <c r="F19" s="19" t="s">
        <v>15</v>
      </c>
      <c r="G19" s="19">
        <v>15</v>
      </c>
      <c r="H19" s="242"/>
      <c r="I19" s="303">
        <f>IF(Koppelingen[[#This Row],[Voldoet de oplossing? ja/nee]]="Ja",Koppelingen[[#This Row],[Max. te behalen punten]],0)</f>
        <v>0</v>
      </c>
      <c r="J19" s="232"/>
    </row>
    <row r="20" spans="1:10" s="24" customFormat="1" ht="25.5" x14ac:dyDescent="0.2">
      <c r="A20" s="224" t="s">
        <v>595</v>
      </c>
      <c r="B20" s="81" t="s">
        <v>598</v>
      </c>
      <c r="C20" s="25"/>
      <c r="D20" s="9" t="s">
        <v>150</v>
      </c>
      <c r="E20" s="171" t="s">
        <v>200</v>
      </c>
      <c r="F20" s="19" t="s">
        <v>15</v>
      </c>
      <c r="G20" s="19">
        <v>10</v>
      </c>
      <c r="H20" s="242"/>
      <c r="I20" s="303">
        <f>IF(Koppelingen[[#This Row],[Voldoet de oplossing? ja/nee]]="Ja",Koppelingen[[#This Row],[Max. te behalen punten]],0)</f>
        <v>0</v>
      </c>
      <c r="J20" s="232"/>
    </row>
    <row r="21" spans="1:10" s="24" customFormat="1" ht="25.5" x14ac:dyDescent="0.2">
      <c r="A21" s="216" t="s">
        <v>597</v>
      </c>
      <c r="B21" s="81" t="s">
        <v>600</v>
      </c>
      <c r="C21" s="81" t="s">
        <v>601</v>
      </c>
      <c r="D21" s="9" t="s">
        <v>150</v>
      </c>
      <c r="E21" s="171" t="s">
        <v>203</v>
      </c>
      <c r="F21" s="19" t="s">
        <v>15</v>
      </c>
      <c r="G21" s="19">
        <v>5</v>
      </c>
      <c r="H21" s="242"/>
      <c r="I21" s="303">
        <f>IF(Koppelingen[[#This Row],[Voldoet de oplossing? ja/nee]]="Ja",Koppelingen[[#This Row],[Max. te behalen punten]],0)</f>
        <v>0</v>
      </c>
      <c r="J21" s="232"/>
    </row>
    <row r="22" spans="1:10" s="24" customFormat="1" ht="102" x14ac:dyDescent="0.2">
      <c r="A22" s="224" t="s">
        <v>599</v>
      </c>
      <c r="B22" s="81" t="s">
        <v>602</v>
      </c>
      <c r="C22" s="25" t="s">
        <v>603</v>
      </c>
      <c r="D22" s="36" t="s">
        <v>84</v>
      </c>
      <c r="E22" s="34" t="s">
        <v>15</v>
      </c>
      <c r="F22" s="34" t="s">
        <v>85</v>
      </c>
      <c r="G22" s="53">
        <v>20</v>
      </c>
      <c r="H22" s="36" t="s">
        <v>15</v>
      </c>
      <c r="I22" s="134"/>
      <c r="J22" s="232"/>
    </row>
    <row r="23" spans="1:10" s="24" customFormat="1" ht="12.75" x14ac:dyDescent="0.2">
      <c r="B23" s="27"/>
      <c r="C23" s="27"/>
      <c r="D23" s="28"/>
      <c r="E23" s="28"/>
      <c r="F23" s="19" t="s">
        <v>35</v>
      </c>
      <c r="G23" s="289">
        <f>SUM(Koppelingen[Max. te behalen punten])</f>
        <v>70</v>
      </c>
      <c r="H23" s="158" t="s">
        <v>36</v>
      </c>
      <c r="I23" s="287">
        <f>SUM(Koppelingen[Score])</f>
        <v>0</v>
      </c>
    </row>
    <row r="24" spans="1:10" s="24" customFormat="1" ht="12.75" x14ac:dyDescent="0.2"/>
  </sheetData>
  <sheetProtection algorithmName="SHA-512" hashValue="sjUila5qvl+vN9NyIEUb3oziwv77/iF6QOMs3NTvqr6loqLk2R2v9Yq6VHjpnwUrQym7O1nDxVfvTp2L2h9Cuw==" saltValue="0xtGzg1UZggTpYDk7emsaQ==" spinCount="100000" sheet="1" objects="1" scenarios="1"/>
  <mergeCells count="1">
    <mergeCell ref="B2:C2"/>
  </mergeCells>
  <phoneticPr fontId="7" type="noConversion"/>
  <dataValidations count="1">
    <dataValidation type="list" allowBlank="1" showInputMessage="1" showErrorMessage="1" sqref="H5:H21" xr:uid="{BCA5D6EB-3676-433F-9498-1DBBF975C88C}">
      <formula1>"Ja,Nee"</formula1>
    </dataValidation>
  </dataValidations>
  <pageMargins left="0.7" right="0.7" top="0.75" bottom="0.75" header="0.3" footer="0.3"/>
  <pageSetup paperSize="9" orientation="landscape" horizontalDpi="300" verticalDpi="3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772AB-6797-4374-9BA1-0E1BA3CCDA4B}">
  <dimension ref="A1:J9"/>
  <sheetViews>
    <sheetView workbookViewId="0">
      <selection activeCell="B23" sqref="B23"/>
    </sheetView>
  </sheetViews>
  <sheetFormatPr defaultColWidth="9.140625" defaultRowHeight="14.25" x14ac:dyDescent="0.2"/>
  <cols>
    <col min="1" max="1" width="9.140625" style="13"/>
    <col min="2" max="2" width="64.5703125" style="13" customWidth="1"/>
    <col min="3" max="3" width="44" style="13" customWidth="1"/>
    <col min="4" max="4" width="10.85546875" style="13" customWidth="1"/>
    <col min="5" max="5" width="18" style="13" customWidth="1"/>
    <col min="6" max="6" width="24.140625" style="13" customWidth="1"/>
    <col min="7" max="7" width="16" style="13" customWidth="1"/>
    <col min="8" max="8" width="22" style="13" customWidth="1"/>
    <col min="9" max="9" width="12.28515625" style="13" customWidth="1"/>
    <col min="10" max="10" width="25.140625" style="13" customWidth="1"/>
    <col min="11" max="16384" width="9.140625" style="13"/>
  </cols>
  <sheetData>
    <row r="1" spans="1:10" ht="27.75" x14ac:dyDescent="0.2">
      <c r="A1" s="31" t="s">
        <v>37</v>
      </c>
      <c r="B1" s="14"/>
      <c r="C1" s="32"/>
      <c r="D1" s="11"/>
      <c r="E1" s="11"/>
      <c r="F1" s="11"/>
      <c r="G1" s="11"/>
      <c r="H1" s="11"/>
    </row>
    <row r="2" spans="1:10" s="24" customFormat="1" ht="12.75" x14ac:dyDescent="0.2">
      <c r="A2" s="23"/>
      <c r="B2" s="40"/>
      <c r="C2" s="23"/>
      <c r="D2" s="23"/>
      <c r="E2" s="5"/>
      <c r="F2" s="5"/>
      <c r="G2" s="5"/>
      <c r="H2" s="5"/>
    </row>
    <row r="3" spans="1:10" s="24" customFormat="1" ht="12.75" x14ac:dyDescent="0.2">
      <c r="A3" s="23"/>
      <c r="B3" s="14"/>
      <c r="C3" s="23"/>
      <c r="D3" s="23"/>
      <c r="E3" s="5"/>
      <c r="F3" s="5"/>
      <c r="G3" s="5"/>
      <c r="H3" s="5"/>
    </row>
    <row r="4" spans="1:10" s="27" customFormat="1" ht="25.5" x14ac:dyDescent="0.2">
      <c r="A4" s="72" t="s">
        <v>1</v>
      </c>
      <c r="B4" s="72" t="s">
        <v>2</v>
      </c>
      <c r="C4" s="72" t="s">
        <v>3</v>
      </c>
      <c r="D4" s="102" t="s">
        <v>4</v>
      </c>
      <c r="E4" s="170" t="s">
        <v>5</v>
      </c>
      <c r="F4" s="102" t="s">
        <v>6</v>
      </c>
      <c r="G4" s="102" t="s">
        <v>7</v>
      </c>
      <c r="H4" s="102" t="s">
        <v>8</v>
      </c>
      <c r="I4" s="135" t="s">
        <v>9</v>
      </c>
      <c r="J4" s="217" t="s">
        <v>10</v>
      </c>
    </row>
    <row r="5" spans="1:10" s="24" customFormat="1" ht="25.5" x14ac:dyDescent="0.2">
      <c r="A5" s="46" t="s">
        <v>38</v>
      </c>
      <c r="B5" s="47" t="s">
        <v>727</v>
      </c>
      <c r="C5" s="69"/>
      <c r="D5" s="77" t="s">
        <v>13</v>
      </c>
      <c r="E5" s="9" t="s">
        <v>14</v>
      </c>
      <c r="F5" s="177" t="s">
        <v>15</v>
      </c>
      <c r="G5" s="177" t="s">
        <v>15</v>
      </c>
      <c r="H5" s="183"/>
      <c r="I5" s="177" t="s">
        <v>15</v>
      </c>
      <c r="J5" s="229"/>
    </row>
    <row r="6" spans="1:10" s="24" customFormat="1" ht="38.25" x14ac:dyDescent="0.2">
      <c r="A6" s="46" t="s">
        <v>39</v>
      </c>
      <c r="B6" s="139" t="s">
        <v>40</v>
      </c>
      <c r="C6" s="178"/>
      <c r="D6" s="176" t="s">
        <v>13</v>
      </c>
      <c r="E6" s="9" t="s">
        <v>14</v>
      </c>
      <c r="F6" s="177" t="s">
        <v>15</v>
      </c>
      <c r="G6" s="177" t="s">
        <v>15</v>
      </c>
      <c r="H6" s="183"/>
      <c r="I6" s="177" t="s">
        <v>15</v>
      </c>
      <c r="J6" s="230"/>
    </row>
    <row r="7" spans="1:10" s="24" customFormat="1" ht="25.5" x14ac:dyDescent="0.2">
      <c r="A7" s="46" t="s">
        <v>41</v>
      </c>
      <c r="B7" s="47" t="s">
        <v>42</v>
      </c>
      <c r="C7" s="181"/>
      <c r="D7" s="77" t="s">
        <v>13</v>
      </c>
      <c r="E7" s="9" t="s">
        <v>14</v>
      </c>
      <c r="F7" s="177" t="s">
        <v>15</v>
      </c>
      <c r="G7" s="177" t="s">
        <v>15</v>
      </c>
      <c r="H7" s="183"/>
      <c r="I7" s="177" t="s">
        <v>15</v>
      </c>
      <c r="J7" s="229"/>
    </row>
    <row r="8" spans="1:10" s="24" customFormat="1" ht="25.5" x14ac:dyDescent="0.2">
      <c r="A8" s="46" t="s">
        <v>43</v>
      </c>
      <c r="B8" s="47" t="s">
        <v>44</v>
      </c>
      <c r="C8" s="181"/>
      <c r="D8" s="77" t="s">
        <v>13</v>
      </c>
      <c r="E8" s="9" t="s">
        <v>14</v>
      </c>
      <c r="F8" s="177" t="s">
        <v>15</v>
      </c>
      <c r="G8" s="177" t="s">
        <v>15</v>
      </c>
      <c r="H8" s="183"/>
      <c r="I8" s="177" t="s">
        <v>15</v>
      </c>
      <c r="J8" s="229"/>
    </row>
    <row r="9" spans="1:10" x14ac:dyDescent="0.2">
      <c r="F9" s="157" t="s">
        <v>35</v>
      </c>
      <c r="G9" s="289">
        <f>SUM(G5:G8)</f>
        <v>0</v>
      </c>
      <c r="H9" s="54" t="s">
        <v>36</v>
      </c>
      <c r="I9" s="289">
        <f>SUM(I5:I8)</f>
        <v>0</v>
      </c>
    </row>
  </sheetData>
  <sheetProtection algorithmName="SHA-512" hashValue="MEEhib/cz6OpW2FxsSIsXk3EaM0pJxMnEEgW8NS3M85qC6WXnnjTaN7omFR1fAOoSixTEEMNimcbJJpAblNmSg==" saltValue="RP9WDWodDqdC/x6K9GiUyQ==" spinCount="100000" sheet="1" objects="1" scenarios="1"/>
  <phoneticPr fontId="7" type="noConversion"/>
  <dataValidations count="1">
    <dataValidation type="list" allowBlank="1" showInputMessage="1" showErrorMessage="1" sqref="H5:H8" xr:uid="{F945291B-B013-479B-8483-E09DD810B01B}">
      <formula1>"Ja,Nee"</formula1>
    </dataValidation>
  </dataValidations>
  <pageMargins left="0.7" right="0.7" top="0.75" bottom="0.75" header="0.3" footer="0.3"/>
  <pageSetup paperSize="9" orientation="portrait" horizontalDpi="300" verticalDpi="300" r:id="rId1"/>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D72B8-712C-4B43-B167-F64A4091ABBA}">
  <dimension ref="A1:J12"/>
  <sheetViews>
    <sheetView zoomScale="98" zoomScaleNormal="98" workbookViewId="0">
      <selection activeCell="B23" sqref="B23"/>
    </sheetView>
  </sheetViews>
  <sheetFormatPr defaultColWidth="9.140625" defaultRowHeight="14.25" x14ac:dyDescent="0.2"/>
  <cols>
    <col min="1" max="1" width="9.140625" style="13"/>
    <col min="2" max="2" width="60" style="13" customWidth="1"/>
    <col min="3" max="3" width="55.140625" style="13" customWidth="1"/>
    <col min="4" max="4" width="11.42578125" style="13" customWidth="1"/>
    <col min="5" max="5" width="18.7109375" style="13" customWidth="1"/>
    <col min="6" max="6" width="24.28515625" style="13" customWidth="1"/>
    <col min="7" max="7" width="15.85546875" style="13" customWidth="1"/>
    <col min="8" max="8" width="21.85546875" style="13" customWidth="1"/>
    <col min="9" max="9" width="10.5703125" style="13" customWidth="1"/>
    <col min="10" max="10" width="33.5703125" style="13" customWidth="1"/>
    <col min="11" max="16384" width="9.140625" style="13"/>
  </cols>
  <sheetData>
    <row r="1" spans="1:10" ht="27.75" x14ac:dyDescent="0.2">
      <c r="A1" s="31" t="s">
        <v>604</v>
      </c>
      <c r="B1" s="14"/>
      <c r="C1" s="32"/>
      <c r="D1" s="11"/>
      <c r="E1" s="11"/>
      <c r="F1" s="11"/>
      <c r="G1" s="11"/>
      <c r="H1" s="11"/>
    </row>
    <row r="2" spans="1:10" s="24" customFormat="1" ht="12.75" x14ac:dyDescent="0.2">
      <c r="A2" s="23"/>
      <c r="B2" s="14"/>
      <c r="C2" s="23"/>
      <c r="D2" s="23"/>
      <c r="E2" s="5"/>
      <c r="F2" s="5"/>
      <c r="G2" s="5"/>
      <c r="H2" s="5"/>
    </row>
    <row r="3" spans="1:10" s="24" customFormat="1" ht="12.75" x14ac:dyDescent="0.2">
      <c r="A3" s="23"/>
      <c r="B3" s="14"/>
      <c r="C3" s="23"/>
      <c r="D3" s="23"/>
      <c r="E3" s="5"/>
      <c r="F3" s="5"/>
      <c r="G3" s="5"/>
      <c r="H3" s="5"/>
    </row>
    <row r="4" spans="1:10" s="27" customFormat="1" ht="25.5" x14ac:dyDescent="0.2">
      <c r="A4" s="282" t="s">
        <v>1</v>
      </c>
      <c r="B4" s="16" t="s">
        <v>2</v>
      </c>
      <c r="C4" s="16" t="s">
        <v>3</v>
      </c>
      <c r="D4" s="17" t="s">
        <v>4</v>
      </c>
      <c r="E4" s="17" t="s">
        <v>5</v>
      </c>
      <c r="F4" s="17" t="s">
        <v>6</v>
      </c>
      <c r="G4" s="17" t="s">
        <v>7</v>
      </c>
      <c r="H4" s="17" t="s">
        <v>8</v>
      </c>
      <c r="I4" s="125" t="s">
        <v>9</v>
      </c>
      <c r="J4" s="217" t="s">
        <v>10</v>
      </c>
    </row>
    <row r="5" spans="1:10" s="24" customFormat="1" ht="25.5" x14ac:dyDescent="0.2">
      <c r="A5" s="216" t="s">
        <v>605</v>
      </c>
      <c r="B5" s="65" t="s">
        <v>606</v>
      </c>
      <c r="C5" s="8" t="s">
        <v>607</v>
      </c>
      <c r="D5" s="9" t="s">
        <v>13</v>
      </c>
      <c r="E5" s="9" t="s">
        <v>14</v>
      </c>
      <c r="F5" s="19" t="s">
        <v>15</v>
      </c>
      <c r="G5" s="19" t="s">
        <v>15</v>
      </c>
      <c r="H5" s="183"/>
      <c r="I5" s="127" t="s">
        <v>15</v>
      </c>
      <c r="J5" s="229"/>
    </row>
    <row r="6" spans="1:10" s="24" customFormat="1" ht="38.25" x14ac:dyDescent="0.2">
      <c r="A6" s="216" t="s">
        <v>608</v>
      </c>
      <c r="B6" s="8" t="s">
        <v>609</v>
      </c>
      <c r="C6" s="65"/>
      <c r="D6" s="9" t="s">
        <v>13</v>
      </c>
      <c r="E6" s="9" t="s">
        <v>14</v>
      </c>
      <c r="F6" s="19" t="s">
        <v>15</v>
      </c>
      <c r="G6" s="19" t="s">
        <v>15</v>
      </c>
      <c r="H6" s="183"/>
      <c r="I6" s="127" t="s">
        <v>15</v>
      </c>
      <c r="J6" s="230"/>
    </row>
    <row r="7" spans="1:10" s="24" customFormat="1" ht="25.5" x14ac:dyDescent="0.2">
      <c r="A7" s="216" t="s">
        <v>610</v>
      </c>
      <c r="B7" s="8" t="s">
        <v>611</v>
      </c>
      <c r="C7" s="8"/>
      <c r="D7" s="9" t="s">
        <v>13</v>
      </c>
      <c r="E7" s="9" t="s">
        <v>14</v>
      </c>
      <c r="F7" s="19" t="s">
        <v>15</v>
      </c>
      <c r="G7" s="19" t="s">
        <v>612</v>
      </c>
      <c r="H7" s="183"/>
      <c r="I7" s="127" t="s">
        <v>15</v>
      </c>
      <c r="J7" s="230"/>
    </row>
    <row r="8" spans="1:10" s="24" customFormat="1" ht="222" customHeight="1" x14ac:dyDescent="0.2">
      <c r="A8" s="216" t="s">
        <v>613</v>
      </c>
      <c r="B8" s="25" t="s">
        <v>614</v>
      </c>
      <c r="C8" s="8" t="s">
        <v>615</v>
      </c>
      <c r="D8" s="26" t="s">
        <v>84</v>
      </c>
      <c r="E8" s="19" t="s">
        <v>15</v>
      </c>
      <c r="F8" s="34" t="s">
        <v>616</v>
      </c>
      <c r="G8" s="167">
        <v>40</v>
      </c>
      <c r="H8" s="26" t="s">
        <v>15</v>
      </c>
      <c r="I8" s="132"/>
      <c r="J8" s="230"/>
    </row>
    <row r="9" spans="1:10" x14ac:dyDescent="0.2">
      <c r="B9" s="20"/>
      <c r="C9" s="20"/>
      <c r="D9" s="21"/>
      <c r="E9" s="21"/>
      <c r="F9" s="167" t="s">
        <v>35</v>
      </c>
      <c r="G9" s="298">
        <f>SUM(Conversie[Max. te behalen punten])</f>
        <v>40</v>
      </c>
      <c r="H9" s="167" t="s">
        <v>36</v>
      </c>
      <c r="I9" s="298">
        <f>SUM(Conversie[Score])</f>
        <v>0</v>
      </c>
    </row>
    <row r="12" spans="1:10" x14ac:dyDescent="0.2">
      <c r="B12" s="22"/>
    </row>
  </sheetData>
  <sheetProtection algorithmName="SHA-512" hashValue="bHnfmE16/GzXTZ3E4F6MNQ65qhhvTJoVrzlW9pTqRdwA2F6hcyATj/9v0OXWE62MC61q08buA6CH1smcqVDavQ==" saltValue="iNNBmjfZCPrGFVXStE0NhQ==" spinCount="100000" sheet="1" objects="1" scenarios="1"/>
  <phoneticPr fontId="7" type="noConversion"/>
  <dataValidations count="1">
    <dataValidation type="list" allowBlank="1" showInputMessage="1" showErrorMessage="1" sqref="H5:H7" xr:uid="{BE896586-D00E-4D58-A2A7-35D56F39DF30}">
      <formula1>"Ja,Nee"</formula1>
    </dataValidation>
  </dataValidations>
  <pageMargins left="0.7" right="0.7" top="0.75" bottom="0.75" header="0.3" footer="0.3"/>
  <pageSetup paperSize="9" orientation="portrait" horizontalDpi="300" verticalDpi="300" r:id="rId1"/>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7B828-6FFD-470F-9C6A-0E6E7248C2C1}">
  <dimension ref="A1:J13"/>
  <sheetViews>
    <sheetView workbookViewId="0">
      <selection activeCell="E23" sqref="E23"/>
    </sheetView>
  </sheetViews>
  <sheetFormatPr defaultColWidth="9.140625" defaultRowHeight="14.25" x14ac:dyDescent="0.2"/>
  <cols>
    <col min="1" max="1" width="9.140625" style="13"/>
    <col min="2" max="2" width="64.5703125" style="13" customWidth="1"/>
    <col min="3" max="3" width="53" style="13" customWidth="1"/>
    <col min="4" max="4" width="11.28515625" style="13" customWidth="1"/>
    <col min="5" max="5" width="18" style="13" customWidth="1"/>
    <col min="6" max="6" width="23.85546875" style="13" customWidth="1"/>
    <col min="7" max="7" width="16.28515625" style="13" customWidth="1"/>
    <col min="8" max="8" width="21.7109375" style="13" customWidth="1"/>
    <col min="9" max="9" width="12.28515625" style="13" customWidth="1"/>
    <col min="10" max="10" width="29.42578125" style="13" customWidth="1"/>
    <col min="11" max="16384" width="9.140625" style="13"/>
  </cols>
  <sheetData>
    <row r="1" spans="1:10" ht="27.75" x14ac:dyDescent="0.2">
      <c r="A1" s="31" t="s">
        <v>677</v>
      </c>
      <c r="B1" s="14"/>
      <c r="C1" s="32"/>
      <c r="D1" s="11"/>
      <c r="E1" s="11"/>
      <c r="F1" s="11"/>
      <c r="G1" s="11"/>
      <c r="H1" s="11"/>
    </row>
    <row r="2" spans="1:10" s="24" customFormat="1" ht="51" x14ac:dyDescent="0.2">
      <c r="A2" s="23"/>
      <c r="B2" s="75" t="s">
        <v>661</v>
      </c>
      <c r="C2" s="23"/>
      <c r="D2" s="23"/>
      <c r="E2" s="5"/>
      <c r="F2" s="5"/>
      <c r="G2" s="5"/>
      <c r="H2" s="5"/>
    </row>
    <row r="3" spans="1:10" s="24" customFormat="1" ht="12.75" x14ac:dyDescent="0.2">
      <c r="A3" s="23"/>
      <c r="B3" s="14"/>
      <c r="C3" s="23"/>
      <c r="D3" s="23"/>
      <c r="E3" s="5"/>
      <c r="F3" s="5"/>
      <c r="G3" s="5"/>
      <c r="H3" s="5"/>
    </row>
    <row r="4" spans="1:10" s="27" customFormat="1" ht="25.5" x14ac:dyDescent="0.2">
      <c r="A4" s="282" t="s">
        <v>1</v>
      </c>
      <c r="B4" s="16" t="s">
        <v>2</v>
      </c>
      <c r="C4" s="16" t="s">
        <v>3</v>
      </c>
      <c r="D4" s="17" t="s">
        <v>4</v>
      </c>
      <c r="E4" s="17" t="s">
        <v>5</v>
      </c>
      <c r="F4" s="17" t="s">
        <v>6</v>
      </c>
      <c r="G4" s="17" t="s">
        <v>7</v>
      </c>
      <c r="H4" s="17" t="s">
        <v>8</v>
      </c>
      <c r="I4" s="125" t="s">
        <v>9</v>
      </c>
      <c r="J4" s="125" t="s">
        <v>10</v>
      </c>
    </row>
    <row r="5" spans="1:10" s="24" customFormat="1" ht="25.5" x14ac:dyDescent="0.2">
      <c r="A5" s="216" t="s">
        <v>662</v>
      </c>
      <c r="B5" s="8" t="s">
        <v>663</v>
      </c>
      <c r="C5" s="65" t="s">
        <v>664</v>
      </c>
      <c r="D5" s="9" t="s">
        <v>13</v>
      </c>
      <c r="E5" s="9" t="s">
        <v>14</v>
      </c>
      <c r="F5" s="19" t="s">
        <v>15</v>
      </c>
      <c r="G5" s="19" t="s">
        <v>15</v>
      </c>
      <c r="H5" s="183"/>
      <c r="I5" s="127" t="s">
        <v>15</v>
      </c>
      <c r="J5" s="230"/>
    </row>
    <row r="6" spans="1:10" s="24" customFormat="1" ht="25.5" x14ac:dyDescent="0.2">
      <c r="A6" s="216" t="s">
        <v>665</v>
      </c>
      <c r="B6" s="7" t="s">
        <v>666</v>
      </c>
      <c r="C6" s="74" t="s">
        <v>667</v>
      </c>
      <c r="D6" s="9" t="s">
        <v>13</v>
      </c>
      <c r="E6" s="9" t="s">
        <v>14</v>
      </c>
      <c r="F6" s="19" t="s">
        <v>15</v>
      </c>
      <c r="G6" s="19" t="s">
        <v>15</v>
      </c>
      <c r="H6" s="183"/>
      <c r="I6" s="127" t="s">
        <v>15</v>
      </c>
      <c r="J6" s="230"/>
    </row>
    <row r="7" spans="1:10" s="24" customFormat="1" ht="38.25" x14ac:dyDescent="0.2">
      <c r="A7" s="216" t="s">
        <v>668</v>
      </c>
      <c r="B7" s="7" t="s">
        <v>669</v>
      </c>
      <c r="C7" s="7"/>
      <c r="D7" s="9" t="s">
        <v>13</v>
      </c>
      <c r="E7" s="9" t="s">
        <v>14</v>
      </c>
      <c r="F7" s="19" t="s">
        <v>15</v>
      </c>
      <c r="G7" s="19" t="s">
        <v>15</v>
      </c>
      <c r="H7" s="183"/>
      <c r="I7" s="127" t="s">
        <v>15</v>
      </c>
      <c r="J7" s="230"/>
    </row>
    <row r="8" spans="1:10" s="24" customFormat="1" ht="63.75" x14ac:dyDescent="0.2">
      <c r="A8" s="216" t="s">
        <v>670</v>
      </c>
      <c r="B8" s="7" t="s">
        <v>671</v>
      </c>
      <c r="C8" s="7" t="s">
        <v>672</v>
      </c>
      <c r="D8" s="9" t="s">
        <v>84</v>
      </c>
      <c r="E8" s="9" t="s">
        <v>15</v>
      </c>
      <c r="F8" s="162" t="s">
        <v>85</v>
      </c>
      <c r="G8" s="19">
        <v>10</v>
      </c>
      <c r="H8" s="19" t="s">
        <v>15</v>
      </c>
      <c r="I8" s="127"/>
      <c r="J8" s="237"/>
    </row>
    <row r="9" spans="1:10" s="24" customFormat="1" ht="12.75" x14ac:dyDescent="0.2">
      <c r="B9" s="27"/>
      <c r="C9" s="27"/>
      <c r="D9" s="28"/>
      <c r="E9" s="28"/>
      <c r="F9" s="157" t="s">
        <v>35</v>
      </c>
      <c r="G9" s="289">
        <f>SUM(Implementatie[Max. te behalen punten])</f>
        <v>10</v>
      </c>
      <c r="H9" s="29" t="s">
        <v>36</v>
      </c>
      <c r="I9" s="287">
        <f>SUM(Implementatie[Score])</f>
        <v>0</v>
      </c>
    </row>
    <row r="10" spans="1:10" s="24" customFormat="1" ht="12.75" x14ac:dyDescent="0.2"/>
    <row r="11" spans="1:10" s="24" customFormat="1" ht="12.75" x14ac:dyDescent="0.2"/>
    <row r="12" spans="1:10" s="24" customFormat="1" ht="12.75" x14ac:dyDescent="0.2"/>
    <row r="13" spans="1:10" s="24" customFormat="1" ht="12.75" x14ac:dyDescent="0.2"/>
  </sheetData>
  <sheetProtection algorithmName="SHA-512" hashValue="+gOUiAm/VR86oA0OWRZIiJTrngRCegSclohQjT1iT6vtlgsv8lLVtqiRHFz8nTmwMmpkWyuDA+z8o6cLD7HHcw==" saltValue="ZstOrXhKJoHUeH8/1GVAZA==" spinCount="100000" sheet="1" objects="1" scenarios="1"/>
  <phoneticPr fontId="7" type="noConversion"/>
  <dataValidations count="1">
    <dataValidation type="list" allowBlank="1" showInputMessage="1" showErrorMessage="1" sqref="H5:H7" xr:uid="{1088971B-041F-427B-8812-995C56AB1325}">
      <formula1>"Ja,Nee"</formula1>
    </dataValidation>
  </dataValidations>
  <pageMargins left="0.7" right="0.7" top="0.75" bottom="0.75" header="0.3" footer="0.3"/>
  <pageSetup paperSize="9" orientation="portrait" horizontalDpi="300" verticalDpi="300" r:id="rId1"/>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43BF1-68FE-442C-B1ED-A189E85580CF}">
  <dimension ref="A1:J11"/>
  <sheetViews>
    <sheetView zoomScaleNormal="100" workbookViewId="0">
      <selection activeCell="B23" sqref="B23"/>
    </sheetView>
  </sheetViews>
  <sheetFormatPr defaultColWidth="9.140625" defaultRowHeight="14.25" x14ac:dyDescent="0.2"/>
  <cols>
    <col min="1" max="1" width="9.140625" style="13"/>
    <col min="2" max="2" width="59.5703125" style="13" customWidth="1"/>
    <col min="3" max="3" width="40.5703125" style="13" customWidth="1"/>
    <col min="4" max="4" width="11.28515625" style="13" customWidth="1"/>
    <col min="5" max="5" width="19.140625" style="13" customWidth="1"/>
    <col min="6" max="6" width="24.42578125" style="13" customWidth="1"/>
    <col min="7" max="7" width="16.42578125" style="13" customWidth="1"/>
    <col min="8" max="8" width="21.5703125" style="13" customWidth="1"/>
    <col min="9" max="9" width="10.28515625" style="13" customWidth="1"/>
    <col min="10" max="10" width="24.42578125" style="13" customWidth="1"/>
    <col min="11" max="16384" width="9.140625" style="13"/>
  </cols>
  <sheetData>
    <row r="1" spans="1:10" ht="27.75" x14ac:dyDescent="0.2">
      <c r="A1" s="31" t="s">
        <v>624</v>
      </c>
      <c r="B1" s="14"/>
      <c r="C1" s="32"/>
      <c r="D1" s="11"/>
      <c r="E1" s="11"/>
      <c r="F1" s="11"/>
      <c r="G1" s="11"/>
      <c r="H1" s="11"/>
    </row>
    <row r="2" spans="1:10" s="24" customFormat="1" ht="38.25" x14ac:dyDescent="0.2">
      <c r="A2" s="23"/>
      <c r="B2" s="75" t="s">
        <v>625</v>
      </c>
      <c r="C2" s="23"/>
      <c r="D2" s="23"/>
      <c r="E2" s="5"/>
      <c r="F2" s="5"/>
      <c r="G2" s="5"/>
      <c r="H2" s="5"/>
    </row>
    <row r="3" spans="1:10" s="24" customFormat="1" ht="12.75" x14ac:dyDescent="0.2">
      <c r="A3" s="23"/>
      <c r="B3" s="14"/>
      <c r="C3" s="23"/>
      <c r="D3" s="23"/>
      <c r="E3" s="5"/>
      <c r="F3" s="5"/>
      <c r="G3" s="5"/>
      <c r="H3" s="5"/>
    </row>
    <row r="4" spans="1:10" s="27" customFormat="1" ht="25.5" x14ac:dyDescent="0.2">
      <c r="A4" s="282" t="s">
        <v>1</v>
      </c>
      <c r="B4" s="16" t="s">
        <v>2</v>
      </c>
      <c r="C4" s="16" t="s">
        <v>3</v>
      </c>
      <c r="D4" s="17" t="s">
        <v>4</v>
      </c>
      <c r="E4" s="17" t="s">
        <v>5</v>
      </c>
      <c r="F4" s="17" t="s">
        <v>6</v>
      </c>
      <c r="G4" s="17" t="s">
        <v>7</v>
      </c>
      <c r="H4" s="17" t="s">
        <v>8</v>
      </c>
      <c r="I4" s="125" t="s">
        <v>9</v>
      </c>
      <c r="J4" s="217" t="s">
        <v>10</v>
      </c>
    </row>
    <row r="5" spans="1:10" s="24" customFormat="1" ht="63.75" x14ac:dyDescent="0.2">
      <c r="A5" s="216" t="s">
        <v>626</v>
      </c>
      <c r="B5" s="76" t="s">
        <v>708</v>
      </c>
      <c r="C5" s="8"/>
      <c r="D5" s="9" t="s">
        <v>13</v>
      </c>
      <c r="E5" s="9" t="s">
        <v>14</v>
      </c>
      <c r="F5" s="19" t="s">
        <v>15</v>
      </c>
      <c r="G5" s="19" t="s">
        <v>15</v>
      </c>
      <c r="H5" s="183"/>
      <c r="I5" s="127" t="s">
        <v>15</v>
      </c>
      <c r="J5" s="229"/>
    </row>
    <row r="6" spans="1:10" s="24" customFormat="1" ht="25.5" x14ac:dyDescent="0.2">
      <c r="A6" s="216" t="s">
        <v>627</v>
      </c>
      <c r="B6" s="25" t="s">
        <v>628</v>
      </c>
      <c r="C6" s="8"/>
      <c r="D6" s="9" t="s">
        <v>13</v>
      </c>
      <c r="E6" s="9" t="s">
        <v>14</v>
      </c>
      <c r="F6" s="19" t="s">
        <v>15</v>
      </c>
      <c r="G6" s="19" t="s">
        <v>15</v>
      </c>
      <c r="H6" s="183"/>
      <c r="I6" s="127" t="s">
        <v>15</v>
      </c>
      <c r="J6" s="230"/>
    </row>
    <row r="7" spans="1:10" s="24" customFormat="1" ht="25.5" x14ac:dyDescent="0.2">
      <c r="A7" s="216" t="s">
        <v>629</v>
      </c>
      <c r="B7" s="25" t="s">
        <v>630</v>
      </c>
      <c r="C7" s="25"/>
      <c r="D7" s="9" t="s">
        <v>13</v>
      </c>
      <c r="E7" s="9" t="s">
        <v>14</v>
      </c>
      <c r="F7" s="19" t="s">
        <v>15</v>
      </c>
      <c r="G7" s="19" t="s">
        <v>15</v>
      </c>
      <c r="H7" s="183"/>
      <c r="I7" s="127" t="s">
        <v>15</v>
      </c>
      <c r="J7" s="230"/>
    </row>
    <row r="8" spans="1:10" s="24" customFormat="1" ht="12.75" x14ac:dyDescent="0.2">
      <c r="B8" s="27"/>
      <c r="C8" s="27"/>
      <c r="D8" s="28"/>
      <c r="E8" s="28"/>
      <c r="F8" s="28"/>
      <c r="G8" s="28"/>
      <c r="H8" s="29" t="s">
        <v>36</v>
      </c>
      <c r="I8" s="287">
        <v>0</v>
      </c>
    </row>
    <row r="9" spans="1:10" s="24" customFormat="1" ht="12.75" x14ac:dyDescent="0.2"/>
    <row r="11" spans="1:10" x14ac:dyDescent="0.2">
      <c r="B11" s="22"/>
    </row>
  </sheetData>
  <sheetProtection algorithmName="SHA-512" hashValue="hxmEJrK9Z+Hg+k0F1Od8LG/QMV1AABRG2GiuUuSRHmEC9BP4K5JknwVuDH32dG6PddqA2swi5wpqF5HUIFSviA==" saltValue="kOcoOPQgAYkatcrXdfE+rg==" spinCount="100000" sheet="1" objects="1" scenarios="1"/>
  <dataValidations count="1">
    <dataValidation type="list" allowBlank="1" showInputMessage="1" showErrorMessage="1" sqref="H5:H7" xr:uid="{A7DF4DB3-E543-4492-9948-BF60BC8D4EA2}">
      <formula1>"Ja,Nee"</formula1>
    </dataValidation>
  </dataValidations>
  <pageMargins left="0.7" right="0.7" top="0.75" bottom="0.75" header="0.3" footer="0.3"/>
  <pageSetup paperSize="9" orientation="portrait" horizontalDpi="300" verticalDpi="300" r:id="rId1"/>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98B93-A9A2-42DC-B038-716C900421FB}">
  <dimension ref="A1:J10"/>
  <sheetViews>
    <sheetView workbookViewId="0">
      <selection activeCell="B23" sqref="B23"/>
    </sheetView>
  </sheetViews>
  <sheetFormatPr defaultColWidth="9.140625" defaultRowHeight="14.25" x14ac:dyDescent="0.2"/>
  <cols>
    <col min="1" max="1" width="9.140625" style="13"/>
    <col min="2" max="2" width="58.28515625" style="13" customWidth="1"/>
    <col min="3" max="3" width="64.5703125" style="13" customWidth="1"/>
    <col min="4" max="4" width="11" style="13" customWidth="1"/>
    <col min="5" max="5" width="17.85546875" style="13" customWidth="1"/>
    <col min="6" max="6" width="24" style="13" customWidth="1"/>
    <col min="7" max="7" width="15.85546875" style="13" customWidth="1"/>
    <col min="8" max="8" width="21.28515625" style="13" customWidth="1"/>
    <col min="9" max="9" width="12.28515625" style="13" customWidth="1"/>
    <col min="10" max="10" width="21.7109375" style="13" customWidth="1"/>
    <col min="11" max="16384" width="9.140625" style="13"/>
  </cols>
  <sheetData>
    <row r="1" spans="1:10" ht="27.75" x14ac:dyDescent="0.2">
      <c r="A1" s="31" t="s">
        <v>617</v>
      </c>
      <c r="B1" s="14"/>
      <c r="C1" s="32"/>
      <c r="D1" s="11"/>
      <c r="E1" s="11"/>
      <c r="F1" s="11"/>
      <c r="G1" s="11"/>
      <c r="H1" s="11"/>
    </row>
    <row r="2" spans="1:10" s="24" customFormat="1" ht="12.75" x14ac:dyDescent="0.2">
      <c r="A2" s="23"/>
      <c r="B2" s="40"/>
      <c r="C2" s="23"/>
      <c r="D2" s="23"/>
      <c r="E2" s="5"/>
      <c r="F2" s="5"/>
      <c r="G2" s="5"/>
      <c r="H2" s="5"/>
    </row>
    <row r="3" spans="1:10" s="24" customFormat="1" ht="12.75" x14ac:dyDescent="0.2">
      <c r="A3" s="23"/>
      <c r="B3" s="14"/>
      <c r="C3" s="23"/>
      <c r="D3" s="23"/>
      <c r="E3" s="5"/>
      <c r="F3" s="5"/>
      <c r="G3" s="5"/>
      <c r="H3" s="5"/>
    </row>
    <row r="4" spans="1:10" s="27" customFormat="1" ht="25.5" x14ac:dyDescent="0.2">
      <c r="A4" s="72" t="s">
        <v>1</v>
      </c>
      <c r="B4" s="72" t="s">
        <v>2</v>
      </c>
      <c r="C4" s="72" t="s">
        <v>3</v>
      </c>
      <c r="D4" s="102" t="s">
        <v>4</v>
      </c>
      <c r="E4" s="170" t="s">
        <v>5</v>
      </c>
      <c r="F4" s="102" t="s">
        <v>6</v>
      </c>
      <c r="G4" s="102" t="s">
        <v>7</v>
      </c>
      <c r="H4" s="102" t="s">
        <v>8</v>
      </c>
      <c r="I4" s="135" t="s">
        <v>9</v>
      </c>
      <c r="J4" s="217" t="s">
        <v>10</v>
      </c>
    </row>
    <row r="5" spans="1:10" s="24" customFormat="1" ht="63.75" x14ac:dyDescent="0.2">
      <c r="A5" s="46" t="s">
        <v>618</v>
      </c>
      <c r="B5" s="47" t="s">
        <v>619</v>
      </c>
      <c r="C5" s="69" t="s">
        <v>620</v>
      </c>
      <c r="D5" s="77" t="s">
        <v>84</v>
      </c>
      <c r="E5" s="49" t="s">
        <v>15</v>
      </c>
      <c r="F5" s="177" t="s">
        <v>482</v>
      </c>
      <c r="G5" s="49">
        <v>30</v>
      </c>
      <c r="H5" s="77" t="s">
        <v>15</v>
      </c>
      <c r="I5" s="136"/>
      <c r="J5" s="229"/>
    </row>
    <row r="6" spans="1:10" s="24" customFormat="1" ht="51" x14ac:dyDescent="0.2">
      <c r="A6" s="46" t="s">
        <v>621</v>
      </c>
      <c r="B6" s="139" t="s">
        <v>622</v>
      </c>
      <c r="C6" s="178" t="s">
        <v>623</v>
      </c>
      <c r="D6" s="176" t="s">
        <v>84</v>
      </c>
      <c r="E6" s="49" t="s">
        <v>15</v>
      </c>
      <c r="F6" s="177" t="s">
        <v>482</v>
      </c>
      <c r="G6" s="49">
        <v>30</v>
      </c>
      <c r="H6" s="77" t="s">
        <v>15</v>
      </c>
      <c r="I6" s="136"/>
      <c r="J6" s="230"/>
    </row>
    <row r="7" spans="1:10" s="24" customFormat="1" ht="12.75" x14ac:dyDescent="0.2">
      <c r="B7" s="27"/>
      <c r="C7" s="27"/>
      <c r="D7" s="28"/>
      <c r="E7" s="28"/>
      <c r="F7" s="155" t="s">
        <v>35</v>
      </c>
      <c r="G7" s="302">
        <f>SUM(Roadmap[Max. te behalen punten])</f>
        <v>60</v>
      </c>
      <c r="H7" s="54" t="s">
        <v>36</v>
      </c>
      <c r="I7" s="294">
        <f>SUM(Roadmap[Score])</f>
        <v>0</v>
      </c>
    </row>
    <row r="10" spans="1:10" x14ac:dyDescent="0.2">
      <c r="B10" s="22"/>
    </row>
  </sheetData>
  <sheetProtection algorithmName="SHA-512" hashValue="sHEB0e1dFUacIR1uH9OveNW7uYoF8K6OHWf0qZRko4h29Bt26a70MuMLPYKAVvRsMVOtRu/LukMUN/j5hdrNaQ==" saltValue="NhHItkPTzoBed02/NaKLQg==" spinCount="100000" sheet="1" objects="1" scenarios="1"/>
  <pageMargins left="0.7" right="0.7" top="0.75" bottom="0.75" header="0.3" footer="0.3"/>
  <pageSetup paperSize="9" orientation="portrait" horizontalDpi="300" verticalDpi="300" r:id="rId1"/>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A207E-9B4B-4A23-99E8-F1724E28B030}">
  <dimension ref="A1:J21"/>
  <sheetViews>
    <sheetView workbookViewId="0">
      <pane ySplit="4" topLeftCell="A5" activePane="bottomLeft" state="frozen"/>
      <selection activeCell="B23" sqref="B23"/>
      <selection pane="bottomLeft" activeCell="F12" sqref="F12"/>
    </sheetView>
  </sheetViews>
  <sheetFormatPr defaultColWidth="9.140625" defaultRowHeight="14.25" x14ac:dyDescent="0.2"/>
  <cols>
    <col min="1" max="1" width="9.140625" style="13"/>
    <col min="2" max="2" width="56.42578125" style="13" customWidth="1"/>
    <col min="3" max="3" width="61" style="13" customWidth="1"/>
    <col min="4" max="4" width="10.85546875" style="13" customWidth="1"/>
    <col min="5" max="5" width="18.140625" style="13" customWidth="1"/>
    <col min="6" max="6" width="24" style="13" customWidth="1"/>
    <col min="7" max="7" width="16.5703125" style="13" customWidth="1"/>
    <col min="8" max="8" width="22" style="13" customWidth="1"/>
    <col min="9" max="9" width="12.28515625" style="13" customWidth="1"/>
    <col min="10" max="10" width="27.140625" style="13" customWidth="1"/>
    <col min="11" max="16384" width="9.140625" style="13"/>
  </cols>
  <sheetData>
    <row r="1" spans="1:10" ht="27.75" x14ac:dyDescent="0.2">
      <c r="A1" s="31" t="s">
        <v>631</v>
      </c>
      <c r="B1" s="14"/>
      <c r="C1" s="32"/>
      <c r="D1" s="11"/>
      <c r="E1" s="11"/>
      <c r="F1" s="11"/>
      <c r="G1" s="11"/>
      <c r="H1" s="11"/>
    </row>
    <row r="2" spans="1:10" s="24" customFormat="1" ht="12.75" x14ac:dyDescent="0.2">
      <c r="A2" s="23"/>
      <c r="B2" s="14"/>
      <c r="C2" s="23"/>
      <c r="D2" s="23"/>
      <c r="E2" s="5"/>
      <c r="F2" s="5"/>
      <c r="G2" s="5"/>
      <c r="H2" s="5"/>
    </row>
    <row r="3" spans="1:10" s="24" customFormat="1" ht="12.75" x14ac:dyDescent="0.2">
      <c r="A3" s="23"/>
      <c r="B3" s="14"/>
      <c r="C3" s="23"/>
      <c r="D3" s="23"/>
      <c r="E3" s="5"/>
      <c r="F3" s="5"/>
      <c r="G3" s="5"/>
      <c r="H3" s="5"/>
    </row>
    <row r="4" spans="1:10" s="27" customFormat="1" ht="25.5" x14ac:dyDescent="0.2">
      <c r="A4" s="282" t="s">
        <v>1</v>
      </c>
      <c r="B4" s="16" t="s">
        <v>2</v>
      </c>
      <c r="C4" s="16" t="s">
        <v>3</v>
      </c>
      <c r="D4" s="17" t="s">
        <v>4</v>
      </c>
      <c r="E4" s="17" t="s">
        <v>5</v>
      </c>
      <c r="F4" s="17" t="s">
        <v>6</v>
      </c>
      <c r="G4" s="17" t="s">
        <v>7</v>
      </c>
      <c r="H4" s="17" t="s">
        <v>8</v>
      </c>
      <c r="I4" s="17" t="s">
        <v>9</v>
      </c>
      <c r="J4" s="225" t="s">
        <v>10</v>
      </c>
    </row>
    <row r="5" spans="1:10" s="24" customFormat="1" ht="38.25" x14ac:dyDescent="0.2">
      <c r="A5" s="216" t="s">
        <v>632</v>
      </c>
      <c r="B5" s="37" t="s">
        <v>714</v>
      </c>
      <c r="C5" s="8" t="s">
        <v>633</v>
      </c>
      <c r="D5" s="9" t="s">
        <v>13</v>
      </c>
      <c r="E5" s="9" t="s">
        <v>14</v>
      </c>
      <c r="F5" s="19" t="s">
        <v>15</v>
      </c>
      <c r="G5" s="19" t="s">
        <v>15</v>
      </c>
      <c r="H5" s="183"/>
      <c r="I5" s="19" t="s">
        <v>15</v>
      </c>
      <c r="J5" s="226"/>
    </row>
    <row r="6" spans="1:10" s="24" customFormat="1" ht="216.75" x14ac:dyDescent="0.2">
      <c r="A6" s="216" t="s">
        <v>634</v>
      </c>
      <c r="B6" s="38" t="s">
        <v>635</v>
      </c>
      <c r="C6" s="7" t="s">
        <v>636</v>
      </c>
      <c r="D6" s="9" t="s">
        <v>13</v>
      </c>
      <c r="E6" s="9" t="s">
        <v>14</v>
      </c>
      <c r="F6" s="19" t="s">
        <v>15</v>
      </c>
      <c r="G6" s="19" t="s">
        <v>15</v>
      </c>
      <c r="H6" s="183"/>
      <c r="I6" s="19" t="s">
        <v>15</v>
      </c>
      <c r="J6" s="227"/>
    </row>
    <row r="7" spans="1:10" s="24" customFormat="1" ht="51" x14ac:dyDescent="0.2">
      <c r="A7" s="216" t="s">
        <v>637</v>
      </c>
      <c r="B7" s="37" t="s">
        <v>638</v>
      </c>
      <c r="C7" s="7"/>
      <c r="D7" s="9" t="s">
        <v>13</v>
      </c>
      <c r="E7" s="9" t="s">
        <v>14</v>
      </c>
      <c r="F7" s="19" t="s">
        <v>15</v>
      </c>
      <c r="G7" s="19" t="s">
        <v>15</v>
      </c>
      <c r="H7" s="183"/>
      <c r="I7" s="19" t="s">
        <v>15</v>
      </c>
      <c r="J7" s="227"/>
    </row>
    <row r="8" spans="1:10" s="24" customFormat="1" ht="38.25" x14ac:dyDescent="0.2">
      <c r="A8" s="216" t="s">
        <v>639</v>
      </c>
      <c r="B8" s="37" t="s">
        <v>640</v>
      </c>
      <c r="C8" s="7"/>
      <c r="D8" s="9" t="s">
        <v>13</v>
      </c>
      <c r="E8" s="9" t="s">
        <v>14</v>
      </c>
      <c r="F8" s="19" t="s">
        <v>15</v>
      </c>
      <c r="G8" s="19" t="s">
        <v>15</v>
      </c>
      <c r="H8" s="183"/>
      <c r="I8" s="19" t="s">
        <v>15</v>
      </c>
      <c r="J8" s="226"/>
    </row>
    <row r="9" spans="1:10" s="24" customFormat="1" ht="38.25" x14ac:dyDescent="0.2">
      <c r="A9" s="216" t="s">
        <v>641</v>
      </c>
      <c r="B9" s="37" t="s">
        <v>642</v>
      </c>
      <c r="C9" s="7"/>
      <c r="D9" s="9" t="s">
        <v>13</v>
      </c>
      <c r="E9" s="9" t="s">
        <v>14</v>
      </c>
      <c r="F9" s="19" t="s">
        <v>15</v>
      </c>
      <c r="G9" s="19" t="s">
        <v>15</v>
      </c>
      <c r="H9" s="183"/>
      <c r="I9" s="19" t="s">
        <v>15</v>
      </c>
      <c r="J9" s="227"/>
    </row>
    <row r="10" spans="1:10" s="24" customFormat="1" ht="25.5" x14ac:dyDescent="0.2">
      <c r="A10" s="216" t="s">
        <v>643</v>
      </c>
      <c r="B10" s="37" t="s">
        <v>644</v>
      </c>
      <c r="C10" s="7"/>
      <c r="D10" s="9" t="s">
        <v>13</v>
      </c>
      <c r="E10" s="9" t="s">
        <v>14</v>
      </c>
      <c r="F10" s="19" t="s">
        <v>15</v>
      </c>
      <c r="G10" s="19" t="s">
        <v>15</v>
      </c>
      <c r="H10" s="183"/>
      <c r="I10" s="19" t="s">
        <v>15</v>
      </c>
      <c r="J10" s="227"/>
    </row>
    <row r="11" spans="1:10" s="24" customFormat="1" ht="25.5" x14ac:dyDescent="0.2">
      <c r="A11" s="216" t="s">
        <v>645</v>
      </c>
      <c r="B11" s="39" t="s">
        <v>646</v>
      </c>
      <c r="C11" s="7"/>
      <c r="D11" s="9" t="s">
        <v>13</v>
      </c>
      <c r="E11" s="9" t="s">
        <v>14</v>
      </c>
      <c r="F11" s="19" t="s">
        <v>15</v>
      </c>
      <c r="G11" s="19" t="s">
        <v>15</v>
      </c>
      <c r="H11" s="183"/>
      <c r="I11" s="19" t="s">
        <v>15</v>
      </c>
      <c r="J11" s="226"/>
    </row>
    <row r="12" spans="1:10" s="24" customFormat="1" ht="25.5" x14ac:dyDescent="0.2">
      <c r="A12" s="216" t="s">
        <v>647</v>
      </c>
      <c r="B12" s="37" t="s">
        <v>648</v>
      </c>
      <c r="C12" s="7"/>
      <c r="D12" s="9" t="s">
        <v>13</v>
      </c>
      <c r="E12" s="9" t="s">
        <v>14</v>
      </c>
      <c r="F12" s="19" t="s">
        <v>15</v>
      </c>
      <c r="G12" s="19" t="s">
        <v>15</v>
      </c>
      <c r="H12" s="183"/>
      <c r="I12" s="19" t="s">
        <v>15</v>
      </c>
      <c r="J12" s="227"/>
    </row>
    <row r="13" spans="1:10" s="24" customFormat="1" ht="25.5" x14ac:dyDescent="0.2">
      <c r="A13" s="216" t="s">
        <v>649</v>
      </c>
      <c r="B13" s="43" t="s">
        <v>650</v>
      </c>
      <c r="C13" s="44"/>
      <c r="D13" s="9" t="s">
        <v>13</v>
      </c>
      <c r="E13" s="9" t="s">
        <v>14</v>
      </c>
      <c r="F13" s="19" t="s">
        <v>15</v>
      </c>
      <c r="G13" s="19" t="s">
        <v>15</v>
      </c>
      <c r="H13" s="183"/>
      <c r="I13" s="19" t="s">
        <v>15</v>
      </c>
      <c r="J13" s="227"/>
    </row>
    <row r="14" spans="1:10" s="24" customFormat="1" ht="38.25" x14ac:dyDescent="0.2">
      <c r="A14" s="216" t="s">
        <v>651</v>
      </c>
      <c r="B14" s="37" t="s">
        <v>652</v>
      </c>
      <c r="C14" s="42"/>
      <c r="D14" s="9" t="s">
        <v>13</v>
      </c>
      <c r="E14" s="9" t="s">
        <v>14</v>
      </c>
      <c r="F14" s="19" t="s">
        <v>15</v>
      </c>
      <c r="G14" s="19" t="s">
        <v>15</v>
      </c>
      <c r="H14" s="183"/>
      <c r="I14" s="19" t="s">
        <v>15</v>
      </c>
      <c r="J14" s="226"/>
    </row>
    <row r="15" spans="1:10" s="24" customFormat="1" ht="51" x14ac:dyDescent="0.2">
      <c r="A15" s="216" t="s">
        <v>653</v>
      </c>
      <c r="B15" s="37" t="s">
        <v>654</v>
      </c>
      <c r="C15" s="42"/>
      <c r="D15" s="9" t="s">
        <v>13</v>
      </c>
      <c r="E15" s="9" t="s">
        <v>14</v>
      </c>
      <c r="F15" s="19" t="s">
        <v>15</v>
      </c>
      <c r="G15" s="19" t="s">
        <v>15</v>
      </c>
      <c r="H15" s="183"/>
      <c r="I15" s="19" t="s">
        <v>15</v>
      </c>
      <c r="J15" s="227"/>
    </row>
    <row r="16" spans="1:10" s="24" customFormat="1" ht="63.75" x14ac:dyDescent="0.2">
      <c r="A16" s="216" t="s">
        <v>655</v>
      </c>
      <c r="B16" s="37" t="s">
        <v>656</v>
      </c>
      <c r="C16" s="192" t="s">
        <v>657</v>
      </c>
      <c r="D16" s="9" t="s">
        <v>13</v>
      </c>
      <c r="E16" s="9" t="s">
        <v>14</v>
      </c>
      <c r="F16" s="19" t="s">
        <v>15</v>
      </c>
      <c r="G16" s="19" t="s">
        <v>15</v>
      </c>
      <c r="H16" s="183"/>
      <c r="I16" s="19" t="s">
        <v>15</v>
      </c>
      <c r="J16" s="227"/>
    </row>
    <row r="17" spans="1:10" s="24" customFormat="1" ht="63.75" x14ac:dyDescent="0.2">
      <c r="A17" s="216" t="s">
        <v>658</v>
      </c>
      <c r="B17" s="37" t="s">
        <v>659</v>
      </c>
      <c r="C17" s="37" t="s">
        <v>660</v>
      </c>
      <c r="D17" s="36" t="s">
        <v>84</v>
      </c>
      <c r="E17" s="34" t="s">
        <v>15</v>
      </c>
      <c r="F17" s="36" t="s">
        <v>535</v>
      </c>
      <c r="G17" s="36">
        <v>10</v>
      </c>
      <c r="H17" s="34" t="s">
        <v>15</v>
      </c>
      <c r="I17" s="34"/>
      <c r="J17" s="226"/>
    </row>
    <row r="18" spans="1:10" s="24" customFormat="1" ht="12.75" x14ac:dyDescent="0.2">
      <c r="A18" s="41"/>
      <c r="B18" s="14"/>
      <c r="C18" s="40"/>
      <c r="D18" s="28"/>
      <c r="E18" s="28"/>
      <c r="F18" s="155" t="s">
        <v>35</v>
      </c>
      <c r="G18" s="302">
        <f>SUM(IBP[Max. te behalen punten])</f>
        <v>10</v>
      </c>
      <c r="H18" s="29" t="s">
        <v>36</v>
      </c>
      <c r="I18" s="287">
        <f>SUM(IBP[Score])</f>
        <v>0</v>
      </c>
    </row>
    <row r="19" spans="1:10" s="24" customFormat="1" ht="12.75" x14ac:dyDescent="0.2">
      <c r="A19" s="41"/>
      <c r="B19" s="14"/>
      <c r="C19" s="40"/>
    </row>
    <row r="20" spans="1:10" s="24" customFormat="1" ht="12.75" x14ac:dyDescent="0.2">
      <c r="A20" s="41"/>
      <c r="B20" s="14"/>
      <c r="C20" s="14"/>
    </row>
    <row r="21" spans="1:10" s="24" customFormat="1" ht="12.75" x14ac:dyDescent="0.2"/>
  </sheetData>
  <sheetProtection algorithmName="SHA-512" hashValue="8z/XDTt3o6QYiI/SE6OS6Zu/Qa9yF+228JEFEPImCK88nLFDcj6iT8fAHokxTA/N6w6HNtnZcxUC+uGQyi3a5w==" saltValue="fJ+QVSulo0O9uXNiAiMakA==" spinCount="100000" sheet="1" objects="1" scenarios="1"/>
  <phoneticPr fontId="7" type="noConversion"/>
  <dataValidations count="1">
    <dataValidation type="list" allowBlank="1" showInputMessage="1" showErrorMessage="1" sqref="H5:H17" xr:uid="{AF18D2CC-81F3-40F2-ACFF-535926CFA47D}">
      <formula1>"Ja,Nee"</formula1>
    </dataValidation>
  </dataValidations>
  <pageMargins left="0.7" right="0.7" top="0.75" bottom="0.75" header="0.3" footer="0.3"/>
  <pageSetup paperSize="9" orientation="portrait" horizontalDpi="300" verticalDpi="300" r:id="rId1"/>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1D713-386F-4F33-9304-64D7CF6CBB23}">
  <dimension ref="A1:P26"/>
  <sheetViews>
    <sheetView workbookViewId="0">
      <selection activeCell="S24" sqref="S24"/>
    </sheetView>
  </sheetViews>
  <sheetFormatPr defaultRowHeight="15" x14ac:dyDescent="0.25"/>
  <cols>
    <col min="1" max="1" width="4.85546875" customWidth="1"/>
    <col min="2" max="2" width="28" bestFit="1" customWidth="1"/>
    <col min="3" max="3" width="14.42578125" customWidth="1"/>
    <col min="4" max="4" width="11.7109375" customWidth="1"/>
    <col min="5" max="5" width="13.28515625" bestFit="1" customWidth="1"/>
    <col min="6" max="6" width="9.85546875" customWidth="1"/>
    <col min="7" max="7" width="4.85546875" customWidth="1"/>
    <col min="8" max="8" width="11.7109375" customWidth="1"/>
    <col min="11" max="11" width="15" customWidth="1"/>
    <col min="16" max="16" width="10.140625" bestFit="1" customWidth="1"/>
  </cols>
  <sheetData>
    <row r="1" spans="1:16" ht="15.75" thickBot="1" x14ac:dyDescent="0.3">
      <c r="A1" s="234" t="s">
        <v>686</v>
      </c>
      <c r="B1" s="234" t="s">
        <v>673</v>
      </c>
      <c r="C1" s="234" t="s">
        <v>680</v>
      </c>
      <c r="D1" s="234" t="s">
        <v>681</v>
      </c>
      <c r="E1" s="234" t="s">
        <v>682</v>
      </c>
      <c r="F1" s="234" t="s">
        <v>36</v>
      </c>
      <c r="H1" s="234" t="s">
        <v>684</v>
      </c>
      <c r="I1" s="234" t="s">
        <v>84</v>
      </c>
      <c r="J1" s="234" t="s">
        <v>150</v>
      </c>
      <c r="K1" s="234" t="s">
        <v>682</v>
      </c>
      <c r="N1" s="234" t="s">
        <v>710</v>
      </c>
      <c r="O1" s="234"/>
      <c r="P1" s="234" t="s">
        <v>713</v>
      </c>
    </row>
    <row r="2" spans="1:16" x14ac:dyDescent="0.25">
      <c r="A2">
        <v>1</v>
      </c>
      <c r="B2" t="s">
        <v>0</v>
      </c>
      <c r="C2">
        <f>SUMIF(Algemeen[Eis, Wens of Vraag],"Wens",Algemeen[Score])</f>
        <v>0</v>
      </c>
      <c r="D2">
        <f>SUMIF(Algemeen[Eis, Wens of Vraag],"Vraag",Algemeen[Score])</f>
        <v>0</v>
      </c>
      <c r="E2" s="235" t="s">
        <v>15</v>
      </c>
      <c r="F2">
        <f>SUM(C2:E2)</f>
        <v>0</v>
      </c>
      <c r="H2">
        <f>SUM(Algemeen[Max. te behalen punten])</f>
        <v>0</v>
      </c>
      <c r="I2">
        <f>SUMIF(Algemeen[Eis, Wens of Vraag],"Vraag",Algemeen[Max. te behalen punten])</f>
        <v>0</v>
      </c>
      <c r="J2">
        <f>SUMIF(Algemeen[Eis, Wens of Vraag],"Wens",Algemeen[Max. te behalen punten])</f>
        <v>0</v>
      </c>
      <c r="K2" s="235" t="s">
        <v>15</v>
      </c>
      <c r="N2" t="s">
        <v>711</v>
      </c>
      <c r="O2">
        <f>H26</f>
        <v>1770</v>
      </c>
      <c r="P2" s="304">
        <v>0.7</v>
      </c>
    </row>
    <row r="3" spans="1:16" ht="15.75" thickBot="1" x14ac:dyDescent="0.3">
      <c r="A3">
        <v>2</v>
      </c>
      <c r="B3" t="s">
        <v>37</v>
      </c>
      <c r="C3">
        <f>SUMIF(Facturatie[Eis, Wens of Vraag],"Wens",Facturatie[Score])</f>
        <v>0</v>
      </c>
      <c r="D3">
        <f>SUMIF(Facturatie[Eis, Wens of Vraag],"Vraag",Facturatie[Score])</f>
        <v>0</v>
      </c>
      <c r="E3" s="235" t="s">
        <v>15</v>
      </c>
      <c r="F3">
        <f t="shared" ref="F3:F25" si="0">SUM(C3:E3)</f>
        <v>0</v>
      </c>
      <c r="H3">
        <f>SUM(Facturatie[Max. te behalen punten])</f>
        <v>0</v>
      </c>
      <c r="I3">
        <f>SUMIF(Facturatie[Eis, Wens of Vraag],"Vraag",Facturatie[Max. te behalen punten])</f>
        <v>0</v>
      </c>
      <c r="J3">
        <f>SUMIF(Facturatie[Eis, Wens of Vraag],"Wens",Facturatie[Max. te behalen punten])</f>
        <v>0</v>
      </c>
      <c r="K3" s="235" t="s">
        <v>15</v>
      </c>
      <c r="N3" s="228" t="s">
        <v>712</v>
      </c>
      <c r="O3" s="228">
        <f>ROUNDDOWN(O2/P2*P3,0)</f>
        <v>758</v>
      </c>
      <c r="P3" s="305">
        <v>0.3</v>
      </c>
    </row>
    <row r="4" spans="1:16" ht="15.75" thickTop="1" x14ac:dyDescent="0.25">
      <c r="A4">
        <v>3</v>
      </c>
      <c r="B4" t="s">
        <v>683</v>
      </c>
      <c r="C4">
        <f>SUMIF(SLA[Eis, Wens of Vraag],"Wens",SLA[Score])</f>
        <v>0</v>
      </c>
      <c r="D4">
        <f>SUMIF(SLA[Eis, Wens of Vraag],"Vraag",SLA[Score])</f>
        <v>0</v>
      </c>
      <c r="E4" s="235" t="s">
        <v>15</v>
      </c>
      <c r="F4">
        <f t="shared" si="0"/>
        <v>0</v>
      </c>
      <c r="H4">
        <f>SUM(SLA[Max. te behalen punten])</f>
        <v>0</v>
      </c>
      <c r="I4">
        <f>SUMIF(SLA[Eis, Wens of Vraag],"Vraag",SLA[Max. te behalen punten])</f>
        <v>0</v>
      </c>
      <c r="J4">
        <f>SUMIF(SLA[Eis, Wens of Vraag],"Wens",SLA[Max. te behalen punten])</f>
        <v>0</v>
      </c>
      <c r="K4" s="235" t="s">
        <v>15</v>
      </c>
      <c r="N4" t="s">
        <v>36</v>
      </c>
      <c r="O4">
        <f>SUM(O2:O3)</f>
        <v>2528</v>
      </c>
      <c r="P4" s="304">
        <f>SUM(P2:P3)</f>
        <v>1</v>
      </c>
    </row>
    <row r="5" spans="1:16" x14ac:dyDescent="0.25">
      <c r="A5">
        <v>4</v>
      </c>
      <c r="B5" t="s">
        <v>52</v>
      </c>
      <c r="C5">
        <f>SUMIF(Informatiebeheer[Eis, Wens of Vraag],"Wens",Informatiebeheer[Score])</f>
        <v>0</v>
      </c>
      <c r="D5">
        <f>SUMIF(Informatiebeheer[Eis, Wens of Vraag],"Vraag",Informatiebeheer[Score])</f>
        <v>0</v>
      </c>
      <c r="E5" s="235" t="s">
        <v>15</v>
      </c>
      <c r="F5">
        <f t="shared" si="0"/>
        <v>0</v>
      </c>
      <c r="H5">
        <f>SUM(Informatiebeheer[Max. te behalen punten])</f>
        <v>20</v>
      </c>
      <c r="I5">
        <f>SUMIF(Informatiebeheer[Eis, Wens of Vraag],"Vraag",Informatiebeheer[Max. te behalen punten])</f>
        <v>20</v>
      </c>
      <c r="J5">
        <f>SUMIF(Informatiebeheer[Eis, Wens of Vraag],"Wens",Informatiebeheer[Max. te behalen punten])</f>
        <v>0</v>
      </c>
      <c r="K5" s="235" t="s">
        <v>15</v>
      </c>
    </row>
    <row r="6" spans="1:16" x14ac:dyDescent="0.25">
      <c r="A6">
        <v>5</v>
      </c>
      <c r="B6" t="s">
        <v>86</v>
      </c>
      <c r="C6">
        <f>SUMIF(Architectuur[Eis, Wens of Vraag],"Wens",Architectuur[Score])</f>
        <v>0</v>
      </c>
      <c r="D6">
        <f>SUMIF(Architectuur[Eis, Wens of Vraag],"Vraag",Architectuur[Score])</f>
        <v>0</v>
      </c>
      <c r="E6" s="235" t="s">
        <v>15</v>
      </c>
      <c r="F6">
        <f t="shared" si="0"/>
        <v>0</v>
      </c>
      <c r="H6">
        <f>SUM(Architectuur[Max. te behalen punten])</f>
        <v>40</v>
      </c>
      <c r="I6">
        <f>SUMIF(Architectuur[Eis, Wens of Vraag],"Vraag",Architectuur[Max. te behalen punten])</f>
        <v>35</v>
      </c>
      <c r="J6">
        <f>SUMIF(Architectuur[Eis, Wens of Vraag],"Wens",Architectuur[Max. te behalen punten])</f>
        <v>5</v>
      </c>
      <c r="K6" s="235" t="s">
        <v>15</v>
      </c>
    </row>
    <row r="7" spans="1:16" x14ac:dyDescent="0.25">
      <c r="A7">
        <v>6</v>
      </c>
      <c r="B7" t="s">
        <v>158</v>
      </c>
      <c r="C7">
        <f>SUMIF(Data[Eis, Wens of Vraag],"Wens",Data[Score])</f>
        <v>0</v>
      </c>
      <c r="D7">
        <f>SUMIF(Data[Eis, Wens of Vraag],"Vraag",Data[Score])</f>
        <v>0</v>
      </c>
      <c r="E7" s="235" t="s">
        <v>15</v>
      </c>
      <c r="F7">
        <f t="shared" si="0"/>
        <v>0</v>
      </c>
      <c r="H7">
        <f>SUM(Data[Max. te behalen punten])</f>
        <v>0</v>
      </c>
      <c r="I7">
        <f>SUMIF(Data[Eis, Wens of Vraag],"Vraag",Data[Max. te behalen punten])</f>
        <v>0</v>
      </c>
      <c r="J7">
        <f>SUMIF(Data[Eis, Wens of Vraag],"Wens",Data[Max. te behalen punten])</f>
        <v>0</v>
      </c>
      <c r="K7" s="235" t="s">
        <v>15</v>
      </c>
    </row>
    <row r="8" spans="1:16" x14ac:dyDescent="0.25">
      <c r="A8">
        <v>7</v>
      </c>
      <c r="B8" t="s">
        <v>173</v>
      </c>
      <c r="C8">
        <f>SUMIF(Heffen[Eis, Wens of Vraag],"Wens",Heffen[Score])</f>
        <v>0</v>
      </c>
      <c r="D8">
        <f>SUMIF(Heffen[Eis, Wens of Vraag],"Vraag",Heffen[Score])</f>
        <v>0</v>
      </c>
      <c r="F8">
        <f t="shared" si="0"/>
        <v>0</v>
      </c>
      <c r="H8">
        <f>SUM(Heffen[Max. te behalen punten],Heffen!G22)</f>
        <v>110</v>
      </c>
      <c r="I8">
        <f>SUMIF(Heffen[Eis, Wens of Vraag],"Vraag",Heffen[Max. te behalen punten])</f>
        <v>0</v>
      </c>
      <c r="J8">
        <f>SUMIF(Heffen[Eis, Wens of Vraag],"Wens",Heffen[Max. te behalen punten])</f>
        <v>60</v>
      </c>
      <c r="K8" s="235">
        <v>50</v>
      </c>
    </row>
    <row r="9" spans="1:16" x14ac:dyDescent="0.25">
      <c r="A9">
        <v>8</v>
      </c>
      <c r="B9" t="s">
        <v>214</v>
      </c>
      <c r="C9">
        <f>SUMIF(Invordering[Eis, Wens of Vraag],"Wens",Invordering[Score])</f>
        <v>0</v>
      </c>
      <c r="D9">
        <f>SUMIF(Invordering[Eis, Wens of Vraag],"Vraag",Invordering[Score])</f>
        <v>0</v>
      </c>
      <c r="F9">
        <f t="shared" si="0"/>
        <v>0</v>
      </c>
      <c r="H9">
        <f>SUM(Invordering[Max. te behalen punten],Invordering!G24)</f>
        <v>100</v>
      </c>
      <c r="I9">
        <f>SUMIF(Invordering[Eis, Wens of Vraag],"Vraag",Invordering[Max. te behalen punten])</f>
        <v>30</v>
      </c>
      <c r="J9">
        <f>SUMIF(Invordering[Eis, Wens of Vraag],"Wens",Invordering[Max. te behalen punten])</f>
        <v>20</v>
      </c>
      <c r="K9" s="235">
        <v>50</v>
      </c>
    </row>
    <row r="10" spans="1:16" x14ac:dyDescent="0.25">
      <c r="A10">
        <v>9</v>
      </c>
      <c r="B10" t="s">
        <v>258</v>
      </c>
      <c r="C10">
        <f>SUMIF(Kwijtschelding[Eis, Wens of Vraag],"Wens",Kwijtschelding[Score])</f>
        <v>0</v>
      </c>
      <c r="D10">
        <f>SUMIF(Kwijtschelding[Eis, Wens of Vraag],"Vraag",Kwijtschelding[Score])</f>
        <v>0</v>
      </c>
      <c r="F10">
        <f t="shared" si="0"/>
        <v>0</v>
      </c>
      <c r="H10">
        <f>SUM(Kwijtschelding[Max. te behalen punten],Kwijtschelding!G20)</f>
        <v>105</v>
      </c>
      <c r="I10">
        <f>SUMIF(Kwijtschelding[Eis, Wens of Vraag],"Vraag",Kwijtschelding[Max. te behalen punten])</f>
        <v>25</v>
      </c>
      <c r="J10">
        <f>SUMIF(Kwijtschelding[Eis, Wens of Vraag],"Wens",Kwijtschelding[Max. te behalen punten])</f>
        <v>30</v>
      </c>
      <c r="K10" s="235">
        <v>50</v>
      </c>
    </row>
    <row r="11" spans="1:16" x14ac:dyDescent="0.25">
      <c r="A11">
        <v>10</v>
      </c>
      <c r="B11" t="s">
        <v>294</v>
      </c>
      <c r="C11">
        <f>SUMIF(WOZ[Eis, Wens of Vraag],"Wens",WOZ[Score])</f>
        <v>0</v>
      </c>
      <c r="D11">
        <f>SUMIF(WOZ[Eis, Wens of Vraag],"Vraag",WOZ[Score])</f>
        <v>0</v>
      </c>
      <c r="F11">
        <f t="shared" si="0"/>
        <v>0</v>
      </c>
      <c r="H11">
        <f>SUM(WOZ[Max. te behalen punten],WOZ!G20)</f>
        <v>130</v>
      </c>
      <c r="I11">
        <f>SUMIF(WOZ[Eis, Wens of Vraag],"Vraag",WOZ[Max. te behalen punten])</f>
        <v>0</v>
      </c>
      <c r="J11">
        <f>SUMIF(WOZ[Eis, Wens of Vraag],"Wens",WOZ[Max. te behalen punten])</f>
        <v>80</v>
      </c>
      <c r="K11" s="235">
        <v>50</v>
      </c>
    </row>
    <row r="12" spans="1:16" x14ac:dyDescent="0.25">
      <c r="A12">
        <v>11</v>
      </c>
      <c r="B12" t="s">
        <v>330</v>
      </c>
      <c r="C12">
        <f>SUMIF(Waarderen[Eis, Wens of Vraag],"Wens",Waarderen[Score])</f>
        <v>0</v>
      </c>
      <c r="D12">
        <f>SUMIF(Waarderen[Eis, Wens of Vraag],"Vraag",Waarderen[Score])</f>
        <v>0</v>
      </c>
      <c r="F12">
        <f t="shared" si="0"/>
        <v>0</v>
      </c>
      <c r="H12">
        <f>SUM(Waarderen[Max. te behalen punten],Waarderen!G22)</f>
        <v>190</v>
      </c>
      <c r="I12">
        <f>SUMIF(Waarderen[Eis, Wens of Vraag],"Vraag",Waarderen[Max. te behalen punten])</f>
        <v>60</v>
      </c>
      <c r="J12">
        <f>SUMIF(Waarderen[Eis, Wens of Vraag],"Wens",Waarderen[Max. te behalen punten])</f>
        <v>80</v>
      </c>
      <c r="K12" s="235">
        <v>50</v>
      </c>
    </row>
    <row r="13" spans="1:16" x14ac:dyDescent="0.25">
      <c r="A13">
        <v>12</v>
      </c>
      <c r="B13" t="s">
        <v>375</v>
      </c>
      <c r="C13">
        <f>SUMIF(Bezwaar_beroep[Eis, Wens of Vraag],"Wens",Bezwaar_beroep[Score])</f>
        <v>0</v>
      </c>
      <c r="D13">
        <f>SUMIF(Bezwaar_beroep[Eis, Wens of Vraag],"Vraag",Bezwaar_beroep[Score])</f>
        <v>0</v>
      </c>
      <c r="F13">
        <f t="shared" si="0"/>
        <v>0</v>
      </c>
      <c r="H13">
        <f>SUM(Bezwaar_beroep[Max. te behalen punten],'Bezwaar en beroep'!G17)</f>
        <v>125</v>
      </c>
      <c r="I13">
        <f>SUMIF(Bezwaar_beroep[Eis, Wens of Vraag],"Vraag",Bezwaar_beroep[Max. te behalen punten])</f>
        <v>0</v>
      </c>
      <c r="J13">
        <f>SUMIF(Bezwaar_beroep[Eis, Wens of Vraag],"Wens",Bezwaar_beroep[Max. te behalen punten])</f>
        <v>75</v>
      </c>
      <c r="K13" s="235">
        <v>50</v>
      </c>
    </row>
    <row r="14" spans="1:16" x14ac:dyDescent="0.25">
      <c r="A14">
        <v>13</v>
      </c>
      <c r="B14" t="s">
        <v>406</v>
      </c>
      <c r="C14">
        <f>SUMIF(Workflow[Eis, Wens of Vraag],"Wens",Workflow[Score])</f>
        <v>0</v>
      </c>
      <c r="D14">
        <f>SUMIF(Workflow[Eis, Wens of Vraag],"Vraag",Workflow[Score])</f>
        <v>0</v>
      </c>
      <c r="E14" s="235" t="s">
        <v>15</v>
      </c>
      <c r="F14">
        <f t="shared" si="0"/>
        <v>0</v>
      </c>
      <c r="H14">
        <f>SUM(Workflow[Max. te behalen punten])</f>
        <v>85</v>
      </c>
      <c r="I14">
        <f>SUMIF(Workflow[Eis, Wens of Vraag],"Vraag",Workflow[Max. te behalen punten])</f>
        <v>20</v>
      </c>
      <c r="J14">
        <f>SUMIF(Workflow[Eis, Wens of Vraag],"Wens",Workflow[Max. te behalen punten])</f>
        <v>65</v>
      </c>
      <c r="K14" s="235" t="s">
        <v>15</v>
      </c>
    </row>
    <row r="15" spans="1:16" x14ac:dyDescent="0.25">
      <c r="A15">
        <v>14</v>
      </c>
      <c r="B15" t="s">
        <v>426</v>
      </c>
      <c r="C15">
        <f>SUMIF(Digitale_belastingbalie[Eis, Wens of Vraag],"Wens",Digitale_belastingbalie[Score])</f>
        <v>0</v>
      </c>
      <c r="D15">
        <f>SUMIF(Digitale_belastingbalie[Eis, Wens of Vraag],"Vraag",Digitale_belastingbalie[Score])</f>
        <v>0</v>
      </c>
      <c r="F15">
        <f t="shared" si="0"/>
        <v>0</v>
      </c>
      <c r="H15">
        <f>SUM(Digitale_belastingbalie[Max. te behalen punten],'Digitale belastingbalie'!G22)</f>
        <v>250</v>
      </c>
      <c r="I15">
        <f>SUMIF(Digitale_belastingbalie[Eis, Wens of Vraag],"Vraag",Digitale_belastingbalie[Max. te behalen punten])</f>
        <v>40</v>
      </c>
      <c r="J15">
        <f>SUMIF(Digitale_belastingbalie[Eis, Wens of Vraag],"Wens",Digitale_belastingbalie[Max. te behalen punten])</f>
        <v>160</v>
      </c>
      <c r="K15" s="235">
        <v>50</v>
      </c>
    </row>
    <row r="16" spans="1:16" x14ac:dyDescent="0.25">
      <c r="A16">
        <v>15</v>
      </c>
      <c r="B16" t="s">
        <v>674</v>
      </c>
      <c r="C16">
        <f>SUMIF(Geo_informatie[Eis, Wens of Vraag],"Wens",Geo_informatie[Score])</f>
        <v>0</v>
      </c>
      <c r="D16">
        <f>SUMIF(Geo_informatie[Eis, Wens of Vraag],"Vraag",Geo_informatie[Score])</f>
        <v>0</v>
      </c>
      <c r="E16" s="235" t="s">
        <v>15</v>
      </c>
      <c r="F16">
        <f t="shared" si="0"/>
        <v>0</v>
      </c>
      <c r="H16">
        <f>SUM(Geo_informatie[Max. te behalen punten])</f>
        <v>45</v>
      </c>
      <c r="I16">
        <f>SUMIF(Geo_informatie[Eis, Wens of Vraag],"Vraag",Geo_informatie[Max. te behalen punten])</f>
        <v>20</v>
      </c>
      <c r="J16">
        <f>SUMIF(Geo_informatie[Eis, Wens of Vraag],"Wens",Geo_informatie[Max. te behalen punten])</f>
        <v>25</v>
      </c>
      <c r="K16" s="235" t="s">
        <v>15</v>
      </c>
    </row>
    <row r="17" spans="1:11" x14ac:dyDescent="0.25">
      <c r="A17">
        <v>16</v>
      </c>
      <c r="B17" t="s">
        <v>483</v>
      </c>
      <c r="C17">
        <f>SUMIF(Rapportages[Eis, Wens of Vraag],"Wens",Rapportages[Score])</f>
        <v>0</v>
      </c>
      <c r="D17">
        <f>SUMIF(Rapportages[Eis, Wens of Vraag],"Vraag",Rapportages[Score])</f>
        <v>0</v>
      </c>
      <c r="E17" s="235" t="s">
        <v>15</v>
      </c>
      <c r="F17">
        <f t="shared" si="0"/>
        <v>0</v>
      </c>
      <c r="H17">
        <f>SUM(Rapportages[Max. te behalen punten])</f>
        <v>115</v>
      </c>
      <c r="I17">
        <f>SUMIF(Rapportages[Eis, Wens of Vraag],"Vraag",Rapportages[Max. te behalen punten])</f>
        <v>20</v>
      </c>
      <c r="J17">
        <f>SUMIF(Rapportages[Eis, Wens of Vraag],"Wens",Rapportages[Max. te behalen punten])</f>
        <v>95</v>
      </c>
      <c r="K17" s="235" t="s">
        <v>15</v>
      </c>
    </row>
    <row r="18" spans="1:11" x14ac:dyDescent="0.25">
      <c r="A18">
        <v>17</v>
      </c>
      <c r="B18" t="s">
        <v>513</v>
      </c>
      <c r="C18">
        <f>SUMIF(Documenten[Eis, Wens of Vraag],"Wens",Documenten[Score])</f>
        <v>0</v>
      </c>
      <c r="D18">
        <f>SUMIF(Documenten[Eis, Wens of Vraag],"Vraag",Documenten[Score])</f>
        <v>0</v>
      </c>
      <c r="E18" s="235" t="s">
        <v>15</v>
      </c>
      <c r="F18">
        <f t="shared" si="0"/>
        <v>0</v>
      </c>
      <c r="H18">
        <f>SUM(Documenten[Max. te behalen punten])</f>
        <v>140</v>
      </c>
      <c r="I18">
        <f>SUMIF(Documenten[Eis, Wens of Vraag],"Vraag",Documenten[Max. te behalen punten])</f>
        <v>60</v>
      </c>
      <c r="J18">
        <f>SUMIF(Documenten[Eis, Wens of Vraag],"Wens",Documenten[Max. te behalen punten])</f>
        <v>80</v>
      </c>
      <c r="K18" s="235" t="s">
        <v>15</v>
      </c>
    </row>
    <row r="19" spans="1:11" x14ac:dyDescent="0.25">
      <c r="A19">
        <v>18</v>
      </c>
      <c r="B19" t="s">
        <v>539</v>
      </c>
      <c r="C19">
        <f>SUMIF(Functioneel_beheer[Eis, Wens of Vraag],"Wens",Functioneel_beheer[Score])</f>
        <v>0</v>
      </c>
      <c r="D19">
        <f>SUMIF(Functioneel_beheer[Eis, Wens of Vraag],"Vraag",Functioneel_beheer[Score])</f>
        <v>0</v>
      </c>
      <c r="F19">
        <f t="shared" si="0"/>
        <v>0</v>
      </c>
      <c r="H19">
        <f>SUM(Functioneel_beheer[Max. te behalen punten],'Functioneel beheer'!G16)</f>
        <v>125</v>
      </c>
      <c r="I19">
        <f>SUMIF(Functioneel_beheer[Eis, Wens of Vraag],"Vraag",Functioneel_beheer[Max. te behalen punten])</f>
        <v>40</v>
      </c>
      <c r="J19">
        <f>SUMIF(Functioneel_beheer[Eis, Wens of Vraag],"Wens",Functioneel_beheer[Max. te behalen punten])</f>
        <v>35</v>
      </c>
      <c r="K19" s="235">
        <v>50</v>
      </c>
    </row>
    <row r="20" spans="1:11" x14ac:dyDescent="0.25">
      <c r="A20">
        <v>19</v>
      </c>
      <c r="B20" t="s">
        <v>567</v>
      </c>
      <c r="C20">
        <f>SUMIF(Koppelingen[Eis, Wens of Vraag],"Wens",Koppelingen[Score])</f>
        <v>0</v>
      </c>
      <c r="D20">
        <f>SUMIF(Koppelingen[Eis, Wens of Vraag],"Vraag",Koppelingen[Score])</f>
        <v>0</v>
      </c>
      <c r="E20" s="235" t="s">
        <v>15</v>
      </c>
      <c r="F20">
        <f t="shared" si="0"/>
        <v>0</v>
      </c>
      <c r="H20">
        <f>SUM(Koppelingen[Max. te behalen punten])</f>
        <v>70</v>
      </c>
      <c r="I20">
        <f>SUMIF(Koppelingen[Eis, Wens of Vraag],"Vraag",Koppelingen[Max. te behalen punten])</f>
        <v>20</v>
      </c>
      <c r="J20">
        <f>SUMIF(Koppelingen[Eis, Wens of Vraag],"Wens",Koppelingen[Max. te behalen punten])</f>
        <v>50</v>
      </c>
      <c r="K20" s="235" t="s">
        <v>15</v>
      </c>
    </row>
    <row r="21" spans="1:11" x14ac:dyDescent="0.25">
      <c r="A21">
        <v>20</v>
      </c>
      <c r="B21" t="s">
        <v>675</v>
      </c>
      <c r="C21">
        <f>SUMIF(Conversie[Eis, Wens of Vraag],"Wens",Conversie[Score])</f>
        <v>0</v>
      </c>
      <c r="D21">
        <f>SUMIF(Conversie[Eis, Wens of Vraag],"Vraag",Conversie[Score])</f>
        <v>0</v>
      </c>
      <c r="E21" s="235" t="s">
        <v>15</v>
      </c>
      <c r="F21">
        <f t="shared" si="0"/>
        <v>0</v>
      </c>
      <c r="H21">
        <f>SUM(Conversie[Max. te behalen punten])</f>
        <v>40</v>
      </c>
      <c r="I21">
        <f>SUMIF(Conversie[Eis, Wens of Vraag],"Vraag",Conversie[Max. te behalen punten])</f>
        <v>40</v>
      </c>
      <c r="J21">
        <f>SUMIF(Conversie[Eis, Wens of Vraag],"Wens",Conversie[Max. te behalen punten])</f>
        <v>0</v>
      </c>
      <c r="K21" s="235" t="s">
        <v>15</v>
      </c>
    </row>
    <row r="22" spans="1:11" x14ac:dyDescent="0.25">
      <c r="A22">
        <v>21</v>
      </c>
      <c r="B22" t="s">
        <v>677</v>
      </c>
      <c r="C22">
        <f>SUMIF(Implementatie[Eis, Wens of Vraag],"Wens",Implementatie[Score])</f>
        <v>0</v>
      </c>
      <c r="D22">
        <f>SUMIF(Implementatie[Eis, Wens of Vraag],"Vraag",Implementatie[Score])</f>
        <v>0</v>
      </c>
      <c r="E22" s="235" t="s">
        <v>15</v>
      </c>
      <c r="F22">
        <f t="shared" si="0"/>
        <v>0</v>
      </c>
      <c r="H22">
        <f>SUM(Implementatie[Max. te behalen punten])</f>
        <v>10</v>
      </c>
      <c r="I22">
        <f>SUMIF(Implementatie[Eis, Wens of Vraag],"Vraag",Implementatie[Max. te behalen punten])</f>
        <v>10</v>
      </c>
      <c r="J22">
        <f>SUMIF(Implementatie[Eis, Wens of Vraag],"Wens",Implementatie[Max. te behalen punten])</f>
        <v>0</v>
      </c>
      <c r="K22" s="235" t="s">
        <v>15</v>
      </c>
    </row>
    <row r="23" spans="1:11" x14ac:dyDescent="0.25">
      <c r="A23">
        <v>22</v>
      </c>
      <c r="B23" t="s">
        <v>624</v>
      </c>
      <c r="C23">
        <f>SUMIF(Exit[Eis, Wens of Vraag],"Wens",Exit[Score])</f>
        <v>0</v>
      </c>
      <c r="D23">
        <f>SUMIF(Exit[Eis, Wens of Vraag],"Vraag",Exit[Score])</f>
        <v>0</v>
      </c>
      <c r="E23" s="235" t="s">
        <v>15</v>
      </c>
      <c r="F23">
        <f t="shared" si="0"/>
        <v>0</v>
      </c>
      <c r="H23">
        <f>SUM(Exit[Max. te behalen punten])</f>
        <v>0</v>
      </c>
      <c r="I23">
        <f>SUMIF(Exit[Eis, Wens of Vraag],"Vraag",Exit[Max. te behalen punten])</f>
        <v>0</v>
      </c>
      <c r="J23">
        <f>SUMIF(Exit[Eis, Wens of Vraag],"Wens",Exit[Max. te behalen punten])</f>
        <v>0</v>
      </c>
      <c r="K23" s="235" t="s">
        <v>15</v>
      </c>
    </row>
    <row r="24" spans="1:11" x14ac:dyDescent="0.25">
      <c r="A24">
        <v>23</v>
      </c>
      <c r="B24" t="s">
        <v>617</v>
      </c>
      <c r="C24">
        <f>SUMIF(Roadmap[Eis, Wens of Vraag],"Wens",Roadmap[Score])</f>
        <v>0</v>
      </c>
      <c r="D24">
        <f>SUMIF(Roadmap[Eis, Wens of Vraag],"Vraag",Roadmap[Score])</f>
        <v>0</v>
      </c>
      <c r="E24" s="235" t="s">
        <v>15</v>
      </c>
      <c r="F24">
        <f t="shared" si="0"/>
        <v>0</v>
      </c>
      <c r="H24">
        <f>SUM(Roadmap[Max. te behalen punten])</f>
        <v>60</v>
      </c>
      <c r="I24">
        <f>SUMIF(Roadmap[Eis, Wens of Vraag],"Vraag",Roadmap[Max. te behalen punten])</f>
        <v>60</v>
      </c>
      <c r="J24">
        <f>SUMIF(Roadmap[Eis, Wens of Vraag],"Wens",Roadmap[Max. te behalen punten])</f>
        <v>0</v>
      </c>
      <c r="K24" s="235" t="s">
        <v>15</v>
      </c>
    </row>
    <row r="25" spans="1:11" ht="15.75" thickBot="1" x14ac:dyDescent="0.3">
      <c r="A25" s="228">
        <v>24</v>
      </c>
      <c r="B25" s="228" t="s">
        <v>676</v>
      </c>
      <c r="C25" s="228">
        <f>SUMIF(IBP[Eis, Wens of Vraag],"Wens",IBP[Score])</f>
        <v>0</v>
      </c>
      <c r="D25" s="228">
        <f>SUMIF(IBP[Eis, Wens of Vraag],"Vraag",IBP[Score])</f>
        <v>0</v>
      </c>
      <c r="E25" s="236" t="s">
        <v>15</v>
      </c>
      <c r="F25" s="228">
        <f t="shared" si="0"/>
        <v>0</v>
      </c>
      <c r="H25" s="228">
        <f>SUM(IBP[Max. te behalen punten])</f>
        <v>10</v>
      </c>
      <c r="I25" s="228">
        <f>SUMIF(IBP[Eis, Wens of Vraag],"Vraag",IBP[Max. te behalen punten])</f>
        <v>10</v>
      </c>
      <c r="J25" s="228">
        <f>SUMIF(IBP[Eis, Wens of Vraag],"Wens",IBP[Max. te behalen punten])</f>
        <v>0</v>
      </c>
      <c r="K25" s="236" t="s">
        <v>15</v>
      </c>
    </row>
    <row r="26" spans="1:11" ht="15.75" thickTop="1" x14ac:dyDescent="0.25">
      <c r="B26" t="s">
        <v>685</v>
      </c>
      <c r="C26">
        <f t="shared" ref="C26:D26" si="1">SUM(C2:C25)</f>
        <v>0</v>
      </c>
      <c r="D26">
        <f t="shared" si="1"/>
        <v>0</v>
      </c>
      <c r="E26">
        <f>SUM(E8:E13,E15,E19)</f>
        <v>0</v>
      </c>
      <c r="F26">
        <f>SUM(C26:E26)</f>
        <v>0</v>
      </c>
      <c r="H26">
        <f>IF(NOT(SUM(H2:H25)=SUM(I26:K26)),"FOUT",SUM(H2:H25))</f>
        <v>1770</v>
      </c>
      <c r="I26">
        <f>SUM(I2:I25)</f>
        <v>510</v>
      </c>
      <c r="J26">
        <f>SUM(J2:J25)</f>
        <v>860</v>
      </c>
      <c r="K26">
        <f>SUM(K2:K25)</f>
        <v>400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60973-7600-4835-A53E-8B27BB62A669}">
  <dimension ref="A1:J9"/>
  <sheetViews>
    <sheetView workbookViewId="0">
      <selection activeCell="B23" sqref="B23"/>
    </sheetView>
  </sheetViews>
  <sheetFormatPr defaultColWidth="9.140625" defaultRowHeight="14.25" x14ac:dyDescent="0.2"/>
  <cols>
    <col min="1" max="1" width="9.140625" style="13"/>
    <col min="2" max="2" width="64.5703125" style="13" customWidth="1"/>
    <col min="3" max="3" width="44.5703125" style="13" customWidth="1"/>
    <col min="4" max="4" width="12" style="13" customWidth="1"/>
    <col min="5" max="5" width="19.42578125" style="13" customWidth="1"/>
    <col min="6" max="6" width="23.28515625" style="13" customWidth="1"/>
    <col min="7" max="7" width="13.140625" style="13" customWidth="1"/>
    <col min="8" max="8" width="21.85546875" style="13" customWidth="1"/>
    <col min="9" max="9" width="9.28515625" style="13" customWidth="1"/>
    <col min="10" max="10" width="24.42578125" style="13" customWidth="1"/>
    <col min="11" max="16384" width="9.140625" style="13"/>
  </cols>
  <sheetData>
    <row r="1" spans="1:10" ht="27.75" x14ac:dyDescent="0.2">
      <c r="A1" s="31" t="s">
        <v>45</v>
      </c>
      <c r="B1" s="14"/>
      <c r="C1" s="32"/>
      <c r="D1" s="11"/>
      <c r="E1" s="11"/>
      <c r="F1" s="11"/>
      <c r="G1" s="11"/>
      <c r="H1" s="11"/>
    </row>
    <row r="2" spans="1:10" s="24" customFormat="1" ht="12.75" x14ac:dyDescent="0.2">
      <c r="A2" s="23"/>
      <c r="B2" s="40"/>
      <c r="C2" s="23"/>
      <c r="D2" s="23"/>
      <c r="E2" s="5"/>
      <c r="F2" s="5"/>
      <c r="G2" s="5"/>
      <c r="H2" s="5"/>
    </row>
    <row r="3" spans="1:10" s="24" customFormat="1" ht="12.75" x14ac:dyDescent="0.2">
      <c r="A3" s="23"/>
      <c r="B3" s="14"/>
      <c r="C3" s="23"/>
      <c r="D3" s="23"/>
      <c r="E3" s="5"/>
      <c r="F3" s="5"/>
      <c r="G3" s="5"/>
      <c r="H3" s="5"/>
    </row>
    <row r="4" spans="1:10" s="24" customFormat="1" ht="38.25" x14ac:dyDescent="0.2">
      <c r="A4" s="101" t="s">
        <v>1</v>
      </c>
      <c r="B4" s="72" t="s">
        <v>2</v>
      </c>
      <c r="C4" s="72" t="s">
        <v>3</v>
      </c>
      <c r="D4" s="102" t="s">
        <v>4</v>
      </c>
      <c r="E4" s="170" t="s">
        <v>5</v>
      </c>
      <c r="F4" s="102" t="s">
        <v>6</v>
      </c>
      <c r="G4" s="102" t="s">
        <v>7</v>
      </c>
      <c r="H4" s="102" t="s">
        <v>8</v>
      </c>
      <c r="I4" s="135" t="s">
        <v>9</v>
      </c>
      <c r="J4" s="217" t="s">
        <v>10</v>
      </c>
    </row>
    <row r="5" spans="1:10" s="24" customFormat="1" ht="96" customHeight="1" x14ac:dyDescent="0.2">
      <c r="A5" s="46" t="s">
        <v>46</v>
      </c>
      <c r="B5" s="47" t="s">
        <v>47</v>
      </c>
      <c r="C5" s="69"/>
      <c r="D5" s="77" t="s">
        <v>13</v>
      </c>
      <c r="E5" s="9" t="s">
        <v>14</v>
      </c>
      <c r="F5" s="177" t="s">
        <v>15</v>
      </c>
      <c r="G5" s="177" t="s">
        <v>15</v>
      </c>
      <c r="H5" s="183"/>
      <c r="I5" s="177" t="s">
        <v>15</v>
      </c>
      <c r="J5" s="229"/>
    </row>
    <row r="6" spans="1:10" s="24" customFormat="1" ht="89.25" x14ac:dyDescent="0.2">
      <c r="A6" s="46" t="s">
        <v>48</v>
      </c>
      <c r="B6" s="139" t="s">
        <v>49</v>
      </c>
      <c r="C6" s="178"/>
      <c r="D6" s="176" t="s">
        <v>13</v>
      </c>
      <c r="E6" s="9" t="s">
        <v>14</v>
      </c>
      <c r="F6" s="177" t="s">
        <v>15</v>
      </c>
      <c r="G6" s="177" t="s">
        <v>15</v>
      </c>
      <c r="H6" s="183"/>
      <c r="I6" s="177" t="s">
        <v>15</v>
      </c>
      <c r="J6" s="230"/>
    </row>
    <row r="7" spans="1:10" s="24" customFormat="1" ht="38.25" x14ac:dyDescent="0.2">
      <c r="A7" s="46" t="s">
        <v>50</v>
      </c>
      <c r="B7" s="47" t="s">
        <v>51</v>
      </c>
      <c r="C7" s="181"/>
      <c r="D7" s="77" t="s">
        <v>13</v>
      </c>
      <c r="E7" s="9" t="s">
        <v>14</v>
      </c>
      <c r="F7" s="177" t="s">
        <v>15</v>
      </c>
      <c r="G7" s="177" t="s">
        <v>15</v>
      </c>
      <c r="H7" s="183"/>
      <c r="I7" s="177" t="s">
        <v>15</v>
      </c>
      <c r="J7" s="229"/>
    </row>
    <row r="8" spans="1:10" x14ac:dyDescent="0.2">
      <c r="F8" s="157" t="s">
        <v>35</v>
      </c>
      <c r="G8" s="289">
        <f>SUM(G4:G7)</f>
        <v>0</v>
      </c>
      <c r="H8" s="54" t="s">
        <v>36</v>
      </c>
      <c r="I8" s="289">
        <f>SUM(I5:I7)</f>
        <v>0</v>
      </c>
    </row>
    <row r="9" spans="1:10" x14ac:dyDescent="0.2">
      <c r="B9" s="22"/>
    </row>
  </sheetData>
  <sheetProtection algorithmName="SHA-512" hashValue="S3zqgJhL/mHM9pCAsmLtntjDxv9YCF68P85kdl/zYNdcesq76c7Vzd9exmdFDa5TMBrEKmZSnZkxZ87wlGXiJQ==" saltValue="9Lm77R/91pg+Pl/C+Wj4RA==" spinCount="100000" sheet="1" objects="1" scenarios="1"/>
  <dataValidations count="1">
    <dataValidation type="list" allowBlank="1" showInputMessage="1" showErrorMessage="1" sqref="H5:H7" xr:uid="{5F95F469-8D5B-4023-9BE7-50272665956B}">
      <formula1>"Ja,Nee"</formula1>
    </dataValidation>
  </dataValidations>
  <pageMargins left="0.7" right="0.7" top="0.75" bottom="0.75" header="0.3" footer="0.3"/>
  <pageSetup paperSize="9" orientation="portrait" horizontalDpi="300" verticalDpi="3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A9E57-FE7E-4CB4-A63D-F18910B6C959}">
  <dimension ref="A1:J19"/>
  <sheetViews>
    <sheetView workbookViewId="0">
      <pane ySplit="4" topLeftCell="A11" activePane="bottomLeft" state="frozen"/>
      <selection activeCell="B23" sqref="B23"/>
      <selection pane="bottomLeft" activeCell="B23" sqref="B23"/>
    </sheetView>
  </sheetViews>
  <sheetFormatPr defaultColWidth="9.140625" defaultRowHeight="14.25" x14ac:dyDescent="0.2"/>
  <cols>
    <col min="1" max="1" width="9.140625" style="13"/>
    <col min="2" max="2" width="70.85546875" style="13" customWidth="1"/>
    <col min="3" max="3" width="51.5703125" style="13" customWidth="1"/>
    <col min="4" max="4" width="12.85546875" style="13" customWidth="1"/>
    <col min="5" max="5" width="18.85546875" style="13" customWidth="1"/>
    <col min="6" max="6" width="24.42578125" style="13" customWidth="1"/>
    <col min="7" max="7" width="14.5703125" style="13" customWidth="1"/>
    <col min="8" max="8" width="22.140625" style="13" customWidth="1"/>
    <col min="9" max="9" width="9.140625" style="13" customWidth="1"/>
    <col min="10" max="10" width="26.7109375" style="13" customWidth="1"/>
    <col min="11" max="16384" width="9.140625" style="13"/>
  </cols>
  <sheetData>
    <row r="1" spans="1:10" ht="27.75" x14ac:dyDescent="0.2">
      <c r="A1" s="31" t="s">
        <v>52</v>
      </c>
      <c r="B1" s="14"/>
      <c r="C1" s="32"/>
      <c r="D1" s="11"/>
      <c r="E1" s="11"/>
      <c r="F1" s="11"/>
      <c r="G1" s="11"/>
      <c r="H1" s="11"/>
    </row>
    <row r="2" spans="1:10" s="24" customFormat="1" ht="76.5" x14ac:dyDescent="0.2">
      <c r="A2" s="23"/>
      <c r="B2" s="12" t="s">
        <v>53</v>
      </c>
      <c r="C2" s="23"/>
      <c r="D2" s="23"/>
      <c r="E2" s="5"/>
      <c r="F2" s="5"/>
      <c r="G2" s="5"/>
      <c r="H2" s="5"/>
    </row>
    <row r="3" spans="1:10" s="24" customFormat="1" ht="12.75" x14ac:dyDescent="0.2">
      <c r="A3" s="23"/>
      <c r="B3" s="14"/>
      <c r="C3" s="23"/>
      <c r="D3" s="23"/>
      <c r="E3" s="5"/>
      <c r="F3" s="5"/>
      <c r="G3" s="5"/>
      <c r="H3" s="5"/>
    </row>
    <row r="4" spans="1:10" s="27" customFormat="1" ht="38.25" x14ac:dyDescent="0.2">
      <c r="A4" s="282" t="s">
        <v>1</v>
      </c>
      <c r="B4" s="16" t="s">
        <v>2</v>
      </c>
      <c r="C4" s="16" t="s">
        <v>3</v>
      </c>
      <c r="D4" s="17" t="s">
        <v>4</v>
      </c>
      <c r="E4" s="17" t="s">
        <v>5</v>
      </c>
      <c r="F4" s="17" t="s">
        <v>6</v>
      </c>
      <c r="G4" s="17" t="s">
        <v>7</v>
      </c>
      <c r="H4" s="17" t="s">
        <v>8</v>
      </c>
      <c r="I4" s="125" t="s">
        <v>9</v>
      </c>
      <c r="J4" s="217" t="s">
        <v>10</v>
      </c>
    </row>
    <row r="5" spans="1:10" s="24" customFormat="1" ht="25.5" x14ac:dyDescent="0.2">
      <c r="A5" s="216" t="s">
        <v>54</v>
      </c>
      <c r="B5" s="65" t="s">
        <v>55</v>
      </c>
      <c r="C5" s="65"/>
      <c r="D5" s="85" t="s">
        <v>13</v>
      </c>
      <c r="E5" s="85" t="s">
        <v>14</v>
      </c>
      <c r="F5" s="80" t="s">
        <v>15</v>
      </c>
      <c r="G5" s="80" t="s">
        <v>15</v>
      </c>
      <c r="H5" s="182"/>
      <c r="I5" s="126" t="s">
        <v>15</v>
      </c>
      <c r="J5" s="231"/>
    </row>
    <row r="6" spans="1:10" s="24" customFormat="1" ht="25.5" x14ac:dyDescent="0.2">
      <c r="A6" s="216" t="s">
        <v>56</v>
      </c>
      <c r="B6" s="65" t="s">
        <v>57</v>
      </c>
      <c r="C6" s="8"/>
      <c r="D6" s="85" t="s">
        <v>13</v>
      </c>
      <c r="E6" s="85" t="s">
        <v>14</v>
      </c>
      <c r="F6" s="80" t="s">
        <v>15</v>
      </c>
      <c r="G6" s="80" t="s">
        <v>15</v>
      </c>
      <c r="H6" s="182"/>
      <c r="I6" s="126" t="s">
        <v>15</v>
      </c>
      <c r="J6" s="231"/>
    </row>
    <row r="7" spans="1:10" s="24" customFormat="1" ht="38.25" x14ac:dyDescent="0.2">
      <c r="A7" s="216" t="s">
        <v>58</v>
      </c>
      <c r="B7" s="8" t="s">
        <v>715</v>
      </c>
      <c r="C7" s="8" t="s">
        <v>59</v>
      </c>
      <c r="D7" s="85" t="s">
        <v>13</v>
      </c>
      <c r="E7" s="85" t="s">
        <v>14</v>
      </c>
      <c r="F7" s="80" t="s">
        <v>15</v>
      </c>
      <c r="G7" s="80" t="s">
        <v>15</v>
      </c>
      <c r="H7" s="182"/>
      <c r="I7" s="126" t="s">
        <v>15</v>
      </c>
      <c r="J7" s="231"/>
    </row>
    <row r="8" spans="1:10" s="24" customFormat="1" ht="38.25" x14ac:dyDescent="0.2">
      <c r="A8" s="216" t="s">
        <v>60</v>
      </c>
      <c r="B8" s="8" t="s">
        <v>61</v>
      </c>
      <c r="C8" s="8" t="s">
        <v>59</v>
      </c>
      <c r="D8" s="9" t="s">
        <v>13</v>
      </c>
      <c r="E8" s="9" t="s">
        <v>14</v>
      </c>
      <c r="F8" s="19" t="s">
        <v>15</v>
      </c>
      <c r="G8" s="19" t="s">
        <v>15</v>
      </c>
      <c r="H8" s="183"/>
      <c r="I8" s="127" t="s">
        <v>15</v>
      </c>
      <c r="J8" s="232"/>
    </row>
    <row r="9" spans="1:10" s="24" customFormat="1" ht="38.25" x14ac:dyDescent="0.2">
      <c r="A9" s="216" t="s">
        <v>62</v>
      </c>
      <c r="B9" s="7" t="s">
        <v>63</v>
      </c>
      <c r="C9" s="7" t="s">
        <v>64</v>
      </c>
      <c r="D9" s="9" t="s">
        <v>13</v>
      </c>
      <c r="E9" s="9" t="s">
        <v>14</v>
      </c>
      <c r="F9" s="19" t="s">
        <v>15</v>
      </c>
      <c r="G9" s="19" t="s">
        <v>15</v>
      </c>
      <c r="H9" s="183"/>
      <c r="I9" s="127" t="s">
        <v>15</v>
      </c>
      <c r="J9" s="232"/>
    </row>
    <row r="10" spans="1:10" s="24" customFormat="1" ht="25.5" x14ac:dyDescent="0.2">
      <c r="A10" s="216" t="s">
        <v>65</v>
      </c>
      <c r="B10" s="76" t="s">
        <v>66</v>
      </c>
      <c r="C10" s="8" t="s">
        <v>67</v>
      </c>
      <c r="D10" s="85" t="s">
        <v>13</v>
      </c>
      <c r="E10" s="85" t="s">
        <v>14</v>
      </c>
      <c r="F10" s="80" t="s">
        <v>15</v>
      </c>
      <c r="G10" s="80" t="s">
        <v>15</v>
      </c>
      <c r="H10" s="182"/>
      <c r="I10" s="126" t="s">
        <v>15</v>
      </c>
      <c r="J10" s="232"/>
    </row>
    <row r="11" spans="1:10" s="24" customFormat="1" ht="25.5" x14ac:dyDescent="0.2">
      <c r="A11" s="216" t="s">
        <v>68</v>
      </c>
      <c r="B11" s="163" t="s">
        <v>69</v>
      </c>
      <c r="C11" s="8" t="s">
        <v>67</v>
      </c>
      <c r="D11" s="85" t="s">
        <v>13</v>
      </c>
      <c r="E11" s="85" t="s">
        <v>14</v>
      </c>
      <c r="F11" s="80" t="s">
        <v>15</v>
      </c>
      <c r="G11" s="80" t="s">
        <v>15</v>
      </c>
      <c r="H11" s="182"/>
      <c r="I11" s="126" t="s">
        <v>15</v>
      </c>
      <c r="J11" s="232"/>
    </row>
    <row r="12" spans="1:10" s="24" customFormat="1" ht="51" x14ac:dyDescent="0.2">
      <c r="A12" s="216" t="s">
        <v>70</v>
      </c>
      <c r="B12" s="25" t="s">
        <v>71</v>
      </c>
      <c r="C12" s="8" t="s">
        <v>67</v>
      </c>
      <c r="D12" s="85" t="s">
        <v>13</v>
      </c>
      <c r="E12" s="85" t="s">
        <v>14</v>
      </c>
      <c r="F12" s="80" t="s">
        <v>15</v>
      </c>
      <c r="G12" s="80" t="s">
        <v>15</v>
      </c>
      <c r="H12" s="182"/>
      <c r="I12" s="126" t="s">
        <v>15</v>
      </c>
      <c r="J12" s="232"/>
    </row>
    <row r="13" spans="1:10" s="24" customFormat="1" ht="38.25" x14ac:dyDescent="0.2">
      <c r="A13" s="216" t="s">
        <v>72</v>
      </c>
      <c r="B13" s="76" t="s">
        <v>73</v>
      </c>
      <c r="C13" s="8" t="s">
        <v>67</v>
      </c>
      <c r="D13" s="85" t="s">
        <v>13</v>
      </c>
      <c r="E13" s="85" t="s">
        <v>14</v>
      </c>
      <c r="F13" s="80" t="s">
        <v>15</v>
      </c>
      <c r="G13" s="80" t="s">
        <v>15</v>
      </c>
      <c r="H13" s="182"/>
      <c r="I13" s="126" t="s">
        <v>15</v>
      </c>
      <c r="J13" s="232"/>
    </row>
    <row r="14" spans="1:10" s="24" customFormat="1" ht="25.5" x14ac:dyDescent="0.2">
      <c r="A14" s="216" t="s">
        <v>74</v>
      </c>
      <c r="B14" s="163" t="s">
        <v>75</v>
      </c>
      <c r="C14" s="8" t="s">
        <v>67</v>
      </c>
      <c r="D14" s="85" t="s">
        <v>13</v>
      </c>
      <c r="E14" s="85" t="s">
        <v>14</v>
      </c>
      <c r="F14" s="80" t="s">
        <v>15</v>
      </c>
      <c r="G14" s="80" t="s">
        <v>15</v>
      </c>
      <c r="H14" s="182"/>
      <c r="I14" s="126" t="s">
        <v>15</v>
      </c>
      <c r="J14" s="232"/>
    </row>
    <row r="15" spans="1:10" s="24" customFormat="1" ht="25.5" x14ac:dyDescent="0.2">
      <c r="A15" s="216" t="s">
        <v>76</v>
      </c>
      <c r="B15" s="76" t="s">
        <v>77</v>
      </c>
      <c r="C15" s="8" t="s">
        <v>67</v>
      </c>
      <c r="D15" s="85" t="s">
        <v>13</v>
      </c>
      <c r="E15" s="85" t="s">
        <v>14</v>
      </c>
      <c r="F15" s="80" t="s">
        <v>15</v>
      </c>
      <c r="G15" s="80" t="s">
        <v>15</v>
      </c>
      <c r="H15" s="182"/>
      <c r="I15" s="126" t="s">
        <v>15</v>
      </c>
      <c r="J15" s="232"/>
    </row>
    <row r="16" spans="1:10" s="24" customFormat="1" ht="25.5" x14ac:dyDescent="0.2">
      <c r="A16" s="216" t="s">
        <v>78</v>
      </c>
      <c r="B16" s="163" t="s">
        <v>79</v>
      </c>
      <c r="C16" s="8" t="s">
        <v>67</v>
      </c>
      <c r="D16" s="85" t="s">
        <v>13</v>
      </c>
      <c r="E16" s="85" t="s">
        <v>14</v>
      </c>
      <c r="F16" s="80" t="s">
        <v>15</v>
      </c>
      <c r="G16" s="80" t="s">
        <v>15</v>
      </c>
      <c r="H16" s="182"/>
      <c r="I16" s="126" t="s">
        <v>15</v>
      </c>
      <c r="J16" s="232"/>
    </row>
    <row r="17" spans="1:10" s="24" customFormat="1" ht="25.5" x14ac:dyDescent="0.2">
      <c r="A17" s="216" t="s">
        <v>80</v>
      </c>
      <c r="B17" s="76" t="s">
        <v>81</v>
      </c>
      <c r="C17" s="8" t="s">
        <v>67</v>
      </c>
      <c r="D17" s="85" t="s">
        <v>13</v>
      </c>
      <c r="E17" s="85" t="s">
        <v>14</v>
      </c>
      <c r="F17" s="80" t="s">
        <v>15</v>
      </c>
      <c r="G17" s="80" t="s">
        <v>15</v>
      </c>
      <c r="H17" s="182"/>
      <c r="I17" s="126" t="s">
        <v>15</v>
      </c>
      <c r="J17" s="232"/>
    </row>
    <row r="18" spans="1:10" s="24" customFormat="1" ht="127.5" x14ac:dyDescent="0.2">
      <c r="A18" s="216" t="s">
        <v>82</v>
      </c>
      <c r="B18" s="93" t="s">
        <v>83</v>
      </c>
      <c r="C18" s="307" t="s">
        <v>725</v>
      </c>
      <c r="D18" s="95" t="s">
        <v>84</v>
      </c>
      <c r="E18" s="9" t="s">
        <v>15</v>
      </c>
      <c r="F18" s="172" t="s">
        <v>85</v>
      </c>
      <c r="G18" s="172">
        <v>20</v>
      </c>
      <c r="H18" s="95" t="s">
        <v>15</v>
      </c>
      <c r="I18" s="129"/>
      <c r="J18" s="232"/>
    </row>
    <row r="19" spans="1:10" x14ac:dyDescent="0.2">
      <c r="F19" s="157" t="s">
        <v>35</v>
      </c>
      <c r="G19" s="289">
        <f>SUM(G15:G18)</f>
        <v>20</v>
      </c>
      <c r="H19" s="54" t="s">
        <v>36</v>
      </c>
      <c r="I19" s="289">
        <f>SUM(I16:I18)</f>
        <v>0</v>
      </c>
    </row>
  </sheetData>
  <sheetProtection algorithmName="SHA-512" hashValue="VIhoRMSZS6exHtRalVrnVYE9qYBu6GXjZ/kb74h+PU893ml82W/c/WY7XqklUVKPeRZt97l17y1FiYEpsH8V2g==" saltValue="BQIK2iAoCvFfh0vNJlbOtQ==" spinCount="100000" sheet="1" objects="1" scenarios="1"/>
  <phoneticPr fontId="7" type="noConversion"/>
  <dataValidations count="1">
    <dataValidation type="list" allowBlank="1" showInputMessage="1" showErrorMessage="1" sqref="H5:H17" xr:uid="{B5D4873F-5856-41EB-9254-C32EDCD8B963}">
      <formula1>"Ja,Nee"</formula1>
    </dataValidation>
  </dataValidations>
  <pageMargins left="0.7" right="0.7" top="0.75" bottom="0.75" header="0.3" footer="0.3"/>
  <pageSetup paperSize="9" orientation="portrait" horizontalDpi="300" verticalDpi="3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AAB44-1E56-4C1F-935B-CD95B31AE6BD}">
  <dimension ref="A1:J40"/>
  <sheetViews>
    <sheetView workbookViewId="0">
      <pane ySplit="4" topLeftCell="A5" activePane="bottomLeft" state="frozen"/>
      <selection activeCell="B23" sqref="B23"/>
      <selection pane="bottomLeft" activeCell="B23" sqref="B23"/>
    </sheetView>
  </sheetViews>
  <sheetFormatPr defaultColWidth="9.140625" defaultRowHeight="14.25" x14ac:dyDescent="0.2"/>
  <cols>
    <col min="1" max="1" width="9.140625" style="13"/>
    <col min="2" max="2" width="65.5703125" style="13" customWidth="1"/>
    <col min="3" max="3" width="57.5703125" style="13" customWidth="1"/>
    <col min="4" max="4" width="13.28515625" style="13" customWidth="1"/>
    <col min="5" max="5" width="17.85546875" style="13" customWidth="1"/>
    <col min="6" max="6" width="24.140625" style="13" customWidth="1"/>
    <col min="7" max="7" width="15.42578125" style="13" customWidth="1"/>
    <col min="8" max="8" width="21.85546875" style="13" customWidth="1"/>
    <col min="9" max="9" width="8.28515625" style="13" customWidth="1"/>
    <col min="10" max="10" width="27" style="13" customWidth="1"/>
    <col min="11" max="16384" width="9.140625" style="13"/>
  </cols>
  <sheetData>
    <row r="1" spans="1:10" ht="27.75" x14ac:dyDescent="0.2">
      <c r="A1" s="31" t="s">
        <v>86</v>
      </c>
      <c r="B1" s="14"/>
      <c r="C1" s="32"/>
      <c r="D1" s="11"/>
      <c r="E1" s="11"/>
      <c r="F1" s="11"/>
      <c r="G1" s="11"/>
      <c r="H1" s="11"/>
    </row>
    <row r="2" spans="1:10" s="24" customFormat="1" ht="12.75" x14ac:dyDescent="0.2">
      <c r="A2" s="23"/>
      <c r="B2" s="14"/>
      <c r="C2" s="23"/>
      <c r="D2" s="23"/>
      <c r="E2" s="5"/>
      <c r="F2" s="5"/>
      <c r="G2" s="5"/>
      <c r="H2" s="5"/>
    </row>
    <row r="3" spans="1:10" s="24" customFormat="1" ht="12.75" x14ac:dyDescent="0.2">
      <c r="A3" s="23"/>
      <c r="B3" s="14"/>
      <c r="C3" s="23"/>
      <c r="D3" s="23"/>
      <c r="E3" s="5"/>
      <c r="F3" s="5"/>
      <c r="G3" s="5"/>
      <c r="H3" s="5"/>
    </row>
    <row r="4" spans="1:10" s="24" customFormat="1" ht="25.5" x14ac:dyDescent="0.2">
      <c r="A4" s="214" t="s">
        <v>1</v>
      </c>
      <c r="B4" s="16" t="s">
        <v>2</v>
      </c>
      <c r="C4" s="15" t="s">
        <v>3</v>
      </c>
      <c r="D4" s="17" t="s">
        <v>4</v>
      </c>
      <c r="E4" s="17" t="s">
        <v>5</v>
      </c>
      <c r="F4" s="17" t="s">
        <v>6</v>
      </c>
      <c r="G4" s="17" t="s">
        <v>7</v>
      </c>
      <c r="H4" s="17" t="s">
        <v>8</v>
      </c>
      <c r="I4" s="125" t="s">
        <v>9</v>
      </c>
      <c r="J4" s="217" t="s">
        <v>10</v>
      </c>
    </row>
    <row r="5" spans="1:10" s="24" customFormat="1" ht="25.5" x14ac:dyDescent="0.2">
      <c r="A5" s="216" t="s">
        <v>87</v>
      </c>
      <c r="B5" s="65" t="s">
        <v>88</v>
      </c>
      <c r="C5" s="65" t="s">
        <v>89</v>
      </c>
      <c r="D5" s="85" t="s">
        <v>13</v>
      </c>
      <c r="E5" s="85" t="s">
        <v>14</v>
      </c>
      <c r="F5" s="80" t="s">
        <v>15</v>
      </c>
      <c r="G5" s="80" t="s">
        <v>15</v>
      </c>
      <c r="H5" s="182"/>
      <c r="I5" s="126" t="s">
        <v>15</v>
      </c>
      <c r="J5" s="231"/>
    </row>
    <row r="6" spans="1:10" s="24" customFormat="1" ht="51" x14ac:dyDescent="0.2">
      <c r="A6" s="216" t="s">
        <v>90</v>
      </c>
      <c r="B6" s="8" t="s">
        <v>91</v>
      </c>
      <c r="C6" s="65" t="s">
        <v>92</v>
      </c>
      <c r="D6" s="85" t="s">
        <v>13</v>
      </c>
      <c r="E6" s="85" t="s">
        <v>14</v>
      </c>
      <c r="F6" s="80" t="s">
        <v>15</v>
      </c>
      <c r="G6" s="80" t="s">
        <v>15</v>
      </c>
      <c r="H6" s="182"/>
      <c r="I6" s="126" t="s">
        <v>15</v>
      </c>
      <c r="J6" s="232"/>
    </row>
    <row r="7" spans="1:10" s="24" customFormat="1" ht="25.5" x14ac:dyDescent="0.2">
      <c r="A7" s="216" t="s">
        <v>93</v>
      </c>
      <c r="B7" s="8" t="s">
        <v>94</v>
      </c>
      <c r="C7" s="65"/>
      <c r="D7" s="85" t="s">
        <v>13</v>
      </c>
      <c r="E7" s="85" t="s">
        <v>14</v>
      </c>
      <c r="F7" s="80" t="s">
        <v>15</v>
      </c>
      <c r="G7" s="80" t="s">
        <v>15</v>
      </c>
      <c r="H7" s="182"/>
      <c r="I7" s="126" t="s">
        <v>15</v>
      </c>
      <c r="J7" s="232"/>
    </row>
    <row r="8" spans="1:10" s="24" customFormat="1" ht="51" x14ac:dyDescent="0.2">
      <c r="A8" s="216" t="s">
        <v>95</v>
      </c>
      <c r="B8" s="67" t="s">
        <v>729</v>
      </c>
      <c r="C8" s="67" t="s">
        <v>728</v>
      </c>
      <c r="D8" s="9" t="s">
        <v>13</v>
      </c>
      <c r="E8" s="9" t="s">
        <v>14</v>
      </c>
      <c r="F8" s="19" t="s">
        <v>15</v>
      </c>
      <c r="G8" s="19" t="s">
        <v>15</v>
      </c>
      <c r="H8" s="183"/>
      <c r="I8" s="127" t="s">
        <v>15</v>
      </c>
      <c r="J8" s="232"/>
    </row>
    <row r="9" spans="1:10" s="24" customFormat="1" ht="25.5" x14ac:dyDescent="0.2">
      <c r="A9" s="216" t="s">
        <v>96</v>
      </c>
      <c r="B9" s="7" t="s">
        <v>97</v>
      </c>
      <c r="C9" s="7" t="s">
        <v>98</v>
      </c>
      <c r="D9" s="9" t="s">
        <v>13</v>
      </c>
      <c r="E9" s="9" t="s">
        <v>14</v>
      </c>
      <c r="F9" s="19" t="s">
        <v>15</v>
      </c>
      <c r="G9" s="19" t="s">
        <v>15</v>
      </c>
      <c r="H9" s="183"/>
      <c r="I9" s="127" t="s">
        <v>15</v>
      </c>
      <c r="J9" s="232"/>
    </row>
    <row r="10" spans="1:10" s="24" customFormat="1" ht="12.75" x14ac:dyDescent="0.2">
      <c r="A10" s="216" t="s">
        <v>99</v>
      </c>
      <c r="B10" s="76" t="s">
        <v>100</v>
      </c>
      <c r="C10" s="76"/>
      <c r="D10" s="85" t="s">
        <v>13</v>
      </c>
      <c r="E10" s="85" t="s">
        <v>14</v>
      </c>
      <c r="F10" s="80" t="s">
        <v>15</v>
      </c>
      <c r="G10" s="80" t="s">
        <v>15</v>
      </c>
      <c r="H10" s="182"/>
      <c r="I10" s="126" t="s">
        <v>15</v>
      </c>
      <c r="J10" s="232"/>
    </row>
    <row r="11" spans="1:10" s="24" customFormat="1" ht="25.5" x14ac:dyDescent="0.2">
      <c r="A11" s="216" t="s">
        <v>101</v>
      </c>
      <c r="B11" s="163" t="s">
        <v>102</v>
      </c>
      <c r="C11" s="76" t="s">
        <v>103</v>
      </c>
      <c r="D11" s="85" t="s">
        <v>13</v>
      </c>
      <c r="E11" s="85" t="s">
        <v>14</v>
      </c>
      <c r="F11" s="80" t="s">
        <v>15</v>
      </c>
      <c r="G11" s="80" t="s">
        <v>15</v>
      </c>
      <c r="H11" s="182"/>
      <c r="I11" s="126" t="s">
        <v>15</v>
      </c>
      <c r="J11" s="232"/>
    </row>
    <row r="12" spans="1:10" s="24" customFormat="1" ht="25.5" x14ac:dyDescent="0.2">
      <c r="A12" s="216" t="s">
        <v>104</v>
      </c>
      <c r="B12" s="76" t="s">
        <v>105</v>
      </c>
      <c r="C12" s="76" t="s">
        <v>106</v>
      </c>
      <c r="D12" s="85" t="s">
        <v>13</v>
      </c>
      <c r="E12" s="85" t="s">
        <v>14</v>
      </c>
      <c r="F12" s="80" t="s">
        <v>15</v>
      </c>
      <c r="G12" s="80" t="s">
        <v>15</v>
      </c>
      <c r="H12" s="182"/>
      <c r="I12" s="126" t="s">
        <v>15</v>
      </c>
      <c r="J12" s="232"/>
    </row>
    <row r="13" spans="1:10" s="24" customFormat="1" ht="84" customHeight="1" x14ac:dyDescent="0.2">
      <c r="A13" s="216" t="s">
        <v>107</v>
      </c>
      <c r="B13" s="163" t="s">
        <v>108</v>
      </c>
      <c r="C13" s="76"/>
      <c r="D13" s="85" t="s">
        <v>13</v>
      </c>
      <c r="E13" s="85" t="s">
        <v>14</v>
      </c>
      <c r="F13" s="80" t="s">
        <v>15</v>
      </c>
      <c r="G13" s="80" t="s">
        <v>15</v>
      </c>
      <c r="H13" s="182"/>
      <c r="I13" s="126" t="s">
        <v>15</v>
      </c>
      <c r="J13" s="232"/>
    </row>
    <row r="14" spans="1:10" s="24" customFormat="1" ht="51" x14ac:dyDescent="0.2">
      <c r="A14" s="216" t="s">
        <v>109</v>
      </c>
      <c r="B14" s="78" t="s">
        <v>110</v>
      </c>
      <c r="C14" s="76"/>
      <c r="D14" s="85" t="s">
        <v>13</v>
      </c>
      <c r="E14" s="85" t="s">
        <v>14</v>
      </c>
      <c r="F14" s="80" t="s">
        <v>15</v>
      </c>
      <c r="G14" s="80" t="s">
        <v>15</v>
      </c>
      <c r="H14" s="182"/>
      <c r="I14" s="126" t="s">
        <v>15</v>
      </c>
      <c r="J14" s="232"/>
    </row>
    <row r="15" spans="1:10" s="24" customFormat="1" ht="38.25" x14ac:dyDescent="0.2">
      <c r="A15" s="216" t="s">
        <v>111</v>
      </c>
      <c r="B15" s="163" t="s">
        <v>112</v>
      </c>
      <c r="C15" s="76"/>
      <c r="D15" s="85" t="s">
        <v>13</v>
      </c>
      <c r="E15" s="85" t="s">
        <v>14</v>
      </c>
      <c r="F15" s="80" t="s">
        <v>15</v>
      </c>
      <c r="G15" s="80" t="s">
        <v>15</v>
      </c>
      <c r="H15" s="182"/>
      <c r="I15" s="126" t="s">
        <v>15</v>
      </c>
      <c r="J15" s="232"/>
    </row>
    <row r="16" spans="1:10" s="24" customFormat="1" ht="25.5" x14ac:dyDescent="0.2">
      <c r="A16" s="216" t="s">
        <v>113</v>
      </c>
      <c r="B16" s="163" t="s">
        <v>114</v>
      </c>
      <c r="C16" s="76"/>
      <c r="D16" s="85" t="s">
        <v>13</v>
      </c>
      <c r="E16" s="85" t="s">
        <v>14</v>
      </c>
      <c r="F16" s="80" t="s">
        <v>15</v>
      </c>
      <c r="G16" s="80" t="s">
        <v>15</v>
      </c>
      <c r="H16" s="182"/>
      <c r="I16" s="126" t="s">
        <v>15</v>
      </c>
      <c r="J16" s="232"/>
    </row>
    <row r="17" spans="1:10" s="24" customFormat="1" ht="25.5" x14ac:dyDescent="0.2">
      <c r="A17" s="216" t="s">
        <v>115</v>
      </c>
      <c r="B17" s="86" t="s">
        <v>116</v>
      </c>
      <c r="C17" s="76"/>
      <c r="D17" s="85" t="s">
        <v>13</v>
      </c>
      <c r="E17" s="85" t="s">
        <v>14</v>
      </c>
      <c r="F17" s="80" t="s">
        <v>15</v>
      </c>
      <c r="G17" s="80" t="s">
        <v>15</v>
      </c>
      <c r="H17" s="182"/>
      <c r="I17" s="126" t="s">
        <v>15</v>
      </c>
      <c r="J17" s="232"/>
    </row>
    <row r="18" spans="1:10" s="24" customFormat="1" ht="38.25" x14ac:dyDescent="0.2">
      <c r="A18" s="216" t="s">
        <v>117</v>
      </c>
      <c r="B18" s="87" t="s">
        <v>118</v>
      </c>
      <c r="C18" s="81" t="s">
        <v>119</v>
      </c>
      <c r="D18" s="85" t="s">
        <v>13</v>
      </c>
      <c r="E18" s="85" t="s">
        <v>14</v>
      </c>
      <c r="F18" s="80" t="s">
        <v>15</v>
      </c>
      <c r="G18" s="80" t="s">
        <v>15</v>
      </c>
      <c r="H18" s="182"/>
      <c r="I18" s="126" t="s">
        <v>15</v>
      </c>
      <c r="J18" s="232"/>
    </row>
    <row r="19" spans="1:10" s="24" customFormat="1" ht="25.5" x14ac:dyDescent="0.2">
      <c r="A19" s="216" t="s">
        <v>120</v>
      </c>
      <c r="B19" s="51" t="s">
        <v>121</v>
      </c>
      <c r="C19" s="76" t="s">
        <v>122</v>
      </c>
      <c r="D19" s="85" t="s">
        <v>13</v>
      </c>
      <c r="E19" s="85" t="s">
        <v>14</v>
      </c>
      <c r="F19" s="80" t="s">
        <v>15</v>
      </c>
      <c r="G19" s="80" t="s">
        <v>15</v>
      </c>
      <c r="H19" s="182"/>
      <c r="I19" s="126" t="s">
        <v>15</v>
      </c>
      <c r="J19" s="232"/>
    </row>
    <row r="20" spans="1:10" s="24" customFormat="1" ht="38.25" x14ac:dyDescent="0.2">
      <c r="A20" s="216" t="s">
        <v>123</v>
      </c>
      <c r="B20" s="87" t="s">
        <v>124</v>
      </c>
      <c r="C20" s="76"/>
      <c r="D20" s="85" t="s">
        <v>13</v>
      </c>
      <c r="E20" s="85" t="s">
        <v>14</v>
      </c>
      <c r="F20" s="80" t="s">
        <v>15</v>
      </c>
      <c r="G20" s="80" t="s">
        <v>15</v>
      </c>
      <c r="H20" s="182"/>
      <c r="I20" s="126" t="s">
        <v>15</v>
      </c>
      <c r="J20" s="232"/>
    </row>
    <row r="21" spans="1:10" s="24" customFormat="1" ht="51" x14ac:dyDescent="0.2">
      <c r="A21" s="216" t="s">
        <v>125</v>
      </c>
      <c r="B21" s="51" t="s">
        <v>126</v>
      </c>
      <c r="C21" s="87" t="s">
        <v>127</v>
      </c>
      <c r="D21" s="88" t="s">
        <v>13</v>
      </c>
      <c r="E21" s="88" t="s">
        <v>14</v>
      </c>
      <c r="F21" s="89" t="s">
        <v>15</v>
      </c>
      <c r="G21" s="89" t="s">
        <v>15</v>
      </c>
      <c r="H21" s="184"/>
      <c r="I21" s="128" t="s">
        <v>15</v>
      </c>
      <c r="J21" s="232"/>
    </row>
    <row r="22" spans="1:10" s="24" customFormat="1" ht="39" customHeight="1" x14ac:dyDescent="0.2">
      <c r="A22" s="216" t="s">
        <v>128</v>
      </c>
      <c r="B22" s="8" t="s">
        <v>129</v>
      </c>
      <c r="C22" s="164" t="s">
        <v>130</v>
      </c>
      <c r="D22" s="85" t="s">
        <v>13</v>
      </c>
      <c r="E22" s="85" t="s">
        <v>14</v>
      </c>
      <c r="F22" s="80" t="s">
        <v>15</v>
      </c>
      <c r="G22" s="80" t="s">
        <v>15</v>
      </c>
      <c r="H22" s="182"/>
      <c r="I22" s="126" t="s">
        <v>15</v>
      </c>
      <c r="J22" s="232"/>
    </row>
    <row r="23" spans="1:10" s="24" customFormat="1" ht="38.25" x14ac:dyDescent="0.2">
      <c r="A23" s="216" t="s">
        <v>131</v>
      </c>
      <c r="B23" s="65" t="s">
        <v>132</v>
      </c>
      <c r="C23" s="164"/>
      <c r="D23" s="85" t="s">
        <v>13</v>
      </c>
      <c r="E23" s="85" t="s">
        <v>14</v>
      </c>
      <c r="F23" s="80" t="s">
        <v>15</v>
      </c>
      <c r="G23" s="80" t="s">
        <v>15</v>
      </c>
      <c r="H23" s="182"/>
      <c r="I23" s="126" t="s">
        <v>15</v>
      </c>
      <c r="J23" s="232"/>
    </row>
    <row r="24" spans="1:10" s="24" customFormat="1" ht="25.5" x14ac:dyDescent="0.2">
      <c r="A24" s="216" t="s">
        <v>133</v>
      </c>
      <c r="B24" s="65" t="s">
        <v>134</v>
      </c>
      <c r="C24" s="164"/>
      <c r="D24" s="85" t="s">
        <v>13</v>
      </c>
      <c r="E24" s="85" t="s">
        <v>14</v>
      </c>
      <c r="F24" s="80" t="s">
        <v>15</v>
      </c>
      <c r="G24" s="80" t="s">
        <v>15</v>
      </c>
      <c r="H24" s="182"/>
      <c r="I24" s="126" t="s">
        <v>15</v>
      </c>
      <c r="J24" s="232"/>
    </row>
    <row r="25" spans="1:10" s="24" customFormat="1" ht="38.25" x14ac:dyDescent="0.2">
      <c r="A25" s="216" t="s">
        <v>135</v>
      </c>
      <c r="B25" s="8" t="s">
        <v>726</v>
      </c>
      <c r="C25" s="164"/>
      <c r="D25" s="85" t="s">
        <v>13</v>
      </c>
      <c r="E25" s="85" t="s">
        <v>14</v>
      </c>
      <c r="F25" s="80" t="s">
        <v>15</v>
      </c>
      <c r="G25" s="80" t="s">
        <v>15</v>
      </c>
      <c r="H25" s="182"/>
      <c r="I25" s="126" t="s">
        <v>15</v>
      </c>
      <c r="J25" s="232"/>
    </row>
    <row r="26" spans="1:10" s="24" customFormat="1" ht="63.75" x14ac:dyDescent="0.2">
      <c r="A26" s="216" t="s">
        <v>136</v>
      </c>
      <c r="B26" s="65" t="s">
        <v>137</v>
      </c>
      <c r="C26" s="164"/>
      <c r="D26" s="85" t="s">
        <v>13</v>
      </c>
      <c r="E26" s="85" t="s">
        <v>14</v>
      </c>
      <c r="F26" s="80" t="s">
        <v>15</v>
      </c>
      <c r="G26" s="80" t="s">
        <v>15</v>
      </c>
      <c r="H26" s="182"/>
      <c r="I26" s="126" t="s">
        <v>15</v>
      </c>
      <c r="J26" s="232"/>
    </row>
    <row r="27" spans="1:10" s="24" customFormat="1" ht="25.5" x14ac:dyDescent="0.2">
      <c r="A27" s="216" t="s">
        <v>138</v>
      </c>
      <c r="B27" s="99" t="s">
        <v>139</v>
      </c>
      <c r="C27" s="164"/>
      <c r="D27" s="85" t="s">
        <v>13</v>
      </c>
      <c r="E27" s="85" t="s">
        <v>14</v>
      </c>
      <c r="F27" s="80" t="s">
        <v>15</v>
      </c>
      <c r="G27" s="80" t="s">
        <v>15</v>
      </c>
      <c r="H27" s="182"/>
      <c r="I27" s="126" t="s">
        <v>15</v>
      </c>
      <c r="J27" s="232"/>
    </row>
    <row r="28" spans="1:10" s="24" customFormat="1" ht="25.5" customHeight="1" x14ac:dyDescent="0.2">
      <c r="A28" s="216" t="s">
        <v>140</v>
      </c>
      <c r="B28" s="139" t="s">
        <v>141</v>
      </c>
      <c r="C28" s="111"/>
      <c r="D28" s="85" t="s">
        <v>13</v>
      </c>
      <c r="E28" s="85" t="s">
        <v>14</v>
      </c>
      <c r="F28" s="80" t="s">
        <v>15</v>
      </c>
      <c r="G28" s="80" t="s">
        <v>15</v>
      </c>
      <c r="H28" s="182"/>
      <c r="I28" s="126" t="s">
        <v>15</v>
      </c>
      <c r="J28" s="232"/>
    </row>
    <row r="29" spans="1:10" s="24" customFormat="1" ht="37.5" customHeight="1" x14ac:dyDescent="0.2">
      <c r="A29" s="216" t="s">
        <v>142</v>
      </c>
      <c r="B29" s="191" t="s">
        <v>143</v>
      </c>
      <c r="C29" s="119" t="s">
        <v>144</v>
      </c>
      <c r="D29" s="90" t="s">
        <v>13</v>
      </c>
      <c r="E29" s="85" t="s">
        <v>14</v>
      </c>
      <c r="F29" s="80" t="s">
        <v>15</v>
      </c>
      <c r="G29" s="80" t="s">
        <v>15</v>
      </c>
      <c r="H29" s="182"/>
      <c r="I29" s="126" t="s">
        <v>15</v>
      </c>
      <c r="J29" s="232"/>
    </row>
    <row r="30" spans="1:10" s="24" customFormat="1" ht="25.5" x14ac:dyDescent="0.2">
      <c r="A30" s="216" t="s">
        <v>145</v>
      </c>
      <c r="B30" s="190" t="s">
        <v>146</v>
      </c>
      <c r="C30" s="93"/>
      <c r="D30" s="153" t="s">
        <v>13</v>
      </c>
      <c r="E30" s="153" t="s">
        <v>14</v>
      </c>
      <c r="F30" s="154" t="s">
        <v>15</v>
      </c>
      <c r="G30" s="154" t="s">
        <v>15</v>
      </c>
      <c r="H30" s="185"/>
      <c r="I30" s="165" t="s">
        <v>15</v>
      </c>
      <c r="J30" s="232"/>
    </row>
    <row r="31" spans="1:10" s="24" customFormat="1" ht="25.5" x14ac:dyDescent="0.2">
      <c r="A31" s="216" t="s">
        <v>147</v>
      </c>
      <c r="B31" s="122" t="s">
        <v>148</v>
      </c>
      <c r="C31" s="114"/>
      <c r="D31" s="91" t="s">
        <v>13</v>
      </c>
      <c r="E31" s="91" t="s">
        <v>14</v>
      </c>
      <c r="F31" s="92" t="s">
        <v>15</v>
      </c>
      <c r="G31" s="92" t="s">
        <v>15</v>
      </c>
      <c r="H31" s="186"/>
      <c r="I31" s="166" t="s">
        <v>15</v>
      </c>
      <c r="J31" s="232"/>
    </row>
    <row r="32" spans="1:10" s="24" customFormat="1" ht="38.25" x14ac:dyDescent="0.2">
      <c r="A32" s="216" t="s">
        <v>730</v>
      </c>
      <c r="B32" s="68" t="s">
        <v>732</v>
      </c>
      <c r="C32" s="67" t="s">
        <v>731</v>
      </c>
      <c r="D32" s="48" t="s">
        <v>150</v>
      </c>
      <c r="E32" s="308" t="s">
        <v>328</v>
      </c>
      <c r="F32" s="49" t="s">
        <v>15</v>
      </c>
      <c r="G32" s="92">
        <v>5</v>
      </c>
      <c r="H32" s="186"/>
      <c r="I32" s="291">
        <f>IF(Architectuur[[#This Row],[Voldoet de oplossing? ja/nee]]="Ja",Architectuur[[#This Row],[Max. te behalen punten]],0)</f>
        <v>0</v>
      </c>
      <c r="J32" s="232"/>
    </row>
    <row r="33" spans="1:10" s="24" customFormat="1" ht="127.5" x14ac:dyDescent="0.2">
      <c r="A33" s="216" t="s">
        <v>149</v>
      </c>
      <c r="B33" s="124" t="s">
        <v>153</v>
      </c>
      <c r="C33" s="55" t="s">
        <v>154</v>
      </c>
      <c r="D33" s="91" t="s">
        <v>84</v>
      </c>
      <c r="E33" s="9" t="s">
        <v>15</v>
      </c>
      <c r="F33" s="172" t="s">
        <v>85</v>
      </c>
      <c r="G33" s="172">
        <v>20</v>
      </c>
      <c r="H33" s="95" t="s">
        <v>15</v>
      </c>
      <c r="I33" s="129"/>
      <c r="J33" s="232"/>
    </row>
    <row r="34" spans="1:10" s="24" customFormat="1" ht="51" x14ac:dyDescent="0.2">
      <c r="A34" s="216" t="s">
        <v>152</v>
      </c>
      <c r="B34" s="97" t="s">
        <v>155</v>
      </c>
      <c r="C34" s="94" t="s">
        <v>156</v>
      </c>
      <c r="D34" s="91" t="s">
        <v>84</v>
      </c>
      <c r="E34" s="9" t="s">
        <v>15</v>
      </c>
      <c r="F34" s="172" t="s">
        <v>157</v>
      </c>
      <c r="G34" s="172">
        <v>15</v>
      </c>
      <c r="H34" s="95" t="s">
        <v>15</v>
      </c>
      <c r="I34" s="129"/>
      <c r="J34" s="232"/>
    </row>
    <row r="35" spans="1:10" x14ac:dyDescent="0.2">
      <c r="F35" s="157" t="s">
        <v>35</v>
      </c>
      <c r="G35" s="289">
        <f>SUM(G5:G34)</f>
        <v>40</v>
      </c>
      <c r="H35" s="54" t="s">
        <v>36</v>
      </c>
      <c r="I35" s="289">
        <f>SUM(I5:I34)</f>
        <v>0</v>
      </c>
    </row>
    <row r="36" spans="1:10" s="24" customFormat="1" ht="12.75" x14ac:dyDescent="0.2">
      <c r="B36" s="27"/>
      <c r="C36" s="27"/>
      <c r="D36" s="28"/>
      <c r="E36" s="28"/>
    </row>
    <row r="37" spans="1:10" s="24" customFormat="1" ht="12.75" x14ac:dyDescent="0.2"/>
    <row r="38" spans="1:10" s="24" customFormat="1" ht="12.75" x14ac:dyDescent="0.2"/>
    <row r="39" spans="1:10" s="24" customFormat="1" ht="12.75" x14ac:dyDescent="0.2"/>
    <row r="40" spans="1:10" x14ac:dyDescent="0.2">
      <c r="B40" s="24"/>
      <c r="C40" s="24"/>
      <c r="D40" s="24"/>
      <c r="E40" s="24"/>
      <c r="F40" s="24"/>
      <c r="G40" s="24"/>
      <c r="H40" s="24"/>
      <c r="I40" s="24"/>
    </row>
  </sheetData>
  <sheetProtection algorithmName="SHA-512" hashValue="xJKcaicjXjKvIu/hSIwVhEUuHhJ5lgL09+41rb/YQd+QLe1GpHw0nL8elggOn/WFr/EP74Xf3RgWkEUCmEut5Q==" saltValue="M3gtP29dHzISR+pPZmiVNA==" spinCount="100000" sheet="1" objects="1" scenarios="1"/>
  <phoneticPr fontId="7" type="noConversion"/>
  <dataValidations count="1">
    <dataValidation type="list" allowBlank="1" showInputMessage="1" showErrorMessage="1" sqref="H5:H32" xr:uid="{0EE60D12-6CDF-4DAD-B4C1-150618F06D09}">
      <formula1>"Ja,Nee"</formula1>
    </dataValidation>
  </dataValidations>
  <pageMargins left="0.7" right="0.7" top="0.75" bottom="0.75" header="0.3" footer="0.3"/>
  <pageSetup paperSize="9" orientation="portrait" horizontalDpi="300" verticalDpi="30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72F7A-E0EA-438C-864D-6C9AF3A27393}">
  <dimension ref="A1:J12"/>
  <sheetViews>
    <sheetView workbookViewId="0">
      <selection activeCell="B23" sqref="B23"/>
    </sheetView>
  </sheetViews>
  <sheetFormatPr defaultColWidth="9.140625" defaultRowHeight="14.25" x14ac:dyDescent="0.2"/>
  <cols>
    <col min="1" max="1" width="9.140625" style="13"/>
    <col min="2" max="2" width="64.5703125" style="13" customWidth="1"/>
    <col min="3" max="3" width="54" style="13" customWidth="1"/>
    <col min="4" max="4" width="12.42578125" style="13" customWidth="1"/>
    <col min="5" max="5" width="18.140625" style="13" customWidth="1"/>
    <col min="6" max="6" width="24.7109375" style="13" customWidth="1"/>
    <col min="7" max="7" width="16.42578125" style="13" customWidth="1"/>
    <col min="8" max="8" width="21.7109375" style="13" customWidth="1"/>
    <col min="9" max="9" width="11" style="13" customWidth="1"/>
    <col min="10" max="10" width="24.5703125" style="13" customWidth="1"/>
    <col min="11" max="16384" width="9.140625" style="13"/>
  </cols>
  <sheetData>
    <row r="1" spans="1:10" ht="27.75" x14ac:dyDescent="0.2">
      <c r="A1" s="31" t="s">
        <v>158</v>
      </c>
      <c r="B1" s="14"/>
      <c r="C1" s="32"/>
      <c r="D1" s="11"/>
      <c r="E1" s="11"/>
      <c r="F1" s="11"/>
      <c r="G1" s="11"/>
      <c r="H1" s="11"/>
    </row>
    <row r="2" spans="1:10" s="24" customFormat="1" ht="12.75" x14ac:dyDescent="0.2">
      <c r="A2" s="23"/>
      <c r="B2" s="40"/>
      <c r="C2" s="23"/>
      <c r="D2" s="23"/>
      <c r="E2" s="5"/>
      <c r="F2" s="5"/>
      <c r="G2" s="5"/>
      <c r="H2" s="5"/>
    </row>
    <row r="3" spans="1:10" s="24" customFormat="1" ht="12.75" x14ac:dyDescent="0.2">
      <c r="A3" s="23"/>
      <c r="B3" s="14"/>
      <c r="C3" s="23"/>
      <c r="D3" s="23"/>
      <c r="E3" s="5"/>
      <c r="F3" s="5"/>
      <c r="G3" s="5"/>
      <c r="H3" s="5"/>
    </row>
    <row r="4" spans="1:10" s="27" customFormat="1" ht="25.5" x14ac:dyDescent="0.2">
      <c r="A4" s="72" t="s">
        <v>1</v>
      </c>
      <c r="B4" s="72" t="s">
        <v>2</v>
      </c>
      <c r="C4" s="72" t="s">
        <v>3</v>
      </c>
      <c r="D4" s="102" t="s">
        <v>4</v>
      </c>
      <c r="E4" s="170" t="s">
        <v>5</v>
      </c>
      <c r="F4" s="102" t="s">
        <v>6</v>
      </c>
      <c r="G4" s="102" t="s">
        <v>7</v>
      </c>
      <c r="H4" s="102" t="s">
        <v>8</v>
      </c>
      <c r="I4" s="135" t="s">
        <v>9</v>
      </c>
      <c r="J4" s="217" t="s">
        <v>10</v>
      </c>
    </row>
    <row r="5" spans="1:10" s="24" customFormat="1" ht="25.5" x14ac:dyDescent="0.2">
      <c r="A5" s="46" t="s">
        <v>159</v>
      </c>
      <c r="B5" s="47" t="s">
        <v>678</v>
      </c>
      <c r="C5" s="69" t="s">
        <v>679</v>
      </c>
      <c r="D5" s="77" t="s">
        <v>13</v>
      </c>
      <c r="E5" s="9" t="s">
        <v>14</v>
      </c>
      <c r="F5" s="177" t="s">
        <v>15</v>
      </c>
      <c r="G5" s="177" t="s">
        <v>15</v>
      </c>
      <c r="H5" s="183"/>
      <c r="I5" s="177" t="s">
        <v>15</v>
      </c>
      <c r="J5" s="229"/>
    </row>
    <row r="6" spans="1:10" s="24" customFormat="1" ht="38.25" x14ac:dyDescent="0.2">
      <c r="A6" s="46" t="s">
        <v>160</v>
      </c>
      <c r="B6" s="139" t="s">
        <v>161</v>
      </c>
      <c r="C6" s="178" t="s">
        <v>162</v>
      </c>
      <c r="D6" s="176" t="s">
        <v>13</v>
      </c>
      <c r="E6" s="9" t="s">
        <v>14</v>
      </c>
      <c r="F6" s="177" t="s">
        <v>15</v>
      </c>
      <c r="G6" s="177" t="s">
        <v>15</v>
      </c>
      <c r="H6" s="183"/>
      <c r="I6" s="177" t="s">
        <v>15</v>
      </c>
      <c r="J6" s="230"/>
    </row>
    <row r="7" spans="1:10" s="24" customFormat="1" ht="38.25" x14ac:dyDescent="0.2">
      <c r="A7" s="46" t="s">
        <v>163</v>
      </c>
      <c r="B7" s="47" t="s">
        <v>164</v>
      </c>
      <c r="C7" s="181"/>
      <c r="D7" s="77" t="s">
        <v>13</v>
      </c>
      <c r="E7" s="9" t="s">
        <v>14</v>
      </c>
      <c r="F7" s="177" t="s">
        <v>15</v>
      </c>
      <c r="G7" s="177" t="s">
        <v>15</v>
      </c>
      <c r="H7" s="183"/>
      <c r="I7" s="177" t="s">
        <v>15</v>
      </c>
      <c r="J7" s="229"/>
    </row>
    <row r="8" spans="1:10" s="24" customFormat="1" ht="124.9" customHeight="1" x14ac:dyDescent="0.2">
      <c r="A8" s="46" t="s">
        <v>165</v>
      </c>
      <c r="B8" s="47" t="s">
        <v>166</v>
      </c>
      <c r="C8" s="69"/>
      <c r="D8" s="77" t="s">
        <v>13</v>
      </c>
      <c r="E8" s="9" t="s">
        <v>14</v>
      </c>
      <c r="F8" s="177" t="s">
        <v>15</v>
      </c>
      <c r="G8" s="177" t="s">
        <v>15</v>
      </c>
      <c r="H8" s="183"/>
      <c r="I8" s="177" t="s">
        <v>15</v>
      </c>
      <c r="J8" s="229"/>
    </row>
    <row r="9" spans="1:10" s="24" customFormat="1" ht="63.75" x14ac:dyDescent="0.2">
      <c r="A9" s="46" t="s">
        <v>167</v>
      </c>
      <c r="B9" s="139" t="s">
        <v>168</v>
      </c>
      <c r="C9" s="178"/>
      <c r="D9" s="176" t="s">
        <v>13</v>
      </c>
      <c r="E9" s="9" t="s">
        <v>14</v>
      </c>
      <c r="F9" s="177" t="s">
        <v>15</v>
      </c>
      <c r="G9" s="177" t="s">
        <v>15</v>
      </c>
      <c r="H9" s="183"/>
      <c r="I9" s="177" t="s">
        <v>15</v>
      </c>
      <c r="J9" s="230"/>
    </row>
    <row r="10" spans="1:10" s="24" customFormat="1" ht="25.5" x14ac:dyDescent="0.2">
      <c r="A10" s="46" t="s">
        <v>169</v>
      </c>
      <c r="B10" s="47" t="s">
        <v>170</v>
      </c>
      <c r="C10" s="181"/>
      <c r="D10" s="77" t="s">
        <v>13</v>
      </c>
      <c r="E10" s="9" t="s">
        <v>14</v>
      </c>
      <c r="F10" s="177" t="s">
        <v>15</v>
      </c>
      <c r="G10" s="177" t="s">
        <v>15</v>
      </c>
      <c r="H10" s="183"/>
      <c r="I10" s="177" t="s">
        <v>15</v>
      </c>
      <c r="J10" s="229"/>
    </row>
    <row r="11" spans="1:10" s="24" customFormat="1" ht="51" x14ac:dyDescent="0.2">
      <c r="A11" s="46" t="s">
        <v>171</v>
      </c>
      <c r="B11" s="47" t="s">
        <v>172</v>
      </c>
      <c r="C11" s="181"/>
      <c r="D11" s="77" t="s">
        <v>13</v>
      </c>
      <c r="E11" s="9" t="s">
        <v>14</v>
      </c>
      <c r="F11" s="177" t="s">
        <v>15</v>
      </c>
      <c r="G11" s="177" t="s">
        <v>15</v>
      </c>
      <c r="H11" s="183"/>
      <c r="I11" s="177" t="s">
        <v>15</v>
      </c>
      <c r="J11" s="229"/>
    </row>
    <row r="12" spans="1:10" x14ac:dyDescent="0.2">
      <c r="A12" s="276"/>
      <c r="B12" s="277"/>
      <c r="C12" s="278"/>
      <c r="D12" s="279"/>
      <c r="E12" s="60"/>
      <c r="F12" s="280" t="s">
        <v>35</v>
      </c>
      <c r="G12" s="290">
        <f>SUM(Data[Max. te behalen punten])</f>
        <v>0</v>
      </c>
      <c r="H12" s="242" t="s">
        <v>36</v>
      </c>
      <c r="I12" s="290">
        <f>SUM(Data[Score])</f>
        <v>0</v>
      </c>
      <c r="J12" s="275"/>
    </row>
  </sheetData>
  <sheetProtection algorithmName="SHA-512" hashValue="JP6G8Rkmbu4x94SwRYrgvvzQLJq50tisBH4FsQrWieMIaMD34BiHcYvUntaVbHGHzUGGsUIYFzOucI/bRxDMVg==" saltValue="s2NBsqCOMIMuj6/uy+Z6Wg==" spinCount="100000" sheet="1" objects="1" scenarios="1"/>
  <phoneticPr fontId="7" type="noConversion"/>
  <dataValidations count="1">
    <dataValidation type="list" allowBlank="1" showInputMessage="1" showErrorMessage="1" sqref="H5:H11" xr:uid="{0FF65501-2FFF-412A-A946-621E9BBD8125}">
      <formula1>"Ja,Nee"</formula1>
    </dataValidation>
  </dataValidations>
  <pageMargins left="0.7" right="0.7" top="0.75" bottom="0.75" header="0.3" footer="0.3"/>
  <pageSetup paperSize="9" orientation="portrait" horizontalDpi="300" verticalDpi="30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81BC7-087E-431B-8857-9331EE65BA2C}">
  <dimension ref="A1:J25"/>
  <sheetViews>
    <sheetView workbookViewId="0">
      <selection activeCell="B23" sqref="B23"/>
    </sheetView>
  </sheetViews>
  <sheetFormatPr defaultColWidth="9.140625" defaultRowHeight="14.25" x14ac:dyDescent="0.2"/>
  <cols>
    <col min="1" max="1" width="9.140625" style="13"/>
    <col min="2" max="2" width="70" style="13" customWidth="1"/>
    <col min="3" max="3" width="55.42578125" style="13" customWidth="1"/>
    <col min="4" max="4" width="12.5703125" style="13" customWidth="1"/>
    <col min="5" max="5" width="18.5703125" style="13" customWidth="1"/>
    <col min="6" max="6" width="23.85546875" style="13" customWidth="1"/>
    <col min="7" max="7" width="16.42578125" style="13" customWidth="1"/>
    <col min="8" max="8" width="21" style="13" customWidth="1"/>
    <col min="9" max="9" width="11.140625" style="13" customWidth="1"/>
    <col min="10" max="10" width="24.7109375" style="13" customWidth="1"/>
    <col min="11" max="16384" width="9.140625" style="13"/>
  </cols>
  <sheetData>
    <row r="1" spans="1:10" ht="27.75" x14ac:dyDescent="0.2">
      <c r="A1" s="31" t="s">
        <v>173</v>
      </c>
      <c r="B1" s="14"/>
      <c r="C1" s="32"/>
      <c r="D1" s="11"/>
      <c r="E1" s="11"/>
      <c r="F1" s="11"/>
      <c r="G1" s="11"/>
      <c r="H1" s="11"/>
    </row>
    <row r="2" spans="1:10" ht="25.5" x14ac:dyDescent="0.2">
      <c r="A2" s="11"/>
      <c r="B2" s="12" t="s">
        <v>174</v>
      </c>
      <c r="C2" s="11"/>
      <c r="D2" s="11"/>
      <c r="E2" s="5"/>
      <c r="F2" s="5"/>
      <c r="G2" s="5"/>
      <c r="H2" s="5"/>
    </row>
    <row r="3" spans="1:10" x14ac:dyDescent="0.2">
      <c r="A3" s="11"/>
      <c r="B3" s="14"/>
      <c r="C3" s="11"/>
      <c r="D3" s="11"/>
      <c r="E3" s="5"/>
      <c r="F3" s="5"/>
      <c r="G3" s="5"/>
      <c r="H3" s="5"/>
    </row>
    <row r="4" spans="1:10" s="27" customFormat="1" ht="25.5" x14ac:dyDescent="0.2">
      <c r="A4" s="16" t="s">
        <v>1</v>
      </c>
      <c r="B4" s="16" t="s">
        <v>2</v>
      </c>
      <c r="C4" s="16" t="s">
        <v>3</v>
      </c>
      <c r="D4" s="17" t="s">
        <v>4</v>
      </c>
      <c r="E4" s="17" t="s">
        <v>5</v>
      </c>
      <c r="F4" s="17" t="s">
        <v>6</v>
      </c>
      <c r="G4" s="17" t="s">
        <v>7</v>
      </c>
      <c r="H4" s="17" t="s">
        <v>8</v>
      </c>
      <c r="I4" s="125" t="s">
        <v>9</v>
      </c>
      <c r="J4" s="283" t="s">
        <v>10</v>
      </c>
    </row>
    <row r="5" spans="1:10" s="24" customFormat="1" ht="51" x14ac:dyDescent="0.2">
      <c r="A5" s="6" t="s">
        <v>175</v>
      </c>
      <c r="B5" s="8" t="s">
        <v>176</v>
      </c>
      <c r="C5" s="8" t="s">
        <v>177</v>
      </c>
      <c r="D5" s="9" t="s">
        <v>13</v>
      </c>
      <c r="E5" s="9" t="s">
        <v>14</v>
      </c>
      <c r="F5" s="19" t="s">
        <v>15</v>
      </c>
      <c r="G5" s="19" t="s">
        <v>15</v>
      </c>
      <c r="H5" s="183"/>
      <c r="I5" s="127" t="s">
        <v>15</v>
      </c>
      <c r="J5" s="188"/>
    </row>
    <row r="6" spans="1:10" s="24" customFormat="1" ht="38.25" x14ac:dyDescent="0.2">
      <c r="A6" s="6" t="s">
        <v>178</v>
      </c>
      <c r="B6" s="57" t="s">
        <v>179</v>
      </c>
      <c r="C6" s="57"/>
      <c r="D6" s="9" t="s">
        <v>13</v>
      </c>
      <c r="E6" s="9" t="s">
        <v>14</v>
      </c>
      <c r="F6" s="19" t="s">
        <v>15</v>
      </c>
      <c r="G6" s="19" t="s">
        <v>15</v>
      </c>
      <c r="H6" s="183"/>
      <c r="I6" s="127" t="s">
        <v>15</v>
      </c>
      <c r="J6" s="188"/>
    </row>
    <row r="7" spans="1:10" s="24" customFormat="1" ht="38.25" x14ac:dyDescent="0.2">
      <c r="A7" s="6" t="s">
        <v>180</v>
      </c>
      <c r="B7" s="57" t="s">
        <v>181</v>
      </c>
      <c r="C7" s="57" t="s">
        <v>182</v>
      </c>
      <c r="D7" s="85" t="s">
        <v>13</v>
      </c>
      <c r="E7" s="85" t="s">
        <v>14</v>
      </c>
      <c r="F7" s="80" t="s">
        <v>15</v>
      </c>
      <c r="G7" s="80" t="s">
        <v>15</v>
      </c>
      <c r="H7" s="182"/>
      <c r="I7" s="126" t="s">
        <v>15</v>
      </c>
      <c r="J7" s="188"/>
    </row>
    <row r="8" spans="1:10" s="24" customFormat="1" ht="38.25" x14ac:dyDescent="0.2">
      <c r="A8" s="6" t="s">
        <v>183</v>
      </c>
      <c r="B8" s="25" t="s">
        <v>184</v>
      </c>
      <c r="C8" s="65" t="s">
        <v>185</v>
      </c>
      <c r="D8" s="82" t="s">
        <v>13</v>
      </c>
      <c r="E8" s="83" t="s">
        <v>14</v>
      </c>
      <c r="F8" s="49" t="s">
        <v>15</v>
      </c>
      <c r="G8" s="84" t="s">
        <v>15</v>
      </c>
      <c r="H8" s="263"/>
      <c r="I8" s="131" t="s">
        <v>15</v>
      </c>
      <c r="J8" s="268"/>
    </row>
    <row r="9" spans="1:10" s="24" customFormat="1" ht="12.75" x14ac:dyDescent="0.2">
      <c r="A9" s="6" t="s">
        <v>186</v>
      </c>
      <c r="B9" s="55" t="s">
        <v>187</v>
      </c>
      <c r="C9" s="55"/>
      <c r="D9" s="85" t="s">
        <v>13</v>
      </c>
      <c r="E9" s="85" t="s">
        <v>14</v>
      </c>
      <c r="F9" s="80" t="s">
        <v>15</v>
      </c>
      <c r="G9" s="80" t="s">
        <v>15</v>
      </c>
      <c r="H9" s="182"/>
      <c r="I9" s="126" t="s">
        <v>15</v>
      </c>
      <c r="J9" s="188"/>
    </row>
    <row r="10" spans="1:10" s="24" customFormat="1" ht="25.5" x14ac:dyDescent="0.2">
      <c r="A10" s="6" t="s">
        <v>188</v>
      </c>
      <c r="B10" s="59" t="s">
        <v>189</v>
      </c>
      <c r="C10" s="58"/>
      <c r="D10" s="60" t="s">
        <v>13</v>
      </c>
      <c r="E10" s="52" t="s">
        <v>14</v>
      </c>
      <c r="F10" s="53" t="s">
        <v>15</v>
      </c>
      <c r="G10" s="53" t="s">
        <v>15</v>
      </c>
      <c r="H10" s="265"/>
      <c r="I10" s="130" t="s">
        <v>15</v>
      </c>
      <c r="J10" s="188"/>
    </row>
    <row r="11" spans="1:10" s="24" customFormat="1" ht="25.5" x14ac:dyDescent="0.2">
      <c r="A11" s="6" t="s">
        <v>190</v>
      </c>
      <c r="B11" s="47" t="s">
        <v>191</v>
      </c>
      <c r="C11" s="55"/>
      <c r="D11" s="56" t="s">
        <v>13</v>
      </c>
      <c r="E11" s="52" t="s">
        <v>14</v>
      </c>
      <c r="F11" s="53" t="s">
        <v>15</v>
      </c>
      <c r="G11" s="53" t="s">
        <v>15</v>
      </c>
      <c r="H11" s="265"/>
      <c r="I11" s="130" t="s">
        <v>15</v>
      </c>
      <c r="J11" s="188"/>
    </row>
    <row r="12" spans="1:10" s="24" customFormat="1" ht="12.75" x14ac:dyDescent="0.2">
      <c r="A12" s="6" t="s">
        <v>192</v>
      </c>
      <c r="B12" s="47" t="s">
        <v>193</v>
      </c>
      <c r="C12" s="55"/>
      <c r="D12" s="56" t="s">
        <v>13</v>
      </c>
      <c r="E12" s="52" t="s">
        <v>14</v>
      </c>
      <c r="F12" s="53" t="s">
        <v>15</v>
      </c>
      <c r="G12" s="53" t="s">
        <v>15</v>
      </c>
      <c r="H12" s="265"/>
      <c r="I12" s="130" t="s">
        <v>15</v>
      </c>
      <c r="J12" s="188"/>
    </row>
    <row r="13" spans="1:10" s="24" customFormat="1" ht="12.75" x14ac:dyDescent="0.2">
      <c r="A13" s="6" t="s">
        <v>194</v>
      </c>
      <c r="B13" s="76" t="s">
        <v>195</v>
      </c>
      <c r="C13" s="65"/>
      <c r="D13" s="83" t="s">
        <v>13</v>
      </c>
      <c r="E13" s="96" t="s">
        <v>14</v>
      </c>
      <c r="F13" s="49" t="s">
        <v>15</v>
      </c>
      <c r="G13" s="98" t="s">
        <v>15</v>
      </c>
      <c r="H13" s="233"/>
      <c r="I13" s="98" t="s">
        <v>15</v>
      </c>
      <c r="J13" s="188"/>
    </row>
    <row r="14" spans="1:10" s="151" customFormat="1" ht="25.5" x14ac:dyDescent="0.2">
      <c r="A14" s="6" t="s">
        <v>196</v>
      </c>
      <c r="B14" s="47" t="s">
        <v>197</v>
      </c>
      <c r="C14" s="94"/>
      <c r="D14" s="149" t="s">
        <v>13</v>
      </c>
      <c r="E14" s="173" t="s">
        <v>14</v>
      </c>
      <c r="F14" s="92" t="s">
        <v>15</v>
      </c>
      <c r="G14" s="174" t="s">
        <v>15</v>
      </c>
      <c r="H14" s="186"/>
      <c r="I14" s="174" t="s">
        <v>15</v>
      </c>
      <c r="J14" s="269"/>
    </row>
    <row r="15" spans="1:10" s="24" customFormat="1" ht="24.75" customHeight="1" x14ac:dyDescent="0.2">
      <c r="A15" s="6" t="s">
        <v>198</v>
      </c>
      <c r="B15" s="119" t="s">
        <v>199</v>
      </c>
      <c r="C15" s="8"/>
      <c r="D15" s="9" t="s">
        <v>150</v>
      </c>
      <c r="E15" s="9" t="s">
        <v>200</v>
      </c>
      <c r="F15" s="19" t="s">
        <v>15</v>
      </c>
      <c r="G15" s="19">
        <v>10</v>
      </c>
      <c r="H15" s="242"/>
      <c r="I15" s="291">
        <f>IF(Heffen[[#This Row],[Voldoet de oplossing? ja/nee]]="Ja",Heffen[[#This Row],[Max. te behalen punten]],0)</f>
        <v>0</v>
      </c>
      <c r="J15" s="187"/>
    </row>
    <row r="16" spans="1:10" s="24" customFormat="1" ht="12.75" x14ac:dyDescent="0.2">
      <c r="A16" s="6" t="s">
        <v>201</v>
      </c>
      <c r="B16" s="47" t="s">
        <v>202</v>
      </c>
      <c r="C16" s="123"/>
      <c r="D16" s="82" t="s">
        <v>150</v>
      </c>
      <c r="E16" s="168" t="s">
        <v>203</v>
      </c>
      <c r="F16" s="49" t="s">
        <v>15</v>
      </c>
      <c r="G16" s="202">
        <v>5</v>
      </c>
      <c r="H16" s="248"/>
      <c r="I16" s="291">
        <f>IF(Heffen[[#This Row],[Voldoet de oplossing? ja/nee]]="Ja",Heffen[[#This Row],[Max. te behalen punten]],0)</f>
        <v>0</v>
      </c>
      <c r="J16" s="268"/>
    </row>
    <row r="17" spans="1:10" s="24" customFormat="1" ht="26.25" customHeight="1" x14ac:dyDescent="0.2">
      <c r="A17" s="6" t="s">
        <v>204</v>
      </c>
      <c r="B17" s="64" t="s">
        <v>205</v>
      </c>
      <c r="C17" s="55"/>
      <c r="D17" s="82" t="s">
        <v>150</v>
      </c>
      <c r="E17" s="168" t="s">
        <v>151</v>
      </c>
      <c r="F17" s="49" t="s">
        <v>15</v>
      </c>
      <c r="G17" s="202">
        <v>15</v>
      </c>
      <c r="H17" s="248"/>
      <c r="I17" s="291">
        <f>IF(Heffen[[#This Row],[Voldoet de oplossing? ja/nee]]="Ja",Heffen[[#This Row],[Max. te behalen punten]],0)</f>
        <v>0</v>
      </c>
      <c r="J17" s="188"/>
    </row>
    <row r="18" spans="1:10" s="24" customFormat="1" ht="38.25" x14ac:dyDescent="0.2">
      <c r="A18" s="6" t="s">
        <v>206</v>
      </c>
      <c r="B18" s="62" t="s">
        <v>207</v>
      </c>
      <c r="D18" s="48" t="s">
        <v>150</v>
      </c>
      <c r="E18" s="168" t="s">
        <v>200</v>
      </c>
      <c r="F18" s="49" t="s">
        <v>15</v>
      </c>
      <c r="G18" s="169">
        <v>10</v>
      </c>
      <c r="H18" s="266"/>
      <c r="I18" s="291">
        <f>IF(Heffen[[#This Row],[Voldoet de oplossing? ja/nee]]="Ja",Heffen[[#This Row],[Max. te behalen punten]],0)</f>
        <v>0</v>
      </c>
      <c r="J18" s="188"/>
    </row>
    <row r="19" spans="1:10" s="24" customFormat="1" ht="38.25" x14ac:dyDescent="0.2">
      <c r="A19" s="6" t="s">
        <v>208</v>
      </c>
      <c r="B19" s="47" t="s">
        <v>209</v>
      </c>
      <c r="C19" s="55" t="s">
        <v>210</v>
      </c>
      <c r="D19" s="79" t="s">
        <v>150</v>
      </c>
      <c r="E19" s="168" t="s">
        <v>200</v>
      </c>
      <c r="F19" s="49" t="s">
        <v>15</v>
      </c>
      <c r="G19" s="202">
        <v>10</v>
      </c>
      <c r="H19" s="267"/>
      <c r="I19" s="291">
        <f>IF(Heffen[[#This Row],[Voldoet de oplossing? ja/nee]]="Ja",Heffen[[#This Row],[Max. te behalen punten]],0)</f>
        <v>0</v>
      </c>
      <c r="J19" s="268"/>
    </row>
    <row r="20" spans="1:10" s="24" customFormat="1" ht="25.5" x14ac:dyDescent="0.2">
      <c r="A20" s="50" t="s">
        <v>211</v>
      </c>
      <c r="B20" s="69" t="s">
        <v>212</v>
      </c>
      <c r="C20" s="107"/>
      <c r="D20" s="194" t="s">
        <v>150</v>
      </c>
      <c r="E20" s="198" t="s">
        <v>200</v>
      </c>
      <c r="F20" s="189" t="s">
        <v>15</v>
      </c>
      <c r="G20" s="203">
        <v>10</v>
      </c>
      <c r="H20" s="248"/>
      <c r="I20" s="291">
        <f>IF(Heffen[[#This Row],[Voldoet de oplossing? ja/nee]]="Ja",Heffen[[#This Row],[Max. te behalen punten]],0)</f>
        <v>0</v>
      </c>
      <c r="J20" s="270"/>
    </row>
    <row r="21" spans="1:10" s="24" customFormat="1" ht="12.75" x14ac:dyDescent="0.2">
      <c r="A21" s="58"/>
      <c r="B21" s="64"/>
      <c r="C21" s="64"/>
      <c r="D21" s="157"/>
      <c r="E21" s="157"/>
      <c r="F21" s="157" t="s">
        <v>35</v>
      </c>
      <c r="G21" s="289">
        <f>SUM(Heffen[Max. te behalen punten])</f>
        <v>60</v>
      </c>
      <c r="H21" s="157" t="s">
        <v>36</v>
      </c>
      <c r="I21" s="289">
        <f>SUM(Heffen[Score])</f>
        <v>0</v>
      </c>
      <c r="J21" s="58"/>
    </row>
    <row r="22" spans="1:10" s="24" customFormat="1" ht="12.75" x14ac:dyDescent="0.2">
      <c r="A22" s="306" t="s">
        <v>213</v>
      </c>
      <c r="B22" s="201"/>
      <c r="C22" s="201"/>
      <c r="D22" s="201"/>
      <c r="E22" s="201"/>
      <c r="F22" s="201"/>
      <c r="G22" s="204">
        <v>50</v>
      </c>
      <c r="H22" s="193"/>
      <c r="I22" s="197"/>
    </row>
    <row r="25" spans="1:10" x14ac:dyDescent="0.2">
      <c r="B25" s="22"/>
    </row>
  </sheetData>
  <sheetProtection algorithmName="SHA-512" hashValue="GfzJ6nmlfvHGurfjlcClezcCxNgynXj1wQV6F/bmwQYDLU1A/g6Ro/n1u+SEOEqptTSbXNAAykdo+OSJ9xIJSw==" saltValue="287W7mZ6qAMpH+7FbjVi6Q==" spinCount="100000" sheet="1" objects="1" scenarios="1"/>
  <phoneticPr fontId="7" type="noConversion"/>
  <dataValidations count="1">
    <dataValidation type="list" allowBlank="1" showInputMessage="1" showErrorMessage="1" sqref="H5:H20" xr:uid="{AFCB0105-FF59-4A26-8AD1-7B6903847823}">
      <formula1>"Ja,Nee"</formula1>
    </dataValidation>
  </dataValidations>
  <pageMargins left="0.7" right="0.7" top="0.75" bottom="0.75" header="0.3" footer="0.3"/>
  <pageSetup paperSize="9" orientation="portrait" horizontalDpi="300" verticalDpi="30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4DB8E-67AD-4537-A144-9802E366F935}">
  <dimension ref="A1:M32"/>
  <sheetViews>
    <sheetView workbookViewId="0">
      <pane ySplit="4" topLeftCell="A5" activePane="bottomLeft" state="frozen"/>
      <selection activeCell="B23" sqref="B23"/>
      <selection pane="bottomLeft" activeCell="B23" sqref="B23"/>
    </sheetView>
  </sheetViews>
  <sheetFormatPr defaultColWidth="9.140625" defaultRowHeight="14.25" x14ac:dyDescent="0.2"/>
  <cols>
    <col min="1" max="1" width="9.140625" style="13"/>
    <col min="2" max="2" width="71.85546875" style="13" customWidth="1"/>
    <col min="3" max="3" width="55" style="13" customWidth="1"/>
    <col min="4" max="4" width="10.28515625" style="13" customWidth="1"/>
    <col min="5" max="5" width="18.5703125" style="13" customWidth="1"/>
    <col min="6" max="6" width="24.140625" style="13" customWidth="1"/>
    <col min="7" max="7" width="16.28515625" style="13" customWidth="1"/>
    <col min="8" max="8" width="21.28515625" style="13" customWidth="1"/>
    <col min="9" max="9" width="9.7109375" style="13" customWidth="1"/>
    <col min="10" max="10" width="24.7109375" style="13" customWidth="1"/>
    <col min="11" max="16384" width="9.140625" style="13"/>
  </cols>
  <sheetData>
    <row r="1" spans="1:13" ht="27.75" x14ac:dyDescent="0.2">
      <c r="A1" s="31" t="s">
        <v>214</v>
      </c>
      <c r="B1" s="14"/>
      <c r="C1" s="32"/>
      <c r="D1" s="11"/>
      <c r="E1" s="11"/>
      <c r="F1" s="11"/>
      <c r="G1" s="11"/>
      <c r="H1" s="11"/>
    </row>
    <row r="2" spans="1:13" s="24" customFormat="1" ht="25.5" x14ac:dyDescent="0.2">
      <c r="A2" s="23"/>
      <c r="B2" s="12" t="s">
        <v>215</v>
      </c>
      <c r="C2" s="23"/>
      <c r="D2" s="23"/>
      <c r="E2" s="5"/>
      <c r="F2" s="5"/>
      <c r="G2" s="5"/>
      <c r="H2" s="5"/>
    </row>
    <row r="3" spans="1:13" s="24" customFormat="1" ht="12.75" x14ac:dyDescent="0.2">
      <c r="A3" s="23"/>
      <c r="B3" s="14"/>
      <c r="C3" s="23"/>
      <c r="D3" s="23"/>
      <c r="E3" s="5"/>
      <c r="F3" s="5"/>
      <c r="G3" s="5"/>
      <c r="H3" s="5"/>
    </row>
    <row r="4" spans="1:13" s="27" customFormat="1" ht="25.5" x14ac:dyDescent="0.2">
      <c r="A4" s="282" t="s">
        <v>1</v>
      </c>
      <c r="B4" s="16" t="s">
        <v>2</v>
      </c>
      <c r="C4" s="16" t="s">
        <v>3</v>
      </c>
      <c r="D4" s="17" t="s">
        <v>4</v>
      </c>
      <c r="E4" s="17" t="s">
        <v>5</v>
      </c>
      <c r="F4" s="17" t="s">
        <v>6</v>
      </c>
      <c r="G4" s="17" t="s">
        <v>7</v>
      </c>
      <c r="H4" s="17" t="s">
        <v>8</v>
      </c>
      <c r="I4" s="125" t="s">
        <v>9</v>
      </c>
      <c r="J4" s="217" t="s">
        <v>10</v>
      </c>
    </row>
    <row r="5" spans="1:13" s="24" customFormat="1" ht="38.25" x14ac:dyDescent="0.2">
      <c r="A5" s="215" t="s">
        <v>216</v>
      </c>
      <c r="B5" s="76" t="s">
        <v>217</v>
      </c>
      <c r="C5" s="15"/>
      <c r="D5" s="9" t="s">
        <v>13</v>
      </c>
      <c r="E5" s="9" t="s">
        <v>14</v>
      </c>
      <c r="F5" s="19" t="s">
        <v>15</v>
      </c>
      <c r="G5" s="19" t="s">
        <v>15</v>
      </c>
      <c r="H5" s="183"/>
      <c r="I5" s="127" t="s">
        <v>15</v>
      </c>
      <c r="J5" s="229"/>
    </row>
    <row r="6" spans="1:13" s="24" customFormat="1" ht="37.5" customHeight="1" x14ac:dyDescent="0.2">
      <c r="A6" s="216" t="s">
        <v>218</v>
      </c>
      <c r="B6" s="25" t="s">
        <v>219</v>
      </c>
      <c r="C6" s="8"/>
      <c r="D6" s="9" t="s">
        <v>13</v>
      </c>
      <c r="E6" s="9" t="s">
        <v>14</v>
      </c>
      <c r="F6" s="19" t="s">
        <v>15</v>
      </c>
      <c r="G6" s="19" t="s">
        <v>15</v>
      </c>
      <c r="H6" s="183"/>
      <c r="I6" s="127" t="s">
        <v>15</v>
      </c>
      <c r="J6" s="230"/>
    </row>
    <row r="7" spans="1:13" s="24" customFormat="1" ht="12.75" x14ac:dyDescent="0.2">
      <c r="A7" s="215" t="s">
        <v>220</v>
      </c>
      <c r="B7" s="25" t="s">
        <v>221</v>
      </c>
      <c r="C7" s="8"/>
      <c r="D7" s="9" t="s">
        <v>13</v>
      </c>
      <c r="E7" s="9" t="s">
        <v>14</v>
      </c>
      <c r="F7" s="19" t="s">
        <v>15</v>
      </c>
      <c r="G7" s="19" t="s">
        <v>15</v>
      </c>
      <c r="H7" s="183"/>
      <c r="I7" s="127" t="s">
        <v>15</v>
      </c>
      <c r="J7" s="230"/>
    </row>
    <row r="8" spans="1:13" s="24" customFormat="1" ht="25.5" x14ac:dyDescent="0.2">
      <c r="A8" s="216" t="s">
        <v>222</v>
      </c>
      <c r="B8" s="25" t="s">
        <v>223</v>
      </c>
      <c r="C8" s="8"/>
      <c r="D8" s="85" t="s">
        <v>13</v>
      </c>
      <c r="E8" s="85" t="s">
        <v>14</v>
      </c>
      <c r="F8" s="80" t="s">
        <v>15</v>
      </c>
      <c r="G8" s="80" t="s">
        <v>15</v>
      </c>
      <c r="H8" s="182"/>
      <c r="I8" s="126" t="s">
        <v>15</v>
      </c>
      <c r="J8" s="230"/>
    </row>
    <row r="9" spans="1:13" ht="51" x14ac:dyDescent="0.2">
      <c r="A9" s="215" t="s">
        <v>224</v>
      </c>
      <c r="B9" s="76" t="s">
        <v>225</v>
      </c>
      <c r="C9" s="65" t="s">
        <v>226</v>
      </c>
      <c r="D9" s="148" t="s">
        <v>13</v>
      </c>
      <c r="E9" s="149" t="s">
        <v>14</v>
      </c>
      <c r="F9" s="92" t="s">
        <v>15</v>
      </c>
      <c r="G9" s="150" t="s">
        <v>15</v>
      </c>
      <c r="H9" s="262"/>
      <c r="I9" s="109" t="s">
        <v>15</v>
      </c>
      <c r="J9" s="264"/>
      <c r="K9" s="151"/>
      <c r="L9" s="151"/>
      <c r="M9" s="151"/>
    </row>
    <row r="10" spans="1:13" s="24" customFormat="1" ht="51" x14ac:dyDescent="0.2">
      <c r="A10" s="216" t="s">
        <v>227</v>
      </c>
      <c r="B10" s="25" t="s">
        <v>228</v>
      </c>
      <c r="C10" s="8" t="s">
        <v>229</v>
      </c>
      <c r="D10" s="9" t="s">
        <v>13</v>
      </c>
      <c r="E10" s="9" t="s">
        <v>14</v>
      </c>
      <c r="F10" s="19" t="s">
        <v>15</v>
      </c>
      <c r="G10" s="19" t="s">
        <v>15</v>
      </c>
      <c r="H10" s="183"/>
      <c r="I10" s="127" t="s">
        <v>15</v>
      </c>
      <c r="J10" s="230"/>
    </row>
    <row r="11" spans="1:13" s="24" customFormat="1" ht="38.25" x14ac:dyDescent="0.2">
      <c r="A11" s="215" t="s">
        <v>230</v>
      </c>
      <c r="B11" s="25" t="s">
        <v>231</v>
      </c>
      <c r="C11" s="8"/>
      <c r="D11" s="9" t="s">
        <v>13</v>
      </c>
      <c r="E11" s="9" t="s">
        <v>14</v>
      </c>
      <c r="F11" s="19" t="s">
        <v>15</v>
      </c>
      <c r="G11" s="19" t="s">
        <v>15</v>
      </c>
      <c r="H11" s="183"/>
      <c r="I11" s="127" t="s">
        <v>15</v>
      </c>
      <c r="J11" s="230"/>
    </row>
    <row r="12" spans="1:13" s="24" customFormat="1" ht="25.5" x14ac:dyDescent="0.2">
      <c r="A12" s="216" t="s">
        <v>232</v>
      </c>
      <c r="B12" s="25" t="s">
        <v>233</v>
      </c>
      <c r="C12" s="8"/>
      <c r="D12" s="82" t="s">
        <v>13</v>
      </c>
      <c r="E12" s="83" t="s">
        <v>14</v>
      </c>
      <c r="F12" s="49" t="s">
        <v>15</v>
      </c>
      <c r="G12" s="84" t="s">
        <v>15</v>
      </c>
      <c r="H12" s="263"/>
      <c r="I12" s="131" t="s">
        <v>15</v>
      </c>
      <c r="J12" s="230"/>
    </row>
    <row r="13" spans="1:13" s="24" customFormat="1" ht="12.75" x14ac:dyDescent="0.2">
      <c r="A13" s="215" t="s">
        <v>234</v>
      </c>
      <c r="B13" s="25" t="s">
        <v>235</v>
      </c>
      <c r="C13" s="8"/>
      <c r="D13" s="9" t="s">
        <v>13</v>
      </c>
      <c r="E13" s="9" t="s">
        <v>14</v>
      </c>
      <c r="F13" s="19" t="s">
        <v>15</v>
      </c>
      <c r="G13" s="19" t="s">
        <v>15</v>
      </c>
      <c r="H13" s="183"/>
      <c r="I13" s="127" t="s">
        <v>15</v>
      </c>
      <c r="J13" s="230"/>
    </row>
    <row r="14" spans="1:13" s="24" customFormat="1" ht="25.5" x14ac:dyDescent="0.2">
      <c r="A14" s="216" t="s">
        <v>236</v>
      </c>
      <c r="B14" s="25" t="s">
        <v>237</v>
      </c>
      <c r="C14" s="8" t="s">
        <v>238</v>
      </c>
      <c r="D14" s="9" t="s">
        <v>13</v>
      </c>
      <c r="E14" s="9" t="s">
        <v>14</v>
      </c>
      <c r="F14" s="19" t="s">
        <v>15</v>
      </c>
      <c r="G14" s="19" t="s">
        <v>15</v>
      </c>
      <c r="H14" s="183"/>
      <c r="I14" s="127" t="s">
        <v>15</v>
      </c>
      <c r="J14" s="230"/>
    </row>
    <row r="15" spans="1:13" s="24" customFormat="1" ht="12.75" x14ac:dyDescent="0.2">
      <c r="A15" s="215" t="s">
        <v>239</v>
      </c>
      <c r="B15" s="25" t="s">
        <v>240</v>
      </c>
      <c r="C15" s="8" t="s">
        <v>709</v>
      </c>
      <c r="D15" s="82" t="s">
        <v>13</v>
      </c>
      <c r="E15" s="83" t="s">
        <v>14</v>
      </c>
      <c r="F15" s="49" t="s">
        <v>15</v>
      </c>
      <c r="G15" s="84" t="s">
        <v>15</v>
      </c>
      <c r="H15" s="263"/>
      <c r="I15" s="131" t="s">
        <v>15</v>
      </c>
      <c r="J15" s="230"/>
    </row>
    <row r="16" spans="1:13" s="24" customFormat="1" ht="38.25" x14ac:dyDescent="0.2">
      <c r="A16" s="216" t="s">
        <v>241</v>
      </c>
      <c r="B16" s="25" t="s">
        <v>242</v>
      </c>
      <c r="C16" s="8"/>
      <c r="D16" s="144" t="s">
        <v>13</v>
      </c>
      <c r="E16" s="149" t="s">
        <v>14</v>
      </c>
      <c r="F16" s="92" t="s">
        <v>15</v>
      </c>
      <c r="G16" s="150" t="s">
        <v>15</v>
      </c>
      <c r="H16" s="262"/>
      <c r="I16" s="109" t="s">
        <v>15</v>
      </c>
      <c r="J16" s="264"/>
    </row>
    <row r="17" spans="1:13" s="24" customFormat="1" ht="25.5" x14ac:dyDescent="0.2">
      <c r="A17" s="215" t="s">
        <v>243</v>
      </c>
      <c r="B17" s="25" t="s">
        <v>244</v>
      </c>
      <c r="C17" s="8"/>
      <c r="D17" s="152" t="s">
        <v>13</v>
      </c>
      <c r="E17" s="149" t="s">
        <v>14</v>
      </c>
      <c r="F17" s="92" t="s">
        <v>15</v>
      </c>
      <c r="G17" s="150" t="s">
        <v>15</v>
      </c>
      <c r="H17" s="262"/>
      <c r="I17" s="109" t="s">
        <v>15</v>
      </c>
      <c r="J17" s="230"/>
    </row>
    <row r="18" spans="1:13" s="24" customFormat="1" ht="12.75" x14ac:dyDescent="0.2">
      <c r="A18" s="216" t="s">
        <v>245</v>
      </c>
      <c r="B18" s="25" t="s">
        <v>246</v>
      </c>
      <c r="C18" s="8"/>
      <c r="D18" s="152" t="s">
        <v>13</v>
      </c>
      <c r="E18" s="149" t="s">
        <v>14</v>
      </c>
      <c r="F18" s="92" t="s">
        <v>15</v>
      </c>
      <c r="G18" s="150" t="s">
        <v>15</v>
      </c>
      <c r="H18" s="262"/>
      <c r="I18" s="109" t="s">
        <v>15</v>
      </c>
      <c r="J18" s="230"/>
    </row>
    <row r="19" spans="1:13" s="24" customFormat="1" ht="38.25" x14ac:dyDescent="0.2">
      <c r="A19" s="215" t="s">
        <v>247</v>
      </c>
      <c r="B19" s="25" t="s">
        <v>248</v>
      </c>
      <c r="C19" s="8"/>
      <c r="D19" s="9" t="s">
        <v>150</v>
      </c>
      <c r="E19" s="167" t="s">
        <v>200</v>
      </c>
      <c r="F19" s="19" t="s">
        <v>15</v>
      </c>
      <c r="G19" s="167">
        <v>10</v>
      </c>
      <c r="H19" s="281"/>
      <c r="I19" s="291">
        <f>IF(Invordering[[#This Row],[Voldoet de oplossing? ja/nee]]="Ja",Invordering[[#This Row],[Max. te behalen punten]],0)</f>
        <v>0</v>
      </c>
      <c r="J19" s="230"/>
    </row>
    <row r="20" spans="1:13" s="24" customFormat="1" ht="38.25" x14ac:dyDescent="0.2">
      <c r="A20" s="216" t="s">
        <v>249</v>
      </c>
      <c r="B20" s="25" t="s">
        <v>250</v>
      </c>
      <c r="C20" s="8"/>
      <c r="D20" s="9" t="s">
        <v>150</v>
      </c>
      <c r="E20" s="167" t="s">
        <v>200</v>
      </c>
      <c r="F20" s="19" t="s">
        <v>15</v>
      </c>
      <c r="G20" s="167">
        <v>10</v>
      </c>
      <c r="H20" s="281"/>
      <c r="I20" s="291">
        <f>IF(Invordering[[#This Row],[Voldoet de oplossing? ja/nee]]="Ja",Invordering[[#This Row],[Max. te behalen punten]],0)</f>
        <v>0</v>
      </c>
      <c r="J20" s="230"/>
    </row>
    <row r="21" spans="1:13" s="24" customFormat="1" ht="51" x14ac:dyDescent="0.2">
      <c r="A21" s="215" t="s">
        <v>251</v>
      </c>
      <c r="B21" s="25" t="s">
        <v>252</v>
      </c>
      <c r="C21" s="8"/>
      <c r="D21" s="108" t="s">
        <v>84</v>
      </c>
      <c r="E21" s="109" t="s">
        <v>15</v>
      </c>
      <c r="F21" s="205" t="s">
        <v>157</v>
      </c>
      <c r="G21" s="202">
        <v>20</v>
      </c>
      <c r="H21" s="110" t="s">
        <v>253</v>
      </c>
      <c r="I21" s="131"/>
      <c r="J21" s="230"/>
    </row>
    <row r="22" spans="1:13" s="24" customFormat="1" ht="51" x14ac:dyDescent="0.2">
      <c r="A22" s="216" t="s">
        <v>254</v>
      </c>
      <c r="B22" s="25" t="s">
        <v>255</v>
      </c>
      <c r="C22" s="25" t="s">
        <v>256</v>
      </c>
      <c r="D22" s="26" t="s">
        <v>84</v>
      </c>
      <c r="E22" s="19" t="s">
        <v>15</v>
      </c>
      <c r="F22" s="206" t="s">
        <v>157</v>
      </c>
      <c r="G22" s="207">
        <v>10</v>
      </c>
      <c r="H22" s="26" t="s">
        <v>253</v>
      </c>
      <c r="I22" s="132"/>
      <c r="J22" s="237"/>
    </row>
    <row r="23" spans="1:13" s="24" customFormat="1" ht="12.75" x14ac:dyDescent="0.2">
      <c r="B23" s="27"/>
      <c r="C23" s="27"/>
      <c r="D23" s="28"/>
      <c r="E23" s="28"/>
      <c r="F23" s="157" t="s">
        <v>35</v>
      </c>
      <c r="G23" s="289">
        <f>SUM(Invordering[Max. te behalen punten])</f>
        <v>50</v>
      </c>
      <c r="H23" s="158" t="s">
        <v>36</v>
      </c>
      <c r="I23" s="287">
        <f>SUM(Invordering[Score])</f>
        <v>0</v>
      </c>
    </row>
    <row r="24" spans="1:13" s="24" customFormat="1" ht="12.75" x14ac:dyDescent="0.2">
      <c r="A24" s="309" t="s">
        <v>257</v>
      </c>
      <c r="B24" s="309"/>
      <c r="C24" s="309"/>
      <c r="D24" s="309"/>
      <c r="E24" s="309"/>
      <c r="F24" s="309"/>
      <c r="G24" s="202">
        <v>50</v>
      </c>
      <c r="H24" s="193"/>
      <c r="I24" s="197"/>
    </row>
    <row r="25" spans="1:13" s="24" customFormat="1" ht="12.75" x14ac:dyDescent="0.2"/>
    <row r="26" spans="1:13" s="24" customFormat="1" ht="12.75" x14ac:dyDescent="0.2"/>
    <row r="27" spans="1:13" s="24" customFormat="1" ht="12.75" x14ac:dyDescent="0.2">
      <c r="B27" s="30"/>
    </row>
    <row r="28" spans="1:13" x14ac:dyDescent="0.2">
      <c r="A28" s="24"/>
      <c r="B28" s="24"/>
      <c r="C28" s="24"/>
      <c r="D28" s="24"/>
      <c r="E28" s="24"/>
      <c r="F28" s="24"/>
      <c r="G28" s="24"/>
      <c r="H28" s="24"/>
      <c r="I28" s="24"/>
      <c r="J28" s="24"/>
      <c r="K28" s="24"/>
      <c r="L28" s="24"/>
      <c r="M28" s="24"/>
    </row>
    <row r="29" spans="1:13" x14ac:dyDescent="0.2">
      <c r="A29" s="24"/>
      <c r="B29" s="24"/>
      <c r="C29" s="24"/>
      <c r="D29" s="24"/>
      <c r="E29" s="24"/>
      <c r="F29" s="24"/>
      <c r="G29" s="24"/>
      <c r="H29" s="24"/>
      <c r="I29" s="24"/>
      <c r="J29" s="24"/>
      <c r="K29" s="24"/>
      <c r="L29" s="24"/>
      <c r="M29" s="24"/>
    </row>
    <row r="30" spans="1:13" x14ac:dyDescent="0.2">
      <c r="A30" s="24"/>
      <c r="B30" s="24"/>
      <c r="C30" s="24"/>
      <c r="D30" s="24"/>
      <c r="E30" s="24"/>
      <c r="F30" s="24"/>
      <c r="G30" s="24"/>
      <c r="H30" s="24"/>
      <c r="I30" s="24"/>
      <c r="J30" s="24"/>
      <c r="K30" s="24"/>
      <c r="L30" s="24"/>
      <c r="M30" s="24"/>
    </row>
    <row r="31" spans="1:13" x14ac:dyDescent="0.2">
      <c r="A31" s="24"/>
      <c r="B31" s="24"/>
      <c r="C31" s="24"/>
      <c r="D31" s="24"/>
      <c r="E31" s="24"/>
      <c r="F31" s="24"/>
      <c r="G31" s="24"/>
      <c r="H31" s="24"/>
      <c r="I31" s="24"/>
      <c r="J31" s="24"/>
      <c r="K31" s="24"/>
      <c r="L31" s="24"/>
      <c r="M31" s="24"/>
    </row>
    <row r="32" spans="1:13" x14ac:dyDescent="0.2">
      <c r="A32" s="24"/>
      <c r="B32" s="24"/>
      <c r="C32" s="24"/>
      <c r="D32" s="24"/>
      <c r="E32" s="24"/>
      <c r="F32" s="24"/>
      <c r="G32" s="24"/>
      <c r="H32" s="24"/>
      <c r="I32" s="24"/>
      <c r="J32" s="24"/>
      <c r="K32" s="24"/>
      <c r="L32" s="24"/>
      <c r="M32" s="24"/>
    </row>
  </sheetData>
  <sheetProtection algorithmName="SHA-512" hashValue="6rejHHU3VrC/xqZ1BQyEVlXXUEwnrflS39B7qr8Om2ADWEaQ8ICeFSHZnpX2b7Dlw7bBS4xsAuOnkWo+bZe5+A==" saltValue="CLoz9zNOX1QBNQdJnfzkcQ==" spinCount="100000" sheet="1" objects="1" scenarios="1"/>
  <mergeCells count="1">
    <mergeCell ref="A24:F24"/>
  </mergeCells>
  <phoneticPr fontId="7" type="noConversion"/>
  <dataValidations count="1">
    <dataValidation type="list" allowBlank="1" showInputMessage="1" showErrorMessage="1" sqref="H5:H20 H23:H24" xr:uid="{CAF3F258-1725-463D-A614-BD0ED4A4CA35}">
      <formula1>"Ja,Nee"</formula1>
    </dataValidation>
  </dataValidations>
  <pageMargins left="0.7" right="0.7" top="0.75" bottom="0.75" header="0.3" footer="0.3"/>
  <pageSetup paperSize="9" orientation="portrait" horizontalDpi="300" verticalDpi="30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B2E82-7BD3-48BE-864F-C22B16638CA1}">
  <dimension ref="A1:M29"/>
  <sheetViews>
    <sheetView workbookViewId="0">
      <pane ySplit="4" topLeftCell="A5" activePane="bottomLeft" state="frozen"/>
      <selection activeCell="B23" sqref="B23"/>
      <selection pane="bottomLeft" activeCell="B23" sqref="B23"/>
    </sheetView>
  </sheetViews>
  <sheetFormatPr defaultRowHeight="15" x14ac:dyDescent="0.25"/>
  <cols>
    <col min="2" max="2" width="66.5703125" customWidth="1"/>
    <col min="3" max="3" width="52" customWidth="1"/>
    <col min="4" max="4" width="12.28515625" customWidth="1"/>
    <col min="5" max="5" width="18.42578125" customWidth="1"/>
    <col min="6" max="6" width="23.85546875" customWidth="1"/>
    <col min="7" max="7" width="16.28515625" customWidth="1"/>
    <col min="8" max="8" width="21" customWidth="1"/>
    <col min="9" max="9" width="10.140625" customWidth="1"/>
    <col min="10" max="10" width="31.85546875" customWidth="1"/>
  </cols>
  <sheetData>
    <row r="1" spans="1:13" ht="27.75" x14ac:dyDescent="0.25">
      <c r="A1" s="31" t="s">
        <v>258</v>
      </c>
      <c r="B1" s="14"/>
      <c r="C1" s="32"/>
      <c r="D1" s="11"/>
      <c r="E1" s="11"/>
      <c r="F1" s="11"/>
      <c r="G1" s="11"/>
      <c r="H1" s="11"/>
      <c r="I1" s="13"/>
      <c r="J1" s="13"/>
      <c r="K1" s="13"/>
      <c r="L1" s="13"/>
      <c r="M1" s="13"/>
    </row>
    <row r="2" spans="1:13" x14ac:dyDescent="0.25">
      <c r="A2" s="23"/>
      <c r="B2" s="12"/>
      <c r="C2" s="23"/>
      <c r="D2" s="23"/>
      <c r="E2" s="5"/>
      <c r="F2" s="5"/>
      <c r="G2" s="5"/>
      <c r="H2" s="5"/>
      <c r="I2" s="24"/>
      <c r="J2" s="24"/>
      <c r="K2" s="24"/>
      <c r="L2" s="24"/>
      <c r="M2" s="24"/>
    </row>
    <row r="3" spans="1:13" x14ac:dyDescent="0.25">
      <c r="A3" s="23"/>
      <c r="B3" s="14"/>
      <c r="C3" s="23"/>
      <c r="D3" s="23"/>
      <c r="E3" s="5"/>
      <c r="F3" s="5"/>
      <c r="G3" s="5"/>
      <c r="H3" s="5"/>
      <c r="I3" s="24"/>
      <c r="J3" s="24"/>
      <c r="K3" s="24"/>
      <c r="L3" s="24"/>
      <c r="M3" s="24"/>
    </row>
    <row r="4" spans="1:13" s="284" customFormat="1" ht="25.5" x14ac:dyDescent="0.25">
      <c r="A4" s="218" t="s">
        <v>1</v>
      </c>
      <c r="B4" s="218" t="s">
        <v>2</v>
      </c>
      <c r="C4" s="218" t="s">
        <v>3</v>
      </c>
      <c r="D4" s="219" t="s">
        <v>4</v>
      </c>
      <c r="E4" s="219" t="s">
        <v>5</v>
      </c>
      <c r="F4" s="219" t="s">
        <v>6</v>
      </c>
      <c r="G4" s="219" t="s">
        <v>7</v>
      </c>
      <c r="H4" s="219" t="s">
        <v>8</v>
      </c>
      <c r="I4" s="219" t="s">
        <v>9</v>
      </c>
      <c r="J4" s="220" t="s">
        <v>10</v>
      </c>
      <c r="K4" s="27"/>
      <c r="L4" s="27"/>
      <c r="M4" s="27"/>
    </row>
    <row r="5" spans="1:13" ht="51" x14ac:dyDescent="0.25">
      <c r="A5" s="18" t="s">
        <v>259</v>
      </c>
      <c r="B5" s="25" t="s">
        <v>260</v>
      </c>
      <c r="C5" s="137" t="s">
        <v>261</v>
      </c>
      <c r="D5" s="9" t="s">
        <v>13</v>
      </c>
      <c r="E5" s="9" t="s">
        <v>14</v>
      </c>
      <c r="F5" s="19" t="s">
        <v>15</v>
      </c>
      <c r="G5" s="19" t="s">
        <v>15</v>
      </c>
      <c r="H5" s="240"/>
      <c r="I5" s="127" t="s">
        <v>15</v>
      </c>
      <c r="J5" s="258"/>
      <c r="K5" s="24"/>
      <c r="L5" s="24"/>
      <c r="M5" s="24"/>
    </row>
    <row r="6" spans="1:13" x14ac:dyDescent="0.25">
      <c r="A6" s="18" t="s">
        <v>262</v>
      </c>
      <c r="B6" s="25" t="s">
        <v>263</v>
      </c>
      <c r="C6" s="8"/>
      <c r="D6" s="9" t="s">
        <v>13</v>
      </c>
      <c r="E6" s="9" t="s">
        <v>14</v>
      </c>
      <c r="F6" s="34" t="s">
        <v>15</v>
      </c>
      <c r="G6" s="19" t="s">
        <v>15</v>
      </c>
      <c r="H6" s="240"/>
      <c r="I6" s="127" t="s">
        <v>15</v>
      </c>
      <c r="J6" s="259"/>
      <c r="K6" s="24"/>
      <c r="L6" s="24"/>
      <c r="M6" s="24"/>
    </row>
    <row r="7" spans="1:13" ht="50.25" customHeight="1" x14ac:dyDescent="0.25">
      <c r="A7" s="18" t="s">
        <v>264</v>
      </c>
      <c r="B7" s="25" t="s">
        <v>265</v>
      </c>
      <c r="C7" s="8" t="s">
        <v>266</v>
      </c>
      <c r="D7" s="9" t="s">
        <v>13</v>
      </c>
      <c r="E7" s="9" t="s">
        <v>14</v>
      </c>
      <c r="F7" s="34" t="s">
        <v>15</v>
      </c>
      <c r="G7" s="19" t="s">
        <v>15</v>
      </c>
      <c r="H7" s="240"/>
      <c r="I7" s="127" t="s">
        <v>15</v>
      </c>
      <c r="J7" s="258"/>
      <c r="K7" s="24"/>
      <c r="L7" s="24"/>
      <c r="M7" s="24"/>
    </row>
    <row r="8" spans="1:13" ht="25.5" x14ac:dyDescent="0.25">
      <c r="A8" s="18" t="s">
        <v>267</v>
      </c>
      <c r="B8" s="25" t="s">
        <v>268</v>
      </c>
      <c r="C8" s="8"/>
      <c r="D8" s="9" t="s">
        <v>13</v>
      </c>
      <c r="E8" s="9" t="s">
        <v>14</v>
      </c>
      <c r="F8" s="34" t="s">
        <v>15</v>
      </c>
      <c r="G8" s="19" t="s">
        <v>15</v>
      </c>
      <c r="H8" s="240"/>
      <c r="I8" s="127" t="s">
        <v>15</v>
      </c>
      <c r="J8" s="259"/>
      <c r="K8" s="24"/>
      <c r="L8" s="24"/>
      <c r="M8" s="24"/>
    </row>
    <row r="9" spans="1:13" ht="25.5" x14ac:dyDescent="0.25">
      <c r="A9" s="18" t="s">
        <v>269</v>
      </c>
      <c r="B9" s="25" t="s">
        <v>270</v>
      </c>
      <c r="C9" s="8"/>
      <c r="D9" s="9" t="s">
        <v>13</v>
      </c>
      <c r="E9" s="9" t="s">
        <v>14</v>
      </c>
      <c r="F9" s="34" t="s">
        <v>15</v>
      </c>
      <c r="G9" s="19" t="s">
        <v>15</v>
      </c>
      <c r="H9" s="240"/>
      <c r="I9" s="127" t="s">
        <v>15</v>
      </c>
      <c r="J9" s="259"/>
      <c r="K9" s="24"/>
      <c r="L9" s="24"/>
      <c r="M9" s="24"/>
    </row>
    <row r="10" spans="1:13" ht="63.75" x14ac:dyDescent="0.25">
      <c r="A10" s="18" t="s">
        <v>271</v>
      </c>
      <c r="B10" s="25" t="s">
        <v>272</v>
      </c>
      <c r="C10" s="8" t="s">
        <v>273</v>
      </c>
      <c r="D10" s="9" t="s">
        <v>13</v>
      </c>
      <c r="E10" s="9" t="s">
        <v>14</v>
      </c>
      <c r="F10" s="34" t="s">
        <v>15</v>
      </c>
      <c r="G10" s="19" t="s">
        <v>15</v>
      </c>
      <c r="H10" s="240"/>
      <c r="I10" s="127" t="s">
        <v>15</v>
      </c>
      <c r="J10" s="259"/>
      <c r="K10" s="24"/>
      <c r="L10" s="24"/>
      <c r="M10" s="24"/>
    </row>
    <row r="11" spans="1:13" ht="25.5" x14ac:dyDescent="0.25">
      <c r="A11" s="18" t="s">
        <v>274</v>
      </c>
      <c r="B11" s="25" t="s">
        <v>275</v>
      </c>
      <c r="C11" s="8"/>
      <c r="D11" s="9" t="s">
        <v>13</v>
      </c>
      <c r="E11" s="9" t="s">
        <v>14</v>
      </c>
      <c r="F11" s="34" t="s">
        <v>15</v>
      </c>
      <c r="G11" s="19" t="s">
        <v>15</v>
      </c>
      <c r="H11" s="240"/>
      <c r="I11" s="127" t="s">
        <v>15</v>
      </c>
      <c r="J11" s="259"/>
      <c r="K11" s="24"/>
      <c r="L11" s="24"/>
      <c r="M11" s="24"/>
    </row>
    <row r="12" spans="1:13" ht="25.5" x14ac:dyDescent="0.25">
      <c r="A12" s="18" t="s">
        <v>276</v>
      </c>
      <c r="B12" s="25" t="s">
        <v>277</v>
      </c>
      <c r="C12" s="8"/>
      <c r="D12" s="9" t="s">
        <v>13</v>
      </c>
      <c r="E12" s="9" t="s">
        <v>14</v>
      </c>
      <c r="F12" s="34" t="s">
        <v>15</v>
      </c>
      <c r="G12" s="19" t="s">
        <v>15</v>
      </c>
      <c r="H12" s="240"/>
      <c r="I12" s="127" t="s">
        <v>15</v>
      </c>
      <c r="J12" s="259"/>
      <c r="K12" s="24"/>
      <c r="L12" s="24"/>
      <c r="M12" s="24"/>
    </row>
    <row r="13" spans="1:13" ht="25.5" x14ac:dyDescent="0.25">
      <c r="A13" s="18" t="s">
        <v>278</v>
      </c>
      <c r="B13" s="25" t="s">
        <v>279</v>
      </c>
      <c r="C13" s="8"/>
      <c r="D13" s="9" t="s">
        <v>13</v>
      </c>
      <c r="E13" s="9" t="s">
        <v>14</v>
      </c>
      <c r="F13" s="34" t="s">
        <v>15</v>
      </c>
      <c r="G13" s="19" t="s">
        <v>15</v>
      </c>
      <c r="H13" s="240"/>
      <c r="I13" s="127" t="s">
        <v>15</v>
      </c>
      <c r="J13" s="259"/>
      <c r="K13" s="24"/>
      <c r="L13" s="24"/>
      <c r="M13" s="24"/>
    </row>
    <row r="14" spans="1:13" ht="25.5" x14ac:dyDescent="0.25">
      <c r="A14" s="18" t="s">
        <v>280</v>
      </c>
      <c r="B14" s="25" t="s">
        <v>281</v>
      </c>
      <c r="C14" s="8"/>
      <c r="D14" s="9" t="s">
        <v>150</v>
      </c>
      <c r="E14" s="9" t="s">
        <v>151</v>
      </c>
      <c r="F14" s="34" t="s">
        <v>15</v>
      </c>
      <c r="G14" s="167">
        <v>15</v>
      </c>
      <c r="H14" s="242"/>
      <c r="I14" s="286">
        <f>IF(Kwijtschelding[[#This Row],[Voldoet de oplossing? ja/nee]]="Ja",Kwijtschelding[[#This Row],[Max. te behalen punten]],0)</f>
        <v>0</v>
      </c>
      <c r="J14" s="258"/>
      <c r="K14" s="24"/>
      <c r="L14" s="24"/>
      <c r="M14" s="24"/>
    </row>
    <row r="15" spans="1:13" ht="51" x14ac:dyDescent="0.25">
      <c r="A15" s="18" t="s">
        <v>282</v>
      </c>
      <c r="B15" s="25" t="s">
        <v>283</v>
      </c>
      <c r="C15" s="8" t="s">
        <v>284</v>
      </c>
      <c r="D15" s="9" t="s">
        <v>150</v>
      </c>
      <c r="E15" s="9" t="s">
        <v>200</v>
      </c>
      <c r="F15" s="34" t="s">
        <v>15</v>
      </c>
      <c r="G15" s="167">
        <v>10</v>
      </c>
      <c r="H15" s="242"/>
      <c r="I15" s="286">
        <f>IF(Kwijtschelding[[#This Row],[Voldoet de oplossing? ja/nee]]="Ja",Kwijtschelding[[#This Row],[Max. te behalen punten]],0)</f>
        <v>0</v>
      </c>
      <c r="J15" s="258"/>
      <c r="K15" s="24"/>
      <c r="L15" s="24"/>
      <c r="M15" s="24"/>
    </row>
    <row r="16" spans="1:13" ht="63.75" x14ac:dyDescent="0.25">
      <c r="A16" s="18" t="s">
        <v>285</v>
      </c>
      <c r="B16" s="25" t="s">
        <v>688</v>
      </c>
      <c r="C16" s="8" t="s">
        <v>687</v>
      </c>
      <c r="D16" s="9" t="s">
        <v>150</v>
      </c>
      <c r="E16" s="9" t="s">
        <v>203</v>
      </c>
      <c r="F16" s="34" t="s">
        <v>15</v>
      </c>
      <c r="G16" s="167">
        <v>5</v>
      </c>
      <c r="H16" s="242"/>
      <c r="I16" s="286">
        <f>IF(Kwijtschelding[[#This Row],[Voldoet de oplossing? ja/nee]]="Ja",Kwijtschelding[[#This Row],[Max. te behalen punten]],0)</f>
        <v>0</v>
      </c>
      <c r="J16" s="260"/>
      <c r="K16" s="24"/>
      <c r="L16" s="24"/>
      <c r="M16" s="24"/>
    </row>
    <row r="17" spans="1:13" ht="63.75" x14ac:dyDescent="0.25">
      <c r="A17" s="18" t="s">
        <v>286</v>
      </c>
      <c r="B17" s="25" t="s">
        <v>287</v>
      </c>
      <c r="C17" s="8" t="s">
        <v>288</v>
      </c>
      <c r="D17" s="9" t="s">
        <v>84</v>
      </c>
      <c r="E17" s="9" t="s">
        <v>15</v>
      </c>
      <c r="F17" s="208" t="s">
        <v>289</v>
      </c>
      <c r="G17" s="167">
        <v>10</v>
      </c>
      <c r="H17" s="19" t="s">
        <v>253</v>
      </c>
      <c r="I17" s="127"/>
      <c r="J17" s="260"/>
      <c r="K17" s="24"/>
      <c r="L17" s="24"/>
      <c r="M17" s="24"/>
    </row>
    <row r="18" spans="1:13" ht="38.25" x14ac:dyDescent="0.25">
      <c r="A18" s="199" t="s">
        <v>290</v>
      </c>
      <c r="B18" s="71" t="s">
        <v>291</v>
      </c>
      <c r="C18" s="57" t="s">
        <v>292</v>
      </c>
      <c r="D18" s="52" t="s">
        <v>84</v>
      </c>
      <c r="E18" s="52" t="s">
        <v>15</v>
      </c>
      <c r="F18" s="206" t="s">
        <v>289</v>
      </c>
      <c r="G18" s="207">
        <v>15</v>
      </c>
      <c r="H18" s="53" t="s">
        <v>253</v>
      </c>
      <c r="I18" s="130"/>
      <c r="J18" s="261"/>
      <c r="K18" s="24"/>
      <c r="L18" s="24"/>
      <c r="M18" s="24"/>
    </row>
    <row r="19" spans="1:13" x14ac:dyDescent="0.25">
      <c r="A19" s="273"/>
      <c r="B19" s="274"/>
      <c r="C19" s="274"/>
      <c r="D19" s="271"/>
      <c r="E19" s="271"/>
      <c r="F19" s="271" t="s">
        <v>35</v>
      </c>
      <c r="G19" s="293">
        <f>SUM(Kwijtschelding[Max. te behalen punten])</f>
        <v>55</v>
      </c>
      <c r="H19" s="271" t="s">
        <v>36</v>
      </c>
      <c r="I19" s="292">
        <f>SUM(Kwijtschelding[Score])</f>
        <v>0</v>
      </c>
      <c r="J19" s="272"/>
      <c r="K19" s="24"/>
      <c r="L19" s="24"/>
      <c r="M19" s="24"/>
    </row>
    <row r="20" spans="1:13" s="24" customFormat="1" ht="12.75" x14ac:dyDescent="0.2">
      <c r="A20" s="310" t="s">
        <v>293</v>
      </c>
      <c r="B20" s="310"/>
      <c r="C20" s="310"/>
      <c r="D20" s="310"/>
      <c r="E20" s="310"/>
      <c r="F20" s="310"/>
      <c r="G20" s="204">
        <v>50</v>
      </c>
      <c r="H20" s="193"/>
      <c r="I20" s="197"/>
    </row>
    <row r="21" spans="1:13" x14ac:dyDescent="0.25">
      <c r="A21" s="24"/>
      <c r="B21" s="24"/>
      <c r="C21" s="24"/>
      <c r="D21" s="24"/>
      <c r="E21" s="24"/>
      <c r="F21" s="24"/>
      <c r="G21" s="24"/>
      <c r="H21" s="24"/>
      <c r="I21" s="24"/>
      <c r="J21" s="24"/>
      <c r="K21" s="24"/>
      <c r="L21" s="24"/>
      <c r="M21" s="24"/>
    </row>
    <row r="22" spans="1:13" x14ac:dyDescent="0.25">
      <c r="A22" s="24"/>
      <c r="B22" s="24"/>
      <c r="C22" s="24"/>
      <c r="D22" s="24"/>
      <c r="E22" s="24"/>
      <c r="F22" s="24"/>
      <c r="G22" s="24"/>
      <c r="H22" s="24"/>
      <c r="I22" s="24"/>
      <c r="J22" s="24"/>
      <c r="K22" s="24"/>
      <c r="L22" s="24"/>
      <c r="M22" s="24"/>
    </row>
    <row r="23" spans="1:13" x14ac:dyDescent="0.25">
      <c r="A23" s="24"/>
      <c r="B23" s="30"/>
      <c r="C23" s="24"/>
      <c r="D23" s="24"/>
      <c r="E23" s="24"/>
      <c r="F23" s="24"/>
      <c r="G23" s="24"/>
      <c r="H23" s="24"/>
      <c r="I23" s="24"/>
      <c r="J23" s="24"/>
      <c r="K23" s="24"/>
      <c r="L23" s="24"/>
      <c r="M23" s="24"/>
    </row>
    <row r="24" spans="1:13" x14ac:dyDescent="0.25">
      <c r="A24" s="24"/>
      <c r="B24" s="24"/>
      <c r="C24" s="24"/>
      <c r="D24" s="24"/>
      <c r="E24" s="24"/>
      <c r="F24" s="24"/>
      <c r="G24" s="24"/>
      <c r="H24" s="24"/>
      <c r="I24" s="24"/>
      <c r="J24" s="24"/>
      <c r="K24" s="24"/>
      <c r="L24" s="24"/>
      <c r="M24" s="24"/>
    </row>
    <row r="25" spans="1:13" x14ac:dyDescent="0.25">
      <c r="A25" s="24"/>
      <c r="B25" s="24"/>
      <c r="C25" s="24"/>
      <c r="D25" s="24"/>
      <c r="E25" s="24"/>
      <c r="F25" s="24"/>
      <c r="G25" s="24"/>
      <c r="H25" s="24"/>
      <c r="I25" s="24"/>
      <c r="J25" s="24"/>
      <c r="K25" s="24"/>
      <c r="L25" s="24"/>
      <c r="M25" s="24"/>
    </row>
    <row r="26" spans="1:13" x14ac:dyDescent="0.25">
      <c r="A26" s="24"/>
      <c r="B26" s="24"/>
      <c r="C26" s="24"/>
      <c r="D26" s="24"/>
      <c r="E26" s="24"/>
      <c r="F26" s="24"/>
      <c r="G26" s="24"/>
      <c r="H26" s="24"/>
      <c r="I26" s="24"/>
      <c r="J26" s="24"/>
      <c r="K26" s="24"/>
      <c r="L26" s="24"/>
      <c r="M26" s="24"/>
    </row>
    <row r="27" spans="1:13" x14ac:dyDescent="0.25">
      <c r="A27" s="24"/>
      <c r="B27" s="24"/>
      <c r="C27" s="24"/>
      <c r="D27" s="24"/>
      <c r="E27" s="24"/>
      <c r="F27" s="24"/>
      <c r="G27" s="24"/>
      <c r="H27" s="24"/>
      <c r="I27" s="24"/>
      <c r="J27" s="24"/>
      <c r="K27" s="24"/>
      <c r="L27" s="24"/>
      <c r="M27" s="24"/>
    </row>
    <row r="28" spans="1:13" x14ac:dyDescent="0.25">
      <c r="A28" s="24"/>
      <c r="B28" s="24"/>
      <c r="C28" s="24"/>
      <c r="D28" s="24"/>
      <c r="E28" s="24"/>
      <c r="F28" s="24"/>
      <c r="G28" s="24"/>
      <c r="H28" s="24"/>
      <c r="I28" s="24"/>
      <c r="J28" s="24"/>
      <c r="K28" s="24"/>
      <c r="L28" s="24"/>
      <c r="M28" s="24"/>
    </row>
    <row r="29" spans="1:13" x14ac:dyDescent="0.25">
      <c r="A29" s="24"/>
      <c r="J29" s="24"/>
      <c r="K29" s="24"/>
      <c r="L29" s="24"/>
      <c r="M29" s="24"/>
    </row>
  </sheetData>
  <sheetProtection algorithmName="SHA-512" hashValue="UrrO6WjTn19ZNmat4hugmLEC+YDabYwZffJxtvgMPzObVvMxQB41qZWbLPRghj6G6B3WUV16mkUKmCSTQldxBA==" saltValue="5kiyYp+iGrQJZBQB/k7hvw==" spinCount="100000" sheet="1" objects="1" scenarios="1"/>
  <mergeCells count="1">
    <mergeCell ref="A20:F20"/>
  </mergeCells>
  <phoneticPr fontId="7" type="noConversion"/>
  <dataValidations count="1">
    <dataValidation type="list" allowBlank="1" showInputMessage="1" showErrorMessage="1" sqref="H20 H5:H16" xr:uid="{432034D5-A7D5-4B74-ABD6-4B07AF9C6BF9}">
      <formula1>"Ja,Nee"</formula1>
    </dataValidation>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691CD5931425A4BAB14F9E88AFA3067" ma:contentTypeVersion="4" ma:contentTypeDescription="Een nieuw document maken." ma:contentTypeScope="" ma:versionID="2cccf0d25d055cc32a80778fdcd38e41">
  <xsd:schema xmlns:xsd="http://www.w3.org/2001/XMLSchema" xmlns:xs="http://www.w3.org/2001/XMLSchema" xmlns:p="http://schemas.microsoft.com/office/2006/metadata/properties" xmlns:ns2="4147414f-a676-4ca3-bafe-63ca6d86fc42" targetNamespace="http://schemas.microsoft.com/office/2006/metadata/properties" ma:root="true" ma:fieldsID="fa50da681e84fb9ece56cf805f58b013" ns2:_="">
    <xsd:import namespace="4147414f-a676-4ca3-bafe-63ca6d86fc4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47414f-a676-4ca3-bafe-63ca6d86fc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941F4C-73C2-432B-B841-0F9CCCB2C6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47414f-a676-4ca3-bafe-63ca6d86fc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D0D5714-27EE-4BF4-BB13-8190719465CD}">
  <ds:schemaRefs>
    <ds:schemaRef ds:uri="http://schemas.microsoft.com/office/2006/documentManagement/types"/>
    <ds:schemaRef ds:uri="http://purl.org/dc/terms/"/>
    <ds:schemaRef ds:uri="http://schemas.openxmlformats.org/package/2006/metadata/core-properties"/>
    <ds:schemaRef ds:uri="http://purl.org/dc/dcmitype/"/>
    <ds:schemaRef ds:uri="4147414f-a676-4ca3-bafe-63ca6d86fc42"/>
    <ds:schemaRef ds:uri="http://purl.org/dc/elements/1.1/"/>
    <ds:schemaRef ds:uri="http://schemas.microsoft.com/office/2006/metadata/properti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C94CE4FD-3E18-4FB4-99B8-5DAB8D501D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25</vt:i4>
      </vt:variant>
    </vt:vector>
  </HeadingPairs>
  <TitlesOfParts>
    <vt:vector size="25" baseType="lpstr">
      <vt:lpstr>Algemeen</vt:lpstr>
      <vt:lpstr>Facturatie</vt:lpstr>
      <vt:lpstr>SLA</vt:lpstr>
      <vt:lpstr>Informatiebeheer</vt:lpstr>
      <vt:lpstr>Architectuur</vt:lpstr>
      <vt:lpstr>Data</vt:lpstr>
      <vt:lpstr>Heffen</vt:lpstr>
      <vt:lpstr>Invordering</vt:lpstr>
      <vt:lpstr>Kwijtschelding</vt:lpstr>
      <vt:lpstr>WOZ</vt:lpstr>
      <vt:lpstr>Waarderen</vt:lpstr>
      <vt:lpstr>Bezwaar en beroep</vt:lpstr>
      <vt:lpstr>Workflow</vt:lpstr>
      <vt:lpstr>Digitale belastingbalie</vt:lpstr>
      <vt:lpstr>Geo-informatie</vt:lpstr>
      <vt:lpstr>Rapportages</vt:lpstr>
      <vt:lpstr>Documenten</vt:lpstr>
      <vt:lpstr>Functioneel beheer</vt:lpstr>
      <vt:lpstr>Koppelingen</vt:lpstr>
      <vt:lpstr>Conversie</vt:lpstr>
      <vt:lpstr>Implementatie</vt:lpstr>
      <vt:lpstr>Exit Strategie</vt:lpstr>
      <vt:lpstr>Roadmap</vt:lpstr>
      <vt:lpstr>InformatiebeveiligingPrivacy</vt:lpstr>
      <vt:lpstr>Scoring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Gunnar Oldenhof</dc:creator>
  <cp:keywords/>
  <dc:description/>
  <cp:lastModifiedBy>Oldenhof, Gunnar</cp:lastModifiedBy>
  <cp:revision/>
  <dcterms:created xsi:type="dcterms:W3CDTF">2021-07-06T08:45:31Z</dcterms:created>
  <dcterms:modified xsi:type="dcterms:W3CDTF">2025-09-25T10:37:44Z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0x010100C691CD5931425A4BAB14F9E88AFA3067</vt:lpwstr>
  </property>
</Properties>
</file>