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.xml" ContentType="application/vnd.ms-excel.rdrichvalue+xml"/>
  <Override PartName="/xl/richData/rdRichValueTypes.xml" ContentType="application/vnd.ms-excel.rdrichvaluetypes+xml"/>
  <Override PartName="/xl/richData/richValueRel.xml" ContentType="application/vnd.ms-excel.richvaluerel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richData/rdrichvaluestructure.xml" ContentType="application/vnd.ms-excel.rdrichvaluestruc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ads-hhm-02\Projecten\rtcoas\"/>
    </mc:Choice>
  </mc:AlternateContent>
  <xr:revisionPtr revIDLastSave="0" documentId="13_ncr:1_{0274F50A-8691-4D62-B8DA-3B3C3D03D86D}" xr6:coauthVersionLast="47" xr6:coauthVersionMax="47" xr10:uidLastSave="{00000000-0000-0000-0000-000000000000}"/>
  <bookViews>
    <workbookView xWindow="-108" yWindow="-108" windowWidth="23256" windowHeight="13896" tabRatio="630" xr2:uid="{488EDFD9-EEC5-4B5E-9296-DA4AF40A6EF7}"/>
  </bookViews>
  <sheets>
    <sheet name="Legenda" sheetId="22" r:id="rId1"/>
    <sheet name="Producten &amp; tarieven" sheetId="6" r:id="rId2"/>
    <sheet name="Uitleg" sheetId="23" r:id="rId3"/>
    <sheet name="Vervoer" sheetId="14" state="hidden" r:id="rId4"/>
    <sheet name="Samenvatting" sheetId="10" r:id="rId5"/>
    <sheet name="Parameters" sheetId="17" r:id="rId6"/>
    <sheet name="Salarissen" sheetId="2" r:id="rId7"/>
    <sheet name="Salaris cao" sheetId="24" r:id="rId8"/>
    <sheet name="Sociale lasten" sheetId="3" r:id="rId9"/>
    <sheet name="ORT" sheetId="8" state="hidden" r:id="rId10"/>
    <sheet name="Consignatie" sheetId="21" state="hidden" r:id="rId11"/>
    <sheet name="Extra inzet" sheetId="19" state="hidden" r:id="rId12"/>
  </sheets>
  <definedNames>
    <definedName name="aow_franchise_GGZ_GHZ_SW_VVT_JZ" localSheetId="11">'Extra inzet'!$D$56</definedName>
    <definedName name="aow_franchise_GGZ_GHZ_SW_VVT_JZ">'Producten &amp; tarieven'!$D$56</definedName>
    <definedName name="AP_franchise_GGZ_GHZ_SW_VVT_JZ" localSheetId="11">'Extra inzet'!$D$59</definedName>
    <definedName name="AP_franchise_GGZ_GHZ_SW_VVT_JZ">'Producten &amp; tarieven'!$D$60</definedName>
    <definedName name="AP_Premie_GGZ_GHZ_VVT" localSheetId="11">'Extra inzet'!$C$58</definedName>
    <definedName name="AP_Premie_GGZ_GHZ_VVT">'Producten &amp; tarieven'!$C$59</definedName>
    <definedName name="AP_Premie_SW_JZ" localSheetId="11">'Extra inzet'!$D$58</definedName>
    <definedName name="AP_Premie_SW_JZ">'Producten &amp; tarieven'!$D$59</definedName>
    <definedName name="Bereikbaarheid" localSheetId="11">'Extra inzet'!#REF!</definedName>
    <definedName name="Bereikbaarheid">'Producten &amp; tarieven'!$D$115</definedName>
    <definedName name="Eindejaarsuitkering">Parameters!$H$4:$H$8</definedName>
    <definedName name="GGZ_FWG20">Salarissen!$E$34</definedName>
    <definedName name="GGZ_Overhead">Parameters!$C$4</definedName>
    <definedName name="GGZ_Overhead_WW">Parameters!$D$4</definedName>
    <definedName name="GGZ_Salaris">Salarissen!$E$32:$E$48</definedName>
    <definedName name="GHZ_Overhead">Parameters!$C$5</definedName>
    <definedName name="GHZ_Overhead_GHZ">Parameters!$D$5</definedName>
    <definedName name="GHZ_Salaris">Salarissen!$F$32:$F$48</definedName>
    <definedName name="HBO">Salarissen!$F$3:$F$7</definedName>
    <definedName name="HBO_plus">Salarissen!$G$3:$G$7</definedName>
    <definedName name="Hotelmatige_kosten" localSheetId="11">'Extra inzet'!#REF!</definedName>
    <definedName name="Hotelmatige_kosten">'Producten &amp; tarieven'!$D$109</definedName>
    <definedName name="Inschaling" localSheetId="3">#REF!</definedName>
    <definedName name="Inschaling">#REF!</definedName>
    <definedName name="Jeugd_GGZ_Overhead">Parameters!$E$4</definedName>
    <definedName name="Jeugd_GGZ_Overhead_WW">Parameters!$F$4</definedName>
    <definedName name="Jeugd_GHZ_Overhead">Parameters!$E$5</definedName>
    <definedName name="Jeugd_GHZ_Overhead_WW">Parameters!$F$5</definedName>
    <definedName name="Jeugd_JZ_Overhead">Parameters!$E$8</definedName>
    <definedName name="Jeugd_JZ_Overhead_WW">Parameters!$F$8</definedName>
    <definedName name="Jeugd_Overhead">Parameters!$E$4:$E$8</definedName>
    <definedName name="Jeugd_Overhead_JZ">Parameters!$E$4</definedName>
    <definedName name="Jeugd_SW_Overhead">Parameters!$E$6</definedName>
    <definedName name="Jeugd_SW_Overhead_WW">Parameters!$F$6</definedName>
    <definedName name="Jeugd_VVT_Overhead">Parameters!$E$7</definedName>
    <definedName name="Jeugd_VVT_Overhead_WW">Parameters!$F$7</definedName>
    <definedName name="JZ_Overhead">Parameters!$E$4:$E$8</definedName>
    <definedName name="JZ_Overhead_WW">Parameters!$D$8</definedName>
    <definedName name="JZ_Salaris">Salarissen!$I$32:$I$48</definedName>
    <definedName name="Locatiekosten" localSheetId="11">'Extra inzet'!#REF!</definedName>
    <definedName name="Locatiekosten">'Producten &amp; tarieven'!$D$105</definedName>
    <definedName name="MBO_2">Salarissen!$C$3:$C$7</definedName>
    <definedName name="MBO_3">Salarissen!$D$3:$D$7</definedName>
    <definedName name="MBO_4">Salarissen!$E$3:$E$7</definedName>
    <definedName name="MOB_3">Salarissen!$D$3:$D$7</definedName>
    <definedName name="NHC_NIC" localSheetId="11">'Extra inzet'!#REF!</definedName>
    <definedName name="NHC_NIC">'Producten &amp; tarieven'!$D$107</definedName>
    <definedName name="OP_Premie_GGZ_GHZ_SW_VVT" localSheetId="11">'Extra inzet'!$C$55</definedName>
    <definedName name="OP_Premie_GGZ_GHZ_SW_VVT">'Producten &amp; tarieven'!$C$55</definedName>
    <definedName name="OP_Premie_JZ" localSheetId="11">'Extra inzet'!$D$55</definedName>
    <definedName name="OP_Premie_JZ">'Producten &amp; tarieven'!$D$55</definedName>
    <definedName name="Opslag_kindplaats" localSheetId="11">'Extra inzet'!#REF!</definedName>
    <definedName name="Opslag_kindplaats">'Producten &amp; tarieven'!#REF!</definedName>
    <definedName name="Overhead_Wmo">Parameters!$C$4:$C$8</definedName>
    <definedName name="PNIL">Parameters!$I$4:$I$8</definedName>
    <definedName name="Reiskosten" localSheetId="11">'Extra inzet'!#REF!</definedName>
    <definedName name="Reiskosten">'Producten &amp; tarieven'!$D$111</definedName>
    <definedName name="Slaapwacht">'Producten &amp; tarieven'!$D$113</definedName>
    <definedName name="Sociale_lasten_Alg">'Sociale lasten'!$D$14</definedName>
    <definedName name="SW_Overhead">Parameters!$C$6</definedName>
    <definedName name="SW_Overhead_WW">Parameters!$D$6</definedName>
    <definedName name="SW_Salaris">Salarissen!$G$32:$G$48</definedName>
    <definedName name="Vakantietoeslag">Parameters!$G$4:$G$8</definedName>
    <definedName name="Verlof">Parameters!$J$4:$J$8</definedName>
    <definedName name="VVT_Overhead">Parameters!$C$7</definedName>
    <definedName name="VVT_Overhead_WW">Parameters!$D$7</definedName>
    <definedName name="VVT_Salaris">Salarissen!$H$32:$H$48</definedName>
    <definedName name="Wmo_GGZ_Overhead">Parameters!$C$4</definedName>
    <definedName name="WO">Salarissen!$H$3:$H$7</definedName>
    <definedName name="WO_plus">Salarissen!$I$3:$I$7</definedName>
    <definedName name="WO_plusplus">Salarissen!$J$3:$J$7</definedName>
    <definedName name="Ziekteverzuim">Parameters!$K$4:$K$8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7" l="1"/>
  <c r="F92" i="6"/>
  <c r="F59" i="6"/>
  <c r="F55" i="6"/>
  <c r="F44" i="6"/>
  <c r="F41" i="6"/>
  <c r="F39" i="6"/>
  <c r="C13" i="17"/>
  <c r="D14" i="3"/>
  <c r="R11" i="2"/>
  <c r="F115" i="6"/>
  <c r="F113" i="6"/>
  <c r="F109" i="6"/>
  <c r="F107" i="6"/>
  <c r="F105" i="6"/>
  <c r="F102" i="6"/>
  <c r="F84" i="6"/>
  <c r="F83" i="6"/>
  <c r="F85" i="6" s="1"/>
  <c r="F77" i="6"/>
  <c r="F73" i="6"/>
  <c r="F68" i="6"/>
  <c r="F50" i="6"/>
  <c r="F43" i="6"/>
  <c r="F37" i="6" a="1"/>
  <c r="F37" i="6" s="1"/>
  <c r="F28" i="6"/>
  <c r="F9" i="6"/>
  <c r="C11" i="17"/>
  <c r="J14" i="2"/>
  <c r="F86" i="6" l="1"/>
  <c r="F90" i="6" s="1"/>
  <c r="F95" i="6" s="1"/>
  <c r="F96" i="6" s="1"/>
  <c r="D27" i="14"/>
  <c r="C26" i="14"/>
  <c r="J8" i="17" l="1"/>
  <c r="J7" i="17"/>
  <c r="J6" i="17"/>
  <c r="T5" i="2"/>
  <c r="T4" i="2"/>
  <c r="G13" i="2"/>
  <c r="E8" i="3" l="1"/>
  <c r="E6" i="3" l="1"/>
  <c r="J5" i="17"/>
  <c r="J4" i="17"/>
  <c r="D107" i="6" l="1"/>
  <c r="D13" i="2"/>
  <c r="E34" i="2" s="1"/>
  <c r="J6" i="2"/>
  <c r="J5" i="2"/>
  <c r="I6" i="2"/>
  <c r="C3" i="2"/>
  <c r="E44" i="2"/>
  <c r="E43" i="2"/>
  <c r="F44" i="2"/>
  <c r="I46" i="2"/>
  <c r="I45" i="2"/>
  <c r="G46" i="2"/>
  <c r="G36" i="2"/>
  <c r="H45" i="2"/>
  <c r="H44" i="2"/>
  <c r="H39" i="2"/>
  <c r="H33" i="2"/>
  <c r="H32" i="2"/>
  <c r="J16" i="2"/>
  <c r="G37" i="2" s="1"/>
  <c r="J15" i="2"/>
  <c r="C5" i="2"/>
  <c r="M25" i="2"/>
  <c r="J7" i="2"/>
  <c r="C7" i="2"/>
  <c r="P26" i="2"/>
  <c r="I47" i="2" s="1"/>
  <c r="P25" i="2"/>
  <c r="I7" i="2" s="1"/>
  <c r="P24" i="2"/>
  <c r="P23" i="2"/>
  <c r="P22" i="2"/>
  <c r="I44" i="2" s="1"/>
  <c r="P21" i="2"/>
  <c r="I42" i="2" s="1"/>
  <c r="P20" i="2"/>
  <c r="I41" i="2" s="1"/>
  <c r="P19" i="2"/>
  <c r="I40" i="2" s="1"/>
  <c r="P18" i="2"/>
  <c r="I39" i="2" s="1"/>
  <c r="P17" i="2"/>
  <c r="I38" i="2" s="1"/>
  <c r="P16" i="2"/>
  <c r="I37" i="2" s="1"/>
  <c r="P15" i="2"/>
  <c r="I36" i="2" s="1"/>
  <c r="P14" i="2"/>
  <c r="I35" i="2" s="1"/>
  <c r="M24" i="2"/>
  <c r="M23" i="2"/>
  <c r="M22" i="2"/>
  <c r="H43" i="2" s="1"/>
  <c r="M21" i="2"/>
  <c r="H42" i="2" s="1"/>
  <c r="M20" i="2"/>
  <c r="H41" i="2" s="1"/>
  <c r="M19" i="2"/>
  <c r="H40" i="2" s="1"/>
  <c r="M18" i="2"/>
  <c r="M17" i="2"/>
  <c r="H38" i="2" s="1"/>
  <c r="M16" i="2"/>
  <c r="H37" i="2" s="1"/>
  <c r="M15" i="2"/>
  <c r="H36" i="2" s="1"/>
  <c r="M14" i="2"/>
  <c r="H35" i="2" s="1"/>
  <c r="M13" i="2"/>
  <c r="H34" i="2" s="1"/>
  <c r="M12" i="2"/>
  <c r="M11" i="2"/>
  <c r="J26" i="2"/>
  <c r="J25" i="2"/>
  <c r="I5" i="2" s="1"/>
  <c r="J24" i="2"/>
  <c r="G45" i="2" s="1"/>
  <c r="J23" i="2"/>
  <c r="G44" i="2" s="1"/>
  <c r="J22" i="2"/>
  <c r="G43" i="2" s="1"/>
  <c r="J21" i="2"/>
  <c r="G42" i="2" s="1"/>
  <c r="J20" i="2"/>
  <c r="G41" i="2" s="1"/>
  <c r="J19" i="2"/>
  <c r="G40" i="2" s="1"/>
  <c r="J18" i="2"/>
  <c r="G39" i="2" s="1"/>
  <c r="J17" i="2"/>
  <c r="G38" i="2" s="1"/>
  <c r="G28" i="2"/>
  <c r="F47" i="2" s="1"/>
  <c r="G27" i="2"/>
  <c r="J4" i="2" s="1"/>
  <c r="G26" i="2"/>
  <c r="F46" i="2" s="1"/>
  <c r="G25" i="2"/>
  <c r="G24" i="2"/>
  <c r="F45" i="2" s="1"/>
  <c r="G23" i="2"/>
  <c r="G22" i="2"/>
  <c r="F43" i="2" s="1"/>
  <c r="G21" i="2"/>
  <c r="F42" i="2" s="1"/>
  <c r="G20" i="2"/>
  <c r="F41" i="2" s="1"/>
  <c r="G19" i="2"/>
  <c r="F40" i="2" s="1"/>
  <c r="G18" i="2"/>
  <c r="F39" i="2" s="1"/>
  <c r="G17" i="2"/>
  <c r="F38" i="2" s="1"/>
  <c r="G16" i="2"/>
  <c r="F37" i="2" s="1"/>
  <c r="G15" i="2"/>
  <c r="F36" i="2" s="1"/>
  <c r="G14" i="2"/>
  <c r="F35" i="2" s="1"/>
  <c r="C4" i="2"/>
  <c r="D29" i="2"/>
  <c r="E48" i="2" s="1"/>
  <c r="D28" i="2"/>
  <c r="E47" i="2" s="1"/>
  <c r="D27" i="2"/>
  <c r="J3" i="2" s="1"/>
  <c r="D26" i="2"/>
  <c r="E46" i="2" s="1"/>
  <c r="D25" i="2"/>
  <c r="D24" i="2"/>
  <c r="E45" i="2" s="1"/>
  <c r="D23" i="2"/>
  <c r="D22" i="2"/>
  <c r="D21" i="2"/>
  <c r="E42" i="2" s="1"/>
  <c r="D20" i="2"/>
  <c r="E41" i="2" s="1"/>
  <c r="D19" i="2"/>
  <c r="E40" i="2" s="1"/>
  <c r="D18" i="2"/>
  <c r="E39" i="2" s="1"/>
  <c r="D17" i="2"/>
  <c r="E38" i="2" s="1"/>
  <c r="D16" i="2"/>
  <c r="E37" i="2" s="1"/>
  <c r="D15" i="2"/>
  <c r="E36" i="2" s="1"/>
  <c r="D14" i="2"/>
  <c r="E35" i="2" s="1"/>
  <c r="F32" i="6" l="1"/>
  <c r="F34" i="6" s="1"/>
  <c r="F35" i="6" s="1"/>
  <c r="I48" i="2"/>
  <c r="H48" i="2"/>
  <c r="G48" i="2"/>
  <c r="F48" i="2"/>
  <c r="G47" i="2"/>
  <c r="H47" i="2"/>
  <c r="G35" i="2"/>
  <c r="F34" i="2"/>
  <c r="I43" i="2"/>
  <c r="D7" i="2"/>
  <c r="C6" i="2"/>
  <c r="F45" i="6" l="1"/>
  <c r="F45" i="23" s="1"/>
  <c r="F42" i="6"/>
  <c r="F40" i="6"/>
  <c r="F38" i="6"/>
  <c r="D6" i="3"/>
  <c r="D7" i="3"/>
  <c r="J44" i="19"/>
  <c r="I44" i="19"/>
  <c r="H44" i="19"/>
  <c r="G44" i="19"/>
  <c r="F44" i="19"/>
  <c r="F46" i="6" l="1"/>
  <c r="F56" i="6"/>
  <c r="F60" i="6"/>
  <c r="F53" i="6"/>
  <c r="H6" i="17"/>
  <c r="F44" i="23"/>
  <c r="G72" i="19"/>
  <c r="J72" i="19"/>
  <c r="I72" i="19"/>
  <c r="H72" i="19"/>
  <c r="F72" i="19"/>
  <c r="F112" i="23"/>
  <c r="F110" i="23"/>
  <c r="F62" i="6" l="1"/>
  <c r="F64" i="6"/>
  <c r="F65" i="6" s="1"/>
  <c r="F67" i="6" s="1"/>
  <c r="F69" i="6" s="1"/>
  <c r="F70" i="6" s="1"/>
  <c r="D34" i="23"/>
  <c r="D35" i="23"/>
  <c r="F36" i="23"/>
  <c r="D39" i="23"/>
  <c r="D41" i="23"/>
  <c r="D43" i="23"/>
  <c r="D52" i="23"/>
  <c r="D54" i="23"/>
  <c r="D55" i="23"/>
  <c r="D56" i="23"/>
  <c r="D57" i="23"/>
  <c r="D58" i="23"/>
  <c r="D59" i="23"/>
  <c r="D60" i="23"/>
  <c r="D68" i="23"/>
  <c r="D72" i="23"/>
  <c r="F72" i="23"/>
  <c r="D73" i="23"/>
  <c r="D76" i="23"/>
  <c r="D77" i="23"/>
  <c r="D83" i="23"/>
  <c r="D85" i="23"/>
  <c r="F87" i="23"/>
  <c r="F91" i="23"/>
  <c r="F100" i="23"/>
  <c r="F101" i="23"/>
  <c r="F103" i="23"/>
  <c r="F104" i="23"/>
  <c r="D105" i="23"/>
  <c r="F106" i="23"/>
  <c r="F108" i="23"/>
  <c r="D109" i="23"/>
  <c r="F114" i="23"/>
  <c r="F11" i="23"/>
  <c r="F12" i="23"/>
  <c r="F13" i="23"/>
  <c r="F14" i="23"/>
  <c r="F15" i="23"/>
  <c r="F16" i="23"/>
  <c r="F17" i="23"/>
  <c r="F19" i="23"/>
  <c r="F21" i="23"/>
  <c r="F22" i="23"/>
  <c r="F23" i="23"/>
  <c r="F24" i="23"/>
  <c r="F25" i="23"/>
  <c r="F26" i="23"/>
  <c r="F27" i="23"/>
  <c r="F5" i="23"/>
  <c r="F6" i="23"/>
  <c r="F7" i="23"/>
  <c r="F4" i="23"/>
  <c r="F3" i="23"/>
  <c r="F2" i="23"/>
  <c r="P28" i="17"/>
  <c r="N28" i="17"/>
  <c r="K28" i="17"/>
  <c r="D107" i="23"/>
  <c r="G7" i="2"/>
  <c r="G6" i="2"/>
  <c r="G5" i="2"/>
  <c r="G4" i="2"/>
  <c r="G3" i="2"/>
  <c r="F7" i="2"/>
  <c r="F6" i="2"/>
  <c r="F5" i="2"/>
  <c r="F4" i="2"/>
  <c r="F3" i="2"/>
  <c r="F77" i="23"/>
  <c r="D78" i="6"/>
  <c r="F73" i="23"/>
  <c r="K41" i="17"/>
  <c r="N41" i="17" s="1"/>
  <c r="P41" i="17" s="1"/>
  <c r="E43" i="17"/>
  <c r="E47" i="17" s="1"/>
  <c r="F43" i="17"/>
  <c r="F47" i="17" s="1"/>
  <c r="G43" i="17"/>
  <c r="G47" i="17" s="1"/>
  <c r="H43" i="17"/>
  <c r="H47" i="17" s="1"/>
  <c r="I43" i="17"/>
  <c r="I47" i="17" s="1"/>
  <c r="I35" i="17"/>
  <c r="I48" i="17"/>
  <c r="H48" i="17"/>
  <c r="G48" i="17"/>
  <c r="F48" i="17"/>
  <c r="E48" i="17"/>
  <c r="H35" i="17"/>
  <c r="G35" i="17"/>
  <c r="F35" i="17"/>
  <c r="E35" i="17"/>
  <c r="D35" i="17"/>
  <c r="I30" i="17"/>
  <c r="I34" i="17" s="1"/>
  <c r="H30" i="17"/>
  <c r="H34" i="17" s="1"/>
  <c r="G30" i="17"/>
  <c r="G34" i="17" s="1"/>
  <c r="F30" i="17"/>
  <c r="F34" i="17" s="1"/>
  <c r="E30" i="17"/>
  <c r="E34" i="17" s="1"/>
  <c r="D30" i="17"/>
  <c r="D34" i="17" s="1"/>
  <c r="L23" i="14"/>
  <c r="O19" i="14"/>
  <c r="N19" i="14"/>
  <c r="M19" i="14"/>
  <c r="L19" i="14"/>
  <c r="K19" i="14"/>
  <c r="J19" i="14"/>
  <c r="O18" i="14"/>
  <c r="N18" i="14"/>
  <c r="M18" i="14"/>
  <c r="L18" i="14"/>
  <c r="K18" i="14"/>
  <c r="J18" i="14"/>
  <c r="O17" i="14"/>
  <c r="N17" i="14"/>
  <c r="M17" i="14"/>
  <c r="L17" i="14"/>
  <c r="K17" i="14"/>
  <c r="J17" i="14"/>
  <c r="O16" i="14"/>
  <c r="N16" i="14"/>
  <c r="M16" i="14"/>
  <c r="L16" i="14"/>
  <c r="K16" i="14"/>
  <c r="J16" i="14"/>
  <c r="D28" i="14"/>
  <c r="C28" i="14"/>
  <c r="C27" i="14"/>
  <c r="D26" i="14"/>
  <c r="H23" i="14"/>
  <c r="O23" i="14" s="1"/>
  <c r="H22" i="14"/>
  <c r="G23" i="14" s="1"/>
  <c r="N23" i="14" s="1"/>
  <c r="G22" i="14"/>
  <c r="N22" i="14" s="1"/>
  <c r="F22" i="14"/>
  <c r="M22" i="14" s="1"/>
  <c r="E22" i="14"/>
  <c r="L22" i="14" s="1"/>
  <c r="D22" i="14"/>
  <c r="D23" i="14" s="1"/>
  <c r="K23" i="14" s="1"/>
  <c r="C22" i="14"/>
  <c r="J22" i="14" s="1"/>
  <c r="F78" i="6" l="1"/>
  <c r="I44" i="23"/>
  <c r="F74" i="6"/>
  <c r="F76" i="6" s="1"/>
  <c r="F79" i="6" s="1"/>
  <c r="F98" i="6" s="1"/>
  <c r="F23" i="14"/>
  <c r="M23" i="14" s="1"/>
  <c r="O22" i="14"/>
  <c r="K22" i="14"/>
  <c r="D78" i="23"/>
  <c r="I77" i="23"/>
  <c r="F78" i="23"/>
  <c r="F28" i="23"/>
  <c r="F8" i="23"/>
  <c r="F9" i="23"/>
  <c r="K35" i="17"/>
  <c r="K34" i="17"/>
  <c r="K30" i="17"/>
  <c r="N30" i="17" s="1"/>
  <c r="P30" i="17" s="1"/>
  <c r="K48" i="17"/>
  <c r="K43" i="17"/>
  <c r="N43" i="17" s="1"/>
  <c r="P43" i="17" s="1"/>
  <c r="K47" i="17"/>
  <c r="C23" i="14"/>
  <c r="J23" i="14" s="1"/>
  <c r="F5" i="21"/>
  <c r="H4" i="2"/>
  <c r="H85" i="8" l="1"/>
  <c r="X85" i="8"/>
  <c r="X67" i="8"/>
  <c r="H67" i="8"/>
  <c r="W19" i="8"/>
  <c r="F39" i="23" l="1"/>
  <c r="X103" i="8"/>
  <c r="P103" i="8"/>
  <c r="H103" i="8"/>
  <c r="H95" i="8"/>
  <c r="H139" i="8"/>
  <c r="I6" i="17"/>
  <c r="G5" i="21"/>
  <c r="E5" i="21"/>
  <c r="D5" i="21"/>
  <c r="C5" i="21"/>
  <c r="G52" i="21"/>
  <c r="G49" i="21"/>
  <c r="G50" i="21"/>
  <c r="G51" i="21"/>
  <c r="E51" i="21"/>
  <c r="E50" i="21"/>
  <c r="E49" i="21"/>
  <c r="E33" i="21"/>
  <c r="G33" i="21" s="1"/>
  <c r="E32" i="21"/>
  <c r="G32" i="21" s="1"/>
  <c r="E31" i="21"/>
  <c r="G31" i="21" s="1"/>
  <c r="G42" i="21"/>
  <c r="G41" i="21"/>
  <c r="G40" i="21"/>
  <c r="E24" i="21"/>
  <c r="G24" i="21" s="1"/>
  <c r="E23" i="21"/>
  <c r="G23" i="21" s="1"/>
  <c r="E22" i="21"/>
  <c r="G22" i="21" s="1"/>
  <c r="E15" i="21"/>
  <c r="G15" i="21" s="1"/>
  <c r="E14" i="21"/>
  <c r="G14" i="21" s="1"/>
  <c r="E13" i="21"/>
  <c r="G13" i="21" s="1"/>
  <c r="F59" i="23" l="1"/>
  <c r="G34" i="21"/>
  <c r="G35" i="21" s="1"/>
  <c r="G53" i="21"/>
  <c r="G43" i="21"/>
  <c r="G44" i="21" s="1"/>
  <c r="G16" i="21"/>
  <c r="G17" i="21" s="1"/>
  <c r="G25" i="21"/>
  <c r="G26" i="21" s="1"/>
  <c r="F113" i="23" l="1"/>
  <c r="D111" i="6"/>
  <c r="F111" i="6" s="1"/>
  <c r="F117" i="6" s="1"/>
  <c r="F118" i="6" s="1"/>
  <c r="D111" i="23" l="1"/>
  <c r="F37" i="19" a="1"/>
  <c r="F37" i="19" s="1"/>
  <c r="W119" i="8"/>
  <c r="W118" i="8"/>
  <c r="W117" i="8"/>
  <c r="W116" i="8"/>
  <c r="W115" i="8"/>
  <c r="W114" i="8"/>
  <c r="W113" i="8"/>
  <c r="W112" i="8"/>
  <c r="W111" i="8"/>
  <c r="W110" i="8"/>
  <c r="W109" i="8"/>
  <c r="O119" i="8"/>
  <c r="P119" i="8" s="1"/>
  <c r="O118" i="8"/>
  <c r="O117" i="8"/>
  <c r="O116" i="8"/>
  <c r="O115" i="8"/>
  <c r="O114" i="8"/>
  <c r="P118" i="8" s="1"/>
  <c r="O113" i="8"/>
  <c r="O112" i="8"/>
  <c r="O111" i="8"/>
  <c r="O110" i="8"/>
  <c r="O109" i="8"/>
  <c r="G119" i="8"/>
  <c r="G118" i="8"/>
  <c r="G117" i="8"/>
  <c r="G116" i="8"/>
  <c r="G115" i="8"/>
  <c r="H118" i="8" s="1"/>
  <c r="G114" i="8"/>
  <c r="G113" i="8"/>
  <c r="G112" i="8"/>
  <c r="G111" i="8"/>
  <c r="G110" i="8"/>
  <c r="G109" i="8"/>
  <c r="X119" i="8"/>
  <c r="H119" i="8"/>
  <c r="X118" i="8" l="1"/>
  <c r="X113" i="8"/>
  <c r="X121" i="8" s="1"/>
  <c r="G9" i="8" s="1"/>
  <c r="P113" i="8"/>
  <c r="P121" i="8" s="1"/>
  <c r="E9" i="8" s="1"/>
  <c r="H113" i="8"/>
  <c r="H121" i="8" s="1"/>
  <c r="C9" i="8" l="1"/>
  <c r="D9" i="8"/>
  <c r="F9" i="8"/>
  <c r="J92" i="19"/>
  <c r="I92" i="19"/>
  <c r="H92" i="19"/>
  <c r="G92" i="19"/>
  <c r="F92" i="19"/>
  <c r="J90" i="19"/>
  <c r="I90" i="19"/>
  <c r="H90" i="19"/>
  <c r="G90" i="19"/>
  <c r="F90" i="19"/>
  <c r="J82" i="19"/>
  <c r="I82" i="19"/>
  <c r="H82" i="19"/>
  <c r="G82" i="19"/>
  <c r="J81" i="19"/>
  <c r="I81" i="19"/>
  <c r="H81" i="19"/>
  <c r="G81" i="19"/>
  <c r="F81" i="19"/>
  <c r="J76" i="19"/>
  <c r="I76" i="19"/>
  <c r="H76" i="19"/>
  <c r="G76" i="19"/>
  <c r="F76" i="19"/>
  <c r="J58" i="19"/>
  <c r="I58" i="19"/>
  <c r="H58" i="19"/>
  <c r="G58" i="19"/>
  <c r="F58" i="19"/>
  <c r="J55" i="19"/>
  <c r="I55" i="19"/>
  <c r="H55" i="19"/>
  <c r="G55" i="19"/>
  <c r="F55" i="19"/>
  <c r="J43" i="19"/>
  <c r="I43" i="19"/>
  <c r="H43" i="19"/>
  <c r="G43" i="19"/>
  <c r="F43" i="19"/>
  <c r="J41" i="19"/>
  <c r="I41" i="19"/>
  <c r="H41" i="19"/>
  <c r="G41" i="19"/>
  <c r="F41" i="19"/>
  <c r="J39" i="19"/>
  <c r="I39" i="19"/>
  <c r="H39" i="19"/>
  <c r="G39" i="19"/>
  <c r="F39" i="19"/>
  <c r="J28" i="19"/>
  <c r="I28" i="19"/>
  <c r="H28" i="19"/>
  <c r="G28" i="19"/>
  <c r="F28" i="19"/>
  <c r="J9" i="19"/>
  <c r="I9" i="19"/>
  <c r="H9" i="19"/>
  <c r="G9" i="19"/>
  <c r="F9" i="19"/>
  <c r="J8" i="19"/>
  <c r="I8" i="19"/>
  <c r="H8" i="19"/>
  <c r="G8" i="19"/>
  <c r="F8" i="19"/>
  <c r="I37" i="19" l="1" a="1"/>
  <c r="I37" i="19" s="1"/>
  <c r="H37" i="19" a="1"/>
  <c r="H37" i="19" s="1"/>
  <c r="F84" i="19"/>
  <c r="F88" i="19" s="1"/>
  <c r="F93" i="19" s="1"/>
  <c r="F94" i="19" s="1"/>
  <c r="G83" i="19"/>
  <c r="G84" i="19" s="1"/>
  <c r="G88" i="19" s="1"/>
  <c r="G93" i="19" s="1"/>
  <c r="G94" i="19" s="1"/>
  <c r="H83" i="19"/>
  <c r="H84" i="19" s="1"/>
  <c r="H88" i="19" s="1"/>
  <c r="H93" i="19" s="1"/>
  <c r="H94" i="19" s="1"/>
  <c r="I83" i="19"/>
  <c r="I84" i="19" s="1"/>
  <c r="I88" i="19" s="1"/>
  <c r="I93" i="19" s="1"/>
  <c r="I94" i="19" s="1"/>
  <c r="J83" i="19"/>
  <c r="J84" i="19" s="1"/>
  <c r="J88" i="19" s="1"/>
  <c r="J93" i="19" s="1"/>
  <c r="J94" i="19" s="1"/>
  <c r="F109" i="23"/>
  <c r="I109" i="23" s="1"/>
  <c r="F107" i="23"/>
  <c r="I107" i="23" s="1"/>
  <c r="F105" i="23"/>
  <c r="I105" i="23" s="1"/>
  <c r="F92" i="23"/>
  <c r="F102" i="23" l="1"/>
  <c r="F55" i="23"/>
  <c r="F43" i="23"/>
  <c r="I43" i="23" s="1"/>
  <c r="H46" i="2"/>
  <c r="O58" i="8" l="1"/>
  <c r="O57" i="8"/>
  <c r="O47" i="8"/>
  <c r="P47" i="8" s="1"/>
  <c r="O46" i="8"/>
  <c r="O45" i="8"/>
  <c r="O44" i="8"/>
  <c r="O43" i="8"/>
  <c r="O42" i="8"/>
  <c r="O41" i="8"/>
  <c r="O40" i="8"/>
  <c r="O39" i="8"/>
  <c r="O37" i="8"/>
  <c r="O65" i="8"/>
  <c r="P65" i="8" s="1"/>
  <c r="O64" i="8"/>
  <c r="O63" i="8"/>
  <c r="O62" i="8"/>
  <c r="O61" i="8"/>
  <c r="O60" i="8"/>
  <c r="O59" i="8"/>
  <c r="O56" i="8"/>
  <c r="O55" i="8"/>
  <c r="O83" i="8"/>
  <c r="P83" i="8" s="1"/>
  <c r="O82" i="8"/>
  <c r="O81" i="8"/>
  <c r="O80" i="8"/>
  <c r="O79" i="8"/>
  <c r="O78" i="8"/>
  <c r="O77" i="8"/>
  <c r="O76" i="8"/>
  <c r="O75" i="8"/>
  <c r="O74" i="8"/>
  <c r="O73" i="8"/>
  <c r="O101" i="8"/>
  <c r="P101" i="8" s="1"/>
  <c r="O100" i="8"/>
  <c r="O99" i="8"/>
  <c r="O98" i="8"/>
  <c r="O97" i="8"/>
  <c r="O96" i="8"/>
  <c r="O95" i="8"/>
  <c r="O94" i="8"/>
  <c r="O93" i="8"/>
  <c r="O92" i="8"/>
  <c r="O91" i="8"/>
  <c r="O137" i="8"/>
  <c r="P137" i="8" s="1"/>
  <c r="O136" i="8"/>
  <c r="O135" i="8"/>
  <c r="O134" i="8"/>
  <c r="O133" i="8"/>
  <c r="O132" i="8"/>
  <c r="O131" i="8"/>
  <c r="O130" i="8"/>
  <c r="O129" i="8"/>
  <c r="O128" i="8"/>
  <c r="O127" i="8"/>
  <c r="O155" i="8"/>
  <c r="P155" i="8" s="1"/>
  <c r="O154" i="8"/>
  <c r="O153" i="8"/>
  <c r="O152" i="8"/>
  <c r="O151" i="8"/>
  <c r="O150" i="8"/>
  <c r="O149" i="8"/>
  <c r="O148" i="8"/>
  <c r="O147" i="8"/>
  <c r="O146" i="8"/>
  <c r="O145" i="8"/>
  <c r="O38" i="8"/>
  <c r="O29" i="8"/>
  <c r="P29" i="8" s="1"/>
  <c r="O28" i="8"/>
  <c r="O27" i="8"/>
  <c r="O26" i="8"/>
  <c r="O25" i="8"/>
  <c r="O24" i="8"/>
  <c r="O23" i="8"/>
  <c r="O22" i="8"/>
  <c r="O21" i="8"/>
  <c r="O20" i="8"/>
  <c r="O19" i="8"/>
  <c r="H7" i="2"/>
  <c r="E7" i="2"/>
  <c r="P131" i="8" l="1"/>
  <c r="P64" i="8"/>
  <c r="P149" i="8"/>
  <c r="P59" i="8"/>
  <c r="P67" i="8" s="1"/>
  <c r="E7" i="8" s="1"/>
  <c r="P136" i="8"/>
  <c r="P100" i="8"/>
  <c r="P154" i="8"/>
  <c r="P77" i="8"/>
  <c r="P82" i="8"/>
  <c r="P41" i="8"/>
  <c r="P46" i="8"/>
  <c r="P95" i="8"/>
  <c r="P28" i="8"/>
  <c r="P23" i="8"/>
  <c r="E6" i="2"/>
  <c r="D5" i="2"/>
  <c r="F84" i="23"/>
  <c r="F68" i="23"/>
  <c r="F41" i="23"/>
  <c r="W29" i="8"/>
  <c r="X29" i="8" s="1"/>
  <c r="J35" i="2" a="1"/>
  <c r="J35" i="2" s="1"/>
  <c r="G155" i="8"/>
  <c r="G150" i="8"/>
  <c r="G137" i="8"/>
  <c r="G133" i="8"/>
  <c r="G132" i="8"/>
  <c r="G131" i="8"/>
  <c r="G130" i="8"/>
  <c r="G129" i="8"/>
  <c r="W45" i="8"/>
  <c r="G46" i="8"/>
  <c r="F85" i="23" l="1"/>
  <c r="F83" i="23"/>
  <c r="I32" i="19"/>
  <c r="I34" i="19" s="1"/>
  <c r="I35" i="19" s="1"/>
  <c r="I45" i="19" s="1"/>
  <c r="F32" i="19"/>
  <c r="F34" i="19" s="1"/>
  <c r="F35" i="19" s="1"/>
  <c r="F67" i="19"/>
  <c r="G67" i="19"/>
  <c r="I67" i="19"/>
  <c r="J67" i="19"/>
  <c r="H67" i="19"/>
  <c r="P157" i="8"/>
  <c r="E12" i="8" s="1"/>
  <c r="P139" i="8"/>
  <c r="E11" i="8" s="1"/>
  <c r="E10" i="8"/>
  <c r="P31" i="8"/>
  <c r="E5" i="8" s="1"/>
  <c r="P49" i="8"/>
  <c r="E6" i="8" s="1"/>
  <c r="P85" i="8"/>
  <c r="E8" i="8" s="1"/>
  <c r="J37" i="2" a="1"/>
  <c r="J37" i="2" s="1"/>
  <c r="H6" i="2"/>
  <c r="D6" i="2"/>
  <c r="H5" i="2"/>
  <c r="E5" i="2"/>
  <c r="I4" i="2"/>
  <c r="E4" i="2"/>
  <c r="D4" i="2"/>
  <c r="I3" i="2"/>
  <c r="H3" i="2"/>
  <c r="E3" i="2"/>
  <c r="D3" i="2"/>
  <c r="F45" i="19" l="1"/>
  <c r="I40" i="19"/>
  <c r="I42" i="19"/>
  <c r="F42" i="19"/>
  <c r="F38" i="19"/>
  <c r="F40" i="19"/>
  <c r="J32" i="19"/>
  <c r="J34" i="19" s="1"/>
  <c r="J35" i="19" s="1"/>
  <c r="G32" i="19"/>
  <c r="G34" i="19" s="1"/>
  <c r="G35" i="19" s="1"/>
  <c r="H32" i="19"/>
  <c r="H34" i="19" s="1"/>
  <c r="H35" i="19" s="1"/>
  <c r="J46" i="2" a="1"/>
  <c r="J46" i="2" s="1"/>
  <c r="F46" i="19" l="1"/>
  <c r="F59" i="19" s="1"/>
  <c r="G45" i="19"/>
  <c r="J45" i="19"/>
  <c r="H45" i="19"/>
  <c r="H40" i="19"/>
  <c r="H42" i="19"/>
  <c r="J42" i="19"/>
  <c r="J40" i="19"/>
  <c r="G42" i="19"/>
  <c r="G40" i="19"/>
  <c r="F56" i="19" l="1"/>
  <c r="F61" i="19" s="1"/>
  <c r="K32" i="2" a="1"/>
  <c r="K32" i="2" s="1"/>
  <c r="L32" i="2" a="1"/>
  <c r="L32" i="2" s="1"/>
  <c r="M32" i="2" a="1"/>
  <c r="M32" i="2" s="1"/>
  <c r="N32" i="2" a="1"/>
  <c r="N32" i="2" s="1"/>
  <c r="O32" i="2" a="1"/>
  <c r="O32" i="2" s="1"/>
  <c r="P32" i="2" a="1"/>
  <c r="P32" i="2" s="1"/>
  <c r="Q32" i="2" a="1"/>
  <c r="Q32" i="2" s="1"/>
  <c r="R32" i="2" a="1"/>
  <c r="R32" i="2" s="1"/>
  <c r="S32" i="2" a="1"/>
  <c r="S32" i="2" s="1"/>
  <c r="T32" i="2" a="1"/>
  <c r="T32" i="2" s="1"/>
  <c r="U32" i="2" a="1"/>
  <c r="U32" i="2" s="1"/>
  <c r="V32" i="2" a="1"/>
  <c r="V32" i="2" s="1"/>
  <c r="W32" i="2" a="1"/>
  <c r="W32" i="2" s="1"/>
  <c r="X32" i="2" a="1"/>
  <c r="X32" i="2" s="1"/>
  <c r="Y32" i="2" a="1"/>
  <c r="Y32" i="2" s="1"/>
  <c r="Z32" i="2" a="1"/>
  <c r="Z32" i="2" s="1"/>
  <c r="AA32" i="2" a="1"/>
  <c r="AA32" i="2" s="1"/>
  <c r="AB32" i="2" a="1"/>
  <c r="AB32" i="2" s="1"/>
  <c r="AC32" i="2" a="1"/>
  <c r="AC32" i="2" s="1"/>
  <c r="AD32" i="2" a="1"/>
  <c r="AD32" i="2" s="1"/>
  <c r="AE32" i="2" a="1"/>
  <c r="AE32" i="2" s="1"/>
  <c r="AF32" i="2" a="1"/>
  <c r="AF32" i="2" s="1"/>
  <c r="AG32" i="2" a="1"/>
  <c r="AG32" i="2" s="1"/>
  <c r="AH32" i="2" a="1"/>
  <c r="AH32" i="2" s="1"/>
  <c r="AI32" i="2" a="1"/>
  <c r="AI32" i="2" s="1"/>
  <c r="AJ32" i="2" a="1"/>
  <c r="AJ32" i="2" s="1"/>
  <c r="AK32" i="2" a="1"/>
  <c r="AK32" i="2" s="1"/>
  <c r="AL32" i="2" a="1"/>
  <c r="AL32" i="2" s="1"/>
  <c r="AM32" i="2" a="1"/>
  <c r="AM32" i="2" s="1"/>
  <c r="AN32" i="2" a="1"/>
  <c r="AN32" i="2" s="1"/>
  <c r="AO32" i="2" a="1"/>
  <c r="AO32" i="2" s="1"/>
  <c r="AP32" i="2" a="1"/>
  <c r="AP32" i="2" s="1"/>
  <c r="AQ32" i="2" a="1"/>
  <c r="AQ32" i="2" s="1"/>
  <c r="AR32" i="2" a="1"/>
  <c r="AR32" i="2" s="1"/>
  <c r="AS32" i="2" a="1"/>
  <c r="AS32" i="2" s="1"/>
  <c r="AT32" i="2" a="1"/>
  <c r="AT32" i="2" s="1"/>
  <c r="AU32" i="2" a="1"/>
  <c r="AU32" i="2" s="1"/>
  <c r="AV32" i="2" a="1"/>
  <c r="AV32" i="2" s="1"/>
  <c r="AW32" i="2" a="1"/>
  <c r="AW32" i="2" s="1"/>
  <c r="AX32" i="2" a="1"/>
  <c r="AX32" i="2" s="1"/>
  <c r="AY32" i="2" a="1"/>
  <c r="AY32" i="2" s="1"/>
  <c r="AZ32" i="2" a="1"/>
  <c r="AZ32" i="2" s="1"/>
  <c r="BA32" i="2" a="1"/>
  <c r="BA32" i="2" s="1"/>
  <c r="BB32" i="2" a="1"/>
  <c r="BB32" i="2" s="1"/>
  <c r="BC32" i="2" a="1"/>
  <c r="BC32" i="2" s="1"/>
  <c r="BD32" i="2" a="1"/>
  <c r="BD32" i="2" s="1"/>
  <c r="BE32" i="2" a="1"/>
  <c r="BE32" i="2" s="1"/>
  <c r="BF32" i="2" a="1"/>
  <c r="BF32" i="2" s="1"/>
  <c r="BG32" i="2" a="1"/>
  <c r="BG32" i="2" s="1"/>
  <c r="BH32" i="2" a="1"/>
  <c r="BH32" i="2" s="1"/>
  <c r="BI32" i="2" a="1"/>
  <c r="BI32" i="2" s="1"/>
  <c r="BJ32" i="2" a="1"/>
  <c r="BJ32" i="2" s="1"/>
  <c r="BK32" i="2" a="1"/>
  <c r="BK32" i="2" s="1"/>
  <c r="BL32" i="2" a="1"/>
  <c r="BL32" i="2" s="1"/>
  <c r="BM32" i="2" a="1"/>
  <c r="BM32" i="2" s="1"/>
  <c r="BN32" i="2" a="1"/>
  <c r="BN32" i="2" s="1"/>
  <c r="BO32" i="2" a="1"/>
  <c r="BO32" i="2" s="1"/>
  <c r="BP32" i="2" a="1"/>
  <c r="BP32" i="2" s="1"/>
  <c r="BQ32" i="2" a="1"/>
  <c r="BQ32" i="2" s="1"/>
  <c r="BR32" i="2" a="1"/>
  <c r="BR32" i="2" s="1"/>
  <c r="BS32" i="2" a="1"/>
  <c r="BS32" i="2" s="1"/>
  <c r="BT32" i="2" a="1"/>
  <c r="BT32" i="2" s="1"/>
  <c r="BU32" i="2" a="1"/>
  <c r="BU32" i="2" s="1"/>
  <c r="BV32" i="2" a="1"/>
  <c r="BV32" i="2" s="1"/>
  <c r="BW32" i="2" a="1"/>
  <c r="BW32" i="2" s="1"/>
  <c r="BX32" i="2" a="1"/>
  <c r="BX32" i="2" s="1"/>
  <c r="BY32" i="2" a="1"/>
  <c r="BY32" i="2" s="1"/>
  <c r="BZ32" i="2" a="1"/>
  <c r="BZ32" i="2" s="1"/>
  <c r="CA32" i="2" a="1"/>
  <c r="CA32" i="2" s="1"/>
  <c r="CB32" i="2" a="1"/>
  <c r="CB32" i="2" s="1"/>
  <c r="CC32" i="2" a="1"/>
  <c r="CC32" i="2" s="1"/>
  <c r="CD32" i="2" a="1"/>
  <c r="CD32" i="2" s="1"/>
  <c r="CE32" i="2" a="1"/>
  <c r="CE32" i="2" s="1"/>
  <c r="CF32" i="2" a="1"/>
  <c r="CF32" i="2" s="1"/>
  <c r="CG32" i="2" a="1"/>
  <c r="CG32" i="2" s="1"/>
  <c r="CH32" i="2" a="1"/>
  <c r="CH32" i="2" s="1"/>
  <c r="CI32" i="2" a="1"/>
  <c r="CI32" i="2" s="1"/>
  <c r="CJ32" i="2" a="1"/>
  <c r="CJ32" i="2" s="1"/>
  <c r="CK32" i="2" a="1"/>
  <c r="CK32" i="2" s="1"/>
  <c r="CL32" i="2" a="1"/>
  <c r="CL32" i="2" s="1"/>
  <c r="CM32" i="2" a="1"/>
  <c r="CM32" i="2" s="1"/>
  <c r="CN32" i="2" a="1"/>
  <c r="CN32" i="2" s="1"/>
  <c r="CO32" i="2" a="1"/>
  <c r="CO32" i="2" s="1"/>
  <c r="CP32" i="2" a="1"/>
  <c r="CP32" i="2" s="1"/>
  <c r="CQ32" i="2" a="1"/>
  <c r="CQ32" i="2" s="1"/>
  <c r="CR32" i="2" a="1"/>
  <c r="CR32" i="2" s="1"/>
  <c r="CS32" i="2" a="1"/>
  <c r="CS32" i="2" s="1"/>
  <c r="CT32" i="2" a="1"/>
  <c r="CT32" i="2" s="1"/>
  <c r="CU32" i="2" a="1"/>
  <c r="CU32" i="2" s="1"/>
  <c r="CV32" i="2" a="1"/>
  <c r="CV32" i="2" s="1"/>
  <c r="CW32" i="2" a="1"/>
  <c r="CW32" i="2" s="1"/>
  <c r="CX32" i="2" a="1"/>
  <c r="CX32" i="2" s="1"/>
  <c r="CY32" i="2" a="1"/>
  <c r="CY32" i="2" s="1"/>
  <c r="CZ32" i="2" a="1"/>
  <c r="CZ32" i="2" s="1"/>
  <c r="DA32" i="2" a="1"/>
  <c r="DA32" i="2" s="1"/>
  <c r="DB32" i="2" a="1"/>
  <c r="DB32" i="2" s="1"/>
  <c r="DC32" i="2" a="1"/>
  <c r="DC32" i="2" s="1"/>
  <c r="DD32" i="2" a="1"/>
  <c r="DD32" i="2" s="1"/>
  <c r="DE32" i="2" a="1"/>
  <c r="DE32" i="2" s="1"/>
  <c r="K33" i="2" a="1"/>
  <c r="K33" i="2" s="1"/>
  <c r="L33" i="2" a="1"/>
  <c r="L33" i="2" s="1"/>
  <c r="M33" i="2" a="1"/>
  <c r="M33" i="2" s="1"/>
  <c r="N33" i="2" a="1"/>
  <c r="N33" i="2" s="1"/>
  <c r="O33" i="2" a="1"/>
  <c r="O33" i="2" s="1"/>
  <c r="P33" i="2" a="1"/>
  <c r="P33" i="2" s="1"/>
  <c r="Q33" i="2" a="1"/>
  <c r="Q33" i="2" s="1"/>
  <c r="R33" i="2" a="1"/>
  <c r="R33" i="2" s="1"/>
  <c r="S33" i="2" a="1"/>
  <c r="S33" i="2" s="1"/>
  <c r="T33" i="2" a="1"/>
  <c r="T33" i="2" s="1"/>
  <c r="U33" i="2" a="1"/>
  <c r="U33" i="2" s="1"/>
  <c r="V33" i="2" a="1"/>
  <c r="V33" i="2" s="1"/>
  <c r="W33" i="2" a="1"/>
  <c r="W33" i="2" s="1"/>
  <c r="X33" i="2" a="1"/>
  <c r="X33" i="2" s="1"/>
  <c r="Y33" i="2" a="1"/>
  <c r="Y33" i="2" s="1"/>
  <c r="Z33" i="2" a="1"/>
  <c r="Z33" i="2" s="1"/>
  <c r="AA33" i="2" a="1"/>
  <c r="AA33" i="2" s="1"/>
  <c r="AB33" i="2" a="1"/>
  <c r="AB33" i="2" s="1"/>
  <c r="AC33" i="2" a="1"/>
  <c r="AC33" i="2" s="1"/>
  <c r="AD33" i="2" a="1"/>
  <c r="AD33" i="2" s="1"/>
  <c r="AE33" i="2" a="1"/>
  <c r="AE33" i="2" s="1"/>
  <c r="AF33" i="2" a="1"/>
  <c r="AF33" i="2" s="1"/>
  <c r="AG33" i="2" a="1"/>
  <c r="AG33" i="2" s="1"/>
  <c r="AH33" i="2" a="1"/>
  <c r="AH33" i="2" s="1"/>
  <c r="AI33" i="2" a="1"/>
  <c r="AI33" i="2" s="1"/>
  <c r="AJ33" i="2" a="1"/>
  <c r="AJ33" i="2" s="1"/>
  <c r="AK33" i="2" a="1"/>
  <c r="AK33" i="2" s="1"/>
  <c r="AL33" i="2" a="1"/>
  <c r="AL33" i="2" s="1"/>
  <c r="AM33" i="2" a="1"/>
  <c r="AM33" i="2" s="1"/>
  <c r="AN33" i="2" a="1"/>
  <c r="AN33" i="2" s="1"/>
  <c r="AO33" i="2" a="1"/>
  <c r="AO33" i="2" s="1"/>
  <c r="AP33" i="2" a="1"/>
  <c r="AP33" i="2" s="1"/>
  <c r="AQ33" i="2" a="1"/>
  <c r="AQ33" i="2" s="1"/>
  <c r="AR33" i="2" a="1"/>
  <c r="AR33" i="2" s="1"/>
  <c r="AS33" i="2" a="1"/>
  <c r="AS33" i="2" s="1"/>
  <c r="AT33" i="2" a="1"/>
  <c r="AT33" i="2" s="1"/>
  <c r="AU33" i="2" a="1"/>
  <c r="AU33" i="2" s="1"/>
  <c r="AV33" i="2" a="1"/>
  <c r="AV33" i="2" s="1"/>
  <c r="AW33" i="2" a="1"/>
  <c r="AW33" i="2" s="1"/>
  <c r="AX33" i="2" a="1"/>
  <c r="AX33" i="2" s="1"/>
  <c r="AY33" i="2" a="1"/>
  <c r="AY33" i="2" s="1"/>
  <c r="AZ33" i="2" a="1"/>
  <c r="AZ33" i="2" s="1"/>
  <c r="BA33" i="2" a="1"/>
  <c r="BA33" i="2" s="1"/>
  <c r="BB33" i="2" a="1"/>
  <c r="BB33" i="2" s="1"/>
  <c r="BC33" i="2" a="1"/>
  <c r="BC33" i="2" s="1"/>
  <c r="BD33" i="2" a="1"/>
  <c r="BD33" i="2" s="1"/>
  <c r="BE33" i="2" a="1"/>
  <c r="BE33" i="2" s="1"/>
  <c r="BF33" i="2" a="1"/>
  <c r="BF33" i="2" s="1"/>
  <c r="BG33" i="2" a="1"/>
  <c r="BG33" i="2" s="1"/>
  <c r="BH33" i="2" a="1"/>
  <c r="BH33" i="2" s="1"/>
  <c r="BI33" i="2" a="1"/>
  <c r="BI33" i="2" s="1"/>
  <c r="BJ33" i="2" a="1"/>
  <c r="BJ33" i="2" s="1"/>
  <c r="BK33" i="2" a="1"/>
  <c r="BK33" i="2" s="1"/>
  <c r="BL33" i="2" a="1"/>
  <c r="BL33" i="2" s="1"/>
  <c r="BM33" i="2" a="1"/>
  <c r="BM33" i="2" s="1"/>
  <c r="BN33" i="2" a="1"/>
  <c r="BN33" i="2" s="1"/>
  <c r="BO33" i="2" a="1"/>
  <c r="BO33" i="2" s="1"/>
  <c r="BP33" i="2" a="1"/>
  <c r="BP33" i="2" s="1"/>
  <c r="BQ33" i="2" a="1"/>
  <c r="BQ33" i="2" s="1"/>
  <c r="BR33" i="2" a="1"/>
  <c r="BR33" i="2" s="1"/>
  <c r="BS33" i="2" a="1"/>
  <c r="BS33" i="2" s="1"/>
  <c r="BT33" i="2" a="1"/>
  <c r="BT33" i="2" s="1"/>
  <c r="BU33" i="2" a="1"/>
  <c r="BU33" i="2" s="1"/>
  <c r="BV33" i="2" a="1"/>
  <c r="BV33" i="2" s="1"/>
  <c r="BW33" i="2" a="1"/>
  <c r="BW33" i="2" s="1"/>
  <c r="BX33" i="2" a="1"/>
  <c r="BX33" i="2" s="1"/>
  <c r="BY33" i="2" a="1"/>
  <c r="BY33" i="2" s="1"/>
  <c r="BZ33" i="2" a="1"/>
  <c r="BZ33" i="2" s="1"/>
  <c r="CA33" i="2" a="1"/>
  <c r="CA33" i="2" s="1"/>
  <c r="CB33" i="2" a="1"/>
  <c r="CB33" i="2" s="1"/>
  <c r="CC33" i="2" a="1"/>
  <c r="CC33" i="2" s="1"/>
  <c r="CD33" i="2" a="1"/>
  <c r="CD33" i="2" s="1"/>
  <c r="CE33" i="2" a="1"/>
  <c r="CE33" i="2" s="1"/>
  <c r="CF33" i="2" a="1"/>
  <c r="CF33" i="2" s="1"/>
  <c r="CG33" i="2" a="1"/>
  <c r="CG33" i="2" s="1"/>
  <c r="CH33" i="2" a="1"/>
  <c r="CH33" i="2" s="1"/>
  <c r="CI33" i="2" a="1"/>
  <c r="CI33" i="2" s="1"/>
  <c r="CJ33" i="2" a="1"/>
  <c r="CJ33" i="2" s="1"/>
  <c r="CK33" i="2" a="1"/>
  <c r="CK33" i="2" s="1"/>
  <c r="CL33" i="2" a="1"/>
  <c r="CL33" i="2" s="1"/>
  <c r="CM33" i="2" a="1"/>
  <c r="CM33" i="2" s="1"/>
  <c r="CN33" i="2" a="1"/>
  <c r="CN33" i="2" s="1"/>
  <c r="CO33" i="2" a="1"/>
  <c r="CO33" i="2" s="1"/>
  <c r="CP33" i="2" a="1"/>
  <c r="CP33" i="2" s="1"/>
  <c r="CQ33" i="2" a="1"/>
  <c r="CQ33" i="2" s="1"/>
  <c r="CR33" i="2" a="1"/>
  <c r="CR33" i="2" s="1"/>
  <c r="CS33" i="2" a="1"/>
  <c r="CS33" i="2" s="1"/>
  <c r="CT33" i="2" a="1"/>
  <c r="CT33" i="2" s="1"/>
  <c r="CU33" i="2" a="1"/>
  <c r="CU33" i="2" s="1"/>
  <c r="CV33" i="2" a="1"/>
  <c r="CV33" i="2" s="1"/>
  <c r="CW33" i="2" a="1"/>
  <c r="CW33" i="2" s="1"/>
  <c r="CX33" i="2" a="1"/>
  <c r="CX33" i="2" s="1"/>
  <c r="CY33" i="2" a="1"/>
  <c r="CY33" i="2" s="1"/>
  <c r="CZ33" i="2" a="1"/>
  <c r="CZ33" i="2" s="1"/>
  <c r="DA33" i="2" a="1"/>
  <c r="DA33" i="2" s="1"/>
  <c r="DB33" i="2" a="1"/>
  <c r="DB33" i="2" s="1"/>
  <c r="DC33" i="2" a="1"/>
  <c r="DC33" i="2" s="1"/>
  <c r="DD33" i="2" a="1"/>
  <c r="DD33" i="2" s="1"/>
  <c r="DE33" i="2" a="1"/>
  <c r="DE33" i="2" s="1"/>
  <c r="K34" i="2" a="1"/>
  <c r="K34" i="2" s="1"/>
  <c r="L34" i="2" a="1"/>
  <c r="L34" i="2" s="1"/>
  <c r="M34" i="2" a="1"/>
  <c r="M34" i="2" s="1"/>
  <c r="N34" i="2" a="1"/>
  <c r="N34" i="2" s="1"/>
  <c r="O34" i="2" a="1"/>
  <c r="O34" i="2" s="1"/>
  <c r="P34" i="2" a="1"/>
  <c r="P34" i="2" s="1"/>
  <c r="Q34" i="2" a="1"/>
  <c r="Q34" i="2" s="1"/>
  <c r="R34" i="2" a="1"/>
  <c r="R34" i="2" s="1"/>
  <c r="S34" i="2" a="1"/>
  <c r="S34" i="2" s="1"/>
  <c r="T34" i="2" a="1"/>
  <c r="T34" i="2" s="1"/>
  <c r="U34" i="2" a="1"/>
  <c r="U34" i="2" s="1"/>
  <c r="V34" i="2" a="1"/>
  <c r="V34" i="2" s="1"/>
  <c r="W34" i="2" a="1"/>
  <c r="W34" i="2" s="1"/>
  <c r="X34" i="2" a="1"/>
  <c r="X34" i="2" s="1"/>
  <c r="Y34" i="2" a="1"/>
  <c r="Y34" i="2" s="1"/>
  <c r="Z34" i="2" a="1"/>
  <c r="Z34" i="2" s="1"/>
  <c r="AA34" i="2" a="1"/>
  <c r="AA34" i="2" s="1"/>
  <c r="AB34" i="2" a="1"/>
  <c r="AB34" i="2" s="1"/>
  <c r="AC34" i="2" a="1"/>
  <c r="AC34" i="2" s="1"/>
  <c r="AD34" i="2" a="1"/>
  <c r="AD34" i="2" s="1"/>
  <c r="AE34" i="2" a="1"/>
  <c r="AE34" i="2" s="1"/>
  <c r="AF34" i="2" a="1"/>
  <c r="AF34" i="2" s="1"/>
  <c r="AG34" i="2" a="1"/>
  <c r="AG34" i="2" s="1"/>
  <c r="AH34" i="2" a="1"/>
  <c r="AH34" i="2" s="1"/>
  <c r="AI34" i="2" a="1"/>
  <c r="AI34" i="2" s="1"/>
  <c r="AJ34" i="2" a="1"/>
  <c r="AJ34" i="2" s="1"/>
  <c r="AK34" i="2" a="1"/>
  <c r="AK34" i="2" s="1"/>
  <c r="AL34" i="2" a="1"/>
  <c r="AL34" i="2" s="1"/>
  <c r="AM34" i="2" a="1"/>
  <c r="AM34" i="2" s="1"/>
  <c r="AN34" i="2" a="1"/>
  <c r="AN34" i="2" s="1"/>
  <c r="AO34" i="2" a="1"/>
  <c r="AO34" i="2" s="1"/>
  <c r="AP34" i="2" a="1"/>
  <c r="AP34" i="2" s="1"/>
  <c r="AQ34" i="2" a="1"/>
  <c r="AQ34" i="2" s="1"/>
  <c r="AR34" i="2" a="1"/>
  <c r="AR34" i="2" s="1"/>
  <c r="AS34" i="2" a="1"/>
  <c r="AS34" i="2" s="1"/>
  <c r="AT34" i="2" a="1"/>
  <c r="AT34" i="2" s="1"/>
  <c r="AU34" i="2" a="1"/>
  <c r="AU34" i="2" s="1"/>
  <c r="AV34" i="2" a="1"/>
  <c r="AV34" i="2" s="1"/>
  <c r="AW34" i="2" a="1"/>
  <c r="AW34" i="2" s="1"/>
  <c r="AX34" i="2" a="1"/>
  <c r="AX34" i="2" s="1"/>
  <c r="AY34" i="2" a="1"/>
  <c r="AY34" i="2" s="1"/>
  <c r="AZ34" i="2" a="1"/>
  <c r="AZ34" i="2" s="1"/>
  <c r="BA34" i="2" a="1"/>
  <c r="BA34" i="2" s="1"/>
  <c r="BB34" i="2" a="1"/>
  <c r="BB34" i="2" s="1"/>
  <c r="BC34" i="2" a="1"/>
  <c r="BC34" i="2" s="1"/>
  <c r="BD34" i="2" a="1"/>
  <c r="BD34" i="2" s="1"/>
  <c r="BE34" i="2" a="1"/>
  <c r="BE34" i="2" s="1"/>
  <c r="BF34" i="2" a="1"/>
  <c r="BF34" i="2" s="1"/>
  <c r="BG34" i="2" a="1"/>
  <c r="BG34" i="2" s="1"/>
  <c r="BH34" i="2" a="1"/>
  <c r="BH34" i="2" s="1"/>
  <c r="BI34" i="2" a="1"/>
  <c r="BI34" i="2" s="1"/>
  <c r="BJ34" i="2" a="1"/>
  <c r="BJ34" i="2" s="1"/>
  <c r="BK34" i="2" a="1"/>
  <c r="BK34" i="2" s="1"/>
  <c r="BL34" i="2" a="1"/>
  <c r="BL34" i="2" s="1"/>
  <c r="BM34" i="2" a="1"/>
  <c r="BM34" i="2" s="1"/>
  <c r="BN34" i="2" a="1"/>
  <c r="BN34" i="2" s="1"/>
  <c r="BO34" i="2" a="1"/>
  <c r="BO34" i="2" s="1"/>
  <c r="BP34" i="2" a="1"/>
  <c r="BP34" i="2" s="1"/>
  <c r="BQ34" i="2" a="1"/>
  <c r="BQ34" i="2" s="1"/>
  <c r="BR34" i="2" a="1"/>
  <c r="BR34" i="2" s="1"/>
  <c r="BS34" i="2" a="1"/>
  <c r="BS34" i="2" s="1"/>
  <c r="BT34" i="2" a="1"/>
  <c r="BT34" i="2" s="1"/>
  <c r="BU34" i="2" a="1"/>
  <c r="BU34" i="2" s="1"/>
  <c r="BV34" i="2" a="1"/>
  <c r="BV34" i="2" s="1"/>
  <c r="BW34" i="2" a="1"/>
  <c r="BW34" i="2" s="1"/>
  <c r="BX34" i="2" a="1"/>
  <c r="BX34" i="2" s="1"/>
  <c r="BY34" i="2" a="1"/>
  <c r="BY34" i="2" s="1"/>
  <c r="BZ34" i="2" a="1"/>
  <c r="BZ34" i="2" s="1"/>
  <c r="CA34" i="2" a="1"/>
  <c r="CA34" i="2" s="1"/>
  <c r="CB34" i="2" a="1"/>
  <c r="CB34" i="2" s="1"/>
  <c r="CC34" i="2" a="1"/>
  <c r="CC34" i="2" s="1"/>
  <c r="CD34" i="2" a="1"/>
  <c r="CD34" i="2" s="1"/>
  <c r="CE34" i="2" a="1"/>
  <c r="CE34" i="2" s="1"/>
  <c r="CF34" i="2" a="1"/>
  <c r="CF34" i="2" s="1"/>
  <c r="CG34" i="2" a="1"/>
  <c r="CG34" i="2" s="1"/>
  <c r="CH34" i="2" a="1"/>
  <c r="CH34" i="2" s="1"/>
  <c r="CI34" i="2" a="1"/>
  <c r="CI34" i="2" s="1"/>
  <c r="CJ34" i="2" a="1"/>
  <c r="CJ34" i="2" s="1"/>
  <c r="CK34" i="2" a="1"/>
  <c r="CK34" i="2" s="1"/>
  <c r="CL34" i="2" a="1"/>
  <c r="CL34" i="2" s="1"/>
  <c r="CM34" i="2" a="1"/>
  <c r="CM34" i="2" s="1"/>
  <c r="CN34" i="2" a="1"/>
  <c r="CN34" i="2" s="1"/>
  <c r="CO34" i="2" a="1"/>
  <c r="CO34" i="2" s="1"/>
  <c r="CP34" i="2" a="1"/>
  <c r="CP34" i="2" s="1"/>
  <c r="CQ34" i="2" a="1"/>
  <c r="CQ34" i="2" s="1"/>
  <c r="CR34" i="2" a="1"/>
  <c r="CR34" i="2" s="1"/>
  <c r="CS34" i="2" a="1"/>
  <c r="CS34" i="2" s="1"/>
  <c r="CT34" i="2" a="1"/>
  <c r="CT34" i="2" s="1"/>
  <c r="CU34" i="2" a="1"/>
  <c r="CU34" i="2" s="1"/>
  <c r="CV34" i="2" a="1"/>
  <c r="CV34" i="2" s="1"/>
  <c r="CW34" i="2" a="1"/>
  <c r="CW34" i="2" s="1"/>
  <c r="CX34" i="2" a="1"/>
  <c r="CX34" i="2" s="1"/>
  <c r="CY34" i="2" a="1"/>
  <c r="CY34" i="2" s="1"/>
  <c r="CZ34" i="2" a="1"/>
  <c r="CZ34" i="2" s="1"/>
  <c r="DA34" i="2" a="1"/>
  <c r="DA34" i="2" s="1"/>
  <c r="DB34" i="2" a="1"/>
  <c r="DB34" i="2" s="1"/>
  <c r="DC34" i="2" a="1"/>
  <c r="DC34" i="2" s="1"/>
  <c r="DD34" i="2" a="1"/>
  <c r="DD34" i="2" s="1"/>
  <c r="DE34" i="2" a="1"/>
  <c r="DE34" i="2" s="1"/>
  <c r="O35" i="2" a="1"/>
  <c r="O35" i="2" s="1"/>
  <c r="P35" i="2" a="1"/>
  <c r="P35" i="2" s="1"/>
  <c r="Q35" i="2" a="1"/>
  <c r="Q35" i="2" s="1"/>
  <c r="R35" i="2" a="1"/>
  <c r="R35" i="2" s="1"/>
  <c r="S35" i="2" a="1"/>
  <c r="S35" i="2" s="1"/>
  <c r="T35" i="2" a="1"/>
  <c r="T35" i="2" s="1"/>
  <c r="U35" i="2" a="1"/>
  <c r="U35" i="2" s="1"/>
  <c r="V35" i="2" a="1"/>
  <c r="V35" i="2" s="1"/>
  <c r="W35" i="2" a="1"/>
  <c r="W35" i="2" s="1"/>
  <c r="X35" i="2" a="1"/>
  <c r="X35" i="2" s="1"/>
  <c r="Y35" i="2" a="1"/>
  <c r="Y35" i="2" s="1"/>
  <c r="Z35" i="2" a="1"/>
  <c r="Z35" i="2" s="1"/>
  <c r="AA35" i="2" a="1"/>
  <c r="AA35" i="2" s="1"/>
  <c r="AB35" i="2" a="1"/>
  <c r="AB35" i="2" s="1"/>
  <c r="AC35" i="2" a="1"/>
  <c r="AC35" i="2" s="1"/>
  <c r="AD35" i="2" a="1"/>
  <c r="AD35" i="2" s="1"/>
  <c r="AE35" i="2" a="1"/>
  <c r="AE35" i="2" s="1"/>
  <c r="AF35" i="2" a="1"/>
  <c r="AF35" i="2" s="1"/>
  <c r="AG35" i="2" a="1"/>
  <c r="AG35" i="2" s="1"/>
  <c r="AH35" i="2" a="1"/>
  <c r="AH35" i="2" s="1"/>
  <c r="AI35" i="2" a="1"/>
  <c r="AI35" i="2" s="1"/>
  <c r="AJ35" i="2" a="1"/>
  <c r="AJ35" i="2" s="1"/>
  <c r="AK35" i="2" a="1"/>
  <c r="AK35" i="2" s="1"/>
  <c r="AL35" i="2" a="1"/>
  <c r="AL35" i="2" s="1"/>
  <c r="AM35" i="2" a="1"/>
  <c r="AM35" i="2" s="1"/>
  <c r="AN35" i="2" a="1"/>
  <c r="AN35" i="2" s="1"/>
  <c r="AO35" i="2" a="1"/>
  <c r="AO35" i="2" s="1"/>
  <c r="AP35" i="2" a="1"/>
  <c r="AP35" i="2" s="1"/>
  <c r="AQ35" i="2" a="1"/>
  <c r="AQ35" i="2" s="1"/>
  <c r="AR35" i="2" a="1"/>
  <c r="AR35" i="2" s="1"/>
  <c r="AS35" i="2" a="1"/>
  <c r="AS35" i="2" s="1"/>
  <c r="AT35" i="2" a="1"/>
  <c r="AT35" i="2" s="1"/>
  <c r="AU35" i="2" a="1"/>
  <c r="AU35" i="2" s="1"/>
  <c r="AV35" i="2" a="1"/>
  <c r="AV35" i="2" s="1"/>
  <c r="AW35" i="2" a="1"/>
  <c r="AW35" i="2" s="1"/>
  <c r="AX35" i="2" a="1"/>
  <c r="AX35" i="2" s="1"/>
  <c r="AY35" i="2" a="1"/>
  <c r="AY35" i="2" s="1"/>
  <c r="AZ35" i="2" a="1"/>
  <c r="AZ35" i="2" s="1"/>
  <c r="BA35" i="2" a="1"/>
  <c r="BA35" i="2" s="1"/>
  <c r="BB35" i="2" a="1"/>
  <c r="BB35" i="2" s="1"/>
  <c r="BC35" i="2" a="1"/>
  <c r="BC35" i="2" s="1"/>
  <c r="BD35" i="2" a="1"/>
  <c r="BD35" i="2" s="1"/>
  <c r="BE35" i="2" a="1"/>
  <c r="BE35" i="2" s="1"/>
  <c r="BF35" i="2" a="1"/>
  <c r="BF35" i="2" s="1"/>
  <c r="BG35" i="2" a="1"/>
  <c r="BG35" i="2" s="1"/>
  <c r="BI35" i="2" a="1"/>
  <c r="BI35" i="2" s="1"/>
  <c r="BJ35" i="2" a="1"/>
  <c r="BJ35" i="2" s="1"/>
  <c r="BK35" i="2" a="1"/>
  <c r="BK35" i="2" s="1"/>
  <c r="BL35" i="2" a="1"/>
  <c r="BL35" i="2" s="1"/>
  <c r="BM35" i="2" a="1"/>
  <c r="BM35" i="2" s="1"/>
  <c r="BN35" i="2" a="1"/>
  <c r="BN35" i="2" s="1"/>
  <c r="BO35" i="2" a="1"/>
  <c r="BO35" i="2" s="1"/>
  <c r="BP35" i="2" a="1"/>
  <c r="BP35" i="2" s="1"/>
  <c r="BQ35" i="2" a="1"/>
  <c r="BQ35" i="2" s="1"/>
  <c r="BR35" i="2" a="1"/>
  <c r="BR35" i="2" s="1"/>
  <c r="BS35" i="2" a="1"/>
  <c r="BS35" i="2" s="1"/>
  <c r="BT35" i="2" a="1"/>
  <c r="BT35" i="2" s="1"/>
  <c r="BU35" i="2" a="1"/>
  <c r="BU35" i="2" s="1"/>
  <c r="BV35" i="2" a="1"/>
  <c r="BV35" i="2" s="1"/>
  <c r="BW35" i="2" a="1"/>
  <c r="BW35" i="2" s="1"/>
  <c r="BX35" i="2" a="1"/>
  <c r="BX35" i="2" s="1"/>
  <c r="BY35" i="2" a="1"/>
  <c r="BY35" i="2" s="1"/>
  <c r="BZ35" i="2" a="1"/>
  <c r="BZ35" i="2" s="1"/>
  <c r="CA35" i="2" a="1"/>
  <c r="CA35" i="2" s="1"/>
  <c r="CB35" i="2" a="1"/>
  <c r="CB35" i="2" s="1"/>
  <c r="CC35" i="2" a="1"/>
  <c r="CC35" i="2" s="1"/>
  <c r="CD35" i="2" a="1"/>
  <c r="CD35" i="2" s="1"/>
  <c r="CE35" i="2" a="1"/>
  <c r="CE35" i="2" s="1"/>
  <c r="CF35" i="2" a="1"/>
  <c r="CF35" i="2" s="1"/>
  <c r="CG35" i="2" a="1"/>
  <c r="CG35" i="2" s="1"/>
  <c r="CH35" i="2" a="1"/>
  <c r="CH35" i="2" s="1"/>
  <c r="CI35" i="2" a="1"/>
  <c r="CI35" i="2" s="1"/>
  <c r="CJ35" i="2" a="1"/>
  <c r="CJ35" i="2" s="1"/>
  <c r="CK35" i="2" a="1"/>
  <c r="CK35" i="2" s="1"/>
  <c r="CL35" i="2" a="1"/>
  <c r="CL35" i="2" s="1"/>
  <c r="CM35" i="2" a="1"/>
  <c r="CM35" i="2" s="1"/>
  <c r="CN35" i="2" a="1"/>
  <c r="CN35" i="2" s="1"/>
  <c r="CO35" i="2" a="1"/>
  <c r="CO35" i="2" s="1"/>
  <c r="CP35" i="2" a="1"/>
  <c r="CP35" i="2" s="1"/>
  <c r="CQ35" i="2" a="1"/>
  <c r="CQ35" i="2" s="1"/>
  <c r="CR35" i="2" a="1"/>
  <c r="CR35" i="2" s="1"/>
  <c r="CS35" i="2" a="1"/>
  <c r="CS35" i="2" s="1"/>
  <c r="CT35" i="2" a="1"/>
  <c r="CT35" i="2" s="1"/>
  <c r="CU35" i="2" a="1"/>
  <c r="CU35" i="2" s="1"/>
  <c r="CV35" i="2" a="1"/>
  <c r="CV35" i="2" s="1"/>
  <c r="CW35" i="2" a="1"/>
  <c r="CW35" i="2" s="1"/>
  <c r="CX35" i="2" a="1"/>
  <c r="CX35" i="2" s="1"/>
  <c r="CY35" i="2" a="1"/>
  <c r="CY35" i="2" s="1"/>
  <c r="CZ35" i="2" a="1"/>
  <c r="CZ35" i="2" s="1"/>
  <c r="DA35" i="2" a="1"/>
  <c r="DA35" i="2" s="1"/>
  <c r="DB35" i="2" a="1"/>
  <c r="DB35" i="2" s="1"/>
  <c r="DC35" i="2" a="1"/>
  <c r="DC35" i="2" s="1"/>
  <c r="DD35" i="2" a="1"/>
  <c r="DD35" i="2" s="1"/>
  <c r="O36" i="2" a="1"/>
  <c r="O36" i="2" s="1"/>
  <c r="P36" i="2" a="1"/>
  <c r="P36" i="2" s="1"/>
  <c r="Q36" i="2" a="1"/>
  <c r="Q36" i="2" s="1"/>
  <c r="R36" i="2" a="1"/>
  <c r="R36" i="2" s="1"/>
  <c r="S36" i="2" a="1"/>
  <c r="S36" i="2" s="1"/>
  <c r="T36" i="2" a="1"/>
  <c r="T36" i="2" s="1"/>
  <c r="U36" i="2" a="1"/>
  <c r="U36" i="2" s="1"/>
  <c r="V36" i="2" a="1"/>
  <c r="V36" i="2" s="1"/>
  <c r="W36" i="2" a="1"/>
  <c r="W36" i="2" s="1"/>
  <c r="X36" i="2" a="1"/>
  <c r="X36" i="2" s="1"/>
  <c r="Y36" i="2" a="1"/>
  <c r="Y36" i="2" s="1"/>
  <c r="Z36" i="2" a="1"/>
  <c r="Z36" i="2" s="1"/>
  <c r="AA36" i="2" a="1"/>
  <c r="AA36" i="2" s="1"/>
  <c r="AB36" i="2" a="1"/>
  <c r="AB36" i="2" s="1"/>
  <c r="AC36" i="2" a="1"/>
  <c r="AC36" i="2" s="1"/>
  <c r="AD36" i="2" a="1"/>
  <c r="AD36" i="2" s="1"/>
  <c r="AE36" i="2" a="1"/>
  <c r="AE36" i="2" s="1"/>
  <c r="AF36" i="2" a="1"/>
  <c r="AF36" i="2" s="1"/>
  <c r="AG36" i="2" a="1"/>
  <c r="AG36" i="2" s="1"/>
  <c r="AH36" i="2" a="1"/>
  <c r="AH36" i="2" s="1"/>
  <c r="AI36" i="2" a="1"/>
  <c r="AI36" i="2" s="1"/>
  <c r="AJ36" i="2" a="1"/>
  <c r="AJ36" i="2" s="1"/>
  <c r="AK36" i="2" a="1"/>
  <c r="AK36" i="2" s="1"/>
  <c r="AL36" i="2" a="1"/>
  <c r="AL36" i="2" s="1"/>
  <c r="AM36" i="2" a="1"/>
  <c r="AM36" i="2" s="1"/>
  <c r="AN36" i="2" a="1"/>
  <c r="AN36" i="2" s="1"/>
  <c r="AO36" i="2" a="1"/>
  <c r="AO36" i="2" s="1"/>
  <c r="AP36" i="2" a="1"/>
  <c r="AP36" i="2" s="1"/>
  <c r="AQ36" i="2" a="1"/>
  <c r="AQ36" i="2" s="1"/>
  <c r="AR36" i="2" a="1"/>
  <c r="AR36" i="2" s="1"/>
  <c r="AS36" i="2" a="1"/>
  <c r="AS36" i="2" s="1"/>
  <c r="AT36" i="2" a="1"/>
  <c r="AT36" i="2" s="1"/>
  <c r="AU36" i="2" a="1"/>
  <c r="AU36" i="2" s="1"/>
  <c r="AV36" i="2" a="1"/>
  <c r="AV36" i="2" s="1"/>
  <c r="AW36" i="2" a="1"/>
  <c r="AW36" i="2" s="1"/>
  <c r="AX36" i="2" a="1"/>
  <c r="AX36" i="2" s="1"/>
  <c r="AY36" i="2" a="1"/>
  <c r="AY36" i="2" s="1"/>
  <c r="AZ36" i="2" a="1"/>
  <c r="AZ36" i="2" s="1"/>
  <c r="BA36" i="2" a="1"/>
  <c r="BA36" i="2" s="1"/>
  <c r="BB36" i="2" a="1"/>
  <c r="BB36" i="2" s="1"/>
  <c r="BC36" i="2" a="1"/>
  <c r="BC36" i="2" s="1"/>
  <c r="BD36" i="2" a="1"/>
  <c r="BD36" i="2" s="1"/>
  <c r="BE36" i="2" a="1"/>
  <c r="BE36" i="2" s="1"/>
  <c r="BF36" i="2" a="1"/>
  <c r="BF36" i="2" s="1"/>
  <c r="BG36" i="2" a="1"/>
  <c r="BG36" i="2" s="1"/>
  <c r="BI36" i="2" a="1"/>
  <c r="BI36" i="2" s="1"/>
  <c r="BJ36" i="2" a="1"/>
  <c r="BJ36" i="2" s="1"/>
  <c r="BK36" i="2" a="1"/>
  <c r="BK36" i="2" s="1"/>
  <c r="BL36" i="2" a="1"/>
  <c r="BL36" i="2" s="1"/>
  <c r="BM36" i="2" a="1"/>
  <c r="BM36" i="2" s="1"/>
  <c r="BN36" i="2" a="1"/>
  <c r="BN36" i="2" s="1"/>
  <c r="BO36" i="2" a="1"/>
  <c r="BO36" i="2" s="1"/>
  <c r="BP36" i="2" a="1"/>
  <c r="BP36" i="2" s="1"/>
  <c r="BQ36" i="2" a="1"/>
  <c r="BQ36" i="2" s="1"/>
  <c r="BR36" i="2" a="1"/>
  <c r="BR36" i="2" s="1"/>
  <c r="BS36" i="2" a="1"/>
  <c r="BS36" i="2" s="1"/>
  <c r="BT36" i="2" a="1"/>
  <c r="BT36" i="2" s="1"/>
  <c r="BU36" i="2" a="1"/>
  <c r="BU36" i="2" s="1"/>
  <c r="BV36" i="2" a="1"/>
  <c r="BV36" i="2" s="1"/>
  <c r="BW36" i="2" a="1"/>
  <c r="BW36" i="2" s="1"/>
  <c r="BX36" i="2" a="1"/>
  <c r="BX36" i="2" s="1"/>
  <c r="BY36" i="2" a="1"/>
  <c r="BY36" i="2" s="1"/>
  <c r="BZ36" i="2" a="1"/>
  <c r="BZ36" i="2" s="1"/>
  <c r="CA36" i="2" a="1"/>
  <c r="CA36" i="2" s="1"/>
  <c r="CB36" i="2" a="1"/>
  <c r="CB36" i="2" s="1"/>
  <c r="CC36" i="2" a="1"/>
  <c r="CC36" i="2" s="1"/>
  <c r="CD36" i="2" a="1"/>
  <c r="CD36" i="2" s="1"/>
  <c r="CE36" i="2" a="1"/>
  <c r="CE36" i="2" s="1"/>
  <c r="CF36" i="2" a="1"/>
  <c r="CF36" i="2" s="1"/>
  <c r="CG36" i="2" a="1"/>
  <c r="CG36" i="2" s="1"/>
  <c r="CH36" i="2" a="1"/>
  <c r="CH36" i="2" s="1"/>
  <c r="CI36" i="2" a="1"/>
  <c r="CI36" i="2" s="1"/>
  <c r="CJ36" i="2" a="1"/>
  <c r="CJ36" i="2" s="1"/>
  <c r="CK36" i="2" a="1"/>
  <c r="CK36" i="2" s="1"/>
  <c r="CL36" i="2" a="1"/>
  <c r="CL36" i="2" s="1"/>
  <c r="CM36" i="2" a="1"/>
  <c r="CM36" i="2" s="1"/>
  <c r="CN36" i="2" a="1"/>
  <c r="CN36" i="2" s="1"/>
  <c r="CO36" i="2" a="1"/>
  <c r="CO36" i="2" s="1"/>
  <c r="CP36" i="2" a="1"/>
  <c r="CP36" i="2" s="1"/>
  <c r="CQ36" i="2" a="1"/>
  <c r="CQ36" i="2" s="1"/>
  <c r="CR36" i="2" a="1"/>
  <c r="CR36" i="2" s="1"/>
  <c r="CS36" i="2" a="1"/>
  <c r="CS36" i="2" s="1"/>
  <c r="CT36" i="2" a="1"/>
  <c r="CT36" i="2" s="1"/>
  <c r="CU36" i="2" a="1"/>
  <c r="CU36" i="2" s="1"/>
  <c r="CV36" i="2" a="1"/>
  <c r="CV36" i="2" s="1"/>
  <c r="CW36" i="2" a="1"/>
  <c r="CW36" i="2" s="1"/>
  <c r="CX36" i="2" a="1"/>
  <c r="CX36" i="2" s="1"/>
  <c r="CY36" i="2" a="1"/>
  <c r="CY36" i="2" s="1"/>
  <c r="CZ36" i="2" a="1"/>
  <c r="CZ36" i="2" s="1"/>
  <c r="DA36" i="2" a="1"/>
  <c r="DA36" i="2" s="1"/>
  <c r="DB36" i="2" a="1"/>
  <c r="DB36" i="2" s="1"/>
  <c r="DC36" i="2" a="1"/>
  <c r="DC36" i="2" s="1"/>
  <c r="DD36" i="2" a="1"/>
  <c r="DD36" i="2" s="1"/>
  <c r="O37" i="2" a="1"/>
  <c r="O37" i="2" s="1"/>
  <c r="P37" i="2" a="1"/>
  <c r="P37" i="2" s="1"/>
  <c r="Q37" i="2" a="1"/>
  <c r="Q37" i="2" s="1"/>
  <c r="R37" i="2" a="1"/>
  <c r="R37" i="2" s="1"/>
  <c r="S37" i="2" a="1"/>
  <c r="S37" i="2" s="1"/>
  <c r="T37" i="2" a="1"/>
  <c r="T37" i="2" s="1"/>
  <c r="U37" i="2" a="1"/>
  <c r="U37" i="2" s="1"/>
  <c r="V37" i="2" a="1"/>
  <c r="V37" i="2" s="1"/>
  <c r="W37" i="2" a="1"/>
  <c r="W37" i="2" s="1"/>
  <c r="X37" i="2" a="1"/>
  <c r="X37" i="2" s="1"/>
  <c r="Y37" i="2" a="1"/>
  <c r="Y37" i="2" s="1"/>
  <c r="Z37" i="2" a="1"/>
  <c r="Z37" i="2" s="1"/>
  <c r="AA37" i="2" a="1"/>
  <c r="AA37" i="2" s="1"/>
  <c r="AB37" i="2" a="1"/>
  <c r="AB37" i="2" s="1"/>
  <c r="AC37" i="2" a="1"/>
  <c r="AC37" i="2" s="1"/>
  <c r="AD37" i="2" a="1"/>
  <c r="AD37" i="2" s="1"/>
  <c r="AE37" i="2" a="1"/>
  <c r="AE37" i="2" s="1"/>
  <c r="AF37" i="2" a="1"/>
  <c r="AF37" i="2" s="1"/>
  <c r="AG37" i="2" a="1"/>
  <c r="AG37" i="2" s="1"/>
  <c r="AH37" i="2" a="1"/>
  <c r="AH37" i="2" s="1"/>
  <c r="AI37" i="2" a="1"/>
  <c r="AI37" i="2" s="1"/>
  <c r="AJ37" i="2" a="1"/>
  <c r="AJ37" i="2" s="1"/>
  <c r="AK37" i="2" a="1"/>
  <c r="AK37" i="2" s="1"/>
  <c r="AL37" i="2" a="1"/>
  <c r="AL37" i="2" s="1"/>
  <c r="AM37" i="2" a="1"/>
  <c r="AM37" i="2" s="1"/>
  <c r="AN37" i="2" a="1"/>
  <c r="AN37" i="2" s="1"/>
  <c r="AO37" i="2" a="1"/>
  <c r="AO37" i="2" s="1"/>
  <c r="AP37" i="2" a="1"/>
  <c r="AP37" i="2" s="1"/>
  <c r="AQ37" i="2" a="1"/>
  <c r="AQ37" i="2" s="1"/>
  <c r="AR37" i="2" a="1"/>
  <c r="AR37" i="2" s="1"/>
  <c r="AS37" i="2" a="1"/>
  <c r="AS37" i="2" s="1"/>
  <c r="AT37" i="2" a="1"/>
  <c r="AT37" i="2" s="1"/>
  <c r="AU37" i="2" a="1"/>
  <c r="AU37" i="2" s="1"/>
  <c r="AV37" i="2" a="1"/>
  <c r="AV37" i="2" s="1"/>
  <c r="AW37" i="2" a="1"/>
  <c r="AW37" i="2" s="1"/>
  <c r="AX37" i="2" a="1"/>
  <c r="AX37" i="2" s="1"/>
  <c r="AY37" i="2" a="1"/>
  <c r="AY37" i="2" s="1"/>
  <c r="AZ37" i="2" a="1"/>
  <c r="AZ37" i="2" s="1"/>
  <c r="BA37" i="2" a="1"/>
  <c r="BA37" i="2" s="1"/>
  <c r="BB37" i="2" a="1"/>
  <c r="BB37" i="2" s="1"/>
  <c r="BC37" i="2" a="1"/>
  <c r="BC37" i="2" s="1"/>
  <c r="BD37" i="2" a="1"/>
  <c r="BD37" i="2" s="1"/>
  <c r="BE37" i="2" a="1"/>
  <c r="BE37" i="2" s="1"/>
  <c r="BF37" i="2" a="1"/>
  <c r="BF37" i="2" s="1"/>
  <c r="BG37" i="2" a="1"/>
  <c r="BG37" i="2" s="1"/>
  <c r="BI37" i="2" a="1"/>
  <c r="BI37" i="2" s="1"/>
  <c r="BJ37" i="2" a="1"/>
  <c r="BJ37" i="2" s="1"/>
  <c r="BK37" i="2" a="1"/>
  <c r="BK37" i="2" s="1"/>
  <c r="BL37" i="2" a="1"/>
  <c r="BL37" i="2" s="1"/>
  <c r="BM37" i="2" a="1"/>
  <c r="BM37" i="2" s="1"/>
  <c r="BN37" i="2" a="1"/>
  <c r="BN37" i="2" s="1"/>
  <c r="BO37" i="2" a="1"/>
  <c r="BO37" i="2" s="1"/>
  <c r="BP37" i="2" a="1"/>
  <c r="BP37" i="2" s="1"/>
  <c r="BQ37" i="2" a="1"/>
  <c r="BQ37" i="2" s="1"/>
  <c r="BR37" i="2" a="1"/>
  <c r="BR37" i="2" s="1"/>
  <c r="BS37" i="2" a="1"/>
  <c r="BS37" i="2" s="1"/>
  <c r="BT37" i="2" a="1"/>
  <c r="BT37" i="2" s="1"/>
  <c r="BU37" i="2" a="1"/>
  <c r="BU37" i="2" s="1"/>
  <c r="BV37" i="2" a="1"/>
  <c r="BV37" i="2" s="1"/>
  <c r="BW37" i="2" a="1"/>
  <c r="BW37" i="2" s="1"/>
  <c r="BX37" i="2" a="1"/>
  <c r="BX37" i="2" s="1"/>
  <c r="BY37" i="2" a="1"/>
  <c r="BY37" i="2" s="1"/>
  <c r="BZ37" i="2" a="1"/>
  <c r="BZ37" i="2" s="1"/>
  <c r="CA37" i="2" a="1"/>
  <c r="CA37" i="2" s="1"/>
  <c r="CB37" i="2" a="1"/>
  <c r="CB37" i="2" s="1"/>
  <c r="CC37" i="2" a="1"/>
  <c r="CC37" i="2" s="1"/>
  <c r="CD37" i="2" a="1"/>
  <c r="CD37" i="2" s="1"/>
  <c r="CE37" i="2" a="1"/>
  <c r="CE37" i="2" s="1"/>
  <c r="CF37" i="2" a="1"/>
  <c r="CF37" i="2" s="1"/>
  <c r="CG37" i="2" a="1"/>
  <c r="CG37" i="2" s="1"/>
  <c r="CH37" i="2" a="1"/>
  <c r="CH37" i="2" s="1"/>
  <c r="CI37" i="2" a="1"/>
  <c r="CI37" i="2" s="1"/>
  <c r="CJ37" i="2" a="1"/>
  <c r="CJ37" i="2" s="1"/>
  <c r="CK37" i="2" a="1"/>
  <c r="CK37" i="2" s="1"/>
  <c r="CL37" i="2" a="1"/>
  <c r="CL37" i="2" s="1"/>
  <c r="CM37" i="2" a="1"/>
  <c r="CM37" i="2" s="1"/>
  <c r="CN37" i="2" a="1"/>
  <c r="CN37" i="2" s="1"/>
  <c r="CO37" i="2" a="1"/>
  <c r="CO37" i="2" s="1"/>
  <c r="CP37" i="2" a="1"/>
  <c r="CP37" i="2" s="1"/>
  <c r="CQ37" i="2" a="1"/>
  <c r="CQ37" i="2" s="1"/>
  <c r="CR37" i="2" a="1"/>
  <c r="CR37" i="2" s="1"/>
  <c r="CS37" i="2" a="1"/>
  <c r="CS37" i="2" s="1"/>
  <c r="CT37" i="2" a="1"/>
  <c r="CT37" i="2" s="1"/>
  <c r="CU37" i="2" a="1"/>
  <c r="CU37" i="2" s="1"/>
  <c r="CV37" i="2" a="1"/>
  <c r="CV37" i="2" s="1"/>
  <c r="CW37" i="2" a="1"/>
  <c r="CW37" i="2" s="1"/>
  <c r="CX37" i="2" a="1"/>
  <c r="CX37" i="2" s="1"/>
  <c r="CY37" i="2" a="1"/>
  <c r="CY37" i="2" s="1"/>
  <c r="CZ37" i="2" a="1"/>
  <c r="CZ37" i="2" s="1"/>
  <c r="DA37" i="2" a="1"/>
  <c r="DA37" i="2" s="1"/>
  <c r="DB37" i="2" a="1"/>
  <c r="DB37" i="2" s="1"/>
  <c r="DC37" i="2" a="1"/>
  <c r="DC37" i="2" s="1"/>
  <c r="DD37" i="2" a="1"/>
  <c r="DD37" i="2" s="1"/>
  <c r="O38" i="2" a="1"/>
  <c r="O38" i="2" s="1"/>
  <c r="P38" i="2" a="1"/>
  <c r="P38" i="2" s="1"/>
  <c r="Q38" i="2" a="1"/>
  <c r="Q38" i="2" s="1"/>
  <c r="R38" i="2" a="1"/>
  <c r="R38" i="2" s="1"/>
  <c r="S38" i="2" a="1"/>
  <c r="S38" i="2" s="1"/>
  <c r="T38" i="2" a="1"/>
  <c r="T38" i="2" s="1"/>
  <c r="U38" i="2" a="1"/>
  <c r="U38" i="2" s="1"/>
  <c r="V38" i="2" a="1"/>
  <c r="V38" i="2" s="1"/>
  <c r="W38" i="2" a="1"/>
  <c r="W38" i="2" s="1"/>
  <c r="X38" i="2" a="1"/>
  <c r="X38" i="2" s="1"/>
  <c r="Y38" i="2" a="1"/>
  <c r="Y38" i="2" s="1"/>
  <c r="Z38" i="2" a="1"/>
  <c r="Z38" i="2" s="1"/>
  <c r="AA38" i="2" a="1"/>
  <c r="AA38" i="2" s="1"/>
  <c r="AB38" i="2" a="1"/>
  <c r="AB38" i="2" s="1"/>
  <c r="AC38" i="2" a="1"/>
  <c r="AC38" i="2" s="1"/>
  <c r="AD38" i="2" a="1"/>
  <c r="AD38" i="2" s="1"/>
  <c r="AE38" i="2" a="1"/>
  <c r="AE38" i="2" s="1"/>
  <c r="AF38" i="2" a="1"/>
  <c r="AF38" i="2" s="1"/>
  <c r="AG38" i="2" a="1"/>
  <c r="AG38" i="2" s="1"/>
  <c r="AH38" i="2" a="1"/>
  <c r="AH38" i="2" s="1"/>
  <c r="AI38" i="2" a="1"/>
  <c r="AI38" i="2" s="1"/>
  <c r="AJ38" i="2" a="1"/>
  <c r="AJ38" i="2" s="1"/>
  <c r="AK38" i="2" a="1"/>
  <c r="AK38" i="2" s="1"/>
  <c r="AL38" i="2" a="1"/>
  <c r="AL38" i="2" s="1"/>
  <c r="AM38" i="2" a="1"/>
  <c r="AM38" i="2" s="1"/>
  <c r="AN38" i="2" a="1"/>
  <c r="AN38" i="2" s="1"/>
  <c r="AO38" i="2" a="1"/>
  <c r="AO38" i="2" s="1"/>
  <c r="AP38" i="2" a="1"/>
  <c r="AP38" i="2" s="1"/>
  <c r="AQ38" i="2" a="1"/>
  <c r="AQ38" i="2" s="1"/>
  <c r="AR38" i="2" a="1"/>
  <c r="AR38" i="2" s="1"/>
  <c r="AS38" i="2" a="1"/>
  <c r="AS38" i="2" s="1"/>
  <c r="AT38" i="2" a="1"/>
  <c r="AT38" i="2" s="1"/>
  <c r="AU38" i="2" a="1"/>
  <c r="AU38" i="2" s="1"/>
  <c r="AV38" i="2" a="1"/>
  <c r="AV38" i="2" s="1"/>
  <c r="AW38" i="2" a="1"/>
  <c r="AW38" i="2" s="1"/>
  <c r="AX38" i="2" a="1"/>
  <c r="AX38" i="2" s="1"/>
  <c r="AY38" i="2" a="1"/>
  <c r="AY38" i="2" s="1"/>
  <c r="AZ38" i="2" a="1"/>
  <c r="AZ38" i="2" s="1"/>
  <c r="BA38" i="2" a="1"/>
  <c r="BA38" i="2" s="1"/>
  <c r="BB38" i="2" a="1"/>
  <c r="BB38" i="2" s="1"/>
  <c r="BC38" i="2" a="1"/>
  <c r="BC38" i="2" s="1"/>
  <c r="BD38" i="2" a="1"/>
  <c r="BD38" i="2" s="1"/>
  <c r="BE38" i="2" a="1"/>
  <c r="BE38" i="2" s="1"/>
  <c r="BF38" i="2" a="1"/>
  <c r="BF38" i="2" s="1"/>
  <c r="BG38" i="2" a="1"/>
  <c r="BG38" i="2" s="1"/>
  <c r="BI38" i="2" a="1"/>
  <c r="BI38" i="2" s="1"/>
  <c r="BJ38" i="2" a="1"/>
  <c r="BJ38" i="2" s="1"/>
  <c r="BK38" i="2" a="1"/>
  <c r="BK38" i="2" s="1"/>
  <c r="BL38" i="2" a="1"/>
  <c r="BL38" i="2" s="1"/>
  <c r="BM38" i="2" a="1"/>
  <c r="BM38" i="2" s="1"/>
  <c r="BN38" i="2" a="1"/>
  <c r="BN38" i="2" s="1"/>
  <c r="BO38" i="2" a="1"/>
  <c r="BO38" i="2" s="1"/>
  <c r="BP38" i="2" a="1"/>
  <c r="BP38" i="2" s="1"/>
  <c r="BQ38" i="2" a="1"/>
  <c r="BQ38" i="2" s="1"/>
  <c r="BR38" i="2" a="1"/>
  <c r="BR38" i="2" s="1"/>
  <c r="BS38" i="2" a="1"/>
  <c r="BS38" i="2" s="1"/>
  <c r="BT38" i="2" a="1"/>
  <c r="BT38" i="2" s="1"/>
  <c r="BU38" i="2" a="1"/>
  <c r="BU38" i="2" s="1"/>
  <c r="BV38" i="2" a="1"/>
  <c r="BV38" i="2" s="1"/>
  <c r="BW38" i="2" a="1"/>
  <c r="BW38" i="2" s="1"/>
  <c r="BX38" i="2" a="1"/>
  <c r="BX38" i="2" s="1"/>
  <c r="BY38" i="2" a="1"/>
  <c r="BY38" i="2" s="1"/>
  <c r="BZ38" i="2" a="1"/>
  <c r="BZ38" i="2" s="1"/>
  <c r="CA38" i="2" a="1"/>
  <c r="CA38" i="2" s="1"/>
  <c r="CB38" i="2" a="1"/>
  <c r="CB38" i="2" s="1"/>
  <c r="CC38" i="2" a="1"/>
  <c r="CC38" i="2" s="1"/>
  <c r="CD38" i="2" a="1"/>
  <c r="CD38" i="2" s="1"/>
  <c r="CE38" i="2" a="1"/>
  <c r="CE38" i="2" s="1"/>
  <c r="CF38" i="2" a="1"/>
  <c r="CF38" i="2" s="1"/>
  <c r="CG38" i="2" a="1"/>
  <c r="CG38" i="2" s="1"/>
  <c r="CH38" i="2" a="1"/>
  <c r="CH38" i="2" s="1"/>
  <c r="CI38" i="2" a="1"/>
  <c r="CI38" i="2" s="1"/>
  <c r="CJ38" i="2" a="1"/>
  <c r="CJ38" i="2" s="1"/>
  <c r="CK38" i="2" a="1"/>
  <c r="CK38" i="2" s="1"/>
  <c r="CL38" i="2" a="1"/>
  <c r="CL38" i="2" s="1"/>
  <c r="CM38" i="2" a="1"/>
  <c r="CM38" i="2" s="1"/>
  <c r="CN38" i="2" a="1"/>
  <c r="CN38" i="2" s="1"/>
  <c r="CO38" i="2" a="1"/>
  <c r="CO38" i="2" s="1"/>
  <c r="CP38" i="2" a="1"/>
  <c r="CP38" i="2" s="1"/>
  <c r="CQ38" i="2" a="1"/>
  <c r="CQ38" i="2" s="1"/>
  <c r="CR38" i="2" a="1"/>
  <c r="CR38" i="2" s="1"/>
  <c r="CS38" i="2" a="1"/>
  <c r="CS38" i="2" s="1"/>
  <c r="CT38" i="2" a="1"/>
  <c r="CT38" i="2" s="1"/>
  <c r="CU38" i="2" a="1"/>
  <c r="CU38" i="2" s="1"/>
  <c r="CV38" i="2" a="1"/>
  <c r="CV38" i="2" s="1"/>
  <c r="CW38" i="2" a="1"/>
  <c r="CW38" i="2" s="1"/>
  <c r="CX38" i="2" a="1"/>
  <c r="CX38" i="2" s="1"/>
  <c r="CY38" i="2" a="1"/>
  <c r="CY38" i="2" s="1"/>
  <c r="CZ38" i="2" a="1"/>
  <c r="CZ38" i="2" s="1"/>
  <c r="DA38" i="2" a="1"/>
  <c r="DA38" i="2" s="1"/>
  <c r="DB38" i="2" a="1"/>
  <c r="DB38" i="2" s="1"/>
  <c r="DC38" i="2" a="1"/>
  <c r="DC38" i="2" s="1"/>
  <c r="DD38" i="2" a="1"/>
  <c r="DD38" i="2" s="1"/>
  <c r="O39" i="2" a="1"/>
  <c r="O39" i="2" s="1"/>
  <c r="P39" i="2" a="1"/>
  <c r="P39" i="2" s="1"/>
  <c r="Q39" i="2" a="1"/>
  <c r="Q39" i="2" s="1"/>
  <c r="R39" i="2" a="1"/>
  <c r="R39" i="2" s="1"/>
  <c r="S39" i="2" a="1"/>
  <c r="S39" i="2" s="1"/>
  <c r="T39" i="2" a="1"/>
  <c r="T39" i="2" s="1"/>
  <c r="U39" i="2" a="1"/>
  <c r="U39" i="2" s="1"/>
  <c r="V39" i="2" a="1"/>
  <c r="V39" i="2" s="1"/>
  <c r="W39" i="2" a="1"/>
  <c r="W39" i="2" s="1"/>
  <c r="X39" i="2" a="1"/>
  <c r="X39" i="2" s="1"/>
  <c r="Y39" i="2" a="1"/>
  <c r="Y39" i="2" s="1"/>
  <c r="Z39" i="2" a="1"/>
  <c r="Z39" i="2" s="1"/>
  <c r="AA39" i="2" a="1"/>
  <c r="AA39" i="2" s="1"/>
  <c r="AB39" i="2" a="1"/>
  <c r="AB39" i="2" s="1"/>
  <c r="AC39" i="2" a="1"/>
  <c r="AC39" i="2" s="1"/>
  <c r="AD39" i="2" a="1"/>
  <c r="AD39" i="2" s="1"/>
  <c r="AE39" i="2" a="1"/>
  <c r="AE39" i="2" s="1"/>
  <c r="AF39" i="2" a="1"/>
  <c r="AF39" i="2" s="1"/>
  <c r="AG39" i="2" a="1"/>
  <c r="AG39" i="2" s="1"/>
  <c r="AH39" i="2" a="1"/>
  <c r="AH39" i="2" s="1"/>
  <c r="AI39" i="2" a="1"/>
  <c r="AI39" i="2" s="1"/>
  <c r="AJ39" i="2" a="1"/>
  <c r="AJ39" i="2" s="1"/>
  <c r="AK39" i="2" a="1"/>
  <c r="AK39" i="2" s="1"/>
  <c r="AL39" i="2" a="1"/>
  <c r="AL39" i="2" s="1"/>
  <c r="AM39" i="2" a="1"/>
  <c r="AM39" i="2" s="1"/>
  <c r="AN39" i="2" a="1"/>
  <c r="AN39" i="2" s="1"/>
  <c r="AO39" i="2" a="1"/>
  <c r="AO39" i="2" s="1"/>
  <c r="AP39" i="2" a="1"/>
  <c r="AP39" i="2" s="1"/>
  <c r="AQ39" i="2" a="1"/>
  <c r="AQ39" i="2" s="1"/>
  <c r="AR39" i="2" a="1"/>
  <c r="AR39" i="2" s="1"/>
  <c r="AS39" i="2" a="1"/>
  <c r="AS39" i="2" s="1"/>
  <c r="AT39" i="2" a="1"/>
  <c r="AT39" i="2" s="1"/>
  <c r="AU39" i="2" a="1"/>
  <c r="AU39" i="2" s="1"/>
  <c r="AV39" i="2" a="1"/>
  <c r="AV39" i="2" s="1"/>
  <c r="AW39" i="2" a="1"/>
  <c r="AW39" i="2" s="1"/>
  <c r="AX39" i="2" a="1"/>
  <c r="AX39" i="2" s="1"/>
  <c r="AY39" i="2" a="1"/>
  <c r="AY39" i="2" s="1"/>
  <c r="AZ39" i="2" a="1"/>
  <c r="AZ39" i="2" s="1"/>
  <c r="BA39" i="2" a="1"/>
  <c r="BA39" i="2" s="1"/>
  <c r="BB39" i="2" a="1"/>
  <c r="BB39" i="2" s="1"/>
  <c r="BC39" i="2" a="1"/>
  <c r="BC39" i="2" s="1"/>
  <c r="BD39" i="2" a="1"/>
  <c r="BD39" i="2" s="1"/>
  <c r="BE39" i="2" a="1"/>
  <c r="BE39" i="2" s="1"/>
  <c r="BF39" i="2" a="1"/>
  <c r="BF39" i="2" s="1"/>
  <c r="BG39" i="2" a="1"/>
  <c r="BG39" i="2" s="1"/>
  <c r="BI39" i="2" a="1"/>
  <c r="BI39" i="2" s="1"/>
  <c r="BJ39" i="2" a="1"/>
  <c r="BJ39" i="2" s="1"/>
  <c r="BK39" i="2" a="1"/>
  <c r="BK39" i="2" s="1"/>
  <c r="BL39" i="2" a="1"/>
  <c r="BL39" i="2" s="1"/>
  <c r="BM39" i="2" a="1"/>
  <c r="BM39" i="2" s="1"/>
  <c r="BN39" i="2" a="1"/>
  <c r="BN39" i="2" s="1"/>
  <c r="BO39" i="2" a="1"/>
  <c r="BO39" i="2" s="1"/>
  <c r="BP39" i="2" a="1"/>
  <c r="BP39" i="2" s="1"/>
  <c r="BQ39" i="2" a="1"/>
  <c r="BQ39" i="2" s="1"/>
  <c r="BR39" i="2" a="1"/>
  <c r="BR39" i="2" s="1"/>
  <c r="BS39" i="2" a="1"/>
  <c r="BS39" i="2" s="1"/>
  <c r="BT39" i="2" a="1"/>
  <c r="BT39" i="2" s="1"/>
  <c r="BU39" i="2" a="1"/>
  <c r="BU39" i="2" s="1"/>
  <c r="BV39" i="2" a="1"/>
  <c r="BV39" i="2" s="1"/>
  <c r="BW39" i="2" a="1"/>
  <c r="BW39" i="2" s="1"/>
  <c r="BX39" i="2" a="1"/>
  <c r="BX39" i="2" s="1"/>
  <c r="BY39" i="2" a="1"/>
  <c r="BY39" i="2" s="1"/>
  <c r="BZ39" i="2" a="1"/>
  <c r="BZ39" i="2" s="1"/>
  <c r="CA39" i="2" a="1"/>
  <c r="CA39" i="2" s="1"/>
  <c r="CB39" i="2" a="1"/>
  <c r="CB39" i="2" s="1"/>
  <c r="CC39" i="2" a="1"/>
  <c r="CC39" i="2" s="1"/>
  <c r="CD39" i="2" a="1"/>
  <c r="CD39" i="2" s="1"/>
  <c r="CE39" i="2" a="1"/>
  <c r="CE39" i="2" s="1"/>
  <c r="CF39" i="2" a="1"/>
  <c r="CF39" i="2" s="1"/>
  <c r="CG39" i="2" a="1"/>
  <c r="CG39" i="2" s="1"/>
  <c r="CH39" i="2" a="1"/>
  <c r="CH39" i="2" s="1"/>
  <c r="CI39" i="2" a="1"/>
  <c r="CI39" i="2" s="1"/>
  <c r="CJ39" i="2" a="1"/>
  <c r="CJ39" i="2" s="1"/>
  <c r="CK39" i="2" a="1"/>
  <c r="CK39" i="2" s="1"/>
  <c r="CL39" i="2" a="1"/>
  <c r="CL39" i="2" s="1"/>
  <c r="CM39" i="2" a="1"/>
  <c r="CM39" i="2" s="1"/>
  <c r="CN39" i="2" a="1"/>
  <c r="CN39" i="2" s="1"/>
  <c r="CO39" i="2" a="1"/>
  <c r="CO39" i="2" s="1"/>
  <c r="CP39" i="2" a="1"/>
  <c r="CP39" i="2" s="1"/>
  <c r="CQ39" i="2" a="1"/>
  <c r="CQ39" i="2" s="1"/>
  <c r="CR39" i="2" a="1"/>
  <c r="CR39" i="2" s="1"/>
  <c r="CS39" i="2" a="1"/>
  <c r="CS39" i="2" s="1"/>
  <c r="CT39" i="2" a="1"/>
  <c r="CT39" i="2" s="1"/>
  <c r="CU39" i="2" a="1"/>
  <c r="CU39" i="2" s="1"/>
  <c r="CV39" i="2" a="1"/>
  <c r="CV39" i="2" s="1"/>
  <c r="CW39" i="2" a="1"/>
  <c r="CW39" i="2" s="1"/>
  <c r="CX39" i="2" a="1"/>
  <c r="CX39" i="2" s="1"/>
  <c r="CY39" i="2" a="1"/>
  <c r="CY39" i="2" s="1"/>
  <c r="CZ39" i="2" a="1"/>
  <c r="CZ39" i="2" s="1"/>
  <c r="DA39" i="2" a="1"/>
  <c r="DA39" i="2" s="1"/>
  <c r="DB39" i="2" a="1"/>
  <c r="DB39" i="2" s="1"/>
  <c r="DC39" i="2" a="1"/>
  <c r="DC39" i="2" s="1"/>
  <c r="DD39" i="2" a="1"/>
  <c r="DD39" i="2" s="1"/>
  <c r="O40" i="2" a="1"/>
  <c r="O40" i="2" s="1"/>
  <c r="P40" i="2" a="1"/>
  <c r="P40" i="2" s="1"/>
  <c r="Q40" i="2" a="1"/>
  <c r="Q40" i="2" s="1"/>
  <c r="R40" i="2" a="1"/>
  <c r="R40" i="2" s="1"/>
  <c r="S40" i="2" a="1"/>
  <c r="S40" i="2" s="1"/>
  <c r="T40" i="2" a="1"/>
  <c r="T40" i="2" s="1"/>
  <c r="U40" i="2" a="1"/>
  <c r="U40" i="2" s="1"/>
  <c r="V40" i="2" a="1"/>
  <c r="V40" i="2" s="1"/>
  <c r="W40" i="2" a="1"/>
  <c r="W40" i="2" s="1"/>
  <c r="X40" i="2" a="1"/>
  <c r="X40" i="2" s="1"/>
  <c r="Y40" i="2" a="1"/>
  <c r="Y40" i="2" s="1"/>
  <c r="Z40" i="2" a="1"/>
  <c r="Z40" i="2" s="1"/>
  <c r="AA40" i="2" a="1"/>
  <c r="AA40" i="2" s="1"/>
  <c r="AB40" i="2" a="1"/>
  <c r="AB40" i="2" s="1"/>
  <c r="AC40" i="2" a="1"/>
  <c r="AC40" i="2" s="1"/>
  <c r="AD40" i="2" a="1"/>
  <c r="AD40" i="2" s="1"/>
  <c r="AE40" i="2" a="1"/>
  <c r="AE40" i="2" s="1"/>
  <c r="AF40" i="2" a="1"/>
  <c r="AF40" i="2" s="1"/>
  <c r="AG40" i="2" a="1"/>
  <c r="AG40" i="2" s="1"/>
  <c r="AH40" i="2" a="1"/>
  <c r="AH40" i="2" s="1"/>
  <c r="AI40" i="2" a="1"/>
  <c r="AI40" i="2" s="1"/>
  <c r="AJ40" i="2" a="1"/>
  <c r="AJ40" i="2" s="1"/>
  <c r="AK40" i="2" a="1"/>
  <c r="AK40" i="2" s="1"/>
  <c r="AL40" i="2" a="1"/>
  <c r="AL40" i="2" s="1"/>
  <c r="AM40" i="2" a="1"/>
  <c r="AM40" i="2" s="1"/>
  <c r="AN40" i="2" a="1"/>
  <c r="AN40" i="2" s="1"/>
  <c r="AO40" i="2" a="1"/>
  <c r="AO40" i="2" s="1"/>
  <c r="AP40" i="2" a="1"/>
  <c r="AP40" i="2" s="1"/>
  <c r="AQ40" i="2" a="1"/>
  <c r="AQ40" i="2" s="1"/>
  <c r="AR40" i="2" a="1"/>
  <c r="AR40" i="2" s="1"/>
  <c r="AS40" i="2" a="1"/>
  <c r="AS40" i="2" s="1"/>
  <c r="AT40" i="2" a="1"/>
  <c r="AT40" i="2" s="1"/>
  <c r="AU40" i="2" a="1"/>
  <c r="AU40" i="2" s="1"/>
  <c r="AV40" i="2" a="1"/>
  <c r="AV40" i="2" s="1"/>
  <c r="AW40" i="2" a="1"/>
  <c r="AW40" i="2" s="1"/>
  <c r="AX40" i="2" a="1"/>
  <c r="AX40" i="2" s="1"/>
  <c r="AY40" i="2" a="1"/>
  <c r="AY40" i="2" s="1"/>
  <c r="AZ40" i="2" a="1"/>
  <c r="AZ40" i="2" s="1"/>
  <c r="BA40" i="2" a="1"/>
  <c r="BA40" i="2" s="1"/>
  <c r="BB40" i="2" a="1"/>
  <c r="BB40" i="2" s="1"/>
  <c r="BC40" i="2" a="1"/>
  <c r="BC40" i="2" s="1"/>
  <c r="BD40" i="2" a="1"/>
  <c r="BD40" i="2" s="1"/>
  <c r="BE40" i="2" a="1"/>
  <c r="BE40" i="2" s="1"/>
  <c r="BF40" i="2" a="1"/>
  <c r="BF40" i="2" s="1"/>
  <c r="BG40" i="2" a="1"/>
  <c r="BG40" i="2" s="1"/>
  <c r="BI40" i="2" a="1"/>
  <c r="BI40" i="2" s="1"/>
  <c r="BJ40" i="2" a="1"/>
  <c r="BJ40" i="2" s="1"/>
  <c r="BK40" i="2" a="1"/>
  <c r="BK40" i="2" s="1"/>
  <c r="BL40" i="2" a="1"/>
  <c r="BL40" i="2" s="1"/>
  <c r="BM40" i="2" a="1"/>
  <c r="BM40" i="2" s="1"/>
  <c r="BN40" i="2" a="1"/>
  <c r="BN40" i="2" s="1"/>
  <c r="BO40" i="2" a="1"/>
  <c r="BO40" i="2" s="1"/>
  <c r="BP40" i="2" a="1"/>
  <c r="BP40" i="2" s="1"/>
  <c r="BQ40" i="2" a="1"/>
  <c r="BQ40" i="2" s="1"/>
  <c r="BR40" i="2" a="1"/>
  <c r="BR40" i="2" s="1"/>
  <c r="BS40" i="2" a="1"/>
  <c r="BS40" i="2" s="1"/>
  <c r="BT40" i="2" a="1"/>
  <c r="BT40" i="2" s="1"/>
  <c r="BU40" i="2" a="1"/>
  <c r="BU40" i="2" s="1"/>
  <c r="BV40" i="2" a="1"/>
  <c r="BV40" i="2" s="1"/>
  <c r="BW40" i="2" a="1"/>
  <c r="BW40" i="2" s="1"/>
  <c r="BX40" i="2" a="1"/>
  <c r="BX40" i="2" s="1"/>
  <c r="BY40" i="2" a="1"/>
  <c r="BY40" i="2" s="1"/>
  <c r="BZ40" i="2" a="1"/>
  <c r="BZ40" i="2" s="1"/>
  <c r="CA40" i="2" a="1"/>
  <c r="CA40" i="2" s="1"/>
  <c r="CB40" i="2" a="1"/>
  <c r="CB40" i="2" s="1"/>
  <c r="CC40" i="2" a="1"/>
  <c r="CC40" i="2" s="1"/>
  <c r="CD40" i="2" a="1"/>
  <c r="CD40" i="2" s="1"/>
  <c r="CE40" i="2" a="1"/>
  <c r="CE40" i="2" s="1"/>
  <c r="CF40" i="2" a="1"/>
  <c r="CF40" i="2" s="1"/>
  <c r="CG40" i="2" a="1"/>
  <c r="CG40" i="2" s="1"/>
  <c r="CH40" i="2" a="1"/>
  <c r="CH40" i="2" s="1"/>
  <c r="CI40" i="2" a="1"/>
  <c r="CI40" i="2" s="1"/>
  <c r="CJ40" i="2" a="1"/>
  <c r="CJ40" i="2" s="1"/>
  <c r="CK40" i="2" a="1"/>
  <c r="CK40" i="2" s="1"/>
  <c r="CL40" i="2" a="1"/>
  <c r="CL40" i="2" s="1"/>
  <c r="CM40" i="2" a="1"/>
  <c r="CM40" i="2" s="1"/>
  <c r="CN40" i="2" a="1"/>
  <c r="CN40" i="2" s="1"/>
  <c r="CO40" i="2" a="1"/>
  <c r="CO40" i="2" s="1"/>
  <c r="CP40" i="2" a="1"/>
  <c r="CP40" i="2" s="1"/>
  <c r="CQ40" i="2" a="1"/>
  <c r="CQ40" i="2" s="1"/>
  <c r="CR40" i="2" a="1"/>
  <c r="CR40" i="2" s="1"/>
  <c r="CS40" i="2" a="1"/>
  <c r="CS40" i="2" s="1"/>
  <c r="CT40" i="2" a="1"/>
  <c r="CT40" i="2" s="1"/>
  <c r="CU40" i="2" a="1"/>
  <c r="CU40" i="2" s="1"/>
  <c r="CV40" i="2" a="1"/>
  <c r="CV40" i="2" s="1"/>
  <c r="CW40" i="2" a="1"/>
  <c r="CW40" i="2" s="1"/>
  <c r="CX40" i="2" a="1"/>
  <c r="CX40" i="2" s="1"/>
  <c r="CY40" i="2" a="1"/>
  <c r="CY40" i="2" s="1"/>
  <c r="CZ40" i="2" a="1"/>
  <c r="CZ40" i="2" s="1"/>
  <c r="DA40" i="2" a="1"/>
  <c r="DA40" i="2" s="1"/>
  <c r="DB40" i="2" a="1"/>
  <c r="DB40" i="2" s="1"/>
  <c r="DC40" i="2" a="1"/>
  <c r="DC40" i="2" s="1"/>
  <c r="DD40" i="2" a="1"/>
  <c r="DD40" i="2" s="1"/>
  <c r="O41" i="2" a="1"/>
  <c r="O41" i="2" s="1"/>
  <c r="P41" i="2" a="1"/>
  <c r="P41" i="2" s="1"/>
  <c r="Q41" i="2" a="1"/>
  <c r="Q41" i="2" s="1"/>
  <c r="R41" i="2" a="1"/>
  <c r="R41" i="2" s="1"/>
  <c r="S41" i="2" a="1"/>
  <c r="S41" i="2" s="1"/>
  <c r="T41" i="2" a="1"/>
  <c r="T41" i="2" s="1"/>
  <c r="U41" i="2" a="1"/>
  <c r="U41" i="2" s="1"/>
  <c r="V41" i="2" a="1"/>
  <c r="V41" i="2" s="1"/>
  <c r="W41" i="2" a="1"/>
  <c r="W41" i="2" s="1"/>
  <c r="X41" i="2" a="1"/>
  <c r="X41" i="2" s="1"/>
  <c r="Y41" i="2" a="1"/>
  <c r="Y41" i="2" s="1"/>
  <c r="Z41" i="2" a="1"/>
  <c r="Z41" i="2" s="1"/>
  <c r="AA41" i="2" a="1"/>
  <c r="AA41" i="2" s="1"/>
  <c r="AB41" i="2" a="1"/>
  <c r="AB41" i="2" s="1"/>
  <c r="AC41" i="2" a="1"/>
  <c r="AC41" i="2" s="1"/>
  <c r="AD41" i="2" a="1"/>
  <c r="AD41" i="2" s="1"/>
  <c r="AE41" i="2" a="1"/>
  <c r="AE41" i="2" s="1"/>
  <c r="AF41" i="2" a="1"/>
  <c r="AF41" i="2" s="1"/>
  <c r="AG41" i="2" a="1"/>
  <c r="AG41" i="2" s="1"/>
  <c r="AH41" i="2" a="1"/>
  <c r="AH41" i="2" s="1"/>
  <c r="AI41" i="2" a="1"/>
  <c r="AI41" i="2" s="1"/>
  <c r="AJ41" i="2" a="1"/>
  <c r="AJ41" i="2" s="1"/>
  <c r="AK41" i="2" a="1"/>
  <c r="AK41" i="2" s="1"/>
  <c r="AL41" i="2" a="1"/>
  <c r="AL41" i="2" s="1"/>
  <c r="AM41" i="2" a="1"/>
  <c r="AM41" i="2" s="1"/>
  <c r="AN41" i="2" a="1"/>
  <c r="AN41" i="2" s="1"/>
  <c r="AO41" i="2" a="1"/>
  <c r="AO41" i="2" s="1"/>
  <c r="AP41" i="2" a="1"/>
  <c r="AP41" i="2" s="1"/>
  <c r="AQ41" i="2" a="1"/>
  <c r="AQ41" i="2" s="1"/>
  <c r="AR41" i="2" a="1"/>
  <c r="AR41" i="2" s="1"/>
  <c r="AS41" i="2" a="1"/>
  <c r="AS41" i="2" s="1"/>
  <c r="AT41" i="2" a="1"/>
  <c r="AT41" i="2" s="1"/>
  <c r="AU41" i="2" a="1"/>
  <c r="AU41" i="2" s="1"/>
  <c r="AV41" i="2" a="1"/>
  <c r="AV41" i="2" s="1"/>
  <c r="AW41" i="2" a="1"/>
  <c r="AW41" i="2" s="1"/>
  <c r="AX41" i="2" a="1"/>
  <c r="AX41" i="2" s="1"/>
  <c r="AY41" i="2" a="1"/>
  <c r="AY41" i="2" s="1"/>
  <c r="AZ41" i="2" a="1"/>
  <c r="AZ41" i="2" s="1"/>
  <c r="BA41" i="2" a="1"/>
  <c r="BA41" i="2" s="1"/>
  <c r="BB41" i="2" a="1"/>
  <c r="BB41" i="2" s="1"/>
  <c r="BC41" i="2" a="1"/>
  <c r="BC41" i="2" s="1"/>
  <c r="BD41" i="2" a="1"/>
  <c r="BD41" i="2" s="1"/>
  <c r="BE41" i="2" a="1"/>
  <c r="BE41" i="2" s="1"/>
  <c r="BF41" i="2" a="1"/>
  <c r="BF41" i="2" s="1"/>
  <c r="BG41" i="2" a="1"/>
  <c r="BG41" i="2" s="1"/>
  <c r="BI41" i="2" a="1"/>
  <c r="BI41" i="2" s="1"/>
  <c r="BJ41" i="2" a="1"/>
  <c r="BJ41" i="2" s="1"/>
  <c r="BK41" i="2" a="1"/>
  <c r="BK41" i="2" s="1"/>
  <c r="BL41" i="2" a="1"/>
  <c r="BL41" i="2" s="1"/>
  <c r="BM41" i="2" a="1"/>
  <c r="BM41" i="2" s="1"/>
  <c r="BN41" i="2" a="1"/>
  <c r="BN41" i="2" s="1"/>
  <c r="BO41" i="2" a="1"/>
  <c r="BO41" i="2" s="1"/>
  <c r="BP41" i="2" a="1"/>
  <c r="BP41" i="2" s="1"/>
  <c r="BQ41" i="2" a="1"/>
  <c r="BQ41" i="2" s="1"/>
  <c r="BR41" i="2" a="1"/>
  <c r="BR41" i="2" s="1"/>
  <c r="BS41" i="2" a="1"/>
  <c r="BS41" i="2" s="1"/>
  <c r="BT41" i="2" a="1"/>
  <c r="BT41" i="2" s="1"/>
  <c r="BU41" i="2" a="1"/>
  <c r="BU41" i="2" s="1"/>
  <c r="BV41" i="2" a="1"/>
  <c r="BV41" i="2" s="1"/>
  <c r="BW41" i="2" a="1"/>
  <c r="BW41" i="2" s="1"/>
  <c r="BX41" i="2" a="1"/>
  <c r="BX41" i="2" s="1"/>
  <c r="BY41" i="2" a="1"/>
  <c r="BY41" i="2" s="1"/>
  <c r="BZ41" i="2" a="1"/>
  <c r="BZ41" i="2" s="1"/>
  <c r="CA41" i="2" a="1"/>
  <c r="CA41" i="2" s="1"/>
  <c r="CB41" i="2" a="1"/>
  <c r="CB41" i="2" s="1"/>
  <c r="CC41" i="2" a="1"/>
  <c r="CC41" i="2" s="1"/>
  <c r="CD41" i="2" a="1"/>
  <c r="CD41" i="2" s="1"/>
  <c r="CE41" i="2" a="1"/>
  <c r="CE41" i="2" s="1"/>
  <c r="CF41" i="2" a="1"/>
  <c r="CF41" i="2" s="1"/>
  <c r="CG41" i="2" a="1"/>
  <c r="CG41" i="2" s="1"/>
  <c r="CH41" i="2" a="1"/>
  <c r="CH41" i="2" s="1"/>
  <c r="CI41" i="2" a="1"/>
  <c r="CI41" i="2" s="1"/>
  <c r="CJ41" i="2" a="1"/>
  <c r="CJ41" i="2" s="1"/>
  <c r="CK41" i="2" a="1"/>
  <c r="CK41" i="2" s="1"/>
  <c r="CL41" i="2" a="1"/>
  <c r="CL41" i="2" s="1"/>
  <c r="CM41" i="2" a="1"/>
  <c r="CM41" i="2" s="1"/>
  <c r="CN41" i="2" a="1"/>
  <c r="CN41" i="2" s="1"/>
  <c r="CO41" i="2" a="1"/>
  <c r="CO41" i="2" s="1"/>
  <c r="CP41" i="2" a="1"/>
  <c r="CP41" i="2" s="1"/>
  <c r="CQ41" i="2" a="1"/>
  <c r="CQ41" i="2" s="1"/>
  <c r="CR41" i="2" a="1"/>
  <c r="CR41" i="2" s="1"/>
  <c r="CS41" i="2" a="1"/>
  <c r="CS41" i="2" s="1"/>
  <c r="CT41" i="2" a="1"/>
  <c r="CT41" i="2" s="1"/>
  <c r="CU41" i="2" a="1"/>
  <c r="CU41" i="2" s="1"/>
  <c r="CV41" i="2" a="1"/>
  <c r="CV41" i="2" s="1"/>
  <c r="CW41" i="2" a="1"/>
  <c r="CW41" i="2" s="1"/>
  <c r="CX41" i="2" a="1"/>
  <c r="CX41" i="2" s="1"/>
  <c r="CY41" i="2" a="1"/>
  <c r="CY41" i="2" s="1"/>
  <c r="CZ41" i="2" a="1"/>
  <c r="CZ41" i="2" s="1"/>
  <c r="DA41" i="2" a="1"/>
  <c r="DA41" i="2" s="1"/>
  <c r="DB41" i="2" a="1"/>
  <c r="DB41" i="2" s="1"/>
  <c r="DC41" i="2" a="1"/>
  <c r="DC41" i="2" s="1"/>
  <c r="DD41" i="2" a="1"/>
  <c r="DD41" i="2" s="1"/>
  <c r="O42" i="2" a="1"/>
  <c r="O42" i="2" s="1"/>
  <c r="P42" i="2" a="1"/>
  <c r="P42" i="2" s="1"/>
  <c r="Q42" i="2" a="1"/>
  <c r="Q42" i="2" s="1"/>
  <c r="R42" i="2" a="1"/>
  <c r="R42" i="2" s="1"/>
  <c r="S42" i="2" a="1"/>
  <c r="S42" i="2" s="1"/>
  <c r="T42" i="2" a="1"/>
  <c r="T42" i="2" s="1"/>
  <c r="U42" i="2" a="1"/>
  <c r="U42" i="2" s="1"/>
  <c r="V42" i="2" a="1"/>
  <c r="V42" i="2" s="1"/>
  <c r="W42" i="2" a="1"/>
  <c r="W42" i="2" s="1"/>
  <c r="X42" i="2" a="1"/>
  <c r="X42" i="2" s="1"/>
  <c r="Y42" i="2" a="1"/>
  <c r="Y42" i="2" s="1"/>
  <c r="Z42" i="2" a="1"/>
  <c r="Z42" i="2" s="1"/>
  <c r="AA42" i="2" a="1"/>
  <c r="AA42" i="2" s="1"/>
  <c r="AB42" i="2" a="1"/>
  <c r="AB42" i="2" s="1"/>
  <c r="AC42" i="2" a="1"/>
  <c r="AC42" i="2" s="1"/>
  <c r="AD42" i="2" a="1"/>
  <c r="AD42" i="2" s="1"/>
  <c r="AE42" i="2" a="1"/>
  <c r="AE42" i="2" s="1"/>
  <c r="AF42" i="2" a="1"/>
  <c r="AF42" i="2" s="1"/>
  <c r="AG42" i="2" a="1"/>
  <c r="AG42" i="2" s="1"/>
  <c r="AH42" i="2" a="1"/>
  <c r="AH42" i="2" s="1"/>
  <c r="AI42" i="2" a="1"/>
  <c r="AI42" i="2" s="1"/>
  <c r="AJ42" i="2" a="1"/>
  <c r="AJ42" i="2" s="1"/>
  <c r="AK42" i="2" a="1"/>
  <c r="AK42" i="2" s="1"/>
  <c r="AL42" i="2" a="1"/>
  <c r="AL42" i="2" s="1"/>
  <c r="AM42" i="2" a="1"/>
  <c r="AM42" i="2" s="1"/>
  <c r="AN42" i="2" a="1"/>
  <c r="AN42" i="2" s="1"/>
  <c r="AO42" i="2" a="1"/>
  <c r="AO42" i="2" s="1"/>
  <c r="AP42" i="2" a="1"/>
  <c r="AP42" i="2" s="1"/>
  <c r="AQ42" i="2" a="1"/>
  <c r="AQ42" i="2" s="1"/>
  <c r="AR42" i="2" a="1"/>
  <c r="AR42" i="2" s="1"/>
  <c r="AS42" i="2" a="1"/>
  <c r="AS42" i="2" s="1"/>
  <c r="AT42" i="2" a="1"/>
  <c r="AT42" i="2" s="1"/>
  <c r="AU42" i="2" a="1"/>
  <c r="AU42" i="2" s="1"/>
  <c r="AV42" i="2" a="1"/>
  <c r="AV42" i="2" s="1"/>
  <c r="AW42" i="2" a="1"/>
  <c r="AW42" i="2" s="1"/>
  <c r="AX42" i="2" a="1"/>
  <c r="AX42" i="2" s="1"/>
  <c r="AY42" i="2" a="1"/>
  <c r="AY42" i="2" s="1"/>
  <c r="AZ42" i="2" a="1"/>
  <c r="AZ42" i="2" s="1"/>
  <c r="BA42" i="2" a="1"/>
  <c r="BA42" i="2" s="1"/>
  <c r="BB42" i="2" a="1"/>
  <c r="BB42" i="2" s="1"/>
  <c r="BC42" i="2" a="1"/>
  <c r="BC42" i="2" s="1"/>
  <c r="BD42" i="2" a="1"/>
  <c r="BD42" i="2" s="1"/>
  <c r="BE42" i="2" a="1"/>
  <c r="BE42" i="2" s="1"/>
  <c r="BF42" i="2" a="1"/>
  <c r="BF42" i="2" s="1"/>
  <c r="BG42" i="2" a="1"/>
  <c r="BG42" i="2" s="1"/>
  <c r="BI42" i="2" a="1"/>
  <c r="BI42" i="2" s="1"/>
  <c r="BJ42" i="2" a="1"/>
  <c r="BJ42" i="2" s="1"/>
  <c r="BK42" i="2" a="1"/>
  <c r="BK42" i="2" s="1"/>
  <c r="BL42" i="2" a="1"/>
  <c r="BL42" i="2" s="1"/>
  <c r="BM42" i="2" a="1"/>
  <c r="BM42" i="2" s="1"/>
  <c r="BN42" i="2" a="1"/>
  <c r="BN42" i="2" s="1"/>
  <c r="BO42" i="2" a="1"/>
  <c r="BO42" i="2" s="1"/>
  <c r="BP42" i="2" a="1"/>
  <c r="BP42" i="2" s="1"/>
  <c r="BQ42" i="2" a="1"/>
  <c r="BQ42" i="2" s="1"/>
  <c r="BR42" i="2" a="1"/>
  <c r="BR42" i="2" s="1"/>
  <c r="BS42" i="2" a="1"/>
  <c r="BS42" i="2" s="1"/>
  <c r="BT42" i="2" a="1"/>
  <c r="BT42" i="2" s="1"/>
  <c r="BU42" i="2" a="1"/>
  <c r="BU42" i="2" s="1"/>
  <c r="BV42" i="2" a="1"/>
  <c r="BV42" i="2" s="1"/>
  <c r="BW42" i="2" a="1"/>
  <c r="BW42" i="2" s="1"/>
  <c r="BX42" i="2" a="1"/>
  <c r="BX42" i="2" s="1"/>
  <c r="BY42" i="2" a="1"/>
  <c r="BY42" i="2" s="1"/>
  <c r="BZ42" i="2" a="1"/>
  <c r="BZ42" i="2" s="1"/>
  <c r="CA42" i="2" a="1"/>
  <c r="CA42" i="2" s="1"/>
  <c r="CB42" i="2" a="1"/>
  <c r="CB42" i="2" s="1"/>
  <c r="CC42" i="2" a="1"/>
  <c r="CC42" i="2" s="1"/>
  <c r="CD42" i="2" a="1"/>
  <c r="CD42" i="2" s="1"/>
  <c r="CE42" i="2" a="1"/>
  <c r="CE42" i="2" s="1"/>
  <c r="CF42" i="2" a="1"/>
  <c r="CF42" i="2" s="1"/>
  <c r="CG42" i="2" a="1"/>
  <c r="CG42" i="2" s="1"/>
  <c r="CH42" i="2" a="1"/>
  <c r="CH42" i="2" s="1"/>
  <c r="CI42" i="2" a="1"/>
  <c r="CI42" i="2" s="1"/>
  <c r="CJ42" i="2" a="1"/>
  <c r="CJ42" i="2" s="1"/>
  <c r="CK42" i="2" a="1"/>
  <c r="CK42" i="2" s="1"/>
  <c r="CL42" i="2" a="1"/>
  <c r="CL42" i="2" s="1"/>
  <c r="CM42" i="2" a="1"/>
  <c r="CM42" i="2" s="1"/>
  <c r="CN42" i="2" a="1"/>
  <c r="CN42" i="2" s="1"/>
  <c r="CO42" i="2" a="1"/>
  <c r="CO42" i="2" s="1"/>
  <c r="CP42" i="2" a="1"/>
  <c r="CP42" i="2" s="1"/>
  <c r="CQ42" i="2" a="1"/>
  <c r="CQ42" i="2" s="1"/>
  <c r="CR42" i="2" a="1"/>
  <c r="CR42" i="2" s="1"/>
  <c r="CS42" i="2" a="1"/>
  <c r="CS42" i="2" s="1"/>
  <c r="CT42" i="2" a="1"/>
  <c r="CT42" i="2" s="1"/>
  <c r="CU42" i="2" a="1"/>
  <c r="CU42" i="2" s="1"/>
  <c r="CV42" i="2" a="1"/>
  <c r="CV42" i="2" s="1"/>
  <c r="CW42" i="2" a="1"/>
  <c r="CW42" i="2" s="1"/>
  <c r="CX42" i="2" a="1"/>
  <c r="CX42" i="2" s="1"/>
  <c r="CY42" i="2" a="1"/>
  <c r="CY42" i="2" s="1"/>
  <c r="CZ42" i="2" a="1"/>
  <c r="CZ42" i="2" s="1"/>
  <c r="DA42" i="2" a="1"/>
  <c r="DA42" i="2" s="1"/>
  <c r="DB42" i="2" a="1"/>
  <c r="DB42" i="2" s="1"/>
  <c r="DC42" i="2" a="1"/>
  <c r="DC42" i="2" s="1"/>
  <c r="DD42" i="2" a="1"/>
  <c r="DD42" i="2" s="1"/>
  <c r="O43" i="2" a="1"/>
  <c r="O43" i="2" s="1"/>
  <c r="P43" i="2" a="1"/>
  <c r="P43" i="2" s="1"/>
  <c r="Q43" i="2" a="1"/>
  <c r="Q43" i="2" s="1"/>
  <c r="R43" i="2" a="1"/>
  <c r="R43" i="2" s="1"/>
  <c r="S43" i="2" a="1"/>
  <c r="S43" i="2" s="1"/>
  <c r="T43" i="2" a="1"/>
  <c r="T43" i="2" s="1"/>
  <c r="U43" i="2" a="1"/>
  <c r="U43" i="2" s="1"/>
  <c r="V43" i="2" a="1"/>
  <c r="V43" i="2" s="1"/>
  <c r="W43" i="2" a="1"/>
  <c r="W43" i="2" s="1"/>
  <c r="X43" i="2" a="1"/>
  <c r="X43" i="2" s="1"/>
  <c r="Y43" i="2" a="1"/>
  <c r="Y43" i="2" s="1"/>
  <c r="Z43" i="2" a="1"/>
  <c r="Z43" i="2" s="1"/>
  <c r="AA43" i="2" a="1"/>
  <c r="AA43" i="2" s="1"/>
  <c r="AB43" i="2" a="1"/>
  <c r="AB43" i="2" s="1"/>
  <c r="AC43" i="2" a="1"/>
  <c r="AC43" i="2" s="1"/>
  <c r="AD43" i="2" a="1"/>
  <c r="AD43" i="2" s="1"/>
  <c r="AE43" i="2" a="1"/>
  <c r="AE43" i="2" s="1"/>
  <c r="AF43" i="2" a="1"/>
  <c r="AF43" i="2" s="1"/>
  <c r="AG43" i="2" a="1"/>
  <c r="AG43" i="2" s="1"/>
  <c r="AH43" i="2" a="1"/>
  <c r="AH43" i="2" s="1"/>
  <c r="AI43" i="2" a="1"/>
  <c r="AI43" i="2" s="1"/>
  <c r="AJ43" i="2" a="1"/>
  <c r="AJ43" i="2" s="1"/>
  <c r="AK43" i="2" a="1"/>
  <c r="AK43" i="2" s="1"/>
  <c r="AL43" i="2" a="1"/>
  <c r="AL43" i="2" s="1"/>
  <c r="AM43" i="2" a="1"/>
  <c r="AM43" i="2" s="1"/>
  <c r="AN43" i="2" a="1"/>
  <c r="AN43" i="2" s="1"/>
  <c r="AO43" i="2" a="1"/>
  <c r="AO43" i="2" s="1"/>
  <c r="AP43" i="2" a="1"/>
  <c r="AP43" i="2" s="1"/>
  <c r="AQ43" i="2" a="1"/>
  <c r="AQ43" i="2" s="1"/>
  <c r="AR43" i="2" a="1"/>
  <c r="AR43" i="2" s="1"/>
  <c r="AS43" i="2" a="1"/>
  <c r="AS43" i="2" s="1"/>
  <c r="AT43" i="2" a="1"/>
  <c r="AT43" i="2" s="1"/>
  <c r="AU43" i="2" a="1"/>
  <c r="AU43" i="2" s="1"/>
  <c r="AV43" i="2" a="1"/>
  <c r="AV43" i="2" s="1"/>
  <c r="AW43" i="2" a="1"/>
  <c r="AW43" i="2" s="1"/>
  <c r="AX43" i="2" a="1"/>
  <c r="AX43" i="2" s="1"/>
  <c r="AY43" i="2" a="1"/>
  <c r="AY43" i="2" s="1"/>
  <c r="AZ43" i="2" a="1"/>
  <c r="AZ43" i="2" s="1"/>
  <c r="BA43" i="2" a="1"/>
  <c r="BA43" i="2" s="1"/>
  <c r="BB43" i="2" a="1"/>
  <c r="BB43" i="2" s="1"/>
  <c r="BC43" i="2" a="1"/>
  <c r="BC43" i="2" s="1"/>
  <c r="BD43" i="2" a="1"/>
  <c r="BD43" i="2" s="1"/>
  <c r="BE43" i="2" a="1"/>
  <c r="BE43" i="2" s="1"/>
  <c r="BF43" i="2" a="1"/>
  <c r="BF43" i="2" s="1"/>
  <c r="BG43" i="2" a="1"/>
  <c r="BG43" i="2" s="1"/>
  <c r="BI43" i="2" a="1"/>
  <c r="BI43" i="2" s="1"/>
  <c r="BJ43" i="2" a="1"/>
  <c r="BJ43" i="2" s="1"/>
  <c r="BK43" i="2" a="1"/>
  <c r="BK43" i="2" s="1"/>
  <c r="BL43" i="2" a="1"/>
  <c r="BL43" i="2" s="1"/>
  <c r="BM43" i="2" a="1"/>
  <c r="BM43" i="2" s="1"/>
  <c r="BN43" i="2" a="1"/>
  <c r="BN43" i="2" s="1"/>
  <c r="BO43" i="2" a="1"/>
  <c r="BO43" i="2" s="1"/>
  <c r="BP43" i="2" a="1"/>
  <c r="BP43" i="2" s="1"/>
  <c r="BQ43" i="2" a="1"/>
  <c r="BQ43" i="2" s="1"/>
  <c r="BR43" i="2" a="1"/>
  <c r="BR43" i="2" s="1"/>
  <c r="BS43" i="2" a="1"/>
  <c r="BS43" i="2" s="1"/>
  <c r="BT43" i="2" a="1"/>
  <c r="BT43" i="2" s="1"/>
  <c r="BU43" i="2" a="1"/>
  <c r="BU43" i="2" s="1"/>
  <c r="BV43" i="2" a="1"/>
  <c r="BV43" i="2" s="1"/>
  <c r="BW43" i="2" a="1"/>
  <c r="BW43" i="2" s="1"/>
  <c r="BX43" i="2" a="1"/>
  <c r="BX43" i="2" s="1"/>
  <c r="BY43" i="2" a="1"/>
  <c r="BY43" i="2" s="1"/>
  <c r="BZ43" i="2" a="1"/>
  <c r="BZ43" i="2" s="1"/>
  <c r="CA43" i="2" a="1"/>
  <c r="CA43" i="2" s="1"/>
  <c r="CB43" i="2" a="1"/>
  <c r="CB43" i="2" s="1"/>
  <c r="CC43" i="2" a="1"/>
  <c r="CC43" i="2" s="1"/>
  <c r="CD43" i="2" a="1"/>
  <c r="CD43" i="2" s="1"/>
  <c r="CE43" i="2" a="1"/>
  <c r="CE43" i="2" s="1"/>
  <c r="CF43" i="2" a="1"/>
  <c r="CF43" i="2" s="1"/>
  <c r="CG43" i="2" a="1"/>
  <c r="CG43" i="2" s="1"/>
  <c r="CH43" i="2" a="1"/>
  <c r="CH43" i="2" s="1"/>
  <c r="CI43" i="2" a="1"/>
  <c r="CI43" i="2" s="1"/>
  <c r="CJ43" i="2" a="1"/>
  <c r="CJ43" i="2" s="1"/>
  <c r="CK43" i="2" a="1"/>
  <c r="CK43" i="2" s="1"/>
  <c r="CL43" i="2" a="1"/>
  <c r="CL43" i="2" s="1"/>
  <c r="CM43" i="2" a="1"/>
  <c r="CM43" i="2" s="1"/>
  <c r="CN43" i="2" a="1"/>
  <c r="CN43" i="2" s="1"/>
  <c r="CO43" i="2" a="1"/>
  <c r="CO43" i="2" s="1"/>
  <c r="CP43" i="2" a="1"/>
  <c r="CP43" i="2" s="1"/>
  <c r="CQ43" i="2" a="1"/>
  <c r="CQ43" i="2" s="1"/>
  <c r="CR43" i="2" a="1"/>
  <c r="CR43" i="2" s="1"/>
  <c r="CS43" i="2" a="1"/>
  <c r="CS43" i="2" s="1"/>
  <c r="CT43" i="2" a="1"/>
  <c r="CT43" i="2" s="1"/>
  <c r="CU43" i="2" a="1"/>
  <c r="CU43" i="2" s="1"/>
  <c r="CV43" i="2" a="1"/>
  <c r="CV43" i="2" s="1"/>
  <c r="CW43" i="2" a="1"/>
  <c r="CW43" i="2" s="1"/>
  <c r="CX43" i="2" a="1"/>
  <c r="CX43" i="2" s="1"/>
  <c r="CY43" i="2" a="1"/>
  <c r="CY43" i="2" s="1"/>
  <c r="CZ43" i="2" a="1"/>
  <c r="CZ43" i="2" s="1"/>
  <c r="DA43" i="2" a="1"/>
  <c r="DA43" i="2" s="1"/>
  <c r="DB43" i="2" a="1"/>
  <c r="DB43" i="2" s="1"/>
  <c r="DC43" i="2" a="1"/>
  <c r="DC43" i="2" s="1"/>
  <c r="DD43" i="2" a="1"/>
  <c r="DD43" i="2" s="1"/>
  <c r="O44" i="2" a="1"/>
  <c r="O44" i="2" s="1"/>
  <c r="P44" i="2" a="1"/>
  <c r="P44" i="2" s="1"/>
  <c r="Q44" i="2" a="1"/>
  <c r="Q44" i="2" s="1"/>
  <c r="R44" i="2" a="1"/>
  <c r="R44" i="2" s="1"/>
  <c r="S44" i="2" a="1"/>
  <c r="S44" i="2" s="1"/>
  <c r="T44" i="2" a="1"/>
  <c r="T44" i="2" s="1"/>
  <c r="U44" i="2" a="1"/>
  <c r="U44" i="2" s="1"/>
  <c r="V44" i="2" a="1"/>
  <c r="V44" i="2" s="1"/>
  <c r="W44" i="2" a="1"/>
  <c r="W44" i="2" s="1"/>
  <c r="X44" i="2" a="1"/>
  <c r="X44" i="2" s="1"/>
  <c r="Y44" i="2" a="1"/>
  <c r="Y44" i="2" s="1"/>
  <c r="Z44" i="2" a="1"/>
  <c r="Z44" i="2" s="1"/>
  <c r="AA44" i="2" a="1"/>
  <c r="AA44" i="2" s="1"/>
  <c r="AB44" i="2" a="1"/>
  <c r="AB44" i="2" s="1"/>
  <c r="AC44" i="2" a="1"/>
  <c r="AC44" i="2" s="1"/>
  <c r="AD44" i="2" a="1"/>
  <c r="AD44" i="2" s="1"/>
  <c r="AE44" i="2" a="1"/>
  <c r="AE44" i="2" s="1"/>
  <c r="AF44" i="2" a="1"/>
  <c r="AF44" i="2" s="1"/>
  <c r="AG44" i="2" a="1"/>
  <c r="AG44" i="2" s="1"/>
  <c r="AH44" i="2" a="1"/>
  <c r="AH44" i="2" s="1"/>
  <c r="AI44" i="2" a="1"/>
  <c r="AI44" i="2" s="1"/>
  <c r="AJ44" i="2" a="1"/>
  <c r="AJ44" i="2" s="1"/>
  <c r="AK44" i="2" a="1"/>
  <c r="AK44" i="2" s="1"/>
  <c r="AL44" i="2" a="1"/>
  <c r="AL44" i="2" s="1"/>
  <c r="AM44" i="2" a="1"/>
  <c r="AM44" i="2" s="1"/>
  <c r="AN44" i="2" a="1"/>
  <c r="AN44" i="2" s="1"/>
  <c r="AO44" i="2" a="1"/>
  <c r="AO44" i="2" s="1"/>
  <c r="AP44" i="2" a="1"/>
  <c r="AP44" i="2" s="1"/>
  <c r="AQ44" i="2" a="1"/>
  <c r="AQ44" i="2" s="1"/>
  <c r="AR44" i="2" a="1"/>
  <c r="AR44" i="2" s="1"/>
  <c r="AS44" i="2" a="1"/>
  <c r="AS44" i="2" s="1"/>
  <c r="AT44" i="2" a="1"/>
  <c r="AT44" i="2" s="1"/>
  <c r="AU44" i="2" a="1"/>
  <c r="AU44" i="2" s="1"/>
  <c r="AV44" i="2" a="1"/>
  <c r="AV44" i="2" s="1"/>
  <c r="AW44" i="2" a="1"/>
  <c r="AW44" i="2" s="1"/>
  <c r="AX44" i="2" a="1"/>
  <c r="AX44" i="2" s="1"/>
  <c r="AY44" i="2" a="1"/>
  <c r="AY44" i="2" s="1"/>
  <c r="AZ44" i="2" a="1"/>
  <c r="AZ44" i="2" s="1"/>
  <c r="BA44" i="2" a="1"/>
  <c r="BA44" i="2" s="1"/>
  <c r="BB44" i="2" a="1"/>
  <c r="BB44" i="2" s="1"/>
  <c r="BC44" i="2" a="1"/>
  <c r="BC44" i="2" s="1"/>
  <c r="BD44" i="2" a="1"/>
  <c r="BD44" i="2" s="1"/>
  <c r="BE44" i="2" a="1"/>
  <c r="BE44" i="2" s="1"/>
  <c r="BF44" i="2" a="1"/>
  <c r="BF44" i="2" s="1"/>
  <c r="BG44" i="2" a="1"/>
  <c r="BG44" i="2" s="1"/>
  <c r="BI44" i="2" a="1"/>
  <c r="BI44" i="2" s="1"/>
  <c r="BJ44" i="2" a="1"/>
  <c r="BJ44" i="2" s="1"/>
  <c r="BK44" i="2" a="1"/>
  <c r="BK44" i="2" s="1"/>
  <c r="BL44" i="2" a="1"/>
  <c r="BL44" i="2" s="1"/>
  <c r="BM44" i="2" a="1"/>
  <c r="BM44" i="2" s="1"/>
  <c r="BN44" i="2" a="1"/>
  <c r="BN44" i="2" s="1"/>
  <c r="BO44" i="2" a="1"/>
  <c r="BO44" i="2" s="1"/>
  <c r="BP44" i="2" a="1"/>
  <c r="BP44" i="2" s="1"/>
  <c r="BQ44" i="2" a="1"/>
  <c r="BQ44" i="2" s="1"/>
  <c r="BR44" i="2" a="1"/>
  <c r="BR44" i="2" s="1"/>
  <c r="BS44" i="2" a="1"/>
  <c r="BS44" i="2" s="1"/>
  <c r="BT44" i="2" a="1"/>
  <c r="BT44" i="2" s="1"/>
  <c r="BU44" i="2" a="1"/>
  <c r="BU44" i="2" s="1"/>
  <c r="BV44" i="2" a="1"/>
  <c r="BV44" i="2" s="1"/>
  <c r="BW44" i="2" a="1"/>
  <c r="BW44" i="2" s="1"/>
  <c r="BX44" i="2" a="1"/>
  <c r="BX44" i="2" s="1"/>
  <c r="BY44" i="2" a="1"/>
  <c r="BY44" i="2" s="1"/>
  <c r="BZ44" i="2" a="1"/>
  <c r="BZ44" i="2" s="1"/>
  <c r="CA44" i="2" a="1"/>
  <c r="CA44" i="2" s="1"/>
  <c r="CB44" i="2" a="1"/>
  <c r="CB44" i="2" s="1"/>
  <c r="CC44" i="2" a="1"/>
  <c r="CC44" i="2" s="1"/>
  <c r="CD44" i="2" a="1"/>
  <c r="CD44" i="2" s="1"/>
  <c r="CE44" i="2" a="1"/>
  <c r="CE44" i="2" s="1"/>
  <c r="CF44" i="2" a="1"/>
  <c r="CF44" i="2" s="1"/>
  <c r="CG44" i="2" a="1"/>
  <c r="CG44" i="2" s="1"/>
  <c r="CH44" i="2" a="1"/>
  <c r="CH44" i="2" s="1"/>
  <c r="CI44" i="2" a="1"/>
  <c r="CI44" i="2" s="1"/>
  <c r="CJ44" i="2" a="1"/>
  <c r="CJ44" i="2" s="1"/>
  <c r="CK44" i="2" a="1"/>
  <c r="CK44" i="2" s="1"/>
  <c r="CL44" i="2" a="1"/>
  <c r="CL44" i="2" s="1"/>
  <c r="CM44" i="2" a="1"/>
  <c r="CM44" i="2" s="1"/>
  <c r="CN44" i="2" a="1"/>
  <c r="CN44" i="2" s="1"/>
  <c r="CO44" i="2" a="1"/>
  <c r="CO44" i="2" s="1"/>
  <c r="CP44" i="2" a="1"/>
  <c r="CP44" i="2" s="1"/>
  <c r="CQ44" i="2" a="1"/>
  <c r="CQ44" i="2" s="1"/>
  <c r="CR44" i="2" a="1"/>
  <c r="CR44" i="2" s="1"/>
  <c r="CS44" i="2" a="1"/>
  <c r="CS44" i="2" s="1"/>
  <c r="CT44" i="2" a="1"/>
  <c r="CT44" i="2" s="1"/>
  <c r="CU44" i="2" a="1"/>
  <c r="CU44" i="2" s="1"/>
  <c r="CV44" i="2" a="1"/>
  <c r="CV44" i="2" s="1"/>
  <c r="CW44" i="2" a="1"/>
  <c r="CW44" i="2" s="1"/>
  <c r="CX44" i="2" a="1"/>
  <c r="CX44" i="2" s="1"/>
  <c r="CY44" i="2" a="1"/>
  <c r="CY44" i="2" s="1"/>
  <c r="CZ44" i="2" a="1"/>
  <c r="CZ44" i="2" s="1"/>
  <c r="DA44" i="2" a="1"/>
  <c r="DA44" i="2" s="1"/>
  <c r="DB44" i="2" a="1"/>
  <c r="DB44" i="2" s="1"/>
  <c r="DC44" i="2" a="1"/>
  <c r="DC44" i="2" s="1"/>
  <c r="DD44" i="2" a="1"/>
  <c r="DD44" i="2" s="1"/>
  <c r="O45" i="2" a="1"/>
  <c r="O45" i="2" s="1"/>
  <c r="P45" i="2" a="1"/>
  <c r="P45" i="2" s="1"/>
  <c r="Q45" i="2" a="1"/>
  <c r="Q45" i="2" s="1"/>
  <c r="R45" i="2" a="1"/>
  <c r="R45" i="2" s="1"/>
  <c r="S45" i="2" a="1"/>
  <c r="S45" i="2" s="1"/>
  <c r="T45" i="2" a="1"/>
  <c r="T45" i="2" s="1"/>
  <c r="U45" i="2" a="1"/>
  <c r="U45" i="2" s="1"/>
  <c r="V45" i="2" a="1"/>
  <c r="V45" i="2" s="1"/>
  <c r="W45" i="2" a="1"/>
  <c r="W45" i="2" s="1"/>
  <c r="X45" i="2" a="1"/>
  <c r="X45" i="2" s="1"/>
  <c r="Y45" i="2" a="1"/>
  <c r="Y45" i="2" s="1"/>
  <c r="Z45" i="2" a="1"/>
  <c r="Z45" i="2" s="1"/>
  <c r="AA45" i="2" a="1"/>
  <c r="AA45" i="2" s="1"/>
  <c r="AB45" i="2" a="1"/>
  <c r="AB45" i="2" s="1"/>
  <c r="AC45" i="2" a="1"/>
  <c r="AC45" i="2" s="1"/>
  <c r="AD45" i="2" a="1"/>
  <c r="AD45" i="2" s="1"/>
  <c r="AE45" i="2" a="1"/>
  <c r="AE45" i="2" s="1"/>
  <c r="AF45" i="2" a="1"/>
  <c r="AF45" i="2" s="1"/>
  <c r="AG45" i="2" a="1"/>
  <c r="AG45" i="2" s="1"/>
  <c r="AH45" i="2" a="1"/>
  <c r="AH45" i="2" s="1"/>
  <c r="AI45" i="2" a="1"/>
  <c r="AI45" i="2" s="1"/>
  <c r="AJ45" i="2" a="1"/>
  <c r="AJ45" i="2" s="1"/>
  <c r="AK45" i="2" a="1"/>
  <c r="AK45" i="2" s="1"/>
  <c r="AL45" i="2" a="1"/>
  <c r="AL45" i="2" s="1"/>
  <c r="AM45" i="2" a="1"/>
  <c r="AM45" i="2" s="1"/>
  <c r="AN45" i="2" a="1"/>
  <c r="AN45" i="2" s="1"/>
  <c r="AO45" i="2" a="1"/>
  <c r="AO45" i="2" s="1"/>
  <c r="AP45" i="2" a="1"/>
  <c r="AP45" i="2" s="1"/>
  <c r="AQ45" i="2" a="1"/>
  <c r="AQ45" i="2" s="1"/>
  <c r="AR45" i="2" a="1"/>
  <c r="AR45" i="2" s="1"/>
  <c r="AS45" i="2" a="1"/>
  <c r="AS45" i="2" s="1"/>
  <c r="AT45" i="2" a="1"/>
  <c r="AT45" i="2" s="1"/>
  <c r="AU45" i="2" a="1"/>
  <c r="AU45" i="2" s="1"/>
  <c r="AV45" i="2" a="1"/>
  <c r="AV45" i="2" s="1"/>
  <c r="AW45" i="2" a="1"/>
  <c r="AW45" i="2" s="1"/>
  <c r="AX45" i="2" a="1"/>
  <c r="AX45" i="2" s="1"/>
  <c r="AY45" i="2" a="1"/>
  <c r="AY45" i="2" s="1"/>
  <c r="AZ45" i="2" a="1"/>
  <c r="AZ45" i="2" s="1"/>
  <c r="BA45" i="2" a="1"/>
  <c r="BA45" i="2" s="1"/>
  <c r="BB45" i="2" a="1"/>
  <c r="BB45" i="2" s="1"/>
  <c r="BC45" i="2" a="1"/>
  <c r="BC45" i="2" s="1"/>
  <c r="BD45" i="2" a="1"/>
  <c r="BD45" i="2" s="1"/>
  <c r="BE45" i="2" a="1"/>
  <c r="BE45" i="2" s="1"/>
  <c r="BF45" i="2" a="1"/>
  <c r="BF45" i="2" s="1"/>
  <c r="BG45" i="2" a="1"/>
  <c r="BG45" i="2" s="1"/>
  <c r="BI45" i="2" a="1"/>
  <c r="BI45" i="2" s="1"/>
  <c r="BJ45" i="2" a="1"/>
  <c r="BJ45" i="2" s="1"/>
  <c r="BK45" i="2" a="1"/>
  <c r="BK45" i="2" s="1"/>
  <c r="BL45" i="2" a="1"/>
  <c r="BL45" i="2" s="1"/>
  <c r="BM45" i="2" a="1"/>
  <c r="BM45" i="2" s="1"/>
  <c r="BN45" i="2" a="1"/>
  <c r="BN45" i="2" s="1"/>
  <c r="BO45" i="2" a="1"/>
  <c r="BO45" i="2" s="1"/>
  <c r="BP45" i="2" a="1"/>
  <c r="BP45" i="2" s="1"/>
  <c r="BQ45" i="2" a="1"/>
  <c r="BQ45" i="2" s="1"/>
  <c r="BR45" i="2" a="1"/>
  <c r="BR45" i="2" s="1"/>
  <c r="BS45" i="2" a="1"/>
  <c r="BS45" i="2" s="1"/>
  <c r="BT45" i="2" a="1"/>
  <c r="BT45" i="2" s="1"/>
  <c r="BU45" i="2" a="1"/>
  <c r="BU45" i="2" s="1"/>
  <c r="BV45" i="2" a="1"/>
  <c r="BV45" i="2" s="1"/>
  <c r="BW45" i="2" a="1"/>
  <c r="BW45" i="2" s="1"/>
  <c r="BX45" i="2" a="1"/>
  <c r="BX45" i="2" s="1"/>
  <c r="BY45" i="2" a="1"/>
  <c r="BY45" i="2" s="1"/>
  <c r="BZ45" i="2" a="1"/>
  <c r="BZ45" i="2" s="1"/>
  <c r="CA45" i="2" a="1"/>
  <c r="CA45" i="2" s="1"/>
  <c r="CB45" i="2" a="1"/>
  <c r="CB45" i="2" s="1"/>
  <c r="CC45" i="2" a="1"/>
  <c r="CC45" i="2" s="1"/>
  <c r="CD45" i="2" a="1"/>
  <c r="CD45" i="2" s="1"/>
  <c r="CE45" i="2" a="1"/>
  <c r="CE45" i="2" s="1"/>
  <c r="CF45" i="2" a="1"/>
  <c r="CF45" i="2" s="1"/>
  <c r="CG45" i="2" a="1"/>
  <c r="CG45" i="2" s="1"/>
  <c r="CH45" i="2" a="1"/>
  <c r="CH45" i="2" s="1"/>
  <c r="CI45" i="2" a="1"/>
  <c r="CI45" i="2" s="1"/>
  <c r="CJ45" i="2" a="1"/>
  <c r="CJ45" i="2" s="1"/>
  <c r="CK45" i="2" a="1"/>
  <c r="CK45" i="2" s="1"/>
  <c r="CL45" i="2" a="1"/>
  <c r="CL45" i="2" s="1"/>
  <c r="CM45" i="2" a="1"/>
  <c r="CM45" i="2" s="1"/>
  <c r="CN45" i="2" a="1"/>
  <c r="CN45" i="2" s="1"/>
  <c r="CO45" i="2" a="1"/>
  <c r="CO45" i="2" s="1"/>
  <c r="CP45" i="2" a="1"/>
  <c r="CP45" i="2" s="1"/>
  <c r="CQ45" i="2" a="1"/>
  <c r="CQ45" i="2" s="1"/>
  <c r="CR45" i="2" a="1"/>
  <c r="CR45" i="2" s="1"/>
  <c r="CS45" i="2" a="1"/>
  <c r="CS45" i="2" s="1"/>
  <c r="CT45" i="2" a="1"/>
  <c r="CT45" i="2" s="1"/>
  <c r="CU45" i="2" a="1"/>
  <c r="CU45" i="2" s="1"/>
  <c r="CV45" i="2" a="1"/>
  <c r="CV45" i="2" s="1"/>
  <c r="CW45" i="2" a="1"/>
  <c r="CW45" i="2" s="1"/>
  <c r="CX45" i="2" a="1"/>
  <c r="CX45" i="2" s="1"/>
  <c r="CY45" i="2" a="1"/>
  <c r="CY45" i="2" s="1"/>
  <c r="CZ45" i="2" a="1"/>
  <c r="CZ45" i="2" s="1"/>
  <c r="DA45" i="2" a="1"/>
  <c r="DA45" i="2" s="1"/>
  <c r="DB45" i="2" a="1"/>
  <c r="DB45" i="2" s="1"/>
  <c r="DC45" i="2" a="1"/>
  <c r="DC45" i="2" s="1"/>
  <c r="DD45" i="2" a="1"/>
  <c r="DD45" i="2" s="1"/>
  <c r="K46" i="2" a="1"/>
  <c r="K46" i="2" s="1"/>
  <c r="O46" i="2" a="1"/>
  <c r="O46" i="2" s="1"/>
  <c r="P46" i="2" a="1"/>
  <c r="P46" i="2" s="1"/>
  <c r="Q46" i="2" a="1"/>
  <c r="Q46" i="2" s="1"/>
  <c r="R46" i="2" a="1"/>
  <c r="R46" i="2" s="1"/>
  <c r="S46" i="2" a="1"/>
  <c r="S46" i="2" s="1"/>
  <c r="T46" i="2" a="1"/>
  <c r="T46" i="2" s="1"/>
  <c r="U46" i="2" a="1"/>
  <c r="U46" i="2" s="1"/>
  <c r="V46" i="2" a="1"/>
  <c r="V46" i="2" s="1"/>
  <c r="W46" i="2" a="1"/>
  <c r="W46" i="2" s="1"/>
  <c r="X46" i="2" a="1"/>
  <c r="X46" i="2" s="1"/>
  <c r="Y46" i="2" a="1"/>
  <c r="Y46" i="2" s="1"/>
  <c r="Z46" i="2" a="1"/>
  <c r="Z46" i="2" s="1"/>
  <c r="AA46" i="2" a="1"/>
  <c r="AA46" i="2" s="1"/>
  <c r="AB46" i="2" a="1"/>
  <c r="AB46" i="2" s="1"/>
  <c r="AC46" i="2" a="1"/>
  <c r="AC46" i="2" s="1"/>
  <c r="AD46" i="2" a="1"/>
  <c r="AD46" i="2" s="1"/>
  <c r="AE46" i="2" a="1"/>
  <c r="AE46" i="2" s="1"/>
  <c r="AF46" i="2" a="1"/>
  <c r="AF46" i="2" s="1"/>
  <c r="AG46" i="2" a="1"/>
  <c r="AG46" i="2" s="1"/>
  <c r="AH46" i="2" a="1"/>
  <c r="AH46" i="2" s="1"/>
  <c r="AI46" i="2" a="1"/>
  <c r="AI46" i="2" s="1"/>
  <c r="AJ46" i="2" a="1"/>
  <c r="AJ46" i="2" s="1"/>
  <c r="AK46" i="2" a="1"/>
  <c r="AK46" i="2" s="1"/>
  <c r="AL46" i="2" a="1"/>
  <c r="AL46" i="2" s="1"/>
  <c r="AM46" i="2" a="1"/>
  <c r="AM46" i="2" s="1"/>
  <c r="AN46" i="2" a="1"/>
  <c r="AN46" i="2" s="1"/>
  <c r="AO46" i="2" a="1"/>
  <c r="AO46" i="2" s="1"/>
  <c r="AP46" i="2" a="1"/>
  <c r="AP46" i="2" s="1"/>
  <c r="AQ46" i="2" a="1"/>
  <c r="AQ46" i="2" s="1"/>
  <c r="AR46" i="2" a="1"/>
  <c r="AR46" i="2" s="1"/>
  <c r="AS46" i="2" a="1"/>
  <c r="AS46" i="2" s="1"/>
  <c r="AT46" i="2" a="1"/>
  <c r="AT46" i="2" s="1"/>
  <c r="AU46" i="2" a="1"/>
  <c r="AU46" i="2" s="1"/>
  <c r="AV46" i="2" a="1"/>
  <c r="AV46" i="2" s="1"/>
  <c r="AW46" i="2" a="1"/>
  <c r="AW46" i="2" s="1"/>
  <c r="AX46" i="2" a="1"/>
  <c r="AX46" i="2" s="1"/>
  <c r="AY46" i="2" a="1"/>
  <c r="AY46" i="2" s="1"/>
  <c r="AZ46" i="2" a="1"/>
  <c r="AZ46" i="2" s="1"/>
  <c r="BA46" i="2" a="1"/>
  <c r="BA46" i="2" s="1"/>
  <c r="BB46" i="2" a="1"/>
  <c r="BB46" i="2" s="1"/>
  <c r="BC46" i="2" a="1"/>
  <c r="BC46" i="2" s="1"/>
  <c r="BD46" i="2" a="1"/>
  <c r="BD46" i="2" s="1"/>
  <c r="BE46" i="2" a="1"/>
  <c r="BE46" i="2" s="1"/>
  <c r="BF46" i="2" a="1"/>
  <c r="BF46" i="2" s="1"/>
  <c r="BG46" i="2" a="1"/>
  <c r="BG46" i="2" s="1"/>
  <c r="BI46" i="2" a="1"/>
  <c r="BI46" i="2" s="1"/>
  <c r="BJ46" i="2" a="1"/>
  <c r="BJ46" i="2" s="1"/>
  <c r="BK46" i="2" a="1"/>
  <c r="BK46" i="2" s="1"/>
  <c r="BL46" i="2" a="1"/>
  <c r="BL46" i="2" s="1"/>
  <c r="BM46" i="2" a="1"/>
  <c r="BM46" i="2" s="1"/>
  <c r="BN46" i="2" a="1"/>
  <c r="BN46" i="2" s="1"/>
  <c r="BO46" i="2" a="1"/>
  <c r="BO46" i="2" s="1"/>
  <c r="BP46" i="2" a="1"/>
  <c r="BP46" i="2" s="1"/>
  <c r="BQ46" i="2" a="1"/>
  <c r="BQ46" i="2" s="1"/>
  <c r="BR46" i="2" a="1"/>
  <c r="BR46" i="2" s="1"/>
  <c r="BS46" i="2" a="1"/>
  <c r="BS46" i="2" s="1"/>
  <c r="BT46" i="2" a="1"/>
  <c r="BT46" i="2" s="1"/>
  <c r="BU46" i="2" a="1"/>
  <c r="BU46" i="2" s="1"/>
  <c r="BV46" i="2" a="1"/>
  <c r="BV46" i="2" s="1"/>
  <c r="BW46" i="2" a="1"/>
  <c r="BW46" i="2" s="1"/>
  <c r="BX46" i="2" a="1"/>
  <c r="BX46" i="2" s="1"/>
  <c r="BY46" i="2" a="1"/>
  <c r="BY46" i="2" s="1"/>
  <c r="BZ46" i="2" a="1"/>
  <c r="BZ46" i="2" s="1"/>
  <c r="CA46" i="2" a="1"/>
  <c r="CA46" i="2" s="1"/>
  <c r="CB46" i="2" a="1"/>
  <c r="CB46" i="2" s="1"/>
  <c r="CC46" i="2" a="1"/>
  <c r="CC46" i="2" s="1"/>
  <c r="CD46" i="2" a="1"/>
  <c r="CD46" i="2" s="1"/>
  <c r="CE46" i="2" a="1"/>
  <c r="CE46" i="2" s="1"/>
  <c r="CF46" i="2" a="1"/>
  <c r="CF46" i="2" s="1"/>
  <c r="CG46" i="2" a="1"/>
  <c r="CG46" i="2" s="1"/>
  <c r="CH46" i="2" a="1"/>
  <c r="CH46" i="2" s="1"/>
  <c r="CI46" i="2" a="1"/>
  <c r="CI46" i="2" s="1"/>
  <c r="CJ46" i="2" a="1"/>
  <c r="CJ46" i="2" s="1"/>
  <c r="CK46" i="2" a="1"/>
  <c r="CK46" i="2" s="1"/>
  <c r="CL46" i="2" a="1"/>
  <c r="CL46" i="2" s="1"/>
  <c r="CM46" i="2" a="1"/>
  <c r="CM46" i="2" s="1"/>
  <c r="CN46" i="2" a="1"/>
  <c r="CN46" i="2" s="1"/>
  <c r="CO46" i="2" a="1"/>
  <c r="CO46" i="2" s="1"/>
  <c r="CP46" i="2" a="1"/>
  <c r="CP46" i="2" s="1"/>
  <c r="CQ46" i="2" a="1"/>
  <c r="CQ46" i="2" s="1"/>
  <c r="CR46" i="2" a="1"/>
  <c r="CR46" i="2" s="1"/>
  <c r="CS46" i="2" a="1"/>
  <c r="CS46" i="2" s="1"/>
  <c r="CT46" i="2" a="1"/>
  <c r="CT46" i="2" s="1"/>
  <c r="CU46" i="2" a="1"/>
  <c r="CU46" i="2" s="1"/>
  <c r="CV46" i="2" a="1"/>
  <c r="CV46" i="2" s="1"/>
  <c r="CW46" i="2" a="1"/>
  <c r="CW46" i="2" s="1"/>
  <c r="CX46" i="2" a="1"/>
  <c r="CX46" i="2" s="1"/>
  <c r="CY46" i="2" a="1"/>
  <c r="CY46" i="2" s="1"/>
  <c r="CZ46" i="2" a="1"/>
  <c r="CZ46" i="2" s="1"/>
  <c r="DA46" i="2" a="1"/>
  <c r="DA46" i="2" s="1"/>
  <c r="DB46" i="2" a="1"/>
  <c r="DB46" i="2" s="1"/>
  <c r="DC46" i="2" a="1"/>
  <c r="DC46" i="2" s="1"/>
  <c r="DD46" i="2" a="1"/>
  <c r="DD46" i="2" s="1"/>
  <c r="K47" i="2" a="1"/>
  <c r="K47" i="2" s="1"/>
  <c r="O47" i="2" a="1"/>
  <c r="O47" i="2" s="1"/>
  <c r="P47" i="2" a="1"/>
  <c r="P47" i="2" s="1"/>
  <c r="Q47" i="2" a="1"/>
  <c r="Q47" i="2" s="1"/>
  <c r="R47" i="2" a="1"/>
  <c r="R47" i="2" s="1"/>
  <c r="S47" i="2" a="1"/>
  <c r="S47" i="2" s="1"/>
  <c r="T47" i="2" a="1"/>
  <c r="T47" i="2" s="1"/>
  <c r="U47" i="2" a="1"/>
  <c r="U47" i="2" s="1"/>
  <c r="V47" i="2" a="1"/>
  <c r="V47" i="2" s="1"/>
  <c r="W47" i="2" a="1"/>
  <c r="W47" i="2" s="1"/>
  <c r="X47" i="2" a="1"/>
  <c r="X47" i="2" s="1"/>
  <c r="Y47" i="2" a="1"/>
  <c r="Y47" i="2" s="1"/>
  <c r="Z47" i="2" a="1"/>
  <c r="Z47" i="2" s="1"/>
  <c r="AA47" i="2" a="1"/>
  <c r="AA47" i="2" s="1"/>
  <c r="AB47" i="2" a="1"/>
  <c r="AB47" i="2" s="1"/>
  <c r="AC47" i="2" a="1"/>
  <c r="AC47" i="2" s="1"/>
  <c r="AD47" i="2" a="1"/>
  <c r="AD47" i="2" s="1"/>
  <c r="AE47" i="2" a="1"/>
  <c r="AE47" i="2" s="1"/>
  <c r="AF47" i="2" a="1"/>
  <c r="AF47" i="2" s="1"/>
  <c r="AG47" i="2" a="1"/>
  <c r="AG47" i="2" s="1"/>
  <c r="AH47" i="2" a="1"/>
  <c r="AH47" i="2" s="1"/>
  <c r="AI47" i="2" a="1"/>
  <c r="AI47" i="2" s="1"/>
  <c r="AJ47" i="2" a="1"/>
  <c r="AJ47" i="2" s="1"/>
  <c r="AK47" i="2" a="1"/>
  <c r="AK47" i="2" s="1"/>
  <c r="AL47" i="2" a="1"/>
  <c r="AL47" i="2" s="1"/>
  <c r="AM47" i="2" a="1"/>
  <c r="AM47" i="2" s="1"/>
  <c r="AN47" i="2" a="1"/>
  <c r="AN47" i="2" s="1"/>
  <c r="AO47" i="2" a="1"/>
  <c r="AO47" i="2" s="1"/>
  <c r="AP47" i="2" a="1"/>
  <c r="AP47" i="2" s="1"/>
  <c r="AQ47" i="2" a="1"/>
  <c r="AQ47" i="2" s="1"/>
  <c r="AR47" i="2" a="1"/>
  <c r="AR47" i="2" s="1"/>
  <c r="AS47" i="2" a="1"/>
  <c r="AS47" i="2" s="1"/>
  <c r="AT47" i="2" a="1"/>
  <c r="AT47" i="2" s="1"/>
  <c r="AU47" i="2" a="1"/>
  <c r="AU47" i="2" s="1"/>
  <c r="AV47" i="2" a="1"/>
  <c r="AV47" i="2" s="1"/>
  <c r="AW47" i="2" a="1"/>
  <c r="AW47" i="2" s="1"/>
  <c r="AX47" i="2" a="1"/>
  <c r="AX47" i="2" s="1"/>
  <c r="AY47" i="2" a="1"/>
  <c r="AY47" i="2" s="1"/>
  <c r="AZ47" i="2" a="1"/>
  <c r="AZ47" i="2" s="1"/>
  <c r="BA47" i="2" a="1"/>
  <c r="BA47" i="2" s="1"/>
  <c r="BB47" i="2" a="1"/>
  <c r="BB47" i="2" s="1"/>
  <c r="BC47" i="2" a="1"/>
  <c r="BC47" i="2" s="1"/>
  <c r="BD47" i="2" a="1"/>
  <c r="BD47" i="2" s="1"/>
  <c r="BE47" i="2" a="1"/>
  <c r="BE47" i="2" s="1"/>
  <c r="BF47" i="2" a="1"/>
  <c r="BF47" i="2" s="1"/>
  <c r="BG47" i="2" a="1"/>
  <c r="BG47" i="2" s="1"/>
  <c r="BI47" i="2" a="1"/>
  <c r="BI47" i="2" s="1"/>
  <c r="BJ47" i="2" a="1"/>
  <c r="BJ47" i="2" s="1"/>
  <c r="BK47" i="2" a="1"/>
  <c r="BK47" i="2" s="1"/>
  <c r="BL47" i="2" a="1"/>
  <c r="BL47" i="2" s="1"/>
  <c r="BM47" i="2" a="1"/>
  <c r="BM47" i="2" s="1"/>
  <c r="BN47" i="2" a="1"/>
  <c r="BN47" i="2" s="1"/>
  <c r="BO47" i="2" a="1"/>
  <c r="BO47" i="2" s="1"/>
  <c r="BP47" i="2" a="1"/>
  <c r="BP47" i="2" s="1"/>
  <c r="BQ47" i="2" a="1"/>
  <c r="BQ47" i="2" s="1"/>
  <c r="BR47" i="2" a="1"/>
  <c r="BR47" i="2" s="1"/>
  <c r="BS47" i="2" a="1"/>
  <c r="BS47" i="2" s="1"/>
  <c r="BT47" i="2" a="1"/>
  <c r="BT47" i="2" s="1"/>
  <c r="BU47" i="2" a="1"/>
  <c r="BU47" i="2" s="1"/>
  <c r="BV47" i="2" a="1"/>
  <c r="BV47" i="2" s="1"/>
  <c r="BW47" i="2" a="1"/>
  <c r="BW47" i="2" s="1"/>
  <c r="BX47" i="2" a="1"/>
  <c r="BX47" i="2" s="1"/>
  <c r="BY47" i="2" a="1"/>
  <c r="BY47" i="2" s="1"/>
  <c r="BZ47" i="2" a="1"/>
  <c r="BZ47" i="2" s="1"/>
  <c r="CA47" i="2" a="1"/>
  <c r="CA47" i="2" s="1"/>
  <c r="CB47" i="2" a="1"/>
  <c r="CB47" i="2" s="1"/>
  <c r="CC47" i="2" a="1"/>
  <c r="CC47" i="2" s="1"/>
  <c r="CD47" i="2" a="1"/>
  <c r="CD47" i="2" s="1"/>
  <c r="CE47" i="2" a="1"/>
  <c r="CE47" i="2" s="1"/>
  <c r="CF47" i="2" a="1"/>
  <c r="CF47" i="2" s="1"/>
  <c r="CG47" i="2" a="1"/>
  <c r="CG47" i="2" s="1"/>
  <c r="CH47" i="2" a="1"/>
  <c r="CH47" i="2" s="1"/>
  <c r="CI47" i="2" a="1"/>
  <c r="CI47" i="2" s="1"/>
  <c r="CJ47" i="2" a="1"/>
  <c r="CJ47" i="2" s="1"/>
  <c r="CK47" i="2" a="1"/>
  <c r="CK47" i="2" s="1"/>
  <c r="CL47" i="2" a="1"/>
  <c r="CL47" i="2" s="1"/>
  <c r="CM47" i="2" a="1"/>
  <c r="CM47" i="2" s="1"/>
  <c r="CN47" i="2" a="1"/>
  <c r="CN47" i="2" s="1"/>
  <c r="CO47" i="2" a="1"/>
  <c r="CO47" i="2" s="1"/>
  <c r="CP47" i="2" a="1"/>
  <c r="CP47" i="2" s="1"/>
  <c r="CQ47" i="2" a="1"/>
  <c r="CQ47" i="2" s="1"/>
  <c r="CR47" i="2" a="1"/>
  <c r="CR47" i="2" s="1"/>
  <c r="CS47" i="2" a="1"/>
  <c r="CS47" i="2" s="1"/>
  <c r="CT47" i="2" a="1"/>
  <c r="CT47" i="2" s="1"/>
  <c r="CU47" i="2" a="1"/>
  <c r="CU47" i="2" s="1"/>
  <c r="CV47" i="2" a="1"/>
  <c r="CV47" i="2" s="1"/>
  <c r="CW47" i="2" a="1"/>
  <c r="CW47" i="2" s="1"/>
  <c r="CX47" i="2" a="1"/>
  <c r="CX47" i="2" s="1"/>
  <c r="CY47" i="2" a="1"/>
  <c r="CY47" i="2" s="1"/>
  <c r="CZ47" i="2" a="1"/>
  <c r="CZ47" i="2" s="1"/>
  <c r="DA47" i="2" a="1"/>
  <c r="DA47" i="2" s="1"/>
  <c r="DB47" i="2" a="1"/>
  <c r="DB47" i="2" s="1"/>
  <c r="DC47" i="2" a="1"/>
  <c r="DC47" i="2" s="1"/>
  <c r="DD47" i="2" a="1"/>
  <c r="DD47" i="2" s="1"/>
  <c r="J32" i="2" a="1"/>
  <c r="J32" i="2" s="1"/>
  <c r="J33" i="2" a="1"/>
  <c r="J33" i="2" s="1"/>
  <c r="J34" i="2" a="1"/>
  <c r="J34" i="2" s="1"/>
  <c r="J36" i="2" a="1"/>
  <c r="J36" i="2" s="1"/>
  <c r="J38" i="2" a="1"/>
  <c r="J38" i="2" s="1"/>
  <c r="J39" i="2" a="1"/>
  <c r="J39" i="2" s="1"/>
  <c r="J40" i="2" a="1"/>
  <c r="J40" i="2" s="1"/>
  <c r="J41" i="2" a="1"/>
  <c r="J41" i="2" s="1"/>
  <c r="J42" i="2" a="1"/>
  <c r="J42" i="2" s="1"/>
  <c r="J43" i="2" a="1"/>
  <c r="J43" i="2" s="1"/>
  <c r="J44" i="2" a="1"/>
  <c r="J44" i="2" s="1"/>
  <c r="J45" i="2" a="1"/>
  <c r="J45" i="2" s="1"/>
  <c r="J47" i="2" a="1"/>
  <c r="J47" i="2" s="1"/>
  <c r="DE31" i="2"/>
  <c r="CW31" i="2"/>
  <c r="CX31" i="2"/>
  <c r="CY31" i="2"/>
  <c r="CZ31" i="2"/>
  <c r="DA31" i="2"/>
  <c r="DB31" i="2"/>
  <c r="DC31" i="2"/>
  <c r="DD31" i="2"/>
  <c r="CJ31" i="2"/>
  <c r="CK31" i="2"/>
  <c r="CL31" i="2"/>
  <c r="CM31" i="2"/>
  <c r="CN31" i="2"/>
  <c r="CO31" i="2"/>
  <c r="CP31" i="2"/>
  <c r="CQ31" i="2"/>
  <c r="CR31" i="2"/>
  <c r="CS31" i="2"/>
  <c r="CT31" i="2"/>
  <c r="CU31" i="2"/>
  <c r="CV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T31" i="2"/>
  <c r="AU31" i="2"/>
  <c r="AV31" i="2"/>
  <c r="AW31" i="2"/>
  <c r="AX31" i="2"/>
  <c r="AY31" i="2"/>
  <c r="AZ31" i="2"/>
  <c r="BA31" i="2"/>
  <c r="BB31" i="2"/>
  <c r="BC31" i="2"/>
  <c r="BD31" i="2"/>
  <c r="BE31" i="2"/>
  <c r="BF31" i="2"/>
  <c r="BG31" i="2"/>
  <c r="BH31" i="2"/>
  <c r="BI31" i="2"/>
  <c r="BJ31" i="2"/>
  <c r="BK31" i="2"/>
  <c r="BL31" i="2"/>
  <c r="BM31" i="2"/>
  <c r="BN31" i="2"/>
  <c r="BO31" i="2"/>
  <c r="BP31" i="2"/>
  <c r="BQ31" i="2"/>
  <c r="BR31" i="2"/>
  <c r="BS31" i="2"/>
  <c r="BT31" i="2"/>
  <c r="BU31" i="2"/>
  <c r="BV31" i="2"/>
  <c r="BW31" i="2"/>
  <c r="BX31" i="2"/>
  <c r="BY31" i="2"/>
  <c r="BZ31" i="2"/>
  <c r="CA31" i="2"/>
  <c r="CB31" i="2"/>
  <c r="CC31" i="2"/>
  <c r="CD31" i="2"/>
  <c r="CE31" i="2"/>
  <c r="CF31" i="2"/>
  <c r="CG31" i="2"/>
  <c r="CH31" i="2"/>
  <c r="CI31" i="2"/>
  <c r="O23" i="17"/>
  <c r="F32" i="23" l="1"/>
  <c r="DE46" i="2" a="1"/>
  <c r="DE46" i="2" s="1"/>
  <c r="DE47" i="2" a="1"/>
  <c r="DE47" i="2" s="1"/>
  <c r="BH46" i="2" a="1"/>
  <c r="BH46" i="2" s="1"/>
  <c r="BH47" i="2" a="1"/>
  <c r="BH47" i="2" s="1"/>
  <c r="N46" i="2" a="1"/>
  <c r="N46" i="2" s="1"/>
  <c r="N47" i="2" a="1"/>
  <c r="N47" i="2" s="1"/>
  <c r="M46" i="2" a="1"/>
  <c r="M46" i="2" s="1"/>
  <c r="M47" i="2" a="1"/>
  <c r="M47" i="2" s="1"/>
  <c r="L46" i="2" a="1"/>
  <c r="L46" i="2" s="1"/>
  <c r="L47" i="2" a="1"/>
  <c r="L47" i="2" s="1"/>
  <c r="DE35" i="2" a="1"/>
  <c r="DE35" i="2" s="1"/>
  <c r="DE39" i="2" a="1"/>
  <c r="DE39" i="2" s="1"/>
  <c r="DE43" i="2" a="1"/>
  <c r="DE43" i="2" s="1"/>
  <c r="DE44" i="2" a="1"/>
  <c r="DE44" i="2" s="1"/>
  <c r="DE38" i="2" a="1"/>
  <c r="DE38" i="2" s="1"/>
  <c r="DE36" i="2" a="1"/>
  <c r="DE36" i="2" s="1"/>
  <c r="DE40" i="2" a="1"/>
  <c r="DE40" i="2" s="1"/>
  <c r="DE45" i="2" a="1"/>
  <c r="DE45" i="2" s="1"/>
  <c r="DE42" i="2" a="1"/>
  <c r="DE42" i="2" s="1"/>
  <c r="DE37" i="2" a="1"/>
  <c r="DE37" i="2" s="1"/>
  <c r="DE41" i="2" a="1"/>
  <c r="DE41" i="2" s="1"/>
  <c r="N43" i="2" a="1"/>
  <c r="N43" i="2" s="1"/>
  <c r="N35" i="2" a="1"/>
  <c r="N35" i="2" s="1"/>
  <c r="N39" i="2" a="1"/>
  <c r="N39" i="2" s="1"/>
  <c r="N44" i="2" a="1"/>
  <c r="N44" i="2" s="1"/>
  <c r="N36" i="2" a="1"/>
  <c r="N36" i="2" s="1"/>
  <c r="N40" i="2" a="1"/>
  <c r="N40" i="2" s="1"/>
  <c r="N45" i="2" a="1"/>
  <c r="N45" i="2" s="1"/>
  <c r="N37" i="2" a="1"/>
  <c r="N37" i="2" s="1"/>
  <c r="N41" i="2" a="1"/>
  <c r="N41" i="2" s="1"/>
  <c r="N38" i="2" a="1"/>
  <c r="N38" i="2" s="1"/>
  <c r="N42" i="2" a="1"/>
  <c r="N42" i="2" s="1"/>
  <c r="M43" i="2" a="1"/>
  <c r="M43" i="2" s="1"/>
  <c r="M35" i="2" a="1"/>
  <c r="M35" i="2" s="1"/>
  <c r="M39" i="2" a="1"/>
  <c r="M39" i="2" s="1"/>
  <c r="M44" i="2" a="1"/>
  <c r="M44" i="2" s="1"/>
  <c r="M38" i="2" a="1"/>
  <c r="M38" i="2" s="1"/>
  <c r="M36" i="2" a="1"/>
  <c r="M36" i="2" s="1"/>
  <c r="M40" i="2" a="1"/>
  <c r="M40" i="2" s="1"/>
  <c r="M45" i="2" a="1"/>
  <c r="M45" i="2" s="1"/>
  <c r="M42" i="2" a="1"/>
  <c r="M42" i="2" s="1"/>
  <c r="M37" i="2" a="1"/>
  <c r="M37" i="2" s="1"/>
  <c r="M41" i="2" a="1"/>
  <c r="M41" i="2" s="1"/>
  <c r="L44" i="2" a="1"/>
  <c r="L44" i="2" s="1"/>
  <c r="L36" i="2" a="1"/>
  <c r="L36" i="2" s="1"/>
  <c r="L40" i="2" a="1"/>
  <c r="L40" i="2" s="1"/>
  <c r="L45" i="2" a="1"/>
  <c r="L45" i="2" s="1"/>
  <c r="L37" i="2" a="1"/>
  <c r="L37" i="2" s="1"/>
  <c r="L41" i="2" a="1"/>
  <c r="L41" i="2" s="1"/>
  <c r="L39" i="2" a="1"/>
  <c r="L39" i="2" s="1"/>
  <c r="L43" i="2" a="1"/>
  <c r="L43" i="2" s="1"/>
  <c r="L38" i="2" a="1"/>
  <c r="L38" i="2" s="1"/>
  <c r="L42" i="2" a="1"/>
  <c r="L42" i="2" s="1"/>
  <c r="L35" i="2" a="1"/>
  <c r="L35" i="2" s="1"/>
  <c r="K44" i="2" a="1"/>
  <c r="K44" i="2" s="1"/>
  <c r="K36" i="2" a="1"/>
  <c r="K36" i="2" s="1"/>
  <c r="K40" i="2" a="1"/>
  <c r="K40" i="2" s="1"/>
  <c r="K45" i="2" a="1"/>
  <c r="K45" i="2" s="1"/>
  <c r="K37" i="2" a="1"/>
  <c r="K37" i="2" s="1"/>
  <c r="K41" i="2" a="1"/>
  <c r="K41" i="2" s="1"/>
  <c r="K38" i="2" a="1"/>
  <c r="K38" i="2" s="1"/>
  <c r="K42" i="2" a="1"/>
  <c r="K42" i="2" s="1"/>
  <c r="K35" i="2" a="1"/>
  <c r="K35" i="2" s="1"/>
  <c r="K39" i="2" a="1"/>
  <c r="K39" i="2" s="1"/>
  <c r="K43" i="2" a="1"/>
  <c r="K43" i="2" s="1"/>
  <c r="BH44" i="2" a="1"/>
  <c r="BH44" i="2" s="1"/>
  <c r="BH36" i="2" a="1"/>
  <c r="BH36" i="2" s="1"/>
  <c r="BH40" i="2" a="1"/>
  <c r="BH40" i="2" s="1"/>
  <c r="BH39" i="2" a="1"/>
  <c r="BH39" i="2" s="1"/>
  <c r="BH45" i="2" a="1"/>
  <c r="BH45" i="2" s="1"/>
  <c r="BH37" i="2" a="1"/>
  <c r="BH37" i="2" s="1"/>
  <c r="BH41" i="2" a="1"/>
  <c r="BH41" i="2" s="1"/>
  <c r="BH38" i="2" a="1"/>
  <c r="BH38" i="2" s="1"/>
  <c r="BH42" i="2" a="1"/>
  <c r="BH42" i="2" s="1"/>
  <c r="BH43" i="2" a="1"/>
  <c r="BH43" i="2" s="1"/>
  <c r="BH35" i="2" a="1"/>
  <c r="BH35" i="2" s="1"/>
  <c r="O3" i="10" a="1"/>
  <c r="O3" i="10" s="1"/>
  <c r="N23" i="17"/>
  <c r="P23" i="17" s="1"/>
  <c r="Q13" i="17"/>
  <c r="O13" i="17"/>
  <c r="N13" i="17"/>
  <c r="D3" i="10" a="1"/>
  <c r="D3" i="10" s="1"/>
  <c r="F34" i="23" l="1"/>
  <c r="G3" i="10" a="1"/>
  <c r="G3" i="10" s="1"/>
  <c r="K3" i="10" a="1"/>
  <c r="K3" i="10" s="1"/>
  <c r="F3" i="10" a="1"/>
  <c r="F3" i="10" s="1"/>
  <c r="L3" i="10" a="1"/>
  <c r="L3" i="10" s="1"/>
  <c r="F86" i="23"/>
  <c r="R10" i="17"/>
  <c r="R13" i="17" s="1"/>
  <c r="P10" i="17"/>
  <c r="P13" i="17" s="1"/>
  <c r="I34" i="23" l="1"/>
  <c r="I86" i="23"/>
  <c r="F35" i="23"/>
  <c r="I35" i="23" s="1"/>
  <c r="F40" i="23"/>
  <c r="I45" i="23" l="1"/>
  <c r="F42" i="23"/>
  <c r="I42" i="23" s="1"/>
  <c r="I40" i="23"/>
  <c r="F90" i="23"/>
  <c r="B3" i="10" a="1"/>
  <c r="B3" i="10" s="1"/>
  <c r="F95" i="23" l="1"/>
  <c r="F111" i="23"/>
  <c r="M3" i="10" a="1"/>
  <c r="M3" i="10" s="1"/>
  <c r="F96" i="23"/>
  <c r="I95" i="23"/>
  <c r="I90" i="23"/>
  <c r="V48" i="2" a="1"/>
  <c r="V48" i="2" s="1"/>
  <c r="AF48" i="2" a="1"/>
  <c r="AF48" i="2" s="1"/>
  <c r="AP48" i="2" a="1"/>
  <c r="AP48" i="2" s="1"/>
  <c r="BA48" i="2" a="1"/>
  <c r="BA48" i="2" s="1"/>
  <c r="BK48" i="2" a="1"/>
  <c r="BK48" i="2" s="1"/>
  <c r="BU48" i="2" a="1"/>
  <c r="BU48" i="2" s="1"/>
  <c r="CP48" i="2" a="1"/>
  <c r="CP48" i="2" s="1"/>
  <c r="CZ48" i="2" a="1"/>
  <c r="CZ48" i="2" s="1"/>
  <c r="CA48" i="2" a="1"/>
  <c r="CA48" i="2" s="1"/>
  <c r="L48" i="2" a="1"/>
  <c r="L48" i="2" s="1"/>
  <c r="W48" i="2" a="1"/>
  <c r="W48" i="2" s="1"/>
  <c r="AG48" i="2" a="1"/>
  <c r="AG48" i="2" s="1"/>
  <c r="AQ48" i="2" a="1"/>
  <c r="AQ48" i="2" s="1"/>
  <c r="BL48" i="2" a="1"/>
  <c r="BL48" i="2" s="1"/>
  <c r="BV48" i="2" a="1"/>
  <c r="BV48" i="2" s="1"/>
  <c r="CF48" i="2" a="1"/>
  <c r="CF48" i="2" s="1"/>
  <c r="CQ48" i="2" a="1"/>
  <c r="CQ48" i="2" s="1"/>
  <c r="DA48" i="2" a="1"/>
  <c r="DA48" i="2" s="1"/>
  <c r="M48" i="2" a="1"/>
  <c r="M48" i="2" s="1"/>
  <c r="AH48" i="2" a="1"/>
  <c r="AH48" i="2" s="1"/>
  <c r="AR48" i="2" a="1"/>
  <c r="AR48" i="2" s="1"/>
  <c r="BB48" i="2" a="1"/>
  <c r="BB48" i="2" s="1"/>
  <c r="BM48" i="2" a="1"/>
  <c r="BM48" i="2" s="1"/>
  <c r="BW48" i="2" a="1"/>
  <c r="BW48" i="2" s="1"/>
  <c r="CG48" i="2" a="1"/>
  <c r="CG48" i="2" s="1"/>
  <c r="DB48" i="2" a="1"/>
  <c r="DB48" i="2" s="1"/>
  <c r="N48" i="2" a="1"/>
  <c r="N48" i="2" s="1"/>
  <c r="X48" i="2" a="1"/>
  <c r="X48" i="2" s="1"/>
  <c r="AI48" i="2" a="1"/>
  <c r="AI48" i="2" s="1"/>
  <c r="AS48" i="2" a="1"/>
  <c r="AS48" i="2" s="1"/>
  <c r="BC48" i="2" a="1"/>
  <c r="BC48" i="2" s="1"/>
  <c r="BX48" i="2" a="1"/>
  <c r="BX48" i="2" s="1"/>
  <c r="CH48" i="2" a="1"/>
  <c r="CH48" i="2" s="1"/>
  <c r="CR48" i="2" a="1"/>
  <c r="CR48" i="2" s="1"/>
  <c r="DC48" i="2" a="1"/>
  <c r="DC48" i="2" s="1"/>
  <c r="O48" i="2" a="1"/>
  <c r="O48" i="2" s="1"/>
  <c r="Y48" i="2" a="1"/>
  <c r="Y48" i="2" s="1"/>
  <c r="AT48" i="2" a="1"/>
  <c r="AT48" i="2" s="1"/>
  <c r="BD48" i="2" a="1"/>
  <c r="BD48" i="2" s="1"/>
  <c r="BN48" i="2" a="1"/>
  <c r="BN48" i="2" s="1"/>
  <c r="BY48" i="2" a="1"/>
  <c r="BY48" i="2" s="1"/>
  <c r="CI48" i="2" a="1"/>
  <c r="CI48" i="2" s="1"/>
  <c r="CS48" i="2" a="1"/>
  <c r="CS48" i="2" s="1"/>
  <c r="AL48" i="2" a="1"/>
  <c r="AL48" i="2" s="1"/>
  <c r="P48" i="2" a="1"/>
  <c r="P48" i="2" s="1"/>
  <c r="Z48" i="2" a="1"/>
  <c r="Z48" i="2" s="1"/>
  <c r="AJ48" i="2" a="1"/>
  <c r="AJ48" i="2" s="1"/>
  <c r="AU48" i="2" a="1"/>
  <c r="AU48" i="2" s="1"/>
  <c r="BE48" i="2" a="1"/>
  <c r="BE48" i="2" s="1"/>
  <c r="BO48" i="2" a="1"/>
  <c r="BO48" i="2" s="1"/>
  <c r="CJ48" i="2" a="1"/>
  <c r="CJ48" i="2" s="1"/>
  <c r="CT48" i="2" a="1"/>
  <c r="CT48" i="2" s="1"/>
  <c r="DD48" i="2" a="1"/>
  <c r="DD48" i="2" s="1"/>
  <c r="BQ48" i="2" a="1"/>
  <c r="BQ48" i="2" s="1"/>
  <c r="Q48" i="2" a="1"/>
  <c r="Q48" i="2" s="1"/>
  <c r="AA48" i="2" a="1"/>
  <c r="AA48" i="2" s="1"/>
  <c r="AK48" i="2" a="1"/>
  <c r="AK48" i="2" s="1"/>
  <c r="BF48" i="2" a="1"/>
  <c r="BF48" i="2" s="1"/>
  <c r="BP48" i="2" a="1"/>
  <c r="BP48" i="2" s="1"/>
  <c r="BZ48" i="2" a="1"/>
  <c r="BZ48" i="2" s="1"/>
  <c r="CK48" i="2" a="1"/>
  <c r="CK48" i="2" s="1"/>
  <c r="CU48" i="2" a="1"/>
  <c r="CU48" i="2" s="1"/>
  <c r="DE48" i="2" a="1"/>
  <c r="DE48" i="2" s="1"/>
  <c r="AB48" i="2" a="1"/>
  <c r="AB48" i="2" s="1"/>
  <c r="CV48" i="2" a="1"/>
  <c r="CV48" i="2" s="1"/>
  <c r="R48" i="2" a="1"/>
  <c r="R48" i="2" s="1"/>
  <c r="AC48" i="2" a="1"/>
  <c r="AC48" i="2" s="1"/>
  <c r="AM48" i="2" a="1"/>
  <c r="AM48" i="2" s="1"/>
  <c r="AW48" i="2" a="1"/>
  <c r="AW48" i="2" s="1"/>
  <c r="BR48" i="2" a="1"/>
  <c r="BR48" i="2" s="1"/>
  <c r="CB48" i="2" a="1"/>
  <c r="CB48" i="2" s="1"/>
  <c r="CL48" i="2" a="1"/>
  <c r="CL48" i="2" s="1"/>
  <c r="CW48" i="2" a="1"/>
  <c r="CW48" i="2" s="1"/>
  <c r="S48" i="2" a="1"/>
  <c r="S48" i="2" s="1"/>
  <c r="AN48" i="2" a="1"/>
  <c r="AN48" i="2" s="1"/>
  <c r="AX48" i="2" a="1"/>
  <c r="AX48" i="2" s="1"/>
  <c r="BH48" i="2" a="1"/>
  <c r="BH48" i="2" s="1"/>
  <c r="BS48" i="2" a="1"/>
  <c r="BS48" i="2" s="1"/>
  <c r="CC48" i="2" a="1"/>
  <c r="CC48" i="2" s="1"/>
  <c r="CM48" i="2" a="1"/>
  <c r="CM48" i="2" s="1"/>
  <c r="AE48" i="2" a="1"/>
  <c r="AE48" i="2" s="1"/>
  <c r="BJ48" i="2" a="1"/>
  <c r="BJ48" i="2" s="1"/>
  <c r="CO48" i="2" a="1"/>
  <c r="CO48" i="2" s="1"/>
  <c r="T48" i="2" a="1"/>
  <c r="T48" i="2" s="1"/>
  <c r="AD48" i="2" a="1"/>
  <c r="AD48" i="2" s="1"/>
  <c r="AO48" i="2" a="1"/>
  <c r="AO48" i="2" s="1"/>
  <c r="AY48" i="2" a="1"/>
  <c r="AY48" i="2" s="1"/>
  <c r="BI48" i="2" a="1"/>
  <c r="BI48" i="2" s="1"/>
  <c r="CD48" i="2" a="1"/>
  <c r="CD48" i="2" s="1"/>
  <c r="CN48" i="2" a="1"/>
  <c r="CN48" i="2" s="1"/>
  <c r="CX48" i="2" a="1"/>
  <c r="CX48" i="2" s="1"/>
  <c r="J48" i="2" a="1"/>
  <c r="J48" i="2" s="1"/>
  <c r="U48" i="2" a="1"/>
  <c r="U48" i="2" s="1"/>
  <c r="AZ48" i="2" a="1"/>
  <c r="AZ48" i="2" s="1"/>
  <c r="CE48" i="2" a="1"/>
  <c r="CE48" i="2" s="1"/>
  <c r="CY48" i="2" a="1"/>
  <c r="CY48" i="2" s="1"/>
  <c r="BG48" i="2" a="1"/>
  <c r="BG48" i="2" s="1"/>
  <c r="K48" i="2" a="1"/>
  <c r="K48" i="2" s="1"/>
  <c r="BT48" i="2" a="1"/>
  <c r="BT48" i="2" s="1"/>
  <c r="AV48" i="2" a="1"/>
  <c r="AV48" i="2" s="1"/>
  <c r="I96" i="23" l="1"/>
  <c r="I111" i="23"/>
  <c r="G40" i="8"/>
  <c r="G39" i="8"/>
  <c r="G38" i="8"/>
  <c r="G37" i="8"/>
  <c r="W74" i="8"/>
  <c r="W75" i="8"/>
  <c r="W76" i="8"/>
  <c r="W77" i="8"/>
  <c r="W78" i="8"/>
  <c r="W79" i="8"/>
  <c r="W80" i="8"/>
  <c r="W81" i="8"/>
  <c r="W82" i="8"/>
  <c r="W83" i="8"/>
  <c r="W73" i="8"/>
  <c r="G74" i="8"/>
  <c r="G75" i="8"/>
  <c r="G76" i="8"/>
  <c r="G77" i="8"/>
  <c r="G78" i="8"/>
  <c r="G79" i="8"/>
  <c r="G80" i="8"/>
  <c r="G81" i="8"/>
  <c r="G82" i="8"/>
  <c r="G83" i="8"/>
  <c r="G73" i="8"/>
  <c r="W101" i="8"/>
  <c r="W92" i="8"/>
  <c r="W93" i="8"/>
  <c r="W94" i="8"/>
  <c r="W95" i="8"/>
  <c r="W96" i="8"/>
  <c r="W97" i="8"/>
  <c r="W98" i="8"/>
  <c r="W99" i="8"/>
  <c r="W100" i="8"/>
  <c r="W91" i="8"/>
  <c r="X83" i="8" l="1"/>
  <c r="H83" i="8"/>
  <c r="H82" i="8"/>
  <c r="G20" i="8"/>
  <c r="G21" i="8"/>
  <c r="G22" i="8"/>
  <c r="G23" i="8"/>
  <c r="G24" i="8"/>
  <c r="G25" i="8"/>
  <c r="G26" i="8"/>
  <c r="G27" i="8"/>
  <c r="G28" i="8"/>
  <c r="G29" i="8"/>
  <c r="H29" i="8" s="1"/>
  <c r="G19" i="8"/>
  <c r="W20" i="8"/>
  <c r="W21" i="8"/>
  <c r="W22" i="8"/>
  <c r="W23" i="8"/>
  <c r="W24" i="8"/>
  <c r="W25" i="8"/>
  <c r="W26" i="8"/>
  <c r="W27" i="8"/>
  <c r="W28" i="8"/>
  <c r="W38" i="8"/>
  <c r="W39" i="8"/>
  <c r="W40" i="8"/>
  <c r="W41" i="8"/>
  <c r="W42" i="8"/>
  <c r="W43" i="8"/>
  <c r="W44" i="8"/>
  <c r="W46" i="8"/>
  <c r="W47" i="8"/>
  <c r="X47" i="8" s="1"/>
  <c r="W37" i="8"/>
  <c r="G41" i="8"/>
  <c r="G42" i="8"/>
  <c r="G43" i="8"/>
  <c r="G44" i="8"/>
  <c r="G45" i="8"/>
  <c r="G47" i="8"/>
  <c r="H47" i="8" s="1"/>
  <c r="G56" i="8"/>
  <c r="G57" i="8"/>
  <c r="G58" i="8"/>
  <c r="G59" i="8"/>
  <c r="G60" i="8"/>
  <c r="G61" i="8"/>
  <c r="G62" i="8"/>
  <c r="G63" i="8"/>
  <c r="G64" i="8"/>
  <c r="G65" i="8"/>
  <c r="H65" i="8" s="1"/>
  <c r="G55" i="8"/>
  <c r="W56" i="8"/>
  <c r="W57" i="8"/>
  <c r="W58" i="8"/>
  <c r="W59" i="8"/>
  <c r="W60" i="8"/>
  <c r="W61" i="8"/>
  <c r="W62" i="8"/>
  <c r="W63" i="8"/>
  <c r="W64" i="8"/>
  <c r="W65" i="8"/>
  <c r="X65" i="8" s="1"/>
  <c r="W55" i="8"/>
  <c r="X100" i="8"/>
  <c r="G92" i="8"/>
  <c r="G93" i="8"/>
  <c r="G94" i="8"/>
  <c r="G95" i="8"/>
  <c r="G96" i="8"/>
  <c r="G97" i="8"/>
  <c r="G98" i="8"/>
  <c r="G99" i="8"/>
  <c r="G100" i="8"/>
  <c r="G101" i="8"/>
  <c r="H101" i="8" s="1"/>
  <c r="G91" i="8"/>
  <c r="W128" i="8"/>
  <c r="W129" i="8"/>
  <c r="W130" i="8"/>
  <c r="W131" i="8"/>
  <c r="W132" i="8"/>
  <c r="W133" i="8"/>
  <c r="W134" i="8"/>
  <c r="W135" i="8"/>
  <c r="W136" i="8"/>
  <c r="W137" i="8"/>
  <c r="X137" i="8" s="1"/>
  <c r="W127" i="8"/>
  <c r="G128" i="8"/>
  <c r="G134" i="8"/>
  <c r="G135" i="8"/>
  <c r="G136" i="8"/>
  <c r="H137" i="8"/>
  <c r="G127" i="8"/>
  <c r="W149" i="8"/>
  <c r="W146" i="8"/>
  <c r="W147" i="8"/>
  <c r="W148" i="8"/>
  <c r="W150" i="8"/>
  <c r="W151" i="8"/>
  <c r="W152" i="8"/>
  <c r="W153" i="8"/>
  <c r="W154" i="8"/>
  <c r="W155" i="8"/>
  <c r="X155" i="8" s="1"/>
  <c r="W145" i="8"/>
  <c r="G146" i="8"/>
  <c r="G147" i="8"/>
  <c r="G148" i="8"/>
  <c r="G149" i="8"/>
  <c r="G151" i="8"/>
  <c r="G152" i="8"/>
  <c r="G153" i="8"/>
  <c r="G154" i="8"/>
  <c r="H155" i="8"/>
  <c r="G145" i="8"/>
  <c r="X101" i="8"/>
  <c r="X46" i="8" l="1"/>
  <c r="X28" i="8"/>
  <c r="H136" i="8"/>
  <c r="X136" i="8"/>
  <c r="X64" i="8"/>
  <c r="H23" i="8"/>
  <c r="H59" i="8"/>
  <c r="H154" i="8"/>
  <c r="H131" i="8"/>
  <c r="H100" i="8"/>
  <c r="H64" i="8"/>
  <c r="H28" i="8"/>
  <c r="X154" i="8"/>
  <c r="H46" i="8"/>
  <c r="X82" i="8"/>
  <c r="X77" i="8"/>
  <c r="H77" i="8"/>
  <c r="X23" i="8"/>
  <c r="X31" i="8" s="1"/>
  <c r="G5" i="8" s="1"/>
  <c r="X41" i="8"/>
  <c r="H41" i="8"/>
  <c r="H49" i="8" s="1"/>
  <c r="F6" i="8" s="1"/>
  <c r="X59" i="8"/>
  <c r="X95" i="8"/>
  <c r="G10" i="8" s="1"/>
  <c r="X131" i="8"/>
  <c r="X149" i="8"/>
  <c r="H149" i="8"/>
  <c r="D10" i="8" l="1"/>
  <c r="F7" i="8"/>
  <c r="C8" i="8"/>
  <c r="F8" i="8"/>
  <c r="H31" i="8"/>
  <c r="F5" i="8" s="1"/>
  <c r="D8" i="8"/>
  <c r="C7" i="8"/>
  <c r="X139" i="8"/>
  <c r="G11" i="8" s="1"/>
  <c r="X49" i="8"/>
  <c r="G6" i="8" s="1"/>
  <c r="G7" i="8"/>
  <c r="X157" i="8"/>
  <c r="G12" i="8" s="1"/>
  <c r="C6" i="8"/>
  <c r="H157" i="8"/>
  <c r="D12" i="8" s="1"/>
  <c r="F37" i="23" l="1"/>
  <c r="F11" i="8"/>
  <c r="D11" i="8"/>
  <c r="F10" i="8"/>
  <c r="C11" i="8"/>
  <c r="J37" i="19" s="1" a="1"/>
  <c r="J37" i="19" s="1"/>
  <c r="C12" i="8"/>
  <c r="G37" i="19" s="1" a="1"/>
  <c r="G37" i="19" s="1"/>
  <c r="F12" i="8"/>
  <c r="C10" i="8"/>
  <c r="C5" i="8"/>
  <c r="G8" i="8"/>
  <c r="D6" i="8"/>
  <c r="D7" i="8"/>
  <c r="F38" i="23" l="1"/>
  <c r="I46" i="23" s="1"/>
  <c r="F46" i="23"/>
  <c r="H38" i="19"/>
  <c r="H46" i="19" s="1"/>
  <c r="D5" i="8"/>
  <c r="J38" i="19" s="1"/>
  <c r="J46" i="19" s="1"/>
  <c r="G38" i="19"/>
  <c r="G46" i="19" s="1"/>
  <c r="J31" i="2"/>
  <c r="I38" i="23" l="1"/>
  <c r="F56" i="23"/>
  <c r="F60" i="23"/>
  <c r="I60" i="23" s="1"/>
  <c r="J59" i="19"/>
  <c r="J56" i="19"/>
  <c r="G59" i="19"/>
  <c r="G56" i="19"/>
  <c r="H56" i="19"/>
  <c r="H59" i="19"/>
  <c r="I38" i="19"/>
  <c r="I46" i="19" s="1"/>
  <c r="C3" i="10" a="1"/>
  <c r="I56" i="23" l="1"/>
  <c r="J61" i="19"/>
  <c r="H61" i="19"/>
  <c r="G61" i="19"/>
  <c r="I56" i="19"/>
  <c r="I59" i="19"/>
  <c r="E3" i="10" a="1"/>
  <c r="E3" i="10" s="1"/>
  <c r="C3" i="10"/>
  <c r="F62" i="23" l="1"/>
  <c r="I62" i="23" s="1"/>
  <c r="I61" i="19"/>
  <c r="C9" i="3"/>
  <c r="D13" i="3" l="1"/>
  <c r="I3" i="10" l="1" a="1"/>
  <c r="I3" i="10" s="1"/>
  <c r="F50" i="19" l="1"/>
  <c r="F53" i="19" s="1"/>
  <c r="F63" i="19" s="1"/>
  <c r="F64" i="19" s="1"/>
  <c r="F66" i="19" s="1"/>
  <c r="F68" i="19" s="1"/>
  <c r="F69" i="19" s="1"/>
  <c r="F73" i="19" s="1"/>
  <c r="F75" i="19" s="1"/>
  <c r="G50" i="19"/>
  <c r="G53" i="19" s="1"/>
  <c r="G63" i="19" s="1"/>
  <c r="G64" i="19" s="1"/>
  <c r="G66" i="19" s="1"/>
  <c r="G68" i="19" s="1"/>
  <c r="G69" i="19" s="1"/>
  <c r="G73" i="19" s="1"/>
  <c r="G75" i="19" s="1"/>
  <c r="G77" i="19" s="1"/>
  <c r="G96" i="19" s="1"/>
  <c r="G98" i="19" s="1"/>
  <c r="G99" i="19" s="1"/>
  <c r="D50" i="6"/>
  <c r="D50" i="23" s="1"/>
  <c r="D50" i="19"/>
  <c r="I50" i="19"/>
  <c r="I53" i="19" s="1"/>
  <c r="I63" i="19" s="1"/>
  <c r="I64" i="19" s="1"/>
  <c r="I66" i="19" s="1"/>
  <c r="I68" i="19" s="1"/>
  <c r="I69" i="19" s="1"/>
  <c r="J50" i="19"/>
  <c r="J53" i="19" s="1"/>
  <c r="J63" i="19" s="1"/>
  <c r="J64" i="19" s="1"/>
  <c r="J66" i="19" s="1"/>
  <c r="J68" i="19" s="1"/>
  <c r="J69" i="19" s="1"/>
  <c r="J73" i="19" s="1"/>
  <c r="J75" i="19" s="1"/>
  <c r="J77" i="19" s="1"/>
  <c r="J96" i="19" s="1"/>
  <c r="J98" i="19" s="1"/>
  <c r="J99" i="19" s="1"/>
  <c r="H50" i="19"/>
  <c r="H53" i="19" s="1"/>
  <c r="H63" i="19" s="1"/>
  <c r="H64" i="19" s="1"/>
  <c r="H66" i="19" s="1"/>
  <c r="H68" i="19" s="1"/>
  <c r="H69" i="19" s="1"/>
  <c r="H73" i="19" s="1"/>
  <c r="H75" i="19" s="1"/>
  <c r="H77" i="19" s="1"/>
  <c r="H96" i="19" s="1"/>
  <c r="H98" i="19" s="1"/>
  <c r="F105" i="19" s="1"/>
  <c r="F50" i="23"/>
  <c r="F77" i="19" l="1"/>
  <c r="F96" i="19" s="1"/>
  <c r="F98" i="19" s="1"/>
  <c r="F104" i="19" s="1"/>
  <c r="D113" i="6" s="1"/>
  <c r="D113" i="23" s="1"/>
  <c r="I113" i="23" s="1"/>
  <c r="I73" i="19"/>
  <c r="H99" i="19"/>
  <c r="F107" i="19"/>
  <c r="F53" i="23"/>
  <c r="H3" i="10" a="1"/>
  <c r="H3" i="10" s="1"/>
  <c r="F99" i="19" l="1"/>
  <c r="I75" i="19"/>
  <c r="I77" i="19" s="1"/>
  <c r="I96" i="19" s="1"/>
  <c r="I98" i="19" s="1"/>
  <c r="F64" i="23"/>
  <c r="J3" i="10" a="1"/>
  <c r="J3" i="10" s="1"/>
  <c r="I99" i="19" l="1"/>
  <c r="F106" i="19"/>
  <c r="I64" i="23"/>
  <c r="F65" i="23"/>
  <c r="I67" i="23" s="1"/>
  <c r="F67" i="23" l="1"/>
  <c r="I65" i="23"/>
  <c r="F69" i="23" l="1"/>
  <c r="I69" i="23" s="1"/>
  <c r="I70" i="23" l="1"/>
  <c r="D115" i="6" a="1"/>
  <c r="D115" i="6" s="1"/>
  <c r="F74" i="23"/>
  <c r="F70" i="23"/>
  <c r="I74" i="23" l="1"/>
  <c r="D115" i="23"/>
  <c r="F115" i="23"/>
  <c r="I115" i="23" s="1"/>
  <c r="F76" i="23" l="1"/>
  <c r="I79" i="23" s="1"/>
  <c r="I76" i="23" l="1"/>
  <c r="N3" i="10" a="1"/>
  <c r="N3" i="10" s="1"/>
  <c r="F98" i="23"/>
  <c r="I117" i="23" s="1"/>
  <c r="F79" i="23"/>
  <c r="P3" i="10" a="1"/>
  <c r="P3" i="10" s="1"/>
  <c r="I98" i="23" l="1"/>
  <c r="F117" i="23"/>
  <c r="F118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tc={C2C8AFC9-FEA9-4792-A285-D3DB2C5ABBE8}</author>
    <author>Harm Eskes</author>
  </authors>
  <commentList>
    <comment ref="H6" authorId="0" shapeId="0" xr:uid="{C2C8AFC9-FEA9-4792-A285-D3DB2C5ABBE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+ 0,1% voor IKB, dus 8,96% wordt 9,06%</t>
      </text>
    </comment>
    <comment ref="I6" authorId="1" shapeId="0" xr:uid="{DAB356D0-AA6F-42F7-9770-B24D9C8A6263}">
      <text>
        <r>
          <rPr>
            <b/>
            <sz val="9"/>
            <color indexed="81"/>
            <rFont val="Tahoma"/>
            <family val="2"/>
          </rPr>
          <t>Harm Eskes:</t>
        </r>
        <r>
          <rPr>
            <sz val="9"/>
            <color indexed="81"/>
            <rFont val="Tahoma"/>
            <family val="2"/>
          </rPr>
          <t xml:space="preserve">
RIBW-instellingen (BW) = 11,8%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<sst xmlns="http://schemas.openxmlformats.org/spreadsheetml/2006/main" count="1538" uniqueCount="399">
  <si>
    <t>0-4 km</t>
  </si>
  <si>
    <t>5-9 km</t>
  </si>
  <si>
    <t>10-19 km</t>
  </si>
  <si>
    <t>20-29 km</t>
  </si>
  <si>
    <t>30-39 km</t>
  </si>
  <si>
    <t>&gt; 40 km</t>
  </si>
  <si>
    <t>Eigen vervoer aanbieder</t>
  </si>
  <si>
    <t>Volwassenen; gewoon</t>
  </si>
  <si>
    <t>Volwassenen; rolstoel</t>
  </si>
  <si>
    <t>Individueel vervoer</t>
  </si>
  <si>
    <t>VVT</t>
  </si>
  <si>
    <t>GGZ</t>
  </si>
  <si>
    <t>GHZ</t>
  </si>
  <si>
    <t>SW</t>
  </si>
  <si>
    <t>Jeugd</t>
  </si>
  <si>
    <t>mix heel 2024</t>
  </si>
  <si>
    <t>mix 2024</t>
  </si>
  <si>
    <t>FWG15</t>
  </si>
  <si>
    <t>MBO 2</t>
  </si>
  <si>
    <t>FWG20</t>
  </si>
  <si>
    <t>schaal 3</t>
  </si>
  <si>
    <t>FWG25</t>
  </si>
  <si>
    <t>MBO 3</t>
  </si>
  <si>
    <t>schaal 4</t>
  </si>
  <si>
    <t>FWG30</t>
  </si>
  <si>
    <t>schaal 5</t>
  </si>
  <si>
    <t>FWG35</t>
  </si>
  <si>
    <t>MBO 4</t>
  </si>
  <si>
    <t>schaal 6</t>
  </si>
  <si>
    <t>FWG40</t>
  </si>
  <si>
    <t>schaal 7</t>
  </si>
  <si>
    <t>FWG45</t>
  </si>
  <si>
    <t>HBO</t>
  </si>
  <si>
    <t>schaal 8</t>
  </si>
  <si>
    <t>FWG50</t>
  </si>
  <si>
    <t>schaal 9</t>
  </si>
  <si>
    <t>FWG55</t>
  </si>
  <si>
    <t>HBO+</t>
  </si>
  <si>
    <t>schaal 10</t>
  </si>
  <si>
    <t>FWG60</t>
  </si>
  <si>
    <t>WO</t>
  </si>
  <si>
    <t>schaal 11</t>
  </si>
  <si>
    <t>schaal 12</t>
  </si>
  <si>
    <t>FWG65</t>
  </si>
  <si>
    <t>HbH</t>
  </si>
  <si>
    <t>Check</t>
  </si>
  <si>
    <t>EJU</t>
  </si>
  <si>
    <t>Pensioen</t>
  </si>
  <si>
    <t>A+O Fonds Cao VVT (0,04%), naar rato</t>
  </si>
  <si>
    <t>AOF kleine werkgevers incl. toeslag kinderopvang</t>
  </si>
  <si>
    <t>AOF grote werkgevers incl. toeslag kinderopvang</t>
  </si>
  <si>
    <t>WW premie (Awf) laag (aanstelling voor onbepaalde tijd)</t>
  </si>
  <si>
    <t>WW premie (Awf) hoog (overige dienstbetrekkingen)</t>
  </si>
  <si>
    <t>ZVW premie werkgever</t>
  </si>
  <si>
    <t>Werkhervattingskas (gezondheidszorg)</t>
  </si>
  <si>
    <t>Transitievergoeding</t>
  </si>
  <si>
    <t>Subtotaal</t>
  </si>
  <si>
    <t>OP premie aandeel werkgever (50% van 25,8%)</t>
  </si>
  <si>
    <t>aow-franchise</t>
  </si>
  <si>
    <t>AP premie aandeel werkgever (50% van 0,5%)</t>
  </si>
  <si>
    <t>AP franchise</t>
  </si>
  <si>
    <t>https://www.aovvt.nl/bijdrage-ao-vvt/</t>
  </si>
  <si>
    <t>Rekensalaris</t>
  </si>
  <si>
    <t>Feestdagen &amp; Verlof &amp; vitaliteit/PBL + bovenwettelijk</t>
  </si>
  <si>
    <t>Werkbaar</t>
  </si>
  <si>
    <t>Opleiding intervisie</t>
  </si>
  <si>
    <t>Overleg, administratie</t>
  </si>
  <si>
    <t>Overig (pauze, pv, etc)</t>
  </si>
  <si>
    <t>Niet declarabele reistijd</t>
  </si>
  <si>
    <t>Indirect cliëntgebonden</t>
  </si>
  <si>
    <t>Direct cliëntgebonden</t>
  </si>
  <si>
    <t>ORT</t>
  </si>
  <si>
    <t>doordeweek 00:00-06:00</t>
  </si>
  <si>
    <t>doordeweek 06:00-07:00</t>
  </si>
  <si>
    <t>doordeweek 07:00-20:00</t>
  </si>
  <si>
    <t>doordeweek 20:00-22:00</t>
  </si>
  <si>
    <t>doordeweek 22:00-24:00</t>
  </si>
  <si>
    <t>zaterdag 00:00-06:00</t>
  </si>
  <si>
    <t>zaterdag 06:00-08:00</t>
  </si>
  <si>
    <t>zaterdag 08:00-12:00</t>
  </si>
  <si>
    <t>zaterdag 12:00-22:00</t>
  </si>
  <si>
    <t>zaterdag 22:00-24:00</t>
  </si>
  <si>
    <t>zon/feestdagen</t>
  </si>
  <si>
    <t>Bruto loonkosten</t>
  </si>
  <si>
    <t>Werkgeverslasten</t>
  </si>
  <si>
    <t>Bruto loonkosten incl werkgeverslasten</t>
  </si>
  <si>
    <t>PNIL</t>
  </si>
  <si>
    <t>Risico-opslag</t>
  </si>
  <si>
    <t>Groepsgrootte</t>
  </si>
  <si>
    <t>Uren per dagdeel, etmaal of week</t>
  </si>
  <si>
    <t>Uitkomst 2024</t>
  </si>
  <si>
    <t>Tarief eenheid per</t>
  </si>
  <si>
    <t>Sociale lasten</t>
  </si>
  <si>
    <t>Ziekteverzuim</t>
  </si>
  <si>
    <t>JZ</t>
  </si>
  <si>
    <t>schaal 13</t>
  </si>
  <si>
    <t>FWG70</t>
  </si>
  <si>
    <t>FWG75</t>
  </si>
  <si>
    <t>WO+</t>
  </si>
  <si>
    <t>WO++</t>
  </si>
  <si>
    <t>MS/KJP</t>
  </si>
  <si>
    <t>ORT evenredig</t>
  </si>
  <si>
    <t>begeleider</t>
  </si>
  <si>
    <t>doordeweek 07:00-19:00</t>
  </si>
  <si>
    <t>doordeweek 19:00-22:00</t>
  </si>
  <si>
    <t>Slapende wacht</t>
  </si>
  <si>
    <t>ORT buiten schooltijden</t>
  </si>
  <si>
    <t>ORT 24/7</t>
  </si>
  <si>
    <t>Wakende wacht</t>
  </si>
  <si>
    <t>ORT incidenteel 2x</t>
  </si>
  <si>
    <t>uur</t>
  </si>
  <si>
    <t>Doelgroep volwassenen</t>
  </si>
  <si>
    <t>Doelgroep kind</t>
  </si>
  <si>
    <t>Kind</t>
  </si>
  <si>
    <t>Kind rolstoel</t>
  </si>
  <si>
    <t>Balansbudget GGZ</t>
  </si>
  <si>
    <t>No-show percentage</t>
  </si>
  <si>
    <t>Productnummer</t>
  </si>
  <si>
    <t>GGZ/GHZ/SW/VVT</t>
  </si>
  <si>
    <t>mix 2024 incl. eenmalige uitkering</t>
  </si>
  <si>
    <t>Verdeling</t>
  </si>
  <si>
    <t>ORT indicidenteel</t>
  </si>
  <si>
    <r>
      <rPr>
        <b/>
        <sz val="9.5"/>
        <color theme="1"/>
        <rFont val="Open Sans"/>
        <family val="2"/>
      </rPr>
      <t>ORT buiten schooltijden</t>
    </r>
    <r>
      <rPr>
        <sz val="9.5"/>
        <color theme="1"/>
        <rFont val="Open Sans Light"/>
        <family val="2"/>
      </rPr>
      <t xml:space="preserve">
</t>
    </r>
    <r>
      <rPr>
        <i/>
        <sz val="9.5"/>
        <color theme="1"/>
        <rFont val="Open Sans Light"/>
        <family val="2"/>
      </rPr>
      <t>Slaapwacht van 23-7 uur. Doordeweeks van 10-15 naar school.</t>
    </r>
  </si>
  <si>
    <r>
      <rPr>
        <b/>
        <sz val="9.5"/>
        <color theme="1"/>
        <rFont val="Open Sans"/>
        <family val="2"/>
      </rPr>
      <t>ORT incidenteel</t>
    </r>
    <r>
      <rPr>
        <i/>
        <sz val="9.5"/>
        <color theme="1"/>
        <rFont val="Open Sans Light"/>
        <family val="2"/>
      </rPr>
      <t xml:space="preserve">
Aanname: van de 100 uur 1 uur door de week 's avonds, 1 uur zaterdagmiddag en 1 uur zondag/feestdag.</t>
    </r>
  </si>
  <si>
    <r>
      <rPr>
        <b/>
        <sz val="9.5"/>
        <color theme="1"/>
        <rFont val="Open Sans"/>
        <family val="2"/>
      </rPr>
      <t>ORT incidenteel 2x</t>
    </r>
    <r>
      <rPr>
        <i/>
        <sz val="9.5"/>
        <color theme="1"/>
        <rFont val="Open Sans Light"/>
        <family val="2"/>
      </rPr>
      <t xml:space="preserve">
Aanname: van de 100 uur 2 uur door de week 's avonds, 2 uur zaterdagmiddag en 2 uur zondag/feestdag.</t>
    </r>
  </si>
  <si>
    <t>Verlof</t>
  </si>
  <si>
    <t>Vakantie wettelijk</t>
  </si>
  <si>
    <t>Vakantie bovenwettelijk</t>
  </si>
  <si>
    <t>Vakantie extra bovenwettelijk</t>
  </si>
  <si>
    <t>Levensfasebudget</t>
  </si>
  <si>
    <t>Balansverlof</t>
  </si>
  <si>
    <t>Vitaliteitsuren</t>
  </si>
  <si>
    <t>Bijzondere dagen</t>
  </si>
  <si>
    <t>Feestdagen</t>
  </si>
  <si>
    <t>25 tot en met 29</t>
  </si>
  <si>
    <t>30 tot en met 39</t>
  </si>
  <si>
    <t>40 tot en met 44</t>
  </si>
  <si>
    <t>45 tot en met 49</t>
  </si>
  <si>
    <t>50 tot en met 65</t>
  </si>
  <si>
    <t>Product 22</t>
  </si>
  <si>
    <t>Product 23</t>
  </si>
  <si>
    <t>Product 24</t>
  </si>
  <si>
    <t>Product 25</t>
  </si>
  <si>
    <t>Product 26</t>
  </si>
  <si>
    <t>Product 27</t>
  </si>
  <si>
    <t>Product 28</t>
  </si>
  <si>
    <t>Product 29</t>
  </si>
  <si>
    <t>Product 30</t>
  </si>
  <si>
    <t>Product 31</t>
  </si>
  <si>
    <t>Product 32</t>
  </si>
  <si>
    <t>Product 33</t>
  </si>
  <si>
    <t>Product 34</t>
  </si>
  <si>
    <t>Product 35</t>
  </si>
  <si>
    <t>Product 36</t>
  </si>
  <si>
    <t>Product 37</t>
  </si>
  <si>
    <t>Product 38</t>
  </si>
  <si>
    <t>Product 39</t>
  </si>
  <si>
    <t>Product 40</t>
  </si>
  <si>
    <t>Product 41</t>
  </si>
  <si>
    <t>Product 42</t>
  </si>
  <si>
    <t>Product 43</t>
  </si>
  <si>
    <t>Product 44</t>
  </si>
  <si>
    <t>Product 45</t>
  </si>
  <si>
    <t>Product 46</t>
  </si>
  <si>
    <t>Product 47</t>
  </si>
  <si>
    <t>Product 48</t>
  </si>
  <si>
    <t>Product 49</t>
  </si>
  <si>
    <t>Product 50</t>
  </si>
  <si>
    <t>Product 51</t>
  </si>
  <si>
    <t>Product 52</t>
  </si>
  <si>
    <t>schaal 2</t>
  </si>
  <si>
    <t>Product 53</t>
  </si>
  <si>
    <t>Product 54</t>
  </si>
  <si>
    <t>Product 55</t>
  </si>
  <si>
    <t>Product 56</t>
  </si>
  <si>
    <t>Product 57</t>
  </si>
  <si>
    <t>Product 58</t>
  </si>
  <si>
    <t>Product 59</t>
  </si>
  <si>
    <t>Product 60</t>
  </si>
  <si>
    <t>Product 61</t>
  </si>
  <si>
    <t>Product 62</t>
  </si>
  <si>
    <t>Product 63</t>
  </si>
  <si>
    <t>Product 64</t>
  </si>
  <si>
    <t>Product 65</t>
  </si>
  <si>
    <t>Product 66</t>
  </si>
  <si>
    <t>Product 67</t>
  </si>
  <si>
    <t>Product 68</t>
  </si>
  <si>
    <t>Product 69</t>
  </si>
  <si>
    <t>Product 70</t>
  </si>
  <si>
    <t>Product 71</t>
  </si>
  <si>
    <t>Product 72</t>
  </si>
  <si>
    <t>Product 73</t>
  </si>
  <si>
    <t>Product 74</t>
  </si>
  <si>
    <t>Product 75</t>
  </si>
  <si>
    <t>Product 76</t>
  </si>
  <si>
    <t>Product 77</t>
  </si>
  <si>
    <t>Product 78</t>
  </si>
  <si>
    <t>Product 79</t>
  </si>
  <si>
    <t>Product 80</t>
  </si>
  <si>
    <t>Product 81</t>
  </si>
  <si>
    <t>Product 82</t>
  </si>
  <si>
    <t>Product 83</t>
  </si>
  <si>
    <t>Product 84</t>
  </si>
  <si>
    <t>Product 85</t>
  </si>
  <si>
    <t>Product 86</t>
  </si>
  <si>
    <t>Product 87</t>
  </si>
  <si>
    <t>Product 88</t>
  </si>
  <si>
    <t>Product 89</t>
  </si>
  <si>
    <t>Product 90</t>
  </si>
  <si>
    <t>Product 91</t>
  </si>
  <si>
    <t>Product 92</t>
  </si>
  <si>
    <t>Product 93</t>
  </si>
  <si>
    <t>Product 94</t>
  </si>
  <si>
    <t>Product 95</t>
  </si>
  <si>
    <t>Product 96</t>
  </si>
  <si>
    <t>Product 97</t>
  </si>
  <si>
    <t>Product 98</t>
  </si>
  <si>
    <t>Product 99</t>
  </si>
  <si>
    <t>Maanden in het jaar</t>
  </si>
  <si>
    <t>Inschaling t.o.v. max</t>
  </si>
  <si>
    <t>ORT-percentage</t>
  </si>
  <si>
    <t>ORT incidenteel</t>
  </si>
  <si>
    <t>ORT indicidenteel 2x</t>
  </si>
  <si>
    <t>Geen ORT</t>
  </si>
  <si>
    <t>ORT percentage</t>
  </si>
  <si>
    <t>VT</t>
  </si>
  <si>
    <t>ORT bedrag</t>
  </si>
  <si>
    <t>VT bedrag</t>
  </si>
  <si>
    <t>Onregelmatigheidstoeslag? (ORT)</t>
  </si>
  <si>
    <t>Vakantietoeslag (VT)</t>
  </si>
  <si>
    <t>Eindejaarsuitkering (EJU)</t>
  </si>
  <si>
    <t>EJU bedrag</t>
  </si>
  <si>
    <t>Percentage werkgeverslasten totaal</t>
  </si>
  <si>
    <t>Werkgeverslasten bedrag</t>
  </si>
  <si>
    <t>ALTIJD CHECKEN</t>
  </si>
  <si>
    <t>PNIL (21%)</t>
  </si>
  <si>
    <t>PNIL (btw)</t>
  </si>
  <si>
    <t>PNIL bedrag</t>
  </si>
  <si>
    <t>Bruto loonkosten incl werkgeverslasten incl PNIL</t>
  </si>
  <si>
    <t>Opslag overhead bedrag</t>
  </si>
  <si>
    <t>Opleidingsbudget MS</t>
  </si>
  <si>
    <t>Totale kosten 1 fte</t>
  </si>
  <si>
    <t>Productiviteit</t>
  </si>
  <si>
    <t>Bruto uren</t>
  </si>
  <si>
    <t>Ziekteverzuim (4-jarig)</t>
  </si>
  <si>
    <t>Clientgebonden tijd</t>
  </si>
  <si>
    <t>Percentage</t>
  </si>
  <si>
    <t>Uurtarief</t>
  </si>
  <si>
    <t>Tarief per eenheid afgerond</t>
  </si>
  <si>
    <t>Deelbare groep</t>
  </si>
  <si>
    <t>Opslag overhead</t>
  </si>
  <si>
    <t>Deelbare uren</t>
  </si>
  <si>
    <r>
      <t xml:space="preserve">Uitgangspunten Verlof </t>
    </r>
    <r>
      <rPr>
        <sz val="12"/>
        <color theme="1"/>
        <rFont val="Open Sans"/>
        <family val="2"/>
      </rPr>
      <t>(o.b.v. cao's)</t>
    </r>
  </si>
  <si>
    <t>SW en JZ</t>
  </si>
  <si>
    <t>Jaren</t>
  </si>
  <si>
    <t>Uren</t>
  </si>
  <si>
    <t>C1</t>
  </si>
  <si>
    <t>C2</t>
  </si>
  <si>
    <t>C3</t>
  </si>
  <si>
    <t>C4</t>
  </si>
  <si>
    <t>C5</t>
  </si>
  <si>
    <t>C0</t>
  </si>
  <si>
    <t>C6</t>
  </si>
  <si>
    <t>Met formules</t>
  </si>
  <si>
    <t>Maximum premieloon 2024</t>
  </si>
  <si>
    <t>Beginwaarde sociale lasten</t>
  </si>
  <si>
    <t>licht/basis</t>
  </si>
  <si>
    <t>midden</t>
  </si>
  <si>
    <t>zwaar/complex</t>
  </si>
  <si>
    <t>Reistijd?</t>
  </si>
  <si>
    <t>Intensiteit?</t>
  </si>
  <si>
    <t>Nee</t>
  </si>
  <si>
    <t>GGZ, GHZ en VVT</t>
  </si>
  <si>
    <t>GGZ/GHZ/VVT</t>
  </si>
  <si>
    <t>VVT/JZ</t>
  </si>
  <si>
    <r>
      <t xml:space="preserve">Percentage opslag overhead </t>
    </r>
    <r>
      <rPr>
        <b/>
        <sz val="12"/>
        <color theme="1"/>
        <rFont val="Open Sans"/>
        <family val="2"/>
      </rPr>
      <t>met vastgoed</t>
    </r>
  </si>
  <si>
    <t>Vervoer regulier</t>
  </si>
  <si>
    <t>Vervoer rolstoel</t>
  </si>
  <si>
    <t>begeleiding</t>
  </si>
  <si>
    <t>dagbesteding</t>
  </si>
  <si>
    <r>
      <t xml:space="preserve">Tarief per </t>
    </r>
    <r>
      <rPr>
        <b/>
        <sz val="12"/>
        <color theme="1"/>
        <rFont val="Open Sans Light"/>
        <family val="2"/>
      </rPr>
      <t>dagdeel</t>
    </r>
  </si>
  <si>
    <r>
      <t xml:space="preserve">Opslag NHC/NIC per </t>
    </r>
    <r>
      <rPr>
        <b/>
        <sz val="12"/>
        <color theme="1"/>
        <rFont val="Open Sans Light"/>
        <family val="2"/>
      </rPr>
      <t>etmaal</t>
    </r>
    <r>
      <rPr>
        <sz val="12"/>
        <color theme="1"/>
        <rFont val="Open Sans Light"/>
        <family val="2"/>
      </rPr>
      <t>?</t>
    </r>
  </si>
  <si>
    <r>
      <t xml:space="preserve">Tarief NHC/NIC per </t>
    </r>
    <r>
      <rPr>
        <b/>
        <sz val="12"/>
        <color theme="1"/>
        <rFont val="Open Sans Light"/>
        <family val="2"/>
      </rPr>
      <t>etmaal</t>
    </r>
  </si>
  <si>
    <r>
      <t xml:space="preserve">Opslag hotelmatige kosten per </t>
    </r>
    <r>
      <rPr>
        <b/>
        <sz val="12"/>
        <color theme="1"/>
        <rFont val="Open Sans Light"/>
        <family val="2"/>
      </rPr>
      <t>etmaal</t>
    </r>
    <r>
      <rPr>
        <sz val="12"/>
        <color theme="1"/>
        <rFont val="Open Sans Light"/>
        <family val="2"/>
      </rPr>
      <t>?</t>
    </r>
  </si>
  <si>
    <r>
      <t xml:space="preserve">Tarief hotelmatige kosten per </t>
    </r>
    <r>
      <rPr>
        <b/>
        <sz val="12"/>
        <color theme="1"/>
        <rFont val="Open Sans Light"/>
        <family val="2"/>
      </rPr>
      <t>etmaal</t>
    </r>
  </si>
  <si>
    <t>Opslag locatiekosten incl. lichte catering per dagdeel?</t>
  </si>
  <si>
    <t>Ja</t>
  </si>
  <si>
    <t>Slaapwacht</t>
  </si>
  <si>
    <t>Inzet slaapwacht</t>
  </si>
  <si>
    <t>Beschikbaarheid</t>
  </si>
  <si>
    <t>Bereikbaarheid</t>
  </si>
  <si>
    <t>Bereik-/beschikbaarheid</t>
  </si>
  <si>
    <t>Inzet beschikbaarheid</t>
  </si>
  <si>
    <t>Inzet breikbaarheid</t>
  </si>
  <si>
    <t>Inzet wakende wacht</t>
  </si>
  <si>
    <t>= (aantal ritten per week * km's * tarief p/km * aantal weken)</t>
  </si>
  <si>
    <r>
      <t xml:space="preserve">Reiskosten op </t>
    </r>
    <r>
      <rPr>
        <b/>
        <sz val="12"/>
        <color theme="1"/>
        <rFont val="Open Sans Light"/>
        <family val="2"/>
      </rPr>
      <t>jaarbasis</t>
    </r>
  </si>
  <si>
    <r>
      <t>Nachtelijk toezicht /</t>
    </r>
    <r>
      <rPr>
        <b/>
        <sz val="12"/>
        <color theme="1"/>
        <rFont val="Open Sans Light"/>
        <family val="2"/>
      </rPr>
      <t xml:space="preserve"> slaapwacht</t>
    </r>
  </si>
  <si>
    <r>
      <t xml:space="preserve">7x24 uur </t>
    </r>
    <r>
      <rPr>
        <b/>
        <sz val="12"/>
        <color theme="1"/>
        <rFont val="Open Sans Light"/>
        <family val="2"/>
      </rPr>
      <t>bereikbaarheid</t>
    </r>
  </si>
  <si>
    <t>Consignatie</t>
  </si>
  <si>
    <t>Doordeweek</t>
  </si>
  <si>
    <t>2/18</t>
  </si>
  <si>
    <t>Weekend</t>
  </si>
  <si>
    <t>4/18</t>
  </si>
  <si>
    <t>6/18</t>
  </si>
  <si>
    <t>uren per jaar</t>
  </si>
  <si>
    <t xml:space="preserve">uren per week </t>
  </si>
  <si>
    <t>1/18</t>
  </si>
  <si>
    <t>3/18</t>
  </si>
  <si>
    <t>Aantal dagen</t>
  </si>
  <si>
    <t>Basis</t>
  </si>
  <si>
    <t>Vergoeding</t>
  </si>
  <si>
    <t>Uren per nacht</t>
  </si>
  <si>
    <t>Compensatie</t>
  </si>
  <si>
    <t>(1/24)</t>
  </si>
  <si>
    <t>(2,5/24)</t>
  </si>
  <si>
    <t>(2,5/18)</t>
  </si>
  <si>
    <t>Kostprijsmodel</t>
  </si>
  <si>
    <t>Keuzes</t>
  </si>
  <si>
    <t>Verwijzing</t>
  </si>
  <si>
    <t>'Gewone cellen'</t>
  </si>
  <si>
    <t>Per product</t>
  </si>
  <si>
    <t>Cao/wettelijk gebonden</t>
  </si>
  <si>
    <t>Keuzes t.a.v. product</t>
  </si>
  <si>
    <t>Reiskosten?</t>
  </si>
  <si>
    <t>Slaapwacht?</t>
  </si>
  <si>
    <t>Bereikbaarheid?</t>
  </si>
  <si>
    <t>Tarieven</t>
  </si>
  <si>
    <t>Samenvatting</t>
  </si>
  <si>
    <t>Onderleggers</t>
  </si>
  <si>
    <t>Op deze tabbladen zijn de uitwerkingen van verschillende onderleggers te vinden.</t>
  </si>
  <si>
    <t>Deze keuzes hebben betrekking op bijvoorbeeld ORT, reistijd, intensiteit etc.</t>
  </si>
  <si>
    <t>Deze waarden komen uit betreffende cao's of zijn wettelijk vastgesteld.</t>
  </si>
  <si>
    <t>Hier zijn de belangrijkste parameterwaarden per product weergegeven.</t>
  </si>
  <si>
    <t>De opbouw van de tarieven.</t>
  </si>
  <si>
    <t>Dit zijn de keuzes van de gemeente; alleen deze cellen zijn te wijzigen</t>
  </si>
  <si>
    <t>Deze cellen verwijzen naar een andere cel, mogelijk op een ander tabblad</t>
  </si>
  <si>
    <t>Tussenuitkomsten</t>
  </si>
  <si>
    <t>In dit kostprijsmodel zijn de volgende werkbladen beschikbaar:</t>
  </si>
  <si>
    <t>Op de werkbladen hebben de kleuren van de cellen de volgenden betekenis:</t>
  </si>
  <si>
    <t>VVT
Verpleging, verzorging en thuiszorg</t>
  </si>
  <si>
    <t>JZ
Jeugdzorg</t>
  </si>
  <si>
    <t>GHZ
Gehandicaptenzorg</t>
  </si>
  <si>
    <t>GGZ
Geestelijke gezondheidszorg</t>
  </si>
  <si>
    <t>schaal 6 / 7</t>
  </si>
  <si>
    <t>HBO-</t>
  </si>
  <si>
    <t>Let op! Minimum HO</t>
  </si>
  <si>
    <t>SW/JZ</t>
  </si>
  <si>
    <t>Maximum pensioengevend salaris</t>
  </si>
  <si>
    <t>Overhead incl. vastgoed</t>
  </si>
  <si>
    <t>Wmo</t>
  </si>
  <si>
    <t>Type product</t>
  </si>
  <si>
    <t>Vervoer 2025</t>
  </si>
  <si>
    <t>Jeugd GGZ</t>
  </si>
  <si>
    <t>Rood</t>
  </si>
  <si>
    <t>Oranje</t>
  </si>
  <si>
    <t>Rood en oranje</t>
  </si>
  <si>
    <t>J&amp;O</t>
  </si>
  <si>
    <t>Reiskosten woon-werk</t>
  </si>
  <si>
    <t>Reiskosten werk-werk</t>
  </si>
  <si>
    <t>Gemiddelde van rij</t>
  </si>
  <si>
    <t>+ 1,5%</t>
  </si>
  <si>
    <t>Product 10</t>
  </si>
  <si>
    <t>Product 11</t>
  </si>
  <si>
    <t>Product 12</t>
  </si>
  <si>
    <t>Product 13</t>
  </si>
  <si>
    <t>Product 14</t>
  </si>
  <si>
    <t>Product 15</t>
  </si>
  <si>
    <t>Product 16</t>
  </si>
  <si>
    <t>Product 17</t>
  </si>
  <si>
    <t>Product 21</t>
  </si>
  <si>
    <t>Product 20</t>
  </si>
  <si>
    <t>Product 19</t>
  </si>
  <si>
    <t>Product 18</t>
  </si>
  <si>
    <t>Vergoeding zorgverzekering SW</t>
  </si>
  <si>
    <t>Tegemoetkoming ziektekostenverzekering SW</t>
  </si>
  <si>
    <t>Loopbaanbedrag SW</t>
  </si>
  <si>
    <t>https://zoek.officielebekendmakingen.nl/stcrt-2024-38722.pdf</t>
  </si>
  <si>
    <t>https://www.rijksoverheid.nl/documenten/begrotingen/2024/09/17/xvi-volksgezondheid-welzijn-en-sport-rijksbegroting-2025</t>
  </si>
  <si>
    <t>AP-franchise</t>
  </si>
  <si>
    <t>Maximum premieloon</t>
  </si>
  <si>
    <t>Werkgeverslasten 2025</t>
  </si>
  <si>
    <t>https://www.uwv.nl/imagesdxa/gedifferentieerde-premies-wga-en-ziektewet-2025_tcm94-459883.pdf</t>
  </si>
  <si>
    <t>https://www.pfzw.nl/werkgevers/premie-en-factuur/premie-berekenen/hoe-bereken-ik.html</t>
  </si>
  <si>
    <t>Pensioen 2025</t>
  </si>
  <si>
    <t>Sociale lasten 2025</t>
  </si>
  <si>
    <t>Voorlopige prijsindexcijfer 2025</t>
  </si>
  <si>
    <t>Meest recente salarissen per cao</t>
  </si>
  <si>
    <t>Uitkomst 2025</t>
  </si>
  <si>
    <t>Minimum HO</t>
  </si>
  <si>
    <t>per uur</t>
  </si>
  <si>
    <t>per dagdeel</t>
  </si>
  <si>
    <t xml:space="preserve">per uur </t>
  </si>
  <si>
    <t>Opbouw tarief OCO Assen</t>
  </si>
  <si>
    <t>SW
Sociaal Werk</t>
  </si>
  <si>
    <t>In dit kostprijsmodel is de opbouw van de tarieven in een kostprijsmodel verwerkt. In het kostprijsmodel proberen we parameterwaarden zo veel als mogelijk te relateren aan de cao-mix van desbetreffend product. De cao's die ten grondslag liggen aan de berekeningen zijn als volgt:</t>
  </si>
  <si>
    <t>= reistijd Wmo (PPRC) / 3</t>
  </si>
  <si>
    <t>OCO</t>
  </si>
  <si>
    <t>Versie: 22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</si>
</sst>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 &quot;€&quot;\ * #,##0_ ;_ &quot;€&quot;\ * \-#,##0_ ;_ &quot;€&quot;\ * &quot;-&quot;??_ ;_ @_ "/>
    <numFmt numFmtId="166" formatCode="0.0%"/>
    <numFmt numFmtId="167" formatCode="_ * #,##0_ ;_ * \-#,##0_ ;_ * &quot;-&quot;??_ ;_ @_ "/>
    <numFmt numFmtId="168" formatCode="#,###"/>
    <numFmt numFmtId="169" formatCode="0.000"/>
    <numFmt numFmtId="170" formatCode="0.0"/>
  </numFmts>
  <fonts count="86">
    <font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sz val="11"/>
      <color theme="1"/>
      <name val="Open Sans"/>
      <family val="2"/>
    </font>
    <font>
      <sz val="11"/>
      <color theme="1"/>
      <name val="Open Sans"/>
      <family val="2"/>
    </font>
    <font>
      <sz val="9"/>
      <color theme="1"/>
      <name val="Open Sans"/>
      <family val="2"/>
    </font>
    <font>
      <sz val="9"/>
      <color theme="1"/>
      <name val="Open Sans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Open Sans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Open Sans"/>
      <family val="2"/>
    </font>
    <font>
      <sz val="12"/>
      <color theme="1"/>
      <name val="Open Sans Light"/>
      <family val="2"/>
    </font>
    <font>
      <b/>
      <sz val="12"/>
      <color theme="1"/>
      <name val="Open Sans Light"/>
      <family val="2"/>
    </font>
    <font>
      <b/>
      <i/>
      <sz val="12"/>
      <color theme="1"/>
      <name val="Open Sans Light"/>
      <family val="2"/>
    </font>
    <font>
      <sz val="12"/>
      <color theme="1"/>
      <name val="Open Sans"/>
      <family val="2"/>
    </font>
    <font>
      <b/>
      <sz val="12"/>
      <name val="Open Sans"/>
      <family val="2"/>
    </font>
    <font>
      <b/>
      <sz val="12"/>
      <color theme="0"/>
      <name val="Open Sans Light"/>
      <family val="2"/>
    </font>
    <font>
      <sz val="9.5"/>
      <color theme="1"/>
      <name val="Open Sans Light"/>
      <family val="2"/>
    </font>
    <font>
      <i/>
      <sz val="9.5"/>
      <color theme="1"/>
      <name val="Open Sans Light"/>
      <family val="2"/>
    </font>
    <font>
      <b/>
      <sz val="9.5"/>
      <color theme="1"/>
      <name val="Open Sans Light"/>
      <family val="2"/>
    </font>
    <font>
      <b/>
      <sz val="10"/>
      <color theme="0"/>
      <name val="Open Sans"/>
      <family val="2"/>
    </font>
    <font>
      <b/>
      <i/>
      <sz val="9.5"/>
      <color theme="1"/>
      <name val="Open Sans Light"/>
      <family val="2"/>
    </font>
    <font>
      <b/>
      <sz val="10"/>
      <color theme="1"/>
      <name val="Open Sans"/>
      <family val="2"/>
    </font>
    <font>
      <b/>
      <sz val="9.5"/>
      <color theme="0" tint="-0.34998626667073579"/>
      <name val="Open Sans Light"/>
      <family val="2"/>
    </font>
    <font>
      <sz val="9.5"/>
      <name val="Open Sans Light"/>
      <family val="2"/>
    </font>
    <font>
      <sz val="9.5"/>
      <color rgb="FF000000"/>
      <name val="Open Sans Light"/>
      <family val="2"/>
    </font>
    <font>
      <b/>
      <sz val="9.5"/>
      <color rgb="FF000000"/>
      <name val="Open Sans Light"/>
      <family val="2"/>
    </font>
    <font>
      <b/>
      <sz val="9.5"/>
      <color rgb="FFFFFFFF"/>
      <name val="Open Sans"/>
      <family val="2"/>
    </font>
    <font>
      <b/>
      <sz val="11"/>
      <color theme="1"/>
      <name val="Open Sans"/>
      <family val="2"/>
    </font>
    <font>
      <sz val="11"/>
      <color theme="1"/>
      <name val="Open Sans Light"/>
      <family val="2"/>
    </font>
    <font>
      <i/>
      <sz val="12"/>
      <color theme="1"/>
      <name val="Open Sans Light"/>
      <family val="2"/>
    </font>
    <font>
      <sz val="12"/>
      <name val="Open Sans Light"/>
      <family val="2"/>
    </font>
    <font>
      <b/>
      <sz val="9.5"/>
      <name val="Open Sans Light"/>
      <family val="2"/>
    </font>
    <font>
      <b/>
      <sz val="9.5"/>
      <color theme="1"/>
      <name val="Open Sans"/>
      <family val="2"/>
    </font>
    <font>
      <sz val="9.5"/>
      <color theme="0"/>
      <name val="Open Sans Light"/>
      <family val="2"/>
    </font>
    <font>
      <b/>
      <sz val="10"/>
      <name val="Open Sans"/>
      <family val="2"/>
    </font>
    <font>
      <b/>
      <sz val="9.5"/>
      <name val="Open Sans"/>
      <family val="2"/>
    </font>
    <font>
      <sz val="10"/>
      <name val="Open Sans"/>
      <family val="2"/>
    </font>
    <font>
      <sz val="9.5"/>
      <color theme="1"/>
      <name val="Open Sans"/>
      <family val="2"/>
    </font>
    <font>
      <b/>
      <sz val="12"/>
      <color theme="1"/>
      <name val="Open Sans "/>
    </font>
    <font>
      <sz val="14"/>
      <color theme="1"/>
      <name val="Open Sans Light"/>
      <family val="2"/>
    </font>
    <font>
      <sz val="14"/>
      <color theme="1"/>
      <name val="Calibri"/>
      <family val="2"/>
      <scheme val="minor"/>
    </font>
    <font>
      <b/>
      <i/>
      <sz val="10"/>
      <color theme="1"/>
      <name val="Open sans light"/>
      <family val="2"/>
    </font>
    <font>
      <i/>
      <sz val="10"/>
      <color theme="1"/>
      <name val="Open Sans Light"/>
      <family val="2"/>
    </font>
    <font>
      <b/>
      <sz val="12"/>
      <color rgb="FFFF0000"/>
      <name val="Open Sans Light"/>
      <family val="2"/>
    </font>
    <font>
      <sz val="12"/>
      <color rgb="FFFF0000"/>
      <name val="Open Sans Light"/>
      <family val="2"/>
    </font>
    <font>
      <i/>
      <sz val="12"/>
      <color theme="1"/>
      <name val="Calibri"/>
      <family val="2"/>
      <scheme val="minor"/>
    </font>
    <font>
      <b/>
      <sz val="16"/>
      <color theme="0"/>
      <name val="Open Sans"/>
      <family val="2"/>
    </font>
    <font>
      <b/>
      <sz val="16"/>
      <color theme="5"/>
      <name val="Open Sans"/>
      <family val="2"/>
    </font>
    <font>
      <sz val="12"/>
      <color theme="5"/>
      <name val="Open Sans Light"/>
      <family val="2"/>
    </font>
    <font>
      <sz val="12"/>
      <color theme="5"/>
      <name val="Calibri"/>
      <family val="2"/>
      <scheme val="minor"/>
    </font>
    <font>
      <sz val="16"/>
      <color theme="1"/>
      <name val="Open Sans Light"/>
      <family val="2"/>
    </font>
    <font>
      <sz val="16"/>
      <color theme="1"/>
      <name val="Calibri"/>
      <family val="2"/>
      <scheme val="minor"/>
    </font>
    <font>
      <sz val="18"/>
      <color theme="1"/>
      <name val="Open Sans Light"/>
      <family val="2"/>
    </font>
    <font>
      <b/>
      <sz val="18"/>
      <color theme="0"/>
      <name val="Open Sans"/>
      <family val="2"/>
    </font>
    <font>
      <sz val="18"/>
      <color theme="0"/>
      <name val="Open Sans Light"/>
      <family val="2"/>
    </font>
    <font>
      <sz val="18"/>
      <color theme="1"/>
      <name val="Calibri"/>
      <family val="2"/>
      <scheme val="minor"/>
    </font>
    <font>
      <b/>
      <sz val="14"/>
      <color theme="1"/>
      <name val="Open Sans"/>
      <family val="2"/>
    </font>
    <font>
      <b/>
      <sz val="14"/>
      <color theme="1"/>
      <name val="Open Sans "/>
    </font>
    <font>
      <b/>
      <sz val="16"/>
      <color theme="0"/>
      <name val="Open Sans "/>
    </font>
    <font>
      <i/>
      <sz val="12"/>
      <color theme="1"/>
      <name val="Open Sans"/>
      <family val="2"/>
    </font>
    <font>
      <b/>
      <u/>
      <sz val="11"/>
      <color theme="0"/>
      <name val="Calibri"/>
      <family val="2"/>
      <scheme val="minor"/>
    </font>
    <font>
      <b/>
      <sz val="9.5"/>
      <color theme="1" tint="0.499984740745262"/>
      <name val="Open Sans"/>
      <family val="2"/>
    </font>
    <font>
      <i/>
      <sz val="11"/>
      <color theme="1"/>
      <name val="Open Sans Light"/>
      <family val="2"/>
    </font>
    <font>
      <b/>
      <sz val="11"/>
      <color rgb="FFFFFFFF"/>
      <name val="Open Sans"/>
      <family val="2"/>
    </font>
    <font>
      <b/>
      <sz val="11"/>
      <color theme="0"/>
      <name val="Open Sans"/>
      <family val="2"/>
    </font>
    <font>
      <i/>
      <sz val="10"/>
      <color theme="1"/>
      <name val="Open Sans"/>
      <family val="2"/>
    </font>
    <font>
      <b/>
      <sz val="12"/>
      <name val="Open Sans Light"/>
      <family val="2"/>
    </font>
    <font>
      <b/>
      <sz val="9.5"/>
      <color rgb="FF006293"/>
      <name val="Open Sans"/>
      <family val="2"/>
    </font>
    <font>
      <sz val="11"/>
      <color theme="1"/>
      <name val="Open Sans"/>
      <family val="2"/>
    </font>
    <font>
      <sz val="16"/>
      <color theme="1" tint="0.499984740745262"/>
      <name val="Open Sans"/>
      <family val="2"/>
    </font>
    <font>
      <b/>
      <sz val="20"/>
      <color theme="5"/>
      <name val="Open Sans"/>
      <family val="2"/>
    </font>
    <font>
      <b/>
      <sz val="11"/>
      <color theme="1" tint="0.499984740745262"/>
      <name val="Open San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Open Sans"/>
      <family val="2"/>
    </font>
    <font>
      <sz val="12"/>
      <name val="Open Sans"/>
      <family val="2"/>
    </font>
    <font>
      <b/>
      <sz val="9"/>
      <name val="Open Sans"/>
      <family val="2"/>
    </font>
    <font>
      <b/>
      <sz val="28"/>
      <color theme="1"/>
      <name val="Open Sans"/>
      <family val="2"/>
    </font>
    <font>
      <b/>
      <sz val="9.5"/>
      <color rgb="FFFF0000"/>
      <name val="Open Sans Light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Open Sans"/>
      <family val="2"/>
    </font>
  </fonts>
  <fills count="2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9A553"/>
        <bgColor indexed="64"/>
      </patternFill>
    </fill>
    <fill>
      <patternFill patternType="solid">
        <fgColor rgb="FF326D6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  <fill>
      <gradientFill degree="45">
        <stop position="0">
          <color theme="6" tint="0.80001220740379042"/>
        </stop>
        <stop position="1">
          <color theme="5" tint="0.80001220740379042"/>
        </stop>
      </gradient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auto="1"/>
      </patternFill>
    </fill>
    <fill>
      <gradientFill>
        <stop position="0">
          <color theme="6" tint="0.80001220740379042"/>
        </stop>
        <stop position="1">
          <color theme="5" tint="0.80001220740379042"/>
        </stop>
      </gradientFill>
    </fill>
    <fill>
      <gradientFill degree="180">
        <stop position="0">
          <color theme="4" tint="0.80001220740379042"/>
        </stop>
        <stop position="1">
          <color theme="5" tint="0.80001220740379042"/>
        </stop>
      </gradientFill>
    </fill>
    <fill>
      <gradientFill>
        <stop position="0">
          <color theme="4" tint="0.80001220740379042"/>
        </stop>
        <stop position="1">
          <color theme="6" tint="0.80001220740379042"/>
        </stop>
      </gradientFill>
    </fill>
    <fill>
      <patternFill patternType="solid">
        <fgColor theme="4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theme="1" tint="0.499984740745262"/>
      </right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/>
      <right style="thin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/>
      <right style="thin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double">
        <color indexed="64"/>
      </bottom>
      <diagonal/>
    </border>
    <border>
      <left/>
      <right style="thin">
        <color theme="1" tint="0.499984740745262"/>
      </right>
      <top/>
      <bottom style="double">
        <color indexed="64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/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0" tint="-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theme="1" tint="0.499984740745262"/>
      </right>
      <top style="thin">
        <color theme="2"/>
      </top>
      <bottom style="thin">
        <color theme="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medium">
        <color theme="1" tint="0.499984740745262"/>
      </bottom>
      <diagonal/>
    </border>
    <border>
      <left style="thin">
        <color theme="2"/>
      </left>
      <right style="medium">
        <color theme="1" tint="0.499984740745262"/>
      </right>
      <top style="thin">
        <color theme="2"/>
      </top>
      <bottom style="medium">
        <color theme="1" tint="0.49998474074526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thin">
        <color theme="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2"/>
      </left>
      <right style="thin">
        <color theme="2"/>
      </right>
      <top style="medium">
        <color theme="1" tint="0.499984740745262"/>
      </top>
      <bottom style="thin">
        <color theme="2"/>
      </bottom>
      <diagonal/>
    </border>
    <border>
      <left style="thin">
        <color theme="2"/>
      </left>
      <right style="medium">
        <color theme="1" tint="0.499984740745262"/>
      </right>
      <top style="medium">
        <color theme="1" tint="0.499984740745262"/>
      </top>
      <bottom style="thin">
        <color theme="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medium">
        <color theme="1" tint="0.499984740745262"/>
      </left>
      <right style="thin">
        <color theme="2"/>
      </right>
      <top style="thin">
        <color theme="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2"/>
      </right>
      <top style="medium">
        <color theme="1" tint="0.499984740745262"/>
      </top>
      <bottom style="thin">
        <color theme="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/>
      <bottom/>
      <diagonal/>
    </border>
    <border>
      <left style="thin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/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 style="thin">
        <color theme="2"/>
      </right>
      <top style="medium">
        <color theme="1" tint="0.499984740745262"/>
      </top>
      <bottom style="thin">
        <color theme="2"/>
      </bottom>
      <diagonal/>
    </border>
    <border>
      <left/>
      <right style="thin">
        <color theme="1" tint="0.499984740745262"/>
      </right>
      <top/>
      <bottom style="thin">
        <color theme="2"/>
      </bottom>
      <diagonal/>
    </border>
    <border>
      <left/>
      <right style="thin">
        <color theme="1" tint="0.499984740745262"/>
      </right>
      <top style="thin">
        <color theme="2"/>
      </top>
      <bottom style="thin">
        <color theme="2"/>
      </bottom>
      <diagonal/>
    </border>
    <border>
      <left/>
      <right style="thin">
        <color theme="1" tint="0.499984740745262"/>
      </right>
      <top style="thin">
        <color theme="2"/>
      </top>
      <bottom/>
      <diagonal/>
    </border>
    <border>
      <left/>
      <right style="thin">
        <color theme="1" tint="0.499984740745262"/>
      </right>
      <top style="medium">
        <color theme="1" tint="0.499984740745262"/>
      </top>
      <bottom style="thin">
        <color theme="2"/>
      </bottom>
      <diagonal/>
    </border>
    <border>
      <left/>
      <right style="thin">
        <color theme="1" tint="0.499984740745262"/>
      </right>
      <top style="thin">
        <color theme="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2"/>
      </top>
      <bottom style="thin">
        <color theme="2"/>
      </bottom>
      <diagonal/>
    </border>
    <border>
      <left/>
      <right style="medium">
        <color theme="1" tint="0.499984740745262"/>
      </right>
      <top style="thin">
        <color theme="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2"/>
      </bottom>
      <diagonal/>
    </border>
    <border>
      <left/>
      <right style="medium">
        <color theme="1" tint="0.499984740745262"/>
      </right>
      <top style="thin">
        <color theme="2"/>
      </top>
      <bottom style="medium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2"/>
      </top>
      <bottom style="thin">
        <color theme="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2"/>
      </top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2"/>
      </top>
      <bottom/>
      <diagonal/>
    </border>
    <border>
      <left style="medium">
        <color rgb="FF006293"/>
      </left>
      <right/>
      <top style="medium">
        <color rgb="FF006293"/>
      </top>
      <bottom style="medium">
        <color rgb="FF006293"/>
      </bottom>
      <diagonal/>
    </border>
    <border>
      <left/>
      <right style="medium">
        <color rgb="FF006293"/>
      </right>
      <top style="medium">
        <color rgb="FF006293"/>
      </top>
      <bottom style="medium">
        <color rgb="FF006293"/>
      </bottom>
      <diagonal/>
    </border>
    <border>
      <left style="medium">
        <color theme="1" tint="0.499984740745262"/>
      </left>
      <right/>
      <top style="thin">
        <color indexed="64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indexed="64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/>
      </top>
      <bottom style="thin">
        <color theme="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2"/>
      </top>
      <bottom/>
      <diagonal/>
    </border>
    <border>
      <left/>
      <right/>
      <top style="medium">
        <color theme="5"/>
      </top>
      <bottom/>
      <diagonal/>
    </border>
    <border>
      <left style="medium">
        <color theme="9" tint="0.79998168889431442"/>
      </left>
      <right style="medium">
        <color theme="9" tint="0.79998168889431442"/>
      </right>
      <top/>
      <bottom style="medium">
        <color theme="9" tint="0.79998168889431442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34998626667073579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34998626667073579"/>
      </top>
      <bottom/>
      <diagonal/>
    </border>
    <border>
      <left style="medium">
        <color theme="1" tint="0.499984740745262"/>
      </left>
      <right/>
      <top style="medium">
        <color theme="1" tint="0.34998626667073579"/>
      </top>
      <bottom/>
      <diagonal/>
    </border>
    <border>
      <left/>
      <right/>
      <top style="medium">
        <color theme="1" tint="0.34998626667073579"/>
      </top>
      <bottom/>
      <diagonal/>
    </border>
    <border>
      <left/>
      <right style="medium">
        <color theme="1" tint="0.499984740745262"/>
      </right>
      <top style="medium">
        <color theme="1" tint="0.34998626667073579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</borders>
  <cellStyleXfs count="9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087">
    <xf numFmtId="0" fontId="0" fillId="0" borderId="0" xfId="0"/>
    <xf numFmtId="0" fontId="0" fillId="10" borderId="0" xfId="0" applyFill="1"/>
    <xf numFmtId="9" fontId="19" fillId="0" borderId="2" xfId="0" applyNumberFormat="1" applyFont="1" applyBorder="1" applyAlignment="1">
      <alignment horizontal="right" vertical="center"/>
    </xf>
    <xf numFmtId="0" fontId="24" fillId="5" borderId="13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center" vertical="center"/>
    </xf>
    <xf numFmtId="0" fontId="24" fillId="7" borderId="13" xfId="0" applyFont="1" applyFill="1" applyBorder="1" applyAlignment="1">
      <alignment horizontal="center" vertical="center"/>
    </xf>
    <xf numFmtId="0" fontId="19" fillId="4" borderId="13" xfId="0" applyFont="1" applyFill="1" applyBorder="1"/>
    <xf numFmtId="0" fontId="19" fillId="4" borderId="14" xfId="0" applyFont="1" applyFill="1" applyBorder="1"/>
    <xf numFmtId="44" fontId="24" fillId="4" borderId="4" xfId="0" applyNumberFormat="1" applyFont="1" applyFill="1" applyBorder="1"/>
    <xf numFmtId="0" fontId="24" fillId="4" borderId="15" xfId="0" applyFont="1" applyFill="1" applyBorder="1"/>
    <xf numFmtId="44" fontId="24" fillId="5" borderId="21" xfId="0" applyNumberFormat="1" applyFont="1" applyFill="1" applyBorder="1"/>
    <xf numFmtId="0" fontId="19" fillId="5" borderId="8" xfId="0" applyFont="1" applyFill="1" applyBorder="1"/>
    <xf numFmtId="0" fontId="19" fillId="5" borderId="14" xfId="0" applyFont="1" applyFill="1" applyBorder="1"/>
    <xf numFmtId="0" fontId="24" fillId="3" borderId="13" xfId="0" applyFont="1" applyFill="1" applyBorder="1" applyAlignment="1">
      <alignment horizontal="center" vertical="center"/>
    </xf>
    <xf numFmtId="0" fontId="19" fillId="3" borderId="14" xfId="0" applyFont="1" applyFill="1" applyBorder="1"/>
    <xf numFmtId="0" fontId="19" fillId="7" borderId="13" xfId="0" applyFont="1" applyFill="1" applyBorder="1"/>
    <xf numFmtId="0" fontId="19" fillId="7" borderId="14" xfId="0" applyFont="1" applyFill="1" applyBorder="1"/>
    <xf numFmtId="0" fontId="19" fillId="13" borderId="13" xfId="0" applyFont="1" applyFill="1" applyBorder="1"/>
    <xf numFmtId="0" fontId="24" fillId="13" borderId="13" xfId="0" applyFont="1" applyFill="1" applyBorder="1" applyAlignment="1">
      <alignment horizontal="center" vertical="center"/>
    </xf>
    <xf numFmtId="0" fontId="19" fillId="13" borderId="14" xfId="0" applyFont="1" applyFill="1" applyBorder="1"/>
    <xf numFmtId="0" fontId="24" fillId="5" borderId="15" xfId="0" applyFont="1" applyFill="1" applyBorder="1"/>
    <xf numFmtId="44" fontId="24" fillId="5" borderId="4" xfId="0" applyNumberFormat="1" applyFont="1" applyFill="1" applyBorder="1"/>
    <xf numFmtId="0" fontId="24" fillId="3" borderId="15" xfId="0" applyFont="1" applyFill="1" applyBorder="1"/>
    <xf numFmtId="44" fontId="24" fillId="3" borderId="4" xfId="0" applyNumberFormat="1" applyFont="1" applyFill="1" applyBorder="1"/>
    <xf numFmtId="0" fontId="24" fillId="7" borderId="15" xfId="0" applyFont="1" applyFill="1" applyBorder="1"/>
    <xf numFmtId="44" fontId="24" fillId="7" borderId="4" xfId="0" applyNumberFormat="1" applyFont="1" applyFill="1" applyBorder="1"/>
    <xf numFmtId="0" fontId="19" fillId="2" borderId="14" xfId="0" applyFont="1" applyFill="1" applyBorder="1"/>
    <xf numFmtId="0" fontId="19" fillId="10" borderId="0" xfId="0" applyFont="1" applyFill="1"/>
    <xf numFmtId="0" fontId="29" fillId="2" borderId="8" xfId="0" applyFont="1" applyFill="1" applyBorder="1" applyAlignment="1">
      <alignment vertical="center"/>
    </xf>
    <xf numFmtId="0" fontId="29" fillId="2" borderId="13" xfId="0" applyFont="1" applyFill="1" applyBorder="1" applyAlignment="1">
      <alignment vertical="center"/>
    </xf>
    <xf numFmtId="0" fontId="29" fillId="2" borderId="24" xfId="0" applyFont="1" applyFill="1" applyBorder="1" applyAlignment="1">
      <alignment vertical="center"/>
    </xf>
    <xf numFmtId="10" fontId="23" fillId="3" borderId="27" xfId="0" applyNumberFormat="1" applyFont="1" applyFill="1" applyBorder="1" applyAlignment="1">
      <alignment horizontal="right" vertical="center"/>
    </xf>
    <xf numFmtId="0" fontId="27" fillId="10" borderId="9" xfId="0" applyFont="1" applyFill="1" applyBorder="1" applyAlignment="1">
      <alignment vertical="center"/>
    </xf>
    <xf numFmtId="0" fontId="19" fillId="10" borderId="28" xfId="0" applyFont="1" applyFill="1" applyBorder="1"/>
    <xf numFmtId="0" fontId="28" fillId="10" borderId="10" xfId="0" applyFont="1" applyFill="1" applyBorder="1" applyAlignment="1">
      <alignment vertical="center"/>
    </xf>
    <xf numFmtId="0" fontId="19" fillId="10" borderId="3" xfId="0" applyFont="1" applyFill="1" applyBorder="1"/>
    <xf numFmtId="0" fontId="21" fillId="10" borderId="11" xfId="0" applyFont="1" applyFill="1" applyBorder="1" applyAlignment="1">
      <alignment horizontal="right" vertical="center"/>
    </xf>
    <xf numFmtId="10" fontId="19" fillId="10" borderId="22" xfId="0" applyNumberFormat="1" applyFont="1" applyFill="1" applyBorder="1" applyAlignment="1">
      <alignment horizontal="right" vertical="center"/>
    </xf>
    <xf numFmtId="10" fontId="19" fillId="10" borderId="0" xfId="0" applyNumberFormat="1" applyFont="1" applyFill="1"/>
    <xf numFmtId="0" fontId="19" fillId="10" borderId="4" xfId="0" applyFont="1" applyFill="1" applyBorder="1"/>
    <xf numFmtId="10" fontId="19" fillId="10" borderId="29" xfId="3" applyNumberFormat="1" applyFont="1" applyFill="1" applyBorder="1" applyProtection="1"/>
    <xf numFmtId="2" fontId="19" fillId="10" borderId="4" xfId="0" applyNumberFormat="1" applyFont="1" applyFill="1" applyBorder="1"/>
    <xf numFmtId="0" fontId="19" fillId="10" borderId="11" xfId="0" applyFont="1" applyFill="1" applyBorder="1"/>
    <xf numFmtId="0" fontId="19" fillId="10" borderId="12" xfId="0" applyFont="1" applyFill="1" applyBorder="1"/>
    <xf numFmtId="0" fontId="26" fillId="10" borderId="0" xfId="0" applyFont="1" applyFill="1"/>
    <xf numFmtId="0" fontId="19" fillId="2" borderId="13" xfId="0" applyFont="1" applyFill="1" applyBorder="1"/>
    <xf numFmtId="0" fontId="22" fillId="10" borderId="0" xfId="0" applyFont="1" applyFill="1"/>
    <xf numFmtId="0" fontId="22" fillId="2" borderId="0" xfId="0" applyFont="1" applyFill="1" applyAlignment="1">
      <alignment vertical="center"/>
    </xf>
    <xf numFmtId="0" fontId="19" fillId="10" borderId="0" xfId="0" applyFont="1" applyFill="1" applyAlignment="1">
      <alignment vertical="center"/>
    </xf>
    <xf numFmtId="44" fontId="24" fillId="5" borderId="21" xfId="1" applyFont="1" applyFill="1" applyBorder="1"/>
    <xf numFmtId="44" fontId="24" fillId="5" borderId="31" xfId="1" applyFont="1" applyFill="1" applyBorder="1"/>
    <xf numFmtId="44" fontId="24" fillId="6" borderId="31" xfId="1" applyFont="1" applyFill="1" applyBorder="1"/>
    <xf numFmtId="44" fontId="24" fillId="4" borderId="31" xfId="1" applyFont="1" applyFill="1" applyBorder="1"/>
    <xf numFmtId="44" fontId="24" fillId="7" borderId="31" xfId="1" applyFont="1" applyFill="1" applyBorder="1"/>
    <xf numFmtId="44" fontId="24" fillId="13" borderId="31" xfId="1" applyFont="1" applyFill="1" applyBorder="1"/>
    <xf numFmtId="44" fontId="24" fillId="4" borderId="21" xfId="1" applyFont="1" applyFill="1" applyBorder="1"/>
    <xf numFmtId="44" fontId="24" fillId="6" borderId="21" xfId="1" applyFont="1" applyFill="1" applyBorder="1"/>
    <xf numFmtId="44" fontId="24" fillId="7" borderId="21" xfId="1" applyFont="1" applyFill="1" applyBorder="1"/>
    <xf numFmtId="44" fontId="24" fillId="13" borderId="21" xfId="1" applyFont="1" applyFill="1" applyBorder="1"/>
    <xf numFmtId="0" fontId="19" fillId="10" borderId="20" xfId="0" applyFont="1" applyFill="1" applyBorder="1"/>
    <xf numFmtId="0" fontId="19" fillId="10" borderId="6" xfId="0" applyFont="1" applyFill="1" applyBorder="1"/>
    <xf numFmtId="0" fontId="19" fillId="10" borderId="9" xfId="0" applyFont="1" applyFill="1" applyBorder="1"/>
    <xf numFmtId="0" fontId="19" fillId="10" borderId="30" xfId="0" applyFont="1" applyFill="1" applyBorder="1"/>
    <xf numFmtId="0" fontId="19" fillId="10" borderId="5" xfId="0" applyFont="1" applyFill="1" applyBorder="1"/>
    <xf numFmtId="0" fontId="19" fillId="10" borderId="31" xfId="0" applyFont="1" applyFill="1" applyBorder="1"/>
    <xf numFmtId="0" fontId="19" fillId="10" borderId="21" xfId="0" applyFont="1" applyFill="1" applyBorder="1"/>
    <xf numFmtId="0" fontId="19" fillId="10" borderId="0" xfId="0" applyFont="1" applyFill="1" applyAlignment="1">
      <alignment horizontal="center" vertical="center"/>
    </xf>
    <xf numFmtId="0" fontId="21" fillId="10" borderId="0" xfId="0" applyFont="1" applyFill="1" applyAlignment="1">
      <alignment vertical="center"/>
    </xf>
    <xf numFmtId="0" fontId="22" fillId="2" borderId="0" xfId="0" applyFont="1" applyFill="1"/>
    <xf numFmtId="0" fontId="19" fillId="3" borderId="8" xfId="0" applyFont="1" applyFill="1" applyBorder="1"/>
    <xf numFmtId="0" fontId="19" fillId="0" borderId="10" xfId="0" applyFont="1" applyBorder="1"/>
    <xf numFmtId="166" fontId="19" fillId="10" borderId="0" xfId="0" applyNumberFormat="1" applyFont="1" applyFill="1"/>
    <xf numFmtId="2" fontId="25" fillId="10" borderId="0" xfId="1" applyNumberFormat="1" applyFont="1" applyFill="1" applyBorder="1" applyAlignment="1">
      <alignment horizontal="right" vertical="center"/>
    </xf>
    <xf numFmtId="44" fontId="19" fillId="10" borderId="0" xfId="0" applyNumberFormat="1" applyFont="1" applyFill="1" applyAlignment="1">
      <alignment vertical="center"/>
    </xf>
    <xf numFmtId="9" fontId="26" fillId="10" borderId="34" xfId="0" applyNumberFormat="1" applyFont="1" applyFill="1" applyBorder="1"/>
    <xf numFmtId="0" fontId="25" fillId="10" borderId="0" xfId="0" applyFont="1" applyFill="1" applyAlignment="1">
      <alignment horizontal="right" vertical="center"/>
    </xf>
    <xf numFmtId="0" fontId="13" fillId="9" borderId="0" xfId="0" applyFont="1" applyFill="1" applyAlignment="1">
      <alignment vertical="center"/>
    </xf>
    <xf numFmtId="0" fontId="32" fillId="9" borderId="0" xfId="0" applyFont="1" applyFill="1" applyAlignment="1">
      <alignment vertical="center"/>
    </xf>
    <xf numFmtId="8" fontId="31" fillId="10" borderId="39" xfId="0" applyNumberFormat="1" applyFont="1" applyFill="1" applyBorder="1"/>
    <xf numFmtId="8" fontId="31" fillId="10" borderId="40" xfId="0" applyNumberFormat="1" applyFont="1" applyFill="1" applyBorder="1"/>
    <xf numFmtId="0" fontId="24" fillId="3" borderId="7" xfId="0" applyFont="1" applyFill="1" applyBorder="1" applyAlignment="1">
      <alignment horizontal="center"/>
    </xf>
    <xf numFmtId="0" fontId="24" fillId="4" borderId="7" xfId="0" applyFont="1" applyFill="1" applyBorder="1" applyAlignment="1">
      <alignment horizontal="center"/>
    </xf>
    <xf numFmtId="0" fontId="24" fillId="7" borderId="7" xfId="0" applyFont="1" applyFill="1" applyBorder="1" applyAlignment="1">
      <alignment horizontal="center"/>
    </xf>
    <xf numFmtId="44" fontId="24" fillId="6" borderId="5" xfId="1" applyFont="1" applyFill="1" applyBorder="1"/>
    <xf numFmtId="0" fontId="24" fillId="13" borderId="16" xfId="0" applyFont="1" applyFill="1" applyBorder="1"/>
    <xf numFmtId="44" fontId="24" fillId="13" borderId="11" xfId="0" applyNumberFormat="1" applyFont="1" applyFill="1" applyBorder="1" applyAlignment="1">
      <alignment vertical="center"/>
    </xf>
    <xf numFmtId="44" fontId="24" fillId="13" borderId="12" xfId="0" applyNumberFormat="1" applyFont="1" applyFill="1" applyBorder="1"/>
    <xf numFmtId="44" fontId="24" fillId="10" borderId="4" xfId="1" applyFont="1" applyFill="1" applyBorder="1"/>
    <xf numFmtId="44" fontId="24" fillId="6" borderId="42" xfId="1" applyFont="1" applyFill="1" applyBorder="1"/>
    <xf numFmtId="44" fontId="24" fillId="4" borderId="43" xfId="1" applyFont="1" applyFill="1" applyBorder="1"/>
    <xf numFmtId="0" fontId="24" fillId="13" borderId="14" xfId="0" applyFont="1" applyFill="1" applyBorder="1" applyAlignment="1">
      <alignment horizontal="center" vertical="center"/>
    </xf>
    <xf numFmtId="0" fontId="24" fillId="4" borderId="14" xfId="0" applyFont="1" applyFill="1" applyBorder="1" applyAlignment="1">
      <alignment horizontal="center" vertical="center"/>
    </xf>
    <xf numFmtId="0" fontId="24" fillId="7" borderId="14" xfId="0" applyFont="1" applyFill="1" applyBorder="1" applyAlignment="1">
      <alignment horizontal="center" vertical="center"/>
    </xf>
    <xf numFmtId="0" fontId="24" fillId="5" borderId="14" xfId="0" applyFont="1" applyFill="1" applyBorder="1" applyAlignment="1">
      <alignment horizontal="center" vertical="center"/>
    </xf>
    <xf numFmtId="0" fontId="29" fillId="2" borderId="13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19" fillId="10" borderId="9" xfId="0" applyFont="1" applyFill="1" applyBorder="1" applyAlignment="1">
      <alignment horizontal="right" vertical="center"/>
    </xf>
    <xf numFmtId="0" fontId="25" fillId="10" borderId="10" xfId="0" applyFont="1" applyFill="1" applyBorder="1" applyAlignment="1">
      <alignment horizontal="right" vertical="center"/>
    </xf>
    <xf numFmtId="0" fontId="19" fillId="10" borderId="10" xfId="0" applyFont="1" applyFill="1" applyBorder="1" applyAlignment="1">
      <alignment horizontal="right" vertical="center"/>
    </xf>
    <xf numFmtId="0" fontId="22" fillId="2" borderId="18" xfId="0" applyFont="1" applyFill="1" applyBorder="1"/>
    <xf numFmtId="0" fontId="22" fillId="2" borderId="19" xfId="0" applyFont="1" applyFill="1" applyBorder="1"/>
    <xf numFmtId="9" fontId="19" fillId="10" borderId="0" xfId="3" applyFont="1" applyFill="1"/>
    <xf numFmtId="0" fontId="26" fillId="10" borderId="0" xfId="0" applyFont="1" applyFill="1" applyAlignment="1">
      <alignment vertical="center"/>
    </xf>
    <xf numFmtId="0" fontId="34" fillId="10" borderId="0" xfId="0" applyFont="1" applyFill="1"/>
    <xf numFmtId="9" fontId="26" fillId="10" borderId="0" xfId="3" applyFont="1" applyFill="1"/>
    <xf numFmtId="166" fontId="34" fillId="10" borderId="0" xfId="3" applyNumberFormat="1" applyFont="1" applyFill="1"/>
    <xf numFmtId="10" fontId="34" fillId="10" borderId="0" xfId="3" applyNumberFormat="1" applyFont="1" applyFill="1"/>
    <xf numFmtId="0" fontId="26" fillId="10" borderId="0" xfId="0" applyFont="1" applyFill="1" applyAlignment="1">
      <alignment horizontal="center" vertical="center"/>
    </xf>
    <xf numFmtId="9" fontId="19" fillId="10" borderId="0" xfId="3" applyFont="1" applyFill="1" applyAlignment="1">
      <alignment vertical="center"/>
    </xf>
    <xf numFmtId="166" fontId="19" fillId="10" borderId="0" xfId="0" applyNumberFormat="1" applyFont="1" applyFill="1" applyAlignment="1">
      <alignment vertical="center"/>
    </xf>
    <xf numFmtId="0" fontId="36" fillId="2" borderId="7" xfId="0" applyFont="1" applyFill="1" applyBorder="1"/>
    <xf numFmtId="0" fontId="22" fillId="2" borderId="18" xfId="0" applyFont="1" applyFill="1" applyBorder="1" applyAlignment="1">
      <alignment horizontal="center"/>
    </xf>
    <xf numFmtId="0" fontId="22" fillId="2" borderId="19" xfId="0" applyFont="1" applyFill="1" applyBorder="1" applyAlignment="1">
      <alignment horizontal="center"/>
    </xf>
    <xf numFmtId="0" fontId="34" fillId="2" borderId="0" xfId="0" applyFont="1" applyFill="1"/>
    <xf numFmtId="0" fontId="22" fillId="10" borderId="0" xfId="0" applyFont="1" applyFill="1" applyAlignment="1">
      <alignment vertical="center"/>
    </xf>
    <xf numFmtId="0" fontId="39" fillId="10" borderId="0" xfId="0" applyFont="1" applyFill="1"/>
    <xf numFmtId="0" fontId="26" fillId="10" borderId="52" xfId="0" applyFont="1" applyFill="1" applyBorder="1"/>
    <xf numFmtId="9" fontId="26" fillId="10" borderId="46" xfId="0" applyNumberFormat="1" applyFont="1" applyFill="1" applyBorder="1"/>
    <xf numFmtId="0" fontId="26" fillId="10" borderId="47" xfId="0" applyFont="1" applyFill="1" applyBorder="1"/>
    <xf numFmtId="0" fontId="26" fillId="10" borderId="50" xfId="0" applyFont="1" applyFill="1" applyBorder="1"/>
    <xf numFmtId="0" fontId="26" fillId="10" borderId="35" xfId="0" applyFont="1" applyFill="1" applyBorder="1"/>
    <xf numFmtId="0" fontId="26" fillId="10" borderId="51" xfId="0" applyFont="1" applyFill="1" applyBorder="1"/>
    <xf numFmtId="9" fontId="26" fillId="10" borderId="37" xfId="0" applyNumberFormat="1" applyFont="1" applyFill="1" applyBorder="1"/>
    <xf numFmtId="0" fontId="26" fillId="10" borderId="38" xfId="0" applyFont="1" applyFill="1" applyBorder="1"/>
    <xf numFmtId="9" fontId="26" fillId="10" borderId="35" xfId="0" applyNumberFormat="1" applyFont="1" applyFill="1" applyBorder="1"/>
    <xf numFmtId="9" fontId="26" fillId="10" borderId="38" xfId="0" applyNumberFormat="1" applyFont="1" applyFill="1" applyBorder="1"/>
    <xf numFmtId="0" fontId="26" fillId="15" borderId="0" xfId="0" applyFont="1" applyFill="1"/>
    <xf numFmtId="0" fontId="26" fillId="13" borderId="0" xfId="0" applyFont="1" applyFill="1"/>
    <xf numFmtId="0" fontId="38" fillId="13" borderId="0" xfId="0" applyFont="1" applyFill="1"/>
    <xf numFmtId="0" fontId="19" fillId="2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9" fillId="10" borderId="23" xfId="0" applyFont="1" applyFill="1" applyBorder="1"/>
    <xf numFmtId="0" fontId="19" fillId="10" borderId="25" xfId="0" applyFont="1" applyFill="1" applyBorder="1" applyAlignment="1">
      <alignment wrapText="1"/>
    </xf>
    <xf numFmtId="0" fontId="20" fillId="10" borderId="25" xfId="0" applyFont="1" applyFill="1" applyBorder="1" applyAlignment="1">
      <alignment wrapText="1"/>
    </xf>
    <xf numFmtId="0" fontId="35" fillId="10" borderId="25" xfId="0" applyFont="1" applyFill="1" applyBorder="1"/>
    <xf numFmtId="0" fontId="22" fillId="2" borderId="18" xfId="0" applyFont="1" applyFill="1" applyBorder="1" applyAlignment="1">
      <alignment horizontal="center" vertical="center"/>
    </xf>
    <xf numFmtId="0" fontId="35" fillId="10" borderId="26" xfId="0" applyFont="1" applyFill="1" applyBorder="1"/>
    <xf numFmtId="166" fontId="40" fillId="3" borderId="22" xfId="0" applyNumberFormat="1" applyFont="1" applyFill="1" applyBorder="1" applyAlignment="1">
      <alignment horizontal="right" vertical="top"/>
    </xf>
    <xf numFmtId="166" fontId="40" fillId="4" borderId="59" xfId="0" applyNumberFormat="1" applyFont="1" applyFill="1" applyBorder="1" applyAlignment="1">
      <alignment vertical="top"/>
    </xf>
    <xf numFmtId="166" fontId="40" fillId="13" borderId="54" xfId="0" applyNumberFormat="1" applyFont="1" applyFill="1" applyBorder="1" applyAlignment="1">
      <alignment horizontal="right" vertical="top"/>
    </xf>
    <xf numFmtId="166" fontId="40" fillId="3" borderId="22" xfId="0" applyNumberFormat="1" applyFont="1" applyFill="1" applyBorder="1" applyAlignment="1">
      <alignment vertical="top"/>
    </xf>
    <xf numFmtId="166" fontId="40" fillId="13" borderId="54" xfId="0" applyNumberFormat="1" applyFont="1" applyFill="1" applyBorder="1" applyAlignment="1">
      <alignment vertical="top"/>
    </xf>
    <xf numFmtId="166" fontId="40" fillId="3" borderId="27" xfId="0" applyNumberFormat="1" applyFont="1" applyFill="1" applyBorder="1" applyAlignment="1">
      <alignment vertical="top"/>
    </xf>
    <xf numFmtId="166" fontId="40" fillId="4" borderId="60" xfId="0" applyNumberFormat="1" applyFont="1" applyFill="1" applyBorder="1" applyAlignment="1">
      <alignment vertical="top"/>
    </xf>
    <xf numFmtId="166" fontId="40" fillId="13" borderId="55" xfId="0" applyNumberFormat="1" applyFont="1" applyFill="1" applyBorder="1" applyAlignment="1">
      <alignment vertical="top"/>
    </xf>
    <xf numFmtId="0" fontId="13" fillId="10" borderId="0" xfId="0" applyFont="1" applyFill="1"/>
    <xf numFmtId="0" fontId="13" fillId="10" borderId="0" xfId="0" applyFont="1" applyFill="1" applyAlignment="1">
      <alignment wrapText="1"/>
    </xf>
    <xf numFmtId="9" fontId="15" fillId="10" borderId="19" xfId="0" applyNumberFormat="1" applyFont="1" applyFill="1" applyBorder="1" applyAlignment="1">
      <alignment horizontal="right"/>
    </xf>
    <xf numFmtId="0" fontId="13" fillId="10" borderId="8" xfId="0" applyFont="1" applyFill="1" applyBorder="1"/>
    <xf numFmtId="0" fontId="13" fillId="10" borderId="13" xfId="0" applyFont="1" applyFill="1" applyBorder="1"/>
    <xf numFmtId="0" fontId="13" fillId="10" borderId="9" xfId="0" applyFont="1" applyFill="1" applyBorder="1"/>
    <xf numFmtId="0" fontId="8" fillId="10" borderId="9" xfId="0" applyFont="1" applyFill="1" applyBorder="1"/>
    <xf numFmtId="0" fontId="13" fillId="10" borderId="5" xfId="0" applyFont="1" applyFill="1" applyBorder="1"/>
    <xf numFmtId="0" fontId="13" fillId="8" borderId="6" xfId="0" applyFont="1" applyFill="1" applyBorder="1"/>
    <xf numFmtId="0" fontId="8" fillId="10" borderId="10" xfId="0" applyFont="1" applyFill="1" applyBorder="1"/>
    <xf numFmtId="0" fontId="13" fillId="10" borderId="57" xfId="0" applyFont="1" applyFill="1" applyBorder="1"/>
    <xf numFmtId="0" fontId="53" fillId="10" borderId="0" xfId="0" applyFont="1" applyFill="1"/>
    <xf numFmtId="0" fontId="55" fillId="10" borderId="0" xfId="0" applyFont="1" applyFill="1"/>
    <xf numFmtId="0" fontId="50" fillId="4" borderId="8" xfId="0" applyFont="1" applyFill="1" applyBorder="1" applyAlignment="1">
      <alignment vertical="center"/>
    </xf>
    <xf numFmtId="0" fontId="51" fillId="4" borderId="13" xfId="0" applyFont="1" applyFill="1" applyBorder="1"/>
    <xf numFmtId="0" fontId="13" fillId="4" borderId="13" xfId="0" applyFont="1" applyFill="1" applyBorder="1"/>
    <xf numFmtId="0" fontId="46" fillId="4" borderId="13" xfId="0" applyFont="1" applyFill="1" applyBorder="1"/>
    <xf numFmtId="0" fontId="10" fillId="4" borderId="13" xfId="0" applyFont="1" applyFill="1" applyBorder="1"/>
    <xf numFmtId="0" fontId="10" fillId="4" borderId="14" xfId="0" applyFont="1" applyFill="1" applyBorder="1"/>
    <xf numFmtId="0" fontId="49" fillId="10" borderId="9" xfId="0" applyFont="1" applyFill="1" applyBorder="1" applyAlignment="1">
      <alignment vertical="center"/>
    </xf>
    <xf numFmtId="0" fontId="46" fillId="10" borderId="0" xfId="0" applyFont="1" applyFill="1"/>
    <xf numFmtId="0" fontId="10" fillId="10" borderId="0" xfId="0" applyFont="1" applyFill="1"/>
    <xf numFmtId="0" fontId="10" fillId="10" borderId="4" xfId="0" applyFont="1" applyFill="1" applyBorder="1"/>
    <xf numFmtId="0" fontId="10" fillId="10" borderId="9" xfId="0" applyFont="1" applyFill="1" applyBorder="1"/>
    <xf numFmtId="0" fontId="14" fillId="10" borderId="9" xfId="0" applyFont="1" applyFill="1" applyBorder="1"/>
    <xf numFmtId="0" fontId="10" fillId="10" borderId="11" xfId="0" applyFont="1" applyFill="1" applyBorder="1"/>
    <xf numFmtId="0" fontId="52" fillId="4" borderId="13" xfId="0" applyFont="1" applyFill="1" applyBorder="1"/>
    <xf numFmtId="0" fontId="52" fillId="4" borderId="14" xfId="0" applyFont="1" applyFill="1" applyBorder="1"/>
    <xf numFmtId="0" fontId="13" fillId="10" borderId="4" xfId="0" applyFont="1" applyFill="1" applyBorder="1"/>
    <xf numFmtId="0" fontId="13" fillId="10" borderId="11" xfId="0" applyFont="1" applyFill="1" applyBorder="1"/>
    <xf numFmtId="165" fontId="14" fillId="10" borderId="0" xfId="4" applyNumberFormat="1" applyFont="1" applyFill="1" applyBorder="1" applyProtection="1"/>
    <xf numFmtId="0" fontId="16" fillId="10" borderId="9" xfId="0" applyFont="1" applyFill="1" applyBorder="1"/>
    <xf numFmtId="0" fontId="60" fillId="10" borderId="17" xfId="0" applyFont="1" applyFill="1" applyBorder="1" applyAlignment="1">
      <alignment vertical="center"/>
    </xf>
    <xf numFmtId="0" fontId="32" fillId="10" borderId="6" xfId="0" applyFont="1" applyFill="1" applyBorder="1" applyAlignment="1">
      <alignment vertical="center"/>
    </xf>
    <xf numFmtId="0" fontId="13" fillId="10" borderId="18" xfId="0" applyFont="1" applyFill="1" applyBorder="1" applyAlignment="1">
      <alignment vertical="center"/>
    </xf>
    <xf numFmtId="0" fontId="13" fillId="10" borderId="0" xfId="0" applyFont="1" applyFill="1" applyAlignment="1">
      <alignment vertical="center"/>
    </xf>
    <xf numFmtId="0" fontId="32" fillId="10" borderId="0" xfId="0" applyFont="1" applyFill="1" applyAlignment="1">
      <alignment vertical="center"/>
    </xf>
    <xf numFmtId="0" fontId="42" fillId="10" borderId="0" xfId="0" applyFont="1" applyFill="1" applyAlignment="1">
      <alignment vertical="center"/>
    </xf>
    <xf numFmtId="0" fontId="16" fillId="10" borderId="0" xfId="0" applyFont="1" applyFill="1"/>
    <xf numFmtId="0" fontId="32" fillId="10" borderId="20" xfId="0" applyFont="1" applyFill="1" applyBorder="1" applyAlignment="1">
      <alignment vertical="center"/>
    </xf>
    <xf numFmtId="0" fontId="13" fillId="18" borderId="9" xfId="0" applyFont="1" applyFill="1" applyBorder="1" applyAlignment="1">
      <alignment horizontal="left"/>
    </xf>
    <xf numFmtId="0" fontId="13" fillId="18" borderId="0" xfId="0" applyFont="1" applyFill="1"/>
    <xf numFmtId="0" fontId="13" fillId="18" borderId="4" xfId="0" applyFont="1" applyFill="1" applyBorder="1"/>
    <xf numFmtId="0" fontId="32" fillId="10" borderId="20" xfId="0" applyFont="1" applyFill="1" applyBorder="1" applyAlignment="1">
      <alignment horizontal="left" vertical="center"/>
    </xf>
    <xf numFmtId="0" fontId="13" fillId="10" borderId="9" xfId="0" applyFont="1" applyFill="1" applyBorder="1" applyAlignment="1">
      <alignment horizontal="left"/>
    </xf>
    <xf numFmtId="0" fontId="32" fillId="10" borderId="10" xfId="0" applyFont="1" applyFill="1" applyBorder="1"/>
    <xf numFmtId="0" fontId="10" fillId="10" borderId="12" xfId="0" applyFont="1" applyFill="1" applyBorder="1"/>
    <xf numFmtId="0" fontId="56" fillId="16" borderId="17" xfId="0" applyFont="1" applyFill="1" applyBorder="1"/>
    <xf numFmtId="0" fontId="57" fillId="16" borderId="18" xfId="0" applyFont="1" applyFill="1" applyBorder="1"/>
    <xf numFmtId="44" fontId="56" fillId="16" borderId="19" xfId="0" quotePrefix="1" applyNumberFormat="1" applyFont="1" applyFill="1" applyBorder="1"/>
    <xf numFmtId="9" fontId="15" fillId="10" borderId="61" xfId="0" applyNumberFormat="1" applyFont="1" applyFill="1" applyBorder="1" applyAlignment="1">
      <alignment horizontal="right"/>
    </xf>
    <xf numFmtId="9" fontId="13" fillId="10" borderId="63" xfId="0" applyNumberFormat="1" applyFont="1" applyFill="1" applyBorder="1" applyAlignment="1">
      <alignment horizontal="right"/>
    </xf>
    <xf numFmtId="9" fontId="13" fillId="10" borderId="64" xfId="0" applyNumberFormat="1" applyFont="1" applyFill="1" applyBorder="1" applyAlignment="1">
      <alignment horizontal="right"/>
    </xf>
    <xf numFmtId="9" fontId="13" fillId="10" borderId="65" xfId="0" applyNumberFormat="1" applyFont="1" applyFill="1" applyBorder="1" applyAlignment="1">
      <alignment horizontal="right"/>
    </xf>
    <xf numFmtId="0" fontId="10" fillId="10" borderId="22" xfId="0" applyFont="1" applyFill="1" applyBorder="1"/>
    <xf numFmtId="44" fontId="8" fillId="10" borderId="64" xfId="0" applyNumberFormat="1" applyFont="1" applyFill="1" applyBorder="1"/>
    <xf numFmtId="0" fontId="11" fillId="10" borderId="64" xfId="0" applyFont="1" applyFill="1" applyBorder="1"/>
    <xf numFmtId="44" fontId="56" fillId="16" borderId="61" xfId="0" quotePrefix="1" applyNumberFormat="1" applyFont="1" applyFill="1" applyBorder="1"/>
    <xf numFmtId="0" fontId="13" fillId="10" borderId="22" xfId="0" applyFont="1" applyFill="1" applyBorder="1"/>
    <xf numFmtId="9" fontId="33" fillId="10" borderId="64" xfId="0" applyNumberFormat="1" applyFont="1" applyFill="1" applyBorder="1" applyAlignment="1">
      <alignment horizontal="right"/>
    </xf>
    <xf numFmtId="166" fontId="13" fillId="10" borderId="64" xfId="0" applyNumberFormat="1" applyFont="1" applyFill="1" applyBorder="1"/>
    <xf numFmtId="0" fontId="14" fillId="10" borderId="64" xfId="0" applyFont="1" applyFill="1" applyBorder="1"/>
    <xf numFmtId="9" fontId="33" fillId="10" borderId="63" xfId="0" applyNumberFormat="1" applyFont="1" applyFill="1" applyBorder="1" applyAlignment="1">
      <alignment horizontal="right"/>
    </xf>
    <xf numFmtId="9" fontId="13" fillId="10" borderId="66" xfId="0" applyNumberFormat="1" applyFont="1" applyFill="1" applyBorder="1" applyAlignment="1">
      <alignment horizontal="right"/>
    </xf>
    <xf numFmtId="9" fontId="13" fillId="10" borderId="41" xfId="0" applyNumberFormat="1" applyFont="1" applyFill="1" applyBorder="1" applyAlignment="1">
      <alignment horizontal="right"/>
    </xf>
    <xf numFmtId="9" fontId="13" fillId="10" borderId="68" xfId="0" applyNumberFormat="1" applyFont="1" applyFill="1" applyBorder="1" applyAlignment="1">
      <alignment horizontal="right"/>
    </xf>
    <xf numFmtId="9" fontId="13" fillId="10" borderId="69" xfId="0" applyNumberFormat="1" applyFont="1" applyFill="1" applyBorder="1" applyAlignment="1">
      <alignment horizontal="right"/>
    </xf>
    <xf numFmtId="0" fontId="12" fillId="2" borderId="26" xfId="0" applyFont="1" applyFill="1" applyBorder="1" applyAlignment="1">
      <alignment horizontal="right" vertical="center"/>
    </xf>
    <xf numFmtId="0" fontId="13" fillId="10" borderId="63" xfId="0" applyFont="1" applyFill="1" applyBorder="1"/>
    <xf numFmtId="10" fontId="8" fillId="6" borderId="7" xfId="3" applyNumberFormat="1" applyFont="1" applyFill="1" applyBorder="1"/>
    <xf numFmtId="0" fontId="10" fillId="10" borderId="63" xfId="0" applyFont="1" applyFill="1" applyBorder="1"/>
    <xf numFmtId="0" fontId="10" fillId="10" borderId="41" xfId="0" applyFont="1" applyFill="1" applyBorder="1"/>
    <xf numFmtId="44" fontId="8" fillId="10" borderId="68" xfId="0" applyNumberFormat="1" applyFont="1" applyFill="1" applyBorder="1"/>
    <xf numFmtId="0" fontId="11" fillId="10" borderId="68" xfId="0" applyFont="1" applyFill="1" applyBorder="1"/>
    <xf numFmtId="0" fontId="13" fillId="10" borderId="65" xfId="0" applyFont="1" applyFill="1" applyBorder="1"/>
    <xf numFmtId="0" fontId="13" fillId="10" borderId="69" xfId="0" applyFont="1" applyFill="1" applyBorder="1"/>
    <xf numFmtId="0" fontId="59" fillId="10" borderId="17" xfId="0" applyFont="1" applyFill="1" applyBorder="1" applyAlignment="1">
      <alignment vertical="center"/>
    </xf>
    <xf numFmtId="0" fontId="59" fillId="10" borderId="18" xfId="0" applyFont="1" applyFill="1" applyBorder="1" applyAlignment="1">
      <alignment vertical="center"/>
    </xf>
    <xf numFmtId="0" fontId="13" fillId="10" borderId="8" xfId="0" applyFont="1" applyFill="1" applyBorder="1" applyAlignment="1">
      <alignment vertical="center"/>
    </xf>
    <xf numFmtId="0" fontId="13" fillId="10" borderId="9" xfId="0" applyFont="1" applyFill="1" applyBorder="1" applyAlignment="1">
      <alignment vertical="center"/>
    </xf>
    <xf numFmtId="0" fontId="14" fillId="10" borderId="9" xfId="0" applyFont="1" applyFill="1" applyBorder="1" applyAlignment="1">
      <alignment vertical="center"/>
    </xf>
    <xf numFmtId="0" fontId="13" fillId="10" borderId="10" xfId="0" applyFont="1" applyFill="1" applyBorder="1" applyAlignment="1">
      <alignment vertical="center"/>
    </xf>
    <xf numFmtId="0" fontId="31" fillId="10" borderId="0" xfId="0" applyFont="1" applyFill="1" applyAlignment="1">
      <alignment vertical="center"/>
    </xf>
    <xf numFmtId="0" fontId="30" fillId="9" borderId="11" xfId="0" applyFont="1" applyFill="1" applyBorder="1" applyAlignment="1">
      <alignment horizontal="center" vertical="center"/>
    </xf>
    <xf numFmtId="0" fontId="13" fillId="8" borderId="0" xfId="0" applyFont="1" applyFill="1"/>
    <xf numFmtId="0" fontId="0" fillId="9" borderId="0" xfId="0" applyFill="1"/>
    <xf numFmtId="166" fontId="8" fillId="3" borderId="36" xfId="3" applyNumberFormat="1" applyFont="1" applyFill="1" applyBorder="1" applyProtection="1">
      <protection locked="0"/>
    </xf>
    <xf numFmtId="166" fontId="8" fillId="4" borderId="15" xfId="3" applyNumberFormat="1" applyFont="1" applyFill="1" applyBorder="1" applyProtection="1">
      <protection locked="0"/>
    </xf>
    <xf numFmtId="166" fontId="8" fillId="7" borderId="15" xfId="3" applyNumberFormat="1" applyFont="1" applyFill="1" applyBorder="1" applyProtection="1">
      <protection locked="0"/>
    </xf>
    <xf numFmtId="166" fontId="8" fillId="5" borderId="15" xfId="3" applyNumberFormat="1" applyFont="1" applyFill="1" applyBorder="1" applyProtection="1">
      <protection locked="0"/>
    </xf>
    <xf numFmtId="166" fontId="8" fillId="13" borderId="16" xfId="3" applyNumberFormat="1" applyFont="1" applyFill="1" applyBorder="1" applyProtection="1">
      <protection locked="0"/>
    </xf>
    <xf numFmtId="0" fontId="15" fillId="10" borderId="7" xfId="0" applyFont="1" applyFill="1" applyBorder="1"/>
    <xf numFmtId="9" fontId="33" fillId="10" borderId="73" xfId="0" applyNumberFormat="1" applyFont="1" applyFill="1" applyBorder="1" applyAlignment="1">
      <alignment horizontal="right"/>
    </xf>
    <xf numFmtId="9" fontId="13" fillId="10" borderId="74" xfId="0" applyNumberFormat="1" applyFont="1" applyFill="1" applyBorder="1" applyAlignment="1">
      <alignment horizontal="right"/>
    </xf>
    <xf numFmtId="9" fontId="13" fillId="10" borderId="73" xfId="0" applyNumberFormat="1" applyFont="1" applyFill="1" applyBorder="1" applyAlignment="1">
      <alignment horizontal="right"/>
    </xf>
    <xf numFmtId="9" fontId="13" fillId="10" borderId="75" xfId="0" applyNumberFormat="1" applyFont="1" applyFill="1" applyBorder="1" applyAlignment="1">
      <alignment horizontal="right"/>
    </xf>
    <xf numFmtId="9" fontId="15" fillId="10" borderId="45" xfId="0" applyNumberFormat="1" applyFont="1" applyFill="1" applyBorder="1" applyAlignment="1">
      <alignment horizontal="right"/>
    </xf>
    <xf numFmtId="0" fontId="13" fillId="10" borderId="14" xfId="0" applyFont="1" applyFill="1" applyBorder="1"/>
    <xf numFmtId="0" fontId="13" fillId="10" borderId="31" xfId="0" applyFont="1" applyFill="1" applyBorder="1"/>
    <xf numFmtId="0" fontId="13" fillId="8" borderId="31" xfId="0" applyFont="1" applyFill="1" applyBorder="1"/>
    <xf numFmtId="0" fontId="13" fillId="8" borderId="4" xfId="0" applyFont="1" applyFill="1" applyBorder="1"/>
    <xf numFmtId="0" fontId="13" fillId="10" borderId="42" xfId="0" applyFont="1" applyFill="1" applyBorder="1"/>
    <xf numFmtId="0" fontId="13" fillId="10" borderId="6" xfId="0" applyFont="1" applyFill="1" applyBorder="1"/>
    <xf numFmtId="0" fontId="13" fillId="10" borderId="21" xfId="0" applyFont="1" applyFill="1" applyBorder="1"/>
    <xf numFmtId="0" fontId="13" fillId="10" borderId="30" xfId="0" applyFont="1" applyFill="1" applyBorder="1"/>
    <xf numFmtId="0" fontId="8" fillId="10" borderId="20" xfId="0" applyFont="1" applyFill="1" applyBorder="1"/>
    <xf numFmtId="0" fontId="51" fillId="4" borderId="14" xfId="0" applyFont="1" applyFill="1" applyBorder="1"/>
    <xf numFmtId="0" fontId="13" fillId="4" borderId="8" xfId="0" applyFont="1" applyFill="1" applyBorder="1"/>
    <xf numFmtId="0" fontId="13" fillId="10" borderId="25" xfId="0" applyFont="1" applyFill="1" applyBorder="1"/>
    <xf numFmtId="0" fontId="51" fillId="4" borderId="8" xfId="0" applyFont="1" applyFill="1" applyBorder="1"/>
    <xf numFmtId="0" fontId="13" fillId="10" borderId="74" xfId="0" applyFont="1" applyFill="1" applyBorder="1"/>
    <xf numFmtId="0" fontId="13" fillId="10" borderId="73" xfId="0" applyFont="1" applyFill="1" applyBorder="1"/>
    <xf numFmtId="165" fontId="14" fillId="10" borderId="4" xfId="4" applyNumberFormat="1" applyFont="1" applyFill="1" applyBorder="1" applyProtection="1"/>
    <xf numFmtId="0" fontId="13" fillId="10" borderId="12" xfId="0" applyFont="1" applyFill="1" applyBorder="1"/>
    <xf numFmtId="0" fontId="13" fillId="10" borderId="19" xfId="0" applyFont="1" applyFill="1" applyBorder="1" applyAlignment="1">
      <alignment vertical="center"/>
    </xf>
    <xf numFmtId="0" fontId="32" fillId="10" borderId="21" xfId="0" applyFont="1" applyFill="1" applyBorder="1" applyAlignment="1">
      <alignment vertical="center"/>
    </xf>
    <xf numFmtId="0" fontId="59" fillId="10" borderId="19" xfId="0" applyFont="1" applyFill="1" applyBorder="1" applyAlignment="1">
      <alignment vertical="center"/>
    </xf>
    <xf numFmtId="44" fontId="49" fillId="11" borderId="45" xfId="1" applyFont="1" applyFill="1" applyBorder="1" applyAlignment="1" applyProtection="1">
      <alignment vertical="center"/>
    </xf>
    <xf numFmtId="44" fontId="17" fillId="8" borderId="26" xfId="0" applyNumberFormat="1" applyFont="1" applyFill="1" applyBorder="1" applyAlignment="1">
      <alignment vertical="center"/>
    </xf>
    <xf numFmtId="44" fontId="17" fillId="8" borderId="27" xfId="0" applyNumberFormat="1" applyFont="1" applyFill="1" applyBorder="1" applyAlignment="1">
      <alignment vertical="center"/>
    </xf>
    <xf numFmtId="44" fontId="17" fillId="8" borderId="12" xfId="0" applyNumberFormat="1" applyFont="1" applyFill="1" applyBorder="1" applyAlignment="1">
      <alignment vertical="center"/>
    </xf>
    <xf numFmtId="2" fontId="18" fillId="12" borderId="26" xfId="0" applyNumberFormat="1" applyFont="1" applyFill="1" applyBorder="1" applyAlignment="1">
      <alignment horizontal="right" vertical="center"/>
    </xf>
    <xf numFmtId="2" fontId="18" fillId="12" borderId="27" xfId="0" applyNumberFormat="1" applyFont="1" applyFill="1" applyBorder="1" applyAlignment="1">
      <alignment horizontal="right" vertical="center"/>
    </xf>
    <xf numFmtId="2" fontId="18" fillId="12" borderId="12" xfId="0" applyNumberFormat="1" applyFont="1" applyFill="1" applyBorder="1" applyAlignment="1">
      <alignment horizontal="right" vertical="center"/>
    </xf>
    <xf numFmtId="0" fontId="0" fillId="9" borderId="11" xfId="0" applyFill="1" applyBorder="1"/>
    <xf numFmtId="44" fontId="13" fillId="10" borderId="73" xfId="0" applyNumberFormat="1" applyFont="1" applyFill="1" applyBorder="1"/>
    <xf numFmtId="44" fontId="56" fillId="16" borderId="45" xfId="0" quotePrefix="1" applyNumberFormat="1" applyFont="1" applyFill="1" applyBorder="1"/>
    <xf numFmtId="0" fontId="57" fillId="16" borderId="19" xfId="0" applyFont="1" applyFill="1" applyBorder="1"/>
    <xf numFmtId="0" fontId="13" fillId="10" borderId="75" xfId="0" applyFont="1" applyFill="1" applyBorder="1"/>
    <xf numFmtId="44" fontId="8" fillId="10" borderId="73" xfId="0" applyNumberFormat="1" applyFont="1" applyFill="1" applyBorder="1"/>
    <xf numFmtId="0" fontId="14" fillId="10" borderId="73" xfId="0" applyFont="1" applyFill="1" applyBorder="1"/>
    <xf numFmtId="0" fontId="13" fillId="9" borderId="0" xfId="0" applyFont="1" applyFill="1"/>
    <xf numFmtId="0" fontId="13" fillId="9" borderId="0" xfId="0" applyFont="1" applyFill="1" applyAlignment="1">
      <alignment wrapText="1"/>
    </xf>
    <xf numFmtId="0" fontId="42" fillId="9" borderId="0" xfId="0" applyFont="1" applyFill="1" applyAlignment="1">
      <alignment vertical="center"/>
    </xf>
    <xf numFmtId="0" fontId="55" fillId="9" borderId="0" xfId="0" applyFont="1" applyFill="1"/>
    <xf numFmtId="0" fontId="53" fillId="9" borderId="0" xfId="0" applyFont="1" applyFill="1"/>
    <xf numFmtId="0" fontId="31" fillId="9" borderId="11" xfId="0" applyFont="1" applyFill="1" applyBorder="1" applyAlignment="1">
      <alignment vertical="center"/>
    </xf>
    <xf numFmtId="0" fontId="10" fillId="9" borderId="0" xfId="0" applyFont="1" applyFill="1"/>
    <xf numFmtId="44" fontId="13" fillId="9" borderId="0" xfId="0" applyNumberFormat="1" applyFont="1" applyFill="1"/>
    <xf numFmtId="0" fontId="46" fillId="9" borderId="0" xfId="0" applyFont="1" applyFill="1"/>
    <xf numFmtId="0" fontId="15" fillId="9" borderId="13" xfId="0" applyFont="1" applyFill="1" applyBorder="1"/>
    <xf numFmtId="0" fontId="13" fillId="9" borderId="13" xfId="0" applyFont="1" applyFill="1" applyBorder="1"/>
    <xf numFmtId="0" fontId="10" fillId="9" borderId="4" xfId="0" applyFont="1" applyFill="1" applyBorder="1"/>
    <xf numFmtId="0" fontId="10" fillId="9" borderId="4" xfId="0" applyFont="1" applyFill="1" applyBorder="1" applyAlignment="1">
      <alignment vertical="center"/>
    </xf>
    <xf numFmtId="0" fontId="48" fillId="9" borderId="4" xfId="0" applyFont="1" applyFill="1" applyBorder="1" applyAlignment="1">
      <alignment vertical="center"/>
    </xf>
    <xf numFmtId="0" fontId="43" fillId="9" borderId="4" xfId="0" applyFont="1" applyFill="1" applyBorder="1" applyAlignment="1">
      <alignment vertical="center"/>
    </xf>
    <xf numFmtId="0" fontId="58" fillId="9" borderId="4" xfId="0" applyFont="1" applyFill="1" applyBorder="1"/>
    <xf numFmtId="0" fontId="54" fillId="9" borderId="4" xfId="0" applyFont="1" applyFill="1" applyBorder="1"/>
    <xf numFmtId="0" fontId="0" fillId="9" borderId="12" xfId="0" applyFill="1" applyBorder="1" applyAlignment="1">
      <alignment vertical="center"/>
    </xf>
    <xf numFmtId="0" fontId="14" fillId="10" borderId="68" xfId="0" applyFont="1" applyFill="1" applyBorder="1"/>
    <xf numFmtId="0" fontId="59" fillId="10" borderId="45" xfId="0" applyFont="1" applyFill="1" applyBorder="1" applyAlignment="1">
      <alignment horizontal="right" vertical="center"/>
    </xf>
    <xf numFmtId="0" fontId="12" fillId="2" borderId="81" xfId="0" applyFont="1" applyFill="1" applyBorder="1" applyAlignment="1">
      <alignment horizontal="right" vertical="center"/>
    </xf>
    <xf numFmtId="0" fontId="12" fillId="2" borderId="79" xfId="0" applyFont="1" applyFill="1" applyBorder="1" applyAlignment="1">
      <alignment horizontal="right" vertical="center"/>
    </xf>
    <xf numFmtId="0" fontId="12" fillId="2" borderId="84" xfId="0" applyFont="1" applyFill="1" applyBorder="1" applyAlignment="1">
      <alignment horizontal="right" vertical="center"/>
    </xf>
    <xf numFmtId="0" fontId="0" fillId="9" borderId="8" xfId="0" applyFill="1" applyBorder="1"/>
    <xf numFmtId="0" fontId="0" fillId="9" borderId="13" xfId="0" applyFill="1" applyBorder="1"/>
    <xf numFmtId="0" fontId="0" fillId="9" borderId="14" xfId="0" applyFill="1" applyBorder="1"/>
    <xf numFmtId="0" fontId="0" fillId="9" borderId="9" xfId="0" applyFill="1" applyBorder="1"/>
    <xf numFmtId="0" fontId="0" fillId="9" borderId="4" xfId="0" applyFill="1" applyBorder="1"/>
    <xf numFmtId="0" fontId="0" fillId="9" borderId="10" xfId="0" applyFill="1" applyBorder="1"/>
    <xf numFmtId="0" fontId="0" fillId="9" borderId="12" xfId="0" applyFill="1" applyBorder="1"/>
    <xf numFmtId="8" fontId="59" fillId="10" borderId="61" xfId="0" applyNumberFormat="1" applyFont="1" applyFill="1" applyBorder="1" applyAlignment="1">
      <alignment horizontal="right"/>
    </xf>
    <xf numFmtId="0" fontId="59" fillId="10" borderId="61" xfId="0" applyFont="1" applyFill="1" applyBorder="1" applyAlignment="1">
      <alignment horizontal="right"/>
    </xf>
    <xf numFmtId="10" fontId="59" fillId="10" borderId="18" xfId="3" applyNumberFormat="1" applyFont="1" applyFill="1" applyBorder="1" applyAlignment="1">
      <alignment horizontal="right"/>
    </xf>
    <xf numFmtId="10" fontId="59" fillId="10" borderId="61" xfId="0" applyNumberFormat="1" applyFont="1" applyFill="1" applyBorder="1" applyAlignment="1">
      <alignment horizontal="right"/>
    </xf>
    <xf numFmtId="166" fontId="59" fillId="10" borderId="61" xfId="0" applyNumberFormat="1" applyFont="1" applyFill="1" applyBorder="1" applyAlignment="1">
      <alignment horizontal="right"/>
    </xf>
    <xf numFmtId="168" fontId="59" fillId="10" borderId="61" xfId="0" applyNumberFormat="1" applyFont="1" applyFill="1" applyBorder="1" applyAlignment="1">
      <alignment horizontal="right" vertical="center"/>
    </xf>
    <xf numFmtId="44" fontId="59" fillId="10" borderId="61" xfId="0" quotePrefix="1" applyNumberFormat="1" applyFont="1" applyFill="1" applyBorder="1" applyAlignment="1">
      <alignment horizontal="right"/>
    </xf>
    <xf numFmtId="0" fontId="59" fillId="10" borderId="45" xfId="0" applyFont="1" applyFill="1" applyBorder="1" applyAlignment="1">
      <alignment horizontal="right"/>
    </xf>
    <xf numFmtId="44" fontId="59" fillId="10" borderId="19" xfId="1" applyFont="1" applyFill="1" applyBorder="1" applyAlignment="1" applyProtection="1">
      <alignment horizontal="right" vertical="center"/>
    </xf>
    <xf numFmtId="8" fontId="8" fillId="6" borderId="82" xfId="0" applyNumberFormat="1" applyFont="1" applyFill="1" applyBorder="1" applyAlignment="1">
      <alignment horizontal="right"/>
    </xf>
    <xf numFmtId="0" fontId="13" fillId="10" borderId="82" xfId="0" applyFont="1" applyFill="1" applyBorder="1" applyAlignment="1">
      <alignment horizontal="right"/>
    </xf>
    <xf numFmtId="10" fontId="13" fillId="0" borderId="83" xfId="3" applyNumberFormat="1" applyFont="1" applyBorder="1" applyAlignment="1">
      <alignment horizontal="right"/>
    </xf>
    <xf numFmtId="10" fontId="13" fillId="10" borderId="82" xfId="0" applyNumberFormat="1" applyFont="1" applyFill="1" applyBorder="1" applyAlignment="1">
      <alignment horizontal="right"/>
    </xf>
    <xf numFmtId="166" fontId="13" fillId="10" borderId="82" xfId="0" applyNumberFormat="1" applyFont="1" applyFill="1" applyBorder="1" applyAlignment="1">
      <alignment horizontal="right"/>
    </xf>
    <xf numFmtId="168" fontId="59" fillId="6" borderId="82" xfId="0" applyNumberFormat="1" applyFont="1" applyFill="1" applyBorder="1" applyAlignment="1">
      <alignment horizontal="right" vertical="center"/>
    </xf>
    <xf numFmtId="44" fontId="56" fillId="16" borderId="82" xfId="0" quotePrefix="1" applyNumberFormat="1" applyFont="1" applyFill="1" applyBorder="1" applyAlignment="1">
      <alignment horizontal="right"/>
    </xf>
    <xf numFmtId="0" fontId="13" fillId="10" borderId="81" xfId="0" applyFont="1" applyFill="1" applyBorder="1" applyAlignment="1">
      <alignment horizontal="right"/>
    </xf>
    <xf numFmtId="44" fontId="49" fillId="11" borderId="44" xfId="1" applyFont="1" applyFill="1" applyBorder="1" applyAlignment="1" applyProtection="1">
      <alignment horizontal="right" vertical="center"/>
    </xf>
    <xf numFmtId="8" fontId="8" fillId="6" borderId="72" xfId="0" applyNumberFormat="1" applyFont="1" applyFill="1" applyBorder="1" applyAlignment="1">
      <alignment horizontal="right"/>
    </xf>
    <xf numFmtId="0" fontId="13" fillId="10" borderId="72" xfId="0" applyFont="1" applyFill="1" applyBorder="1" applyAlignment="1">
      <alignment horizontal="right"/>
    </xf>
    <xf numFmtId="10" fontId="13" fillId="0" borderId="6" xfId="3" applyNumberFormat="1" applyFont="1" applyBorder="1" applyAlignment="1">
      <alignment horizontal="right"/>
    </xf>
    <xf numFmtId="10" fontId="13" fillId="10" borderId="72" xfId="0" applyNumberFormat="1" applyFont="1" applyFill="1" applyBorder="1" applyAlignment="1">
      <alignment horizontal="right"/>
    </xf>
    <xf numFmtId="166" fontId="13" fillId="10" borderId="72" xfId="0" applyNumberFormat="1" applyFont="1" applyFill="1" applyBorder="1" applyAlignment="1">
      <alignment horizontal="right"/>
    </xf>
    <xf numFmtId="168" fontId="59" fillId="6" borderId="72" xfId="0" applyNumberFormat="1" applyFont="1" applyFill="1" applyBorder="1" applyAlignment="1">
      <alignment horizontal="right" vertical="center"/>
    </xf>
    <xf numFmtId="44" fontId="56" fillId="16" borderId="72" xfId="0" quotePrefix="1" applyNumberFormat="1" applyFont="1" applyFill="1" applyBorder="1" applyAlignment="1">
      <alignment horizontal="right"/>
    </xf>
    <xf numFmtId="0" fontId="13" fillId="10" borderId="79" xfId="0" applyFont="1" applyFill="1" applyBorder="1" applyAlignment="1">
      <alignment horizontal="right"/>
    </xf>
    <xf numFmtId="44" fontId="49" fillId="11" borderId="21" xfId="1" applyFont="1" applyFill="1" applyBorder="1" applyAlignment="1" applyProtection="1">
      <alignment horizontal="right" vertical="center"/>
    </xf>
    <xf numFmtId="8" fontId="8" fillId="6" borderId="85" xfId="0" applyNumberFormat="1" applyFont="1" applyFill="1" applyBorder="1" applyAlignment="1">
      <alignment horizontal="right"/>
    </xf>
    <xf numFmtId="0" fontId="13" fillId="10" borderId="85" xfId="0" applyFont="1" applyFill="1" applyBorder="1" applyAlignment="1">
      <alignment horizontal="right"/>
    </xf>
    <xf numFmtId="10" fontId="13" fillId="0" borderId="5" xfId="3" applyNumberFormat="1" applyFont="1" applyBorder="1" applyAlignment="1">
      <alignment horizontal="right"/>
    </xf>
    <xf numFmtId="10" fontId="13" fillId="10" borderId="85" xfId="0" applyNumberFormat="1" applyFont="1" applyFill="1" applyBorder="1" applyAlignment="1">
      <alignment horizontal="right"/>
    </xf>
    <xf numFmtId="166" fontId="13" fillId="10" borderId="85" xfId="0" applyNumberFormat="1" applyFont="1" applyFill="1" applyBorder="1" applyAlignment="1">
      <alignment horizontal="right"/>
    </xf>
    <xf numFmtId="168" fontId="59" fillId="6" borderId="85" xfId="0" applyNumberFormat="1" applyFont="1" applyFill="1" applyBorder="1" applyAlignment="1">
      <alignment horizontal="right" vertical="center"/>
    </xf>
    <xf numFmtId="44" fontId="56" fillId="16" borderId="85" xfId="0" quotePrefix="1" applyNumberFormat="1" applyFont="1" applyFill="1" applyBorder="1" applyAlignment="1">
      <alignment horizontal="right"/>
    </xf>
    <xf numFmtId="0" fontId="13" fillId="10" borderId="84" xfId="0" applyFont="1" applyFill="1" applyBorder="1" applyAlignment="1">
      <alignment horizontal="right"/>
    </xf>
    <xf numFmtId="44" fontId="49" fillId="11" borderId="31" xfId="1" applyFont="1" applyFill="1" applyBorder="1" applyAlignment="1" applyProtection="1">
      <alignment horizontal="right" vertical="center"/>
    </xf>
    <xf numFmtId="8" fontId="8" fillId="6" borderId="27" xfId="0" applyNumberFormat="1" applyFont="1" applyFill="1" applyBorder="1" applyAlignment="1">
      <alignment horizontal="right"/>
    </xf>
    <xf numFmtId="0" fontId="13" fillId="10" borderId="27" xfId="0" applyFont="1" applyFill="1" applyBorder="1" applyAlignment="1">
      <alignment horizontal="right"/>
    </xf>
    <xf numFmtId="10" fontId="13" fillId="0" borderId="11" xfId="3" applyNumberFormat="1" applyFont="1" applyBorder="1" applyAlignment="1">
      <alignment horizontal="right"/>
    </xf>
    <xf numFmtId="10" fontId="13" fillId="10" borderId="27" xfId="0" applyNumberFormat="1" applyFont="1" applyFill="1" applyBorder="1" applyAlignment="1">
      <alignment horizontal="right"/>
    </xf>
    <xf numFmtId="166" fontId="13" fillId="10" borderId="27" xfId="0" applyNumberFormat="1" applyFont="1" applyFill="1" applyBorder="1" applyAlignment="1">
      <alignment horizontal="right"/>
    </xf>
    <xf numFmtId="168" fontId="59" fillId="6" borderId="27" xfId="0" applyNumberFormat="1" applyFont="1" applyFill="1" applyBorder="1" applyAlignment="1">
      <alignment horizontal="right" vertical="center"/>
    </xf>
    <xf numFmtId="44" fontId="56" fillId="16" borderId="27" xfId="0" quotePrefix="1" applyNumberFormat="1" applyFont="1" applyFill="1" applyBorder="1" applyAlignment="1">
      <alignment horizontal="right"/>
    </xf>
    <xf numFmtId="0" fontId="13" fillId="10" borderId="26" xfId="0" applyFont="1" applyFill="1" applyBorder="1" applyAlignment="1">
      <alignment horizontal="right"/>
    </xf>
    <xf numFmtId="44" fontId="49" fillId="11" borderId="12" xfId="1" applyFont="1" applyFill="1" applyBorder="1" applyAlignment="1" applyProtection="1">
      <alignment horizontal="right" vertical="center"/>
    </xf>
    <xf numFmtId="10" fontId="16" fillId="3" borderId="0" xfId="3" applyNumberFormat="1" applyFont="1" applyFill="1" applyBorder="1" applyProtection="1">
      <protection locked="0"/>
    </xf>
    <xf numFmtId="167" fontId="16" fillId="3" borderId="0" xfId="8" applyNumberFormat="1" applyFont="1" applyFill="1" applyBorder="1" applyProtection="1">
      <protection locked="0"/>
    </xf>
    <xf numFmtId="10" fontId="16" fillId="4" borderId="0" xfId="3" applyNumberFormat="1" applyFont="1" applyFill="1" applyBorder="1" applyProtection="1">
      <protection locked="0"/>
    </xf>
    <xf numFmtId="167" fontId="16" fillId="4" borderId="0" xfId="8" applyNumberFormat="1" applyFont="1" applyFill="1" applyBorder="1" applyProtection="1">
      <protection locked="0"/>
    </xf>
    <xf numFmtId="10" fontId="16" fillId="7" borderId="0" xfId="3" applyNumberFormat="1" applyFont="1" applyFill="1" applyBorder="1" applyProtection="1">
      <protection locked="0"/>
    </xf>
    <xf numFmtId="167" fontId="16" fillId="7" borderId="0" xfId="8" applyNumberFormat="1" applyFont="1" applyFill="1" applyBorder="1" applyProtection="1">
      <protection locked="0"/>
    </xf>
    <xf numFmtId="10" fontId="16" fillId="5" borderId="0" xfId="3" applyNumberFormat="1" applyFont="1" applyFill="1" applyBorder="1" applyProtection="1">
      <protection locked="0"/>
    </xf>
    <xf numFmtId="167" fontId="16" fillId="5" borderId="0" xfId="8" applyNumberFormat="1" applyFont="1" applyFill="1" applyBorder="1" applyProtection="1">
      <protection locked="0"/>
    </xf>
    <xf numFmtId="0" fontId="8" fillId="8" borderId="13" xfId="0" applyFont="1" applyFill="1" applyBorder="1"/>
    <xf numFmtId="0" fontId="8" fillId="8" borderId="14" xfId="0" applyFont="1" applyFill="1" applyBorder="1"/>
    <xf numFmtId="166" fontId="8" fillId="3" borderId="9" xfId="3" applyNumberFormat="1" applyFont="1" applyFill="1" applyBorder="1" applyProtection="1">
      <protection locked="0"/>
    </xf>
    <xf numFmtId="10" fontId="16" fillId="3" borderId="4" xfId="3" applyNumberFormat="1" applyFont="1" applyFill="1" applyBorder="1" applyProtection="1">
      <protection locked="0"/>
    </xf>
    <xf numFmtId="166" fontId="8" fillId="4" borderId="9" xfId="3" applyNumberFormat="1" applyFont="1" applyFill="1" applyBorder="1" applyProtection="1">
      <protection locked="0"/>
    </xf>
    <xf numFmtId="10" fontId="16" fillId="4" borderId="4" xfId="3" applyNumberFormat="1" applyFont="1" applyFill="1" applyBorder="1" applyProtection="1">
      <protection locked="0"/>
    </xf>
    <xf numFmtId="166" fontId="8" fillId="7" borderId="9" xfId="3" applyNumberFormat="1" applyFont="1" applyFill="1" applyBorder="1" applyProtection="1">
      <protection locked="0"/>
    </xf>
    <xf numFmtId="10" fontId="16" fillId="7" borderId="4" xfId="3" applyNumberFormat="1" applyFont="1" applyFill="1" applyBorder="1" applyProtection="1">
      <protection locked="0"/>
    </xf>
    <xf numFmtId="166" fontId="8" fillId="5" borderId="9" xfId="3" applyNumberFormat="1" applyFont="1" applyFill="1" applyBorder="1" applyProtection="1">
      <protection locked="0"/>
    </xf>
    <xf numFmtId="10" fontId="16" fillId="5" borderId="4" xfId="3" applyNumberFormat="1" applyFont="1" applyFill="1" applyBorder="1" applyProtection="1">
      <protection locked="0"/>
    </xf>
    <xf numFmtId="166" fontId="8" fillId="13" borderId="10" xfId="3" applyNumberFormat="1" applyFont="1" applyFill="1" applyBorder="1" applyProtection="1">
      <protection locked="0"/>
    </xf>
    <xf numFmtId="10" fontId="16" fillId="13" borderId="11" xfId="3" applyNumberFormat="1" applyFont="1" applyFill="1" applyBorder="1" applyProtection="1">
      <protection locked="0"/>
    </xf>
    <xf numFmtId="167" fontId="16" fillId="13" borderId="11" xfId="8" applyNumberFormat="1" applyFont="1" applyFill="1" applyBorder="1" applyProtection="1">
      <protection locked="0"/>
    </xf>
    <xf numFmtId="10" fontId="16" fillId="13" borderId="12" xfId="3" applyNumberFormat="1" applyFont="1" applyFill="1" applyBorder="1" applyProtection="1">
      <protection locked="0"/>
    </xf>
    <xf numFmtId="0" fontId="0" fillId="10" borderId="10" xfId="0" applyFill="1" applyBorder="1"/>
    <xf numFmtId="0" fontId="8" fillId="10" borderId="11" xfId="0" applyFont="1" applyFill="1" applyBorder="1" applyAlignment="1">
      <alignment horizontal="right"/>
    </xf>
    <xf numFmtId="0" fontId="8" fillId="10" borderId="12" xfId="0" applyFont="1" applyFill="1" applyBorder="1" applyAlignment="1">
      <alignment horizontal="right"/>
    </xf>
    <xf numFmtId="0" fontId="0" fillId="10" borderId="8" xfId="0" applyFill="1" applyBorder="1"/>
    <xf numFmtId="0" fontId="16" fillId="10" borderId="13" xfId="0" applyFont="1" applyFill="1" applyBorder="1"/>
    <xf numFmtId="0" fontId="8" fillId="10" borderId="10" xfId="0" applyFont="1" applyFill="1" applyBorder="1" applyAlignment="1">
      <alignment horizontal="left"/>
    </xf>
    <xf numFmtId="0" fontId="0" fillId="10" borderId="13" xfId="0" applyFill="1" applyBorder="1"/>
    <xf numFmtId="0" fontId="0" fillId="10" borderId="14" xfId="0" applyFill="1" applyBorder="1"/>
    <xf numFmtId="0" fontId="0" fillId="10" borderId="11" xfId="0" applyFill="1" applyBorder="1"/>
    <xf numFmtId="0" fontId="0" fillId="10" borderId="12" xfId="0" applyFill="1" applyBorder="1"/>
    <xf numFmtId="0" fontId="16" fillId="10" borderId="8" xfId="0" applyFont="1" applyFill="1" applyBorder="1"/>
    <xf numFmtId="0" fontId="16" fillId="10" borderId="4" xfId="0" applyFont="1" applyFill="1" applyBorder="1"/>
    <xf numFmtId="1" fontId="16" fillId="10" borderId="9" xfId="0" applyNumberFormat="1" applyFont="1" applyFill="1" applyBorder="1"/>
    <xf numFmtId="0" fontId="16" fillId="10" borderId="11" xfId="0" applyFont="1" applyFill="1" applyBorder="1"/>
    <xf numFmtId="0" fontId="16" fillId="10" borderId="12" xfId="0" applyFont="1" applyFill="1" applyBorder="1"/>
    <xf numFmtId="0" fontId="45" fillId="10" borderId="0" xfId="0" applyFont="1" applyFill="1"/>
    <xf numFmtId="0" fontId="45" fillId="10" borderId="9" xfId="0" applyFont="1" applyFill="1" applyBorder="1"/>
    <xf numFmtId="0" fontId="45" fillId="10" borderId="10" xfId="0" applyFont="1" applyFill="1" applyBorder="1"/>
    <xf numFmtId="0" fontId="44" fillId="10" borderId="78" xfId="0" applyFont="1" applyFill="1" applyBorder="1"/>
    <xf numFmtId="0" fontId="45" fillId="0" borderId="56" xfId="0" applyFont="1" applyBorder="1"/>
    <xf numFmtId="0" fontId="16" fillId="10" borderId="56" xfId="0" applyFont="1" applyFill="1" applyBorder="1"/>
    <xf numFmtId="0" fontId="16" fillId="10" borderId="43" xfId="0" applyFont="1" applyFill="1" applyBorder="1"/>
    <xf numFmtId="166" fontId="8" fillId="3" borderId="13" xfId="3" applyNumberFormat="1" applyFont="1" applyFill="1" applyBorder="1" applyAlignment="1" applyProtection="1">
      <alignment horizontal="right"/>
      <protection locked="0"/>
    </xf>
    <xf numFmtId="166" fontId="8" fillId="4" borderId="13" xfId="3" applyNumberFormat="1" applyFont="1" applyFill="1" applyBorder="1" applyAlignment="1" applyProtection="1">
      <alignment horizontal="right"/>
      <protection locked="0"/>
    </xf>
    <xf numFmtId="166" fontId="8" fillId="7" borderId="13" xfId="3" applyNumberFormat="1" applyFont="1" applyFill="1" applyBorder="1" applyAlignment="1" applyProtection="1">
      <alignment horizontal="right"/>
      <protection locked="0"/>
    </xf>
    <xf numFmtId="166" fontId="8" fillId="5" borderId="13" xfId="3" applyNumberFormat="1" applyFont="1" applyFill="1" applyBorder="1" applyAlignment="1" applyProtection="1">
      <alignment horizontal="right"/>
      <protection locked="0"/>
    </xf>
    <xf numFmtId="166" fontId="8" fillId="13" borderId="14" xfId="3" applyNumberFormat="1" applyFont="1" applyFill="1" applyBorder="1" applyAlignment="1" applyProtection="1">
      <alignment horizontal="right"/>
      <protection locked="0"/>
    </xf>
    <xf numFmtId="0" fontId="16" fillId="3" borderId="0" xfId="0" applyFont="1" applyFill="1" applyAlignment="1">
      <alignment horizontal="right"/>
    </xf>
    <xf numFmtId="0" fontId="16" fillId="4" borderId="0" xfId="0" applyFont="1" applyFill="1" applyAlignment="1">
      <alignment horizontal="right"/>
    </xf>
    <xf numFmtId="0" fontId="16" fillId="7" borderId="0" xfId="0" applyFont="1" applyFill="1" applyAlignment="1">
      <alignment horizontal="right"/>
    </xf>
    <xf numFmtId="0" fontId="16" fillId="5" borderId="0" xfId="0" applyFont="1" applyFill="1" applyAlignment="1">
      <alignment horizontal="right"/>
    </xf>
    <xf numFmtId="0" fontId="16" fillId="17" borderId="4" xfId="0" applyFont="1" applyFill="1" applyBorder="1" applyAlignment="1">
      <alignment horizontal="right"/>
    </xf>
    <xf numFmtId="0" fontId="16" fillId="10" borderId="17" xfId="0" applyFont="1" applyFill="1" applyBorder="1"/>
    <xf numFmtId="0" fontId="8" fillId="3" borderId="18" xfId="0" applyFont="1" applyFill="1" applyBorder="1" applyAlignment="1">
      <alignment horizontal="right"/>
    </xf>
    <xf numFmtId="0" fontId="8" fillId="4" borderId="18" xfId="0" applyFont="1" applyFill="1" applyBorder="1" applyAlignment="1">
      <alignment horizontal="right"/>
    </xf>
    <xf numFmtId="0" fontId="8" fillId="7" borderId="18" xfId="0" applyFont="1" applyFill="1" applyBorder="1" applyAlignment="1">
      <alignment horizontal="right"/>
    </xf>
    <xf numFmtId="0" fontId="8" fillId="5" borderId="18" xfId="0" applyFont="1" applyFill="1" applyBorder="1" applyAlignment="1">
      <alignment horizontal="right"/>
    </xf>
    <xf numFmtId="0" fontId="8" fillId="17" borderId="19" xfId="0" applyFont="1" applyFill="1" applyBorder="1" applyAlignment="1">
      <alignment horizontal="right"/>
    </xf>
    <xf numFmtId="0" fontId="45" fillId="10" borderId="56" xfId="0" applyFont="1" applyFill="1" applyBorder="1" applyAlignment="1">
      <alignment horizontal="right"/>
    </xf>
    <xf numFmtId="0" fontId="45" fillId="10" borderId="0" xfId="0" applyFont="1" applyFill="1" applyAlignment="1">
      <alignment horizontal="right"/>
    </xf>
    <xf numFmtId="0" fontId="45" fillId="10" borderId="11" xfId="0" applyFont="1" applyFill="1" applyBorder="1" applyAlignment="1">
      <alignment horizontal="right"/>
    </xf>
    <xf numFmtId="0" fontId="44" fillId="10" borderId="7" xfId="0" applyFont="1" applyFill="1" applyBorder="1" applyAlignment="1">
      <alignment horizontal="center" vertical="center"/>
    </xf>
    <xf numFmtId="0" fontId="62" fillId="10" borderId="86" xfId="0" applyFont="1" applyFill="1" applyBorder="1" applyAlignment="1">
      <alignment horizontal="right"/>
    </xf>
    <xf numFmtId="0" fontId="62" fillId="10" borderId="87" xfId="0" applyFont="1" applyFill="1" applyBorder="1" applyAlignment="1">
      <alignment horizontal="right"/>
    </xf>
    <xf numFmtId="0" fontId="22" fillId="2" borderId="33" xfId="0" applyFont="1" applyFill="1" applyBorder="1" applyAlignment="1">
      <alignment horizontal="center" vertical="center"/>
    </xf>
    <xf numFmtId="44" fontId="24" fillId="6" borderId="49" xfId="1" applyFont="1" applyFill="1" applyBorder="1"/>
    <xf numFmtId="44" fontId="24" fillId="6" borderId="48" xfId="1" applyFont="1" applyFill="1" applyBorder="1"/>
    <xf numFmtId="44" fontId="24" fillId="8" borderId="88" xfId="1" applyFont="1" applyFill="1" applyBorder="1"/>
    <xf numFmtId="44" fontId="24" fillId="4" borderId="49" xfId="1" applyFont="1" applyFill="1" applyBorder="1"/>
    <xf numFmtId="44" fontId="24" fillId="4" borderId="48" xfId="1" applyFont="1" applyFill="1" applyBorder="1"/>
    <xf numFmtId="44" fontId="24" fillId="7" borderId="48" xfId="1" applyFont="1" applyFill="1" applyBorder="1"/>
    <xf numFmtId="44" fontId="30" fillId="7" borderId="32" xfId="0" applyNumberFormat="1" applyFont="1" applyFill="1" applyBorder="1" applyAlignment="1">
      <alignment horizontal="center"/>
    </xf>
    <xf numFmtId="44" fontId="30" fillId="13" borderId="32" xfId="0" applyNumberFormat="1" applyFont="1" applyFill="1" applyBorder="1" applyAlignment="1">
      <alignment horizontal="center"/>
    </xf>
    <xf numFmtId="0" fontId="24" fillId="5" borderId="17" xfId="0" applyFont="1" applyFill="1" applyBorder="1" applyAlignment="1">
      <alignment horizontal="center"/>
    </xf>
    <xf numFmtId="44" fontId="24" fillId="5" borderId="20" xfId="1" applyFont="1" applyFill="1" applyBorder="1"/>
    <xf numFmtId="44" fontId="24" fillId="5" borderId="30" xfId="1" applyFont="1" applyFill="1" applyBorder="1"/>
    <xf numFmtId="0" fontId="24" fillId="13" borderId="7" xfId="0" applyFont="1" applyFill="1" applyBorder="1" applyAlignment="1">
      <alignment horizontal="center"/>
    </xf>
    <xf numFmtId="44" fontId="24" fillId="13" borderId="48" xfId="1" applyFont="1" applyFill="1" applyBorder="1"/>
    <xf numFmtId="44" fontId="24" fillId="13" borderId="49" xfId="1" applyFont="1" applyFill="1" applyBorder="1"/>
    <xf numFmtId="0" fontId="13" fillId="10" borderId="83" xfId="0" applyFont="1" applyFill="1" applyBorder="1"/>
    <xf numFmtId="0" fontId="13" fillId="10" borderId="44" xfId="0" applyFont="1" applyFill="1" applyBorder="1"/>
    <xf numFmtId="44" fontId="24" fillId="6" borderId="32" xfId="1" applyFont="1" applyFill="1" applyBorder="1"/>
    <xf numFmtId="44" fontId="24" fillId="4" borderId="32" xfId="1" applyFont="1" applyFill="1" applyBorder="1"/>
    <xf numFmtId="44" fontId="24" fillId="5" borderId="80" xfId="0" applyNumberFormat="1" applyFont="1" applyFill="1" applyBorder="1"/>
    <xf numFmtId="8" fontId="31" fillId="10" borderId="62" xfId="0" applyNumberFormat="1" applyFont="1" applyFill="1" applyBorder="1"/>
    <xf numFmtId="8" fontId="31" fillId="10" borderId="70" xfId="0" applyNumberFormat="1" applyFont="1" applyFill="1" applyBorder="1"/>
    <xf numFmtId="8" fontId="31" fillId="10" borderId="68" xfId="0" applyNumberFormat="1" applyFont="1" applyFill="1" applyBorder="1"/>
    <xf numFmtId="8" fontId="31" fillId="10" borderId="71" xfId="0" applyNumberFormat="1" applyFont="1" applyFill="1" applyBorder="1"/>
    <xf numFmtId="0" fontId="19" fillId="9" borderId="0" xfId="0" applyFont="1" applyFill="1"/>
    <xf numFmtId="9" fontId="19" fillId="9" borderId="0" xfId="0" applyNumberFormat="1" applyFont="1" applyFill="1"/>
    <xf numFmtId="0" fontId="19" fillId="9" borderId="8" xfId="0" applyFont="1" applyFill="1" applyBorder="1"/>
    <xf numFmtId="0" fontId="19" fillId="9" borderId="13" xfId="0" applyFont="1" applyFill="1" applyBorder="1"/>
    <xf numFmtId="0" fontId="19" fillId="9" borderId="14" xfId="0" applyFont="1" applyFill="1" applyBorder="1"/>
    <xf numFmtId="0" fontId="19" fillId="9" borderId="9" xfId="0" applyFont="1" applyFill="1" applyBorder="1"/>
    <xf numFmtId="0" fontId="19" fillId="9" borderId="4" xfId="0" applyFont="1" applyFill="1" applyBorder="1"/>
    <xf numFmtId="44" fontId="24" fillId="3" borderId="0" xfId="0" applyNumberFormat="1" applyFont="1" applyFill="1" applyAlignment="1">
      <alignment vertical="center"/>
    </xf>
    <xf numFmtId="44" fontId="24" fillId="4" borderId="0" xfId="0" applyNumberFormat="1" applyFont="1" applyFill="1" applyAlignment="1">
      <alignment vertical="center"/>
    </xf>
    <xf numFmtId="44" fontId="24" fillId="7" borderId="0" xfId="0" applyNumberFormat="1" applyFont="1" applyFill="1" applyAlignment="1">
      <alignment vertical="center"/>
    </xf>
    <xf numFmtId="44" fontId="24" fillId="5" borderId="0" xfId="0" applyNumberFormat="1" applyFont="1" applyFill="1" applyAlignment="1">
      <alignment vertical="center"/>
    </xf>
    <xf numFmtId="0" fontId="20" fillId="10" borderId="0" xfId="0" applyFont="1" applyFill="1"/>
    <xf numFmtId="0" fontId="19" fillId="9" borderId="10" xfId="0" applyFont="1" applyFill="1" applyBorder="1"/>
    <xf numFmtId="0" fontId="19" fillId="9" borderId="11" xfId="0" applyFont="1" applyFill="1" applyBorder="1"/>
    <xf numFmtId="44" fontId="19" fillId="9" borderId="11" xfId="0" applyNumberFormat="1" applyFont="1" applyFill="1" applyBorder="1"/>
    <xf numFmtId="8" fontId="31" fillId="9" borderId="11" xfId="0" applyNumberFormat="1" applyFont="1" applyFill="1" applyBorder="1"/>
    <xf numFmtId="0" fontId="19" fillId="9" borderId="12" xfId="0" applyFont="1" applyFill="1" applyBorder="1"/>
    <xf numFmtId="0" fontId="26" fillId="10" borderId="10" xfId="0" applyFont="1" applyFill="1" applyBorder="1"/>
    <xf numFmtId="0" fontId="19" fillId="2" borderId="0" xfId="0" applyFont="1" applyFill="1"/>
    <xf numFmtId="10" fontId="19" fillId="10" borderId="0" xfId="0" applyNumberFormat="1" applyFont="1" applyFill="1" applyAlignment="1">
      <alignment horizontal="right" vertical="center"/>
    </xf>
    <xf numFmtId="44" fontId="19" fillId="9" borderId="0" xfId="0" applyNumberFormat="1" applyFont="1" applyFill="1"/>
    <xf numFmtId="8" fontId="19" fillId="9" borderId="0" xfId="0" applyNumberFormat="1" applyFont="1" applyFill="1"/>
    <xf numFmtId="0" fontId="22" fillId="9" borderId="0" xfId="0" applyFont="1" applyFill="1"/>
    <xf numFmtId="0" fontId="12" fillId="2" borderId="61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168" fontId="12" fillId="2" borderId="7" xfId="0" applyNumberFormat="1" applyFont="1" applyFill="1" applyBorder="1"/>
    <xf numFmtId="44" fontId="13" fillId="10" borderId="64" xfId="1" applyFont="1" applyFill="1" applyBorder="1"/>
    <xf numFmtId="44" fontId="13" fillId="10" borderId="68" xfId="1" applyFont="1" applyFill="1" applyBorder="1"/>
    <xf numFmtId="0" fontId="63" fillId="2" borderId="17" xfId="2" applyFont="1" applyFill="1" applyBorder="1" applyAlignment="1">
      <alignment vertical="center"/>
    </xf>
    <xf numFmtId="44" fontId="19" fillId="10" borderId="9" xfId="1" applyFont="1" applyFill="1" applyBorder="1" applyAlignment="1">
      <alignment horizontal="right" vertical="center"/>
    </xf>
    <xf numFmtId="44" fontId="19" fillId="10" borderId="34" xfId="1" applyFont="1" applyFill="1" applyBorder="1" applyAlignment="1">
      <alignment horizontal="right" vertical="center"/>
    </xf>
    <xf numFmtId="44" fontId="19" fillId="10" borderId="35" xfId="1" applyFont="1" applyFill="1" applyBorder="1" applyAlignment="1">
      <alignment horizontal="right" vertical="center"/>
    </xf>
    <xf numFmtId="44" fontId="25" fillId="10" borderId="10" xfId="1" applyFont="1" applyFill="1" applyBorder="1" applyAlignment="1">
      <alignment horizontal="right" vertical="center"/>
    </xf>
    <xf numFmtId="44" fontId="25" fillId="10" borderId="37" xfId="1" applyFont="1" applyFill="1" applyBorder="1" applyAlignment="1">
      <alignment horizontal="right" vertical="center"/>
    </xf>
    <xf numFmtId="44" fontId="25" fillId="10" borderId="38" xfId="1" applyFont="1" applyFill="1" applyBorder="1" applyAlignment="1">
      <alignment horizontal="right" vertical="center"/>
    </xf>
    <xf numFmtId="44" fontId="19" fillId="10" borderId="10" xfId="1" applyFont="1" applyFill="1" applyBorder="1" applyAlignment="1">
      <alignment horizontal="right" vertical="center"/>
    </xf>
    <xf numFmtId="44" fontId="19" fillId="10" borderId="37" xfId="1" applyFont="1" applyFill="1" applyBorder="1" applyAlignment="1">
      <alignment horizontal="right" vertical="center"/>
    </xf>
    <xf numFmtId="44" fontId="19" fillId="10" borderId="38" xfId="1" applyFont="1" applyFill="1" applyBorder="1" applyAlignment="1">
      <alignment horizontal="right" vertical="center"/>
    </xf>
    <xf numFmtId="2" fontId="19" fillId="10" borderId="34" xfId="1" applyNumberFormat="1" applyFont="1" applyFill="1" applyBorder="1" applyAlignment="1">
      <alignment horizontal="center" vertical="center"/>
    </xf>
    <xf numFmtId="2" fontId="19" fillId="10" borderId="35" xfId="1" applyNumberFormat="1" applyFont="1" applyFill="1" applyBorder="1" applyAlignment="1">
      <alignment horizontal="center" vertical="center"/>
    </xf>
    <xf numFmtId="2" fontId="25" fillId="10" borderId="37" xfId="1" applyNumberFormat="1" applyFont="1" applyFill="1" applyBorder="1" applyAlignment="1">
      <alignment horizontal="center" vertical="center"/>
    </xf>
    <xf numFmtId="2" fontId="25" fillId="10" borderId="38" xfId="1" applyNumberFormat="1" applyFont="1" applyFill="1" applyBorder="1" applyAlignment="1">
      <alignment horizontal="center" vertical="center"/>
    </xf>
    <xf numFmtId="2" fontId="19" fillId="10" borderId="37" xfId="1" applyNumberFormat="1" applyFont="1" applyFill="1" applyBorder="1" applyAlignment="1">
      <alignment horizontal="center" vertical="center"/>
    </xf>
    <xf numFmtId="2" fontId="19" fillId="10" borderId="38" xfId="1" applyNumberFormat="1" applyFont="1" applyFill="1" applyBorder="1" applyAlignment="1">
      <alignment horizontal="center" vertical="center"/>
    </xf>
    <xf numFmtId="44" fontId="19" fillId="10" borderId="12" xfId="1" applyFont="1" applyFill="1" applyBorder="1"/>
    <xf numFmtId="0" fontId="64" fillId="10" borderId="10" xfId="0" applyFont="1" applyFill="1" applyBorder="1" applyAlignment="1">
      <alignment horizontal="center"/>
    </xf>
    <xf numFmtId="0" fontId="64" fillId="10" borderId="80" xfId="0" applyFont="1" applyFill="1" applyBorder="1" applyAlignment="1">
      <alignment horizontal="center"/>
    </xf>
    <xf numFmtId="44" fontId="19" fillId="10" borderId="44" xfId="1" applyFont="1" applyFill="1" applyBorder="1"/>
    <xf numFmtId="0" fontId="64" fillId="10" borderId="30" xfId="0" applyFont="1" applyFill="1" applyBorder="1" applyAlignment="1">
      <alignment horizontal="center"/>
    </xf>
    <xf numFmtId="44" fontId="19" fillId="10" borderId="31" xfId="1" applyFont="1" applyFill="1" applyBorder="1"/>
    <xf numFmtId="166" fontId="14" fillId="3" borderId="73" xfId="0" applyNumberFormat="1" applyFont="1" applyFill="1" applyBorder="1"/>
    <xf numFmtId="166" fontId="14" fillId="3" borderId="64" xfId="0" applyNumberFormat="1" applyFont="1" applyFill="1" applyBorder="1"/>
    <xf numFmtId="0" fontId="24" fillId="3" borderId="14" xfId="0" applyFont="1" applyFill="1" applyBorder="1" applyAlignment="1">
      <alignment horizontal="center" vertical="center"/>
    </xf>
    <xf numFmtId="0" fontId="19" fillId="10" borderId="10" xfId="0" applyFont="1" applyFill="1" applyBorder="1"/>
    <xf numFmtId="9" fontId="21" fillId="3" borderId="12" xfId="0" applyNumberFormat="1" applyFont="1" applyFill="1" applyBorder="1" applyAlignment="1">
      <alignment horizontal="center"/>
    </xf>
    <xf numFmtId="0" fontId="19" fillId="4" borderId="8" xfId="0" applyFont="1" applyFill="1" applyBorder="1"/>
    <xf numFmtId="9" fontId="21" fillId="4" borderId="12" xfId="0" applyNumberFormat="1" applyFont="1" applyFill="1" applyBorder="1"/>
    <xf numFmtId="9" fontId="21" fillId="5" borderId="12" xfId="0" applyNumberFormat="1" applyFont="1" applyFill="1" applyBorder="1" applyAlignment="1">
      <alignment horizontal="center"/>
    </xf>
    <xf numFmtId="0" fontId="19" fillId="7" borderId="8" xfId="0" applyFont="1" applyFill="1" applyBorder="1"/>
    <xf numFmtId="0" fontId="21" fillId="7" borderId="12" xfId="0" applyFont="1" applyFill="1" applyBorder="1" applyAlignment="1">
      <alignment horizontal="center"/>
    </xf>
    <xf numFmtId="0" fontId="19" fillId="17" borderId="8" xfId="0" applyFont="1" applyFill="1" applyBorder="1"/>
    <xf numFmtId="0" fontId="21" fillId="17" borderId="12" xfId="0" applyFont="1" applyFill="1" applyBorder="1" applyAlignment="1">
      <alignment horizontal="center"/>
    </xf>
    <xf numFmtId="0" fontId="19" fillId="10" borderId="8" xfId="0" applyFont="1" applyFill="1" applyBorder="1"/>
    <xf numFmtId="0" fontId="19" fillId="10" borderId="80" xfId="0" applyFont="1" applyFill="1" applyBorder="1"/>
    <xf numFmtId="9" fontId="21" fillId="7" borderId="12" xfId="0" applyNumberFormat="1" applyFont="1" applyFill="1" applyBorder="1" applyAlignment="1">
      <alignment horizontal="center"/>
    </xf>
    <xf numFmtId="9" fontId="21" fillId="17" borderId="12" xfId="0" applyNumberFormat="1" applyFont="1" applyFill="1" applyBorder="1" applyAlignment="1">
      <alignment horizontal="center"/>
    </xf>
    <xf numFmtId="9" fontId="21" fillId="3" borderId="44" xfId="0" applyNumberFormat="1" applyFont="1" applyFill="1" applyBorder="1" applyAlignment="1">
      <alignment horizontal="center"/>
    </xf>
    <xf numFmtId="9" fontId="21" fillId="4" borderId="44" xfId="0" applyNumberFormat="1" applyFont="1" applyFill="1" applyBorder="1"/>
    <xf numFmtId="9" fontId="21" fillId="5" borderId="44" xfId="0" applyNumberFormat="1" applyFont="1" applyFill="1" applyBorder="1" applyAlignment="1">
      <alignment horizontal="center"/>
    </xf>
    <xf numFmtId="9" fontId="21" fillId="7" borderId="44" xfId="0" applyNumberFormat="1" applyFont="1" applyFill="1" applyBorder="1" applyAlignment="1">
      <alignment horizontal="center"/>
    </xf>
    <xf numFmtId="9" fontId="21" fillId="17" borderId="44" xfId="0" applyNumberFormat="1" applyFont="1" applyFill="1" applyBorder="1" applyAlignment="1">
      <alignment horizontal="center"/>
    </xf>
    <xf numFmtId="0" fontId="21" fillId="7" borderId="44" xfId="0" applyFont="1" applyFill="1" applyBorder="1" applyAlignment="1">
      <alignment horizontal="center"/>
    </xf>
    <xf numFmtId="0" fontId="21" fillId="17" borderId="44" xfId="0" applyFont="1" applyFill="1" applyBorder="1" applyAlignment="1">
      <alignment horizontal="center"/>
    </xf>
    <xf numFmtId="0" fontId="19" fillId="3" borderId="8" xfId="0" applyFont="1" applyFill="1" applyBorder="1" applyAlignment="1">
      <alignment horizontal="center"/>
    </xf>
    <xf numFmtId="0" fontId="22" fillId="19" borderId="17" xfId="0" applyFont="1" applyFill="1" applyBorder="1" applyAlignment="1">
      <alignment horizontal="center"/>
    </xf>
    <xf numFmtId="44" fontId="24" fillId="18" borderId="9" xfId="0" applyNumberFormat="1" applyFont="1" applyFill="1" applyBorder="1" applyAlignment="1">
      <alignment vertical="center"/>
    </xf>
    <xf numFmtId="44" fontId="24" fillId="18" borderId="10" xfId="0" applyNumberFormat="1" applyFont="1" applyFill="1" applyBorder="1" applyAlignment="1">
      <alignment vertical="center"/>
    </xf>
    <xf numFmtId="44" fontId="24" fillId="10" borderId="21" xfId="1" applyFont="1" applyFill="1" applyBorder="1"/>
    <xf numFmtId="9" fontId="13" fillId="10" borderId="76" xfId="3" applyFont="1" applyFill="1" applyBorder="1" applyAlignment="1">
      <alignment horizontal="right"/>
    </xf>
    <xf numFmtId="9" fontId="13" fillId="10" borderId="73" xfId="3" applyFont="1" applyFill="1" applyBorder="1" applyAlignment="1">
      <alignment horizontal="right"/>
    </xf>
    <xf numFmtId="9" fontId="13" fillId="10" borderId="77" xfId="0" applyNumberFormat="1" applyFont="1" applyFill="1" applyBorder="1" applyAlignment="1">
      <alignment horizontal="right"/>
    </xf>
    <xf numFmtId="9" fontId="13" fillId="10" borderId="64" xfId="3" applyFont="1" applyFill="1" applyBorder="1" applyAlignment="1">
      <alignment horizontal="right"/>
    </xf>
    <xf numFmtId="9" fontId="13" fillId="10" borderId="67" xfId="0" applyNumberFormat="1" applyFont="1" applyFill="1" applyBorder="1" applyAlignment="1">
      <alignment horizontal="right"/>
    </xf>
    <xf numFmtId="0" fontId="13" fillId="10" borderId="89" xfId="0" applyFont="1" applyFill="1" applyBorder="1"/>
    <xf numFmtId="0" fontId="32" fillId="10" borderId="4" xfId="0" applyFont="1" applyFill="1" applyBorder="1" applyAlignment="1">
      <alignment vertical="center"/>
    </xf>
    <xf numFmtId="0" fontId="14" fillId="10" borderId="9" xfId="0" applyFont="1" applyFill="1" applyBorder="1" applyAlignment="1">
      <alignment horizontal="left" vertical="center"/>
    </xf>
    <xf numFmtId="0" fontId="13" fillId="10" borderId="9" xfId="0" applyFont="1" applyFill="1" applyBorder="1" applyAlignment="1">
      <alignment vertical="top"/>
    </xf>
    <xf numFmtId="0" fontId="13" fillId="10" borderId="9" xfId="0" applyFont="1" applyFill="1" applyBorder="1" applyAlignment="1" applyProtection="1">
      <alignment vertical="center"/>
      <protection locked="0"/>
    </xf>
    <xf numFmtId="10" fontId="16" fillId="8" borderId="0" xfId="3" applyNumberFormat="1" applyFont="1" applyFill="1" applyBorder="1" applyProtection="1">
      <protection locked="0"/>
    </xf>
    <xf numFmtId="0" fontId="38" fillId="20" borderId="0" xfId="0" applyFont="1" applyFill="1"/>
    <xf numFmtId="0" fontId="26" fillId="20" borderId="0" xfId="0" applyFont="1" applyFill="1"/>
    <xf numFmtId="0" fontId="26" fillId="2" borderId="0" xfId="0" applyFont="1" applyFill="1" applyAlignment="1">
      <alignment vertical="center"/>
    </xf>
    <xf numFmtId="166" fontId="40" fillId="5" borderId="0" xfId="3" applyNumberFormat="1" applyFont="1" applyFill="1" applyBorder="1" applyAlignment="1">
      <alignment horizontal="right" vertical="top"/>
    </xf>
    <xf numFmtId="166" fontId="40" fillId="5" borderId="11" xfId="3" applyNumberFormat="1" applyFont="1" applyFill="1" applyBorder="1" applyAlignment="1">
      <alignment horizontal="right" vertical="top"/>
    </xf>
    <xf numFmtId="166" fontId="40" fillId="7" borderId="59" xfId="3" applyNumberFormat="1" applyFont="1" applyFill="1" applyBorder="1" applyAlignment="1">
      <alignment horizontal="right" vertical="top"/>
    </xf>
    <xf numFmtId="166" fontId="40" fillId="7" borderId="60" xfId="3" applyNumberFormat="1" applyFont="1" applyFill="1" applyBorder="1" applyAlignment="1">
      <alignment horizontal="right" vertical="top"/>
    </xf>
    <xf numFmtId="44" fontId="30" fillId="8" borderId="49" xfId="0" applyNumberFormat="1" applyFont="1" applyFill="1" applyBorder="1" applyAlignment="1">
      <alignment horizontal="center"/>
    </xf>
    <xf numFmtId="9" fontId="13" fillId="10" borderId="76" xfId="0" applyNumberFormat="1" applyFont="1" applyFill="1" applyBorder="1" applyAlignment="1">
      <alignment horizontal="right"/>
    </xf>
    <xf numFmtId="9" fontId="13" fillId="10" borderId="66" xfId="3" applyFont="1" applyFill="1" applyBorder="1" applyAlignment="1">
      <alignment horizontal="right"/>
    </xf>
    <xf numFmtId="9" fontId="13" fillId="10" borderId="70" xfId="3" applyFont="1" applyFill="1" applyBorder="1" applyAlignment="1">
      <alignment horizontal="right"/>
    </xf>
    <xf numFmtId="9" fontId="13" fillId="10" borderId="68" xfId="3" applyFont="1" applyFill="1" applyBorder="1" applyAlignment="1">
      <alignment horizontal="right"/>
    </xf>
    <xf numFmtId="9" fontId="47" fillId="10" borderId="67" xfId="0" applyNumberFormat="1" applyFont="1" applyFill="1" applyBorder="1" applyAlignment="1">
      <alignment horizontal="right"/>
    </xf>
    <xf numFmtId="9" fontId="33" fillId="10" borderId="67" xfId="0" applyNumberFormat="1" applyFont="1" applyFill="1" applyBorder="1" applyAlignment="1">
      <alignment horizontal="right"/>
    </xf>
    <xf numFmtId="9" fontId="13" fillId="10" borderId="71" xfId="0" applyNumberFormat="1" applyFont="1" applyFill="1" applyBorder="1" applyAlignment="1">
      <alignment horizontal="right"/>
    </xf>
    <xf numFmtId="0" fontId="66" fillId="2" borderId="13" xfId="0" applyFont="1" applyFill="1" applyBorder="1" applyAlignment="1">
      <alignment horizontal="center" vertical="center"/>
    </xf>
    <xf numFmtId="44" fontId="67" fillId="11" borderId="45" xfId="1" applyFont="1" applyFill="1" applyBorder="1" applyAlignment="1" applyProtection="1">
      <alignment vertical="center"/>
    </xf>
    <xf numFmtId="0" fontId="40" fillId="10" borderId="9" xfId="0" applyFont="1" applyFill="1" applyBorder="1" applyAlignment="1">
      <alignment horizontal="right" vertical="center"/>
    </xf>
    <xf numFmtId="0" fontId="40" fillId="10" borderId="10" xfId="0" applyFont="1" applyFill="1" applyBorder="1" applyAlignment="1">
      <alignment horizontal="right" vertical="center"/>
    </xf>
    <xf numFmtId="166" fontId="45" fillId="18" borderId="16" xfId="3" applyNumberFormat="1" applyFont="1" applyFill="1" applyBorder="1" applyProtection="1">
      <protection locked="0"/>
    </xf>
    <xf numFmtId="9" fontId="13" fillId="0" borderId="63" xfId="0" applyNumberFormat="1" applyFont="1" applyBorder="1" applyAlignment="1">
      <alignment horizontal="right"/>
    </xf>
    <xf numFmtId="9" fontId="13" fillId="0" borderId="64" xfId="0" applyNumberFormat="1" applyFont="1" applyBorder="1" applyAlignment="1">
      <alignment horizontal="right"/>
    </xf>
    <xf numFmtId="9" fontId="13" fillId="0" borderId="65" xfId="0" applyNumberFormat="1" applyFont="1" applyBorder="1" applyAlignment="1">
      <alignment horizontal="right"/>
    </xf>
    <xf numFmtId="9" fontId="13" fillId="0" borderId="67" xfId="0" applyNumberFormat="1" applyFont="1" applyBorder="1" applyAlignment="1">
      <alignment horizontal="right"/>
    </xf>
    <xf numFmtId="9" fontId="68" fillId="18" borderId="45" xfId="0" applyNumberFormat="1" applyFont="1" applyFill="1" applyBorder="1" applyAlignment="1">
      <alignment horizontal="right"/>
    </xf>
    <xf numFmtId="9" fontId="68" fillId="18" borderId="61" xfId="0" applyNumberFormat="1" applyFont="1" applyFill="1" applyBorder="1" applyAlignment="1">
      <alignment horizontal="right"/>
    </xf>
    <xf numFmtId="9" fontId="68" fillId="18" borderId="19" xfId="0" applyNumberFormat="1" applyFont="1" applyFill="1" applyBorder="1" applyAlignment="1">
      <alignment horizontal="right"/>
    </xf>
    <xf numFmtId="44" fontId="14" fillId="10" borderId="19" xfId="1" applyFont="1" applyFill="1" applyBorder="1"/>
    <xf numFmtId="44" fontId="14" fillId="10" borderId="14" xfId="1" applyFont="1" applyFill="1" applyBorder="1"/>
    <xf numFmtId="0" fontId="41" fillId="10" borderId="10" xfId="0" applyFont="1" applyFill="1" applyBorder="1" applyAlignment="1">
      <alignment vertical="center"/>
    </xf>
    <xf numFmtId="0" fontId="8" fillId="18" borderId="45" xfId="0" applyFont="1" applyFill="1" applyBorder="1" applyAlignment="1">
      <alignment horizontal="center" vertical="center"/>
    </xf>
    <xf numFmtId="0" fontId="8" fillId="18" borderId="61" xfId="0" applyFont="1" applyFill="1" applyBorder="1" applyAlignment="1">
      <alignment horizontal="center" vertical="center"/>
    </xf>
    <xf numFmtId="0" fontId="8" fillId="18" borderId="19" xfId="0" applyFont="1" applyFill="1" applyBorder="1" applyAlignment="1">
      <alignment horizontal="center" vertical="center"/>
    </xf>
    <xf numFmtId="0" fontId="37" fillId="10" borderId="0" xfId="0" applyFont="1" applyFill="1" applyAlignment="1">
      <alignment horizontal="right"/>
    </xf>
    <xf numFmtId="166" fontId="37" fillId="10" borderId="0" xfId="3" applyNumberFormat="1" applyFont="1" applyFill="1" applyBorder="1"/>
    <xf numFmtId="166" fontId="14" fillId="3" borderId="68" xfId="0" applyNumberFormat="1" applyFont="1" applyFill="1" applyBorder="1"/>
    <xf numFmtId="44" fontId="49" fillId="11" borderId="7" xfId="1" applyFont="1" applyFill="1" applyBorder="1" applyAlignment="1" applyProtection="1">
      <alignment vertical="center"/>
    </xf>
    <xf numFmtId="0" fontId="8" fillId="18" borderId="7" xfId="0" applyFont="1" applyFill="1" applyBorder="1" applyAlignment="1">
      <alignment horizontal="left" vertical="center"/>
    </xf>
    <xf numFmtId="0" fontId="45" fillId="10" borderId="9" xfId="0" quotePrefix="1" applyFont="1" applyFill="1" applyBorder="1" applyAlignment="1">
      <alignment horizontal="left"/>
    </xf>
    <xf numFmtId="0" fontId="45" fillId="10" borderId="9" xfId="0" applyFont="1" applyFill="1" applyBorder="1" applyAlignment="1">
      <alignment horizontal="left"/>
    </xf>
    <xf numFmtId="0" fontId="70" fillId="10" borderId="0" xfId="0" applyFont="1" applyFill="1" applyAlignment="1">
      <alignment vertical="center"/>
    </xf>
    <xf numFmtId="0" fontId="19" fillId="10" borderId="9" xfId="0" applyFont="1" applyFill="1" applyBorder="1" applyAlignment="1">
      <alignment vertical="center"/>
    </xf>
    <xf numFmtId="0" fontId="19" fillId="10" borderId="22" xfId="0" applyFont="1" applyFill="1" applyBorder="1" applyAlignment="1">
      <alignment vertical="center"/>
    </xf>
    <xf numFmtId="0" fontId="19" fillId="10" borderId="22" xfId="0" quotePrefix="1" applyFont="1" applyFill="1" applyBorder="1" applyAlignment="1">
      <alignment horizontal="center" vertical="center"/>
    </xf>
    <xf numFmtId="169" fontId="19" fillId="10" borderId="22" xfId="0" applyNumberFormat="1" applyFont="1" applyFill="1" applyBorder="1" applyAlignment="1">
      <alignment vertical="center"/>
    </xf>
    <xf numFmtId="169" fontId="19" fillId="10" borderId="4" xfId="0" applyNumberFormat="1" applyFont="1" applyFill="1" applyBorder="1" applyAlignment="1">
      <alignment vertical="center"/>
    </xf>
    <xf numFmtId="0" fontId="19" fillId="10" borderId="10" xfId="0" applyFont="1" applyFill="1" applyBorder="1" applyAlignment="1">
      <alignment vertical="center"/>
    </xf>
    <xf numFmtId="0" fontId="19" fillId="10" borderId="27" xfId="0" applyFont="1" applyFill="1" applyBorder="1" applyAlignment="1">
      <alignment vertical="center"/>
    </xf>
    <xf numFmtId="0" fontId="19" fillId="10" borderId="27" xfId="0" quotePrefix="1" applyFont="1" applyFill="1" applyBorder="1" applyAlignment="1">
      <alignment horizontal="center" vertical="center"/>
    </xf>
    <xf numFmtId="169" fontId="19" fillId="10" borderId="27" xfId="0" applyNumberFormat="1" applyFont="1" applyFill="1" applyBorder="1" applyAlignment="1">
      <alignment vertical="center"/>
    </xf>
    <xf numFmtId="169" fontId="19" fillId="10" borderId="12" xfId="0" applyNumberFormat="1" applyFont="1" applyFill="1" applyBorder="1" applyAlignment="1">
      <alignment vertical="center"/>
    </xf>
    <xf numFmtId="169" fontId="21" fillId="10" borderId="0" xfId="0" applyNumberFormat="1" applyFont="1" applyFill="1" applyAlignment="1">
      <alignment vertical="center"/>
    </xf>
    <xf numFmtId="169" fontId="19" fillId="10" borderId="0" xfId="0" applyNumberFormat="1" applyFont="1" applyFill="1" applyAlignment="1">
      <alignment vertical="center"/>
    </xf>
    <xf numFmtId="0" fontId="38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38" fillId="21" borderId="0" xfId="0" applyFont="1" applyFill="1"/>
    <xf numFmtId="0" fontId="26" fillId="22" borderId="0" xfId="0" applyFont="1" applyFill="1"/>
    <xf numFmtId="0" fontId="26" fillId="23" borderId="0" xfId="0" applyFont="1" applyFill="1"/>
    <xf numFmtId="0" fontId="35" fillId="3" borderId="24" xfId="0" applyFont="1" applyFill="1" applyBorder="1" applyAlignment="1">
      <alignment horizontal="right"/>
    </xf>
    <xf numFmtId="0" fontId="35" fillId="4" borderId="58" xfId="0" applyFont="1" applyFill="1" applyBorder="1" applyAlignment="1">
      <alignment horizontal="right" vertical="center"/>
    </xf>
    <xf numFmtId="0" fontId="35" fillId="7" borderId="58" xfId="0" applyFont="1" applyFill="1" applyBorder="1" applyAlignment="1">
      <alignment horizontal="right" vertical="center"/>
    </xf>
    <xf numFmtId="0" fontId="35" fillId="5" borderId="13" xfId="0" applyFont="1" applyFill="1" applyBorder="1" applyAlignment="1">
      <alignment horizontal="right" vertical="center"/>
    </xf>
    <xf numFmtId="0" fontId="35" fillId="13" borderId="53" xfId="0" applyFont="1" applyFill="1" applyBorder="1" applyAlignment="1">
      <alignment horizontal="right"/>
    </xf>
    <xf numFmtId="0" fontId="38" fillId="4" borderId="0" xfId="0" applyFont="1" applyFill="1" applyAlignment="1">
      <alignment vertical="center"/>
    </xf>
    <xf numFmtId="0" fontId="26" fillId="4" borderId="0" xfId="0" applyFont="1" applyFill="1" applyAlignment="1">
      <alignment vertical="center"/>
    </xf>
    <xf numFmtId="169" fontId="26" fillId="4" borderId="0" xfId="0" applyNumberFormat="1" applyFont="1" applyFill="1" applyAlignment="1">
      <alignment vertical="center"/>
    </xf>
    <xf numFmtId="0" fontId="19" fillId="17" borderId="0" xfId="0" applyFont="1" applyFill="1" applyAlignment="1">
      <alignment vertical="center"/>
    </xf>
    <xf numFmtId="169" fontId="19" fillId="17" borderId="0" xfId="0" applyNumberFormat="1" applyFont="1" applyFill="1" applyAlignment="1">
      <alignment vertical="center"/>
    </xf>
    <xf numFmtId="0" fontId="38" fillId="7" borderId="0" xfId="0" applyFont="1" applyFill="1" applyAlignment="1">
      <alignment vertical="center"/>
    </xf>
    <xf numFmtId="0" fontId="19" fillId="7" borderId="0" xfId="0" applyFont="1" applyFill="1" applyAlignment="1">
      <alignment vertical="center"/>
    </xf>
    <xf numFmtId="169" fontId="19" fillId="7" borderId="0" xfId="0" applyNumberFormat="1" applyFont="1" applyFill="1" applyAlignment="1">
      <alignment vertical="center"/>
    </xf>
    <xf numFmtId="2" fontId="21" fillId="10" borderId="0" xfId="0" applyNumberFormat="1" applyFont="1" applyFill="1" applyAlignment="1">
      <alignment horizontal="right" vertical="center"/>
    </xf>
    <xf numFmtId="0" fontId="19" fillId="5" borderId="0" xfId="0" applyFont="1" applyFill="1" applyAlignment="1">
      <alignment vertical="center"/>
    </xf>
    <xf numFmtId="169" fontId="19" fillId="5" borderId="0" xfId="0" applyNumberFormat="1" applyFont="1" applyFill="1" applyAlignment="1">
      <alignment vertical="center"/>
    </xf>
    <xf numFmtId="170" fontId="21" fillId="10" borderId="0" xfId="0" applyNumberFormat="1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8" fillId="10" borderId="17" xfId="0" applyFont="1" applyFill="1" applyBorder="1" applyAlignment="1">
      <alignment vertical="center"/>
    </xf>
    <xf numFmtId="0" fontId="38" fillId="10" borderId="18" xfId="0" applyFont="1" applyFill="1" applyBorder="1" applyAlignment="1">
      <alignment horizontal="center" vertical="center" wrapText="1"/>
    </xf>
    <xf numFmtId="0" fontId="38" fillId="10" borderId="18" xfId="0" applyFont="1" applyFill="1" applyBorder="1" applyAlignment="1">
      <alignment horizontal="right" vertical="center"/>
    </xf>
    <xf numFmtId="170" fontId="21" fillId="8" borderId="91" xfId="0" applyNumberFormat="1" applyFont="1" applyFill="1" applyBorder="1" applyAlignment="1">
      <alignment vertical="center"/>
    </xf>
    <xf numFmtId="2" fontId="21" fillId="8" borderId="12" xfId="0" applyNumberFormat="1" applyFont="1" applyFill="1" applyBorder="1" applyAlignment="1">
      <alignment vertical="center"/>
    </xf>
    <xf numFmtId="0" fontId="38" fillId="8" borderId="17" xfId="0" applyFont="1" applyFill="1" applyBorder="1" applyAlignment="1">
      <alignment vertical="center"/>
    </xf>
    <xf numFmtId="0" fontId="38" fillId="8" borderId="18" xfId="0" applyFont="1" applyFill="1" applyBorder="1" applyAlignment="1">
      <alignment horizontal="right" vertical="center"/>
    </xf>
    <xf numFmtId="0" fontId="38" fillId="8" borderId="18" xfId="0" applyFont="1" applyFill="1" applyBorder="1" applyAlignment="1">
      <alignment horizontal="center" vertical="center" wrapText="1"/>
    </xf>
    <xf numFmtId="0" fontId="38" fillId="8" borderId="7" xfId="0" applyFont="1" applyFill="1" applyBorder="1" applyAlignment="1">
      <alignment horizontal="right" vertical="center"/>
    </xf>
    <xf numFmtId="0" fontId="19" fillId="8" borderId="9" xfId="0" applyFont="1" applyFill="1" applyBorder="1" applyAlignment="1">
      <alignment vertical="center"/>
    </xf>
    <xf numFmtId="0" fontId="19" fillId="8" borderId="22" xfId="0" applyFont="1" applyFill="1" applyBorder="1" applyAlignment="1">
      <alignment vertical="center"/>
    </xf>
    <xf numFmtId="0" fontId="19" fillId="8" borderId="22" xfId="0" quotePrefix="1" applyFont="1" applyFill="1" applyBorder="1" applyAlignment="1">
      <alignment horizontal="center" vertical="center"/>
    </xf>
    <xf numFmtId="169" fontId="19" fillId="8" borderId="22" xfId="0" applyNumberFormat="1" applyFont="1" applyFill="1" applyBorder="1" applyAlignment="1">
      <alignment vertical="center"/>
    </xf>
    <xf numFmtId="169" fontId="19" fillId="8" borderId="4" xfId="0" applyNumberFormat="1" applyFont="1" applyFill="1" applyBorder="1" applyAlignment="1">
      <alignment vertical="center"/>
    </xf>
    <xf numFmtId="0" fontId="19" fillId="8" borderId="10" xfId="0" applyFont="1" applyFill="1" applyBorder="1" applyAlignment="1">
      <alignment vertical="center"/>
    </xf>
    <xf numFmtId="0" fontId="19" fillId="8" borderId="27" xfId="0" applyFont="1" applyFill="1" applyBorder="1" applyAlignment="1">
      <alignment vertical="center"/>
    </xf>
    <xf numFmtId="0" fontId="19" fillId="8" borderId="27" xfId="0" quotePrefix="1" applyFont="1" applyFill="1" applyBorder="1" applyAlignment="1">
      <alignment horizontal="center" vertical="center"/>
    </xf>
    <xf numFmtId="169" fontId="19" fillId="8" borderId="27" xfId="0" applyNumberFormat="1" applyFont="1" applyFill="1" applyBorder="1" applyAlignment="1">
      <alignment vertical="center"/>
    </xf>
    <xf numFmtId="169" fontId="19" fillId="8" borderId="12" xfId="0" applyNumberFormat="1" applyFont="1" applyFill="1" applyBorder="1" applyAlignment="1">
      <alignment vertical="center"/>
    </xf>
    <xf numFmtId="2" fontId="21" fillId="8" borderId="90" xfId="0" applyNumberFormat="1" applyFont="1" applyFill="1" applyBorder="1" applyAlignment="1">
      <alignment horizontal="right" vertical="center"/>
    </xf>
    <xf numFmtId="2" fontId="21" fillId="8" borderId="10" xfId="0" applyNumberFormat="1" applyFont="1" applyFill="1" applyBorder="1" applyAlignment="1">
      <alignment horizontal="right" vertical="center"/>
    </xf>
    <xf numFmtId="2" fontId="21" fillId="10" borderId="8" xfId="0" applyNumberFormat="1" applyFont="1" applyFill="1" applyBorder="1" applyAlignment="1">
      <alignment horizontal="right" vertical="center"/>
    </xf>
    <xf numFmtId="2" fontId="21" fillId="10" borderId="92" xfId="0" applyNumberFormat="1" applyFont="1" applyFill="1" applyBorder="1" applyAlignment="1">
      <alignment horizontal="right" vertical="center"/>
    </xf>
    <xf numFmtId="170" fontId="21" fillId="3" borderId="14" xfId="0" applyNumberFormat="1" applyFont="1" applyFill="1" applyBorder="1" applyAlignment="1">
      <alignment vertical="center"/>
    </xf>
    <xf numFmtId="2" fontId="21" fillId="3" borderId="93" xfId="0" applyNumberFormat="1" applyFont="1" applyFill="1" applyBorder="1" applyAlignment="1">
      <alignment vertical="center"/>
    </xf>
    <xf numFmtId="0" fontId="38" fillId="10" borderId="19" xfId="0" applyFont="1" applyFill="1" applyBorder="1" applyAlignment="1">
      <alignment horizontal="right" vertical="center"/>
    </xf>
    <xf numFmtId="2" fontId="40" fillId="3" borderId="27" xfId="0" applyNumberFormat="1" applyFont="1" applyFill="1" applyBorder="1" applyAlignment="1">
      <alignment vertical="top"/>
    </xf>
    <xf numFmtId="2" fontId="40" fillId="4" borderId="60" xfId="0" applyNumberFormat="1" applyFont="1" applyFill="1" applyBorder="1" applyAlignment="1">
      <alignment vertical="top"/>
    </xf>
    <xf numFmtId="2" fontId="40" fillId="7" borderId="60" xfId="3" applyNumberFormat="1" applyFont="1" applyFill="1" applyBorder="1" applyAlignment="1">
      <alignment horizontal="right" vertical="top"/>
    </xf>
    <xf numFmtId="2" fontId="40" fillId="13" borderId="55" xfId="0" applyNumberFormat="1" applyFont="1" applyFill="1" applyBorder="1" applyAlignment="1">
      <alignment vertical="top"/>
    </xf>
    <xf numFmtId="168" fontId="15" fillId="18" borderId="79" xfId="0" applyNumberFormat="1" applyFont="1" applyFill="1" applyBorder="1" applyAlignment="1">
      <alignment horizontal="right" vertical="center"/>
    </xf>
    <xf numFmtId="168" fontId="15" fillId="18" borderId="86" xfId="0" applyNumberFormat="1" applyFont="1" applyFill="1" applyBorder="1" applyAlignment="1">
      <alignment horizontal="right" vertical="center"/>
    </xf>
    <xf numFmtId="168" fontId="15" fillId="18" borderId="87" xfId="0" applyNumberFormat="1" applyFont="1" applyFill="1" applyBorder="1" applyAlignment="1">
      <alignment horizontal="right" vertical="center"/>
    </xf>
    <xf numFmtId="1" fontId="13" fillId="3" borderId="22" xfId="0" applyNumberFormat="1" applyFont="1" applyFill="1" applyBorder="1"/>
    <xf numFmtId="168" fontId="15" fillId="18" borderId="22" xfId="0" applyNumberFormat="1" applyFont="1" applyFill="1" applyBorder="1" applyAlignment="1">
      <alignment horizontal="right" vertical="center"/>
    </xf>
    <xf numFmtId="44" fontId="59" fillId="10" borderId="61" xfId="0" applyNumberFormat="1" applyFont="1" applyFill="1" applyBorder="1" applyAlignment="1">
      <alignment vertical="center"/>
    </xf>
    <xf numFmtId="44" fontId="59" fillId="10" borderId="19" xfId="0" applyNumberFormat="1" applyFont="1" applyFill="1" applyBorder="1" applyAlignment="1">
      <alignment vertical="center"/>
    </xf>
    <xf numFmtId="168" fontId="59" fillId="10" borderId="45" xfId="0" applyNumberFormat="1" applyFont="1" applyFill="1" applyBorder="1" applyAlignment="1">
      <alignment vertical="center"/>
    </xf>
    <xf numFmtId="168" fontId="59" fillId="10" borderId="95" xfId="0" applyNumberFormat="1" applyFont="1" applyFill="1" applyBorder="1" applyAlignment="1">
      <alignment horizontal="right" vertical="center"/>
    </xf>
    <xf numFmtId="168" fontId="59" fillId="10" borderId="19" xfId="0" applyNumberFormat="1" applyFont="1" applyFill="1" applyBorder="1" applyAlignment="1">
      <alignment horizontal="right" vertical="center"/>
    </xf>
    <xf numFmtId="8" fontId="8" fillId="10" borderId="45" xfId="0" applyNumberFormat="1" applyFont="1" applyFill="1" applyBorder="1" applyAlignment="1">
      <alignment horizontal="right"/>
    </xf>
    <xf numFmtId="8" fontId="8" fillId="10" borderId="61" xfId="0" applyNumberFormat="1" applyFont="1" applyFill="1" applyBorder="1" applyAlignment="1">
      <alignment horizontal="right"/>
    </xf>
    <xf numFmtId="8" fontId="8" fillId="10" borderId="19" xfId="0" applyNumberFormat="1" applyFont="1" applyFill="1" applyBorder="1" applyAlignment="1">
      <alignment horizontal="right"/>
    </xf>
    <xf numFmtId="44" fontId="59" fillId="10" borderId="45" xfId="0" applyNumberFormat="1" applyFont="1" applyFill="1" applyBorder="1" applyAlignment="1">
      <alignment vertical="center"/>
    </xf>
    <xf numFmtId="44" fontId="14" fillId="4" borderId="7" xfId="1" applyFont="1" applyFill="1" applyBorder="1"/>
    <xf numFmtId="9" fontId="14" fillId="4" borderId="7" xfId="0" applyNumberFormat="1" applyFont="1" applyFill="1" applyBorder="1"/>
    <xf numFmtId="9" fontId="14" fillId="4" borderId="7" xfId="0" applyNumberFormat="1" applyFont="1" applyFill="1" applyBorder="1" applyAlignment="1">
      <alignment horizontal="right" vertical="center"/>
    </xf>
    <xf numFmtId="165" fontId="14" fillId="13" borderId="16" xfId="4" applyNumberFormat="1" applyFont="1" applyFill="1" applyBorder="1" applyAlignment="1" applyProtection="1"/>
    <xf numFmtId="10" fontId="14" fillId="13" borderId="45" xfId="0" applyNumberFormat="1" applyFont="1" applyFill="1" applyBorder="1" applyAlignment="1">
      <alignment horizontal="center"/>
    </xf>
    <xf numFmtId="10" fontId="14" fillId="13" borderId="45" xfId="0" applyNumberFormat="1" applyFont="1" applyFill="1" applyBorder="1" applyAlignment="1">
      <alignment horizontal="center" vertical="center"/>
    </xf>
    <xf numFmtId="165" fontId="14" fillId="13" borderId="7" xfId="1" applyNumberFormat="1" applyFont="1" applyFill="1" applyBorder="1"/>
    <xf numFmtId="10" fontId="14" fillId="13" borderId="94" xfId="0" applyNumberFormat="1" applyFont="1" applyFill="1" applyBorder="1" applyAlignment="1">
      <alignment horizontal="center" vertical="center"/>
    </xf>
    <xf numFmtId="0" fontId="14" fillId="4" borderId="32" xfId="0" applyFont="1" applyFill="1" applyBorder="1"/>
    <xf numFmtId="166" fontId="14" fillId="4" borderId="16" xfId="3" applyNumberFormat="1" applyFont="1" applyFill="1" applyBorder="1"/>
    <xf numFmtId="168" fontId="12" fillId="2" borderId="45" xfId="0" applyNumberFormat="1" applyFont="1" applyFill="1" applyBorder="1"/>
    <xf numFmtId="168" fontId="12" fillId="2" borderId="61" xfId="0" applyNumberFormat="1" applyFont="1" applyFill="1" applyBorder="1"/>
    <xf numFmtId="168" fontId="12" fillId="2" borderId="18" xfId="0" applyNumberFormat="1" applyFont="1" applyFill="1" applyBorder="1"/>
    <xf numFmtId="168" fontId="12" fillId="2" borderId="19" xfId="0" applyNumberFormat="1" applyFont="1" applyFill="1" applyBorder="1"/>
    <xf numFmtId="0" fontId="13" fillId="3" borderId="22" xfId="0" applyFont="1" applyFill="1" applyBorder="1" applyAlignment="1">
      <alignment horizontal="right"/>
    </xf>
    <xf numFmtId="0" fontId="13" fillId="3" borderId="25" xfId="0" applyFont="1" applyFill="1" applyBorder="1"/>
    <xf numFmtId="0" fontId="13" fillId="3" borderId="59" xfId="0" applyFont="1" applyFill="1" applyBorder="1" applyAlignment="1">
      <alignment horizontal="right"/>
    </xf>
    <xf numFmtId="0" fontId="13" fillId="3" borderId="4" xfId="0" applyFont="1" applyFill="1" applyBorder="1" applyAlignment="1">
      <alignment horizontal="right"/>
    </xf>
    <xf numFmtId="165" fontId="14" fillId="3" borderId="75" xfId="0" applyNumberFormat="1" applyFont="1" applyFill="1" applyBorder="1"/>
    <xf numFmtId="165" fontId="14" fillId="3" borderId="65" xfId="0" applyNumberFormat="1" applyFont="1" applyFill="1" applyBorder="1"/>
    <xf numFmtId="165" fontId="14" fillId="3" borderId="69" xfId="0" applyNumberFormat="1" applyFont="1" applyFill="1" applyBorder="1"/>
    <xf numFmtId="10" fontId="14" fillId="3" borderId="45" xfId="0" applyNumberFormat="1" applyFont="1" applyFill="1" applyBorder="1"/>
    <xf numFmtId="10" fontId="14" fillId="3" borderId="7" xfId="0" applyNumberFormat="1" applyFont="1" applyFill="1" applyBorder="1"/>
    <xf numFmtId="10" fontId="13" fillId="3" borderId="73" xfId="0" applyNumberFormat="1" applyFont="1" applyFill="1" applyBorder="1"/>
    <xf numFmtId="10" fontId="13" fillId="3" borderId="64" xfId="0" applyNumberFormat="1" applyFont="1" applyFill="1" applyBorder="1"/>
    <xf numFmtId="10" fontId="13" fillId="3" borderId="68" xfId="0" applyNumberFormat="1" applyFont="1" applyFill="1" applyBorder="1"/>
    <xf numFmtId="166" fontId="13" fillId="3" borderId="73" xfId="0" applyNumberFormat="1" applyFont="1" applyFill="1" applyBorder="1"/>
    <xf numFmtId="44" fontId="14" fillId="3" borderId="73" xfId="1" applyFont="1" applyFill="1" applyBorder="1"/>
    <xf numFmtId="44" fontId="14" fillId="3" borderId="64" xfId="1" applyFont="1" applyFill="1" applyBorder="1"/>
    <xf numFmtId="44" fontId="14" fillId="3" borderId="68" xfId="1" applyFont="1" applyFill="1" applyBorder="1"/>
    <xf numFmtId="10" fontId="13" fillId="3" borderId="74" xfId="3" applyNumberFormat="1" applyFont="1" applyFill="1" applyBorder="1"/>
    <xf numFmtId="10" fontId="13" fillId="3" borderId="63" xfId="3" applyNumberFormat="1" applyFont="1" applyFill="1" applyBorder="1"/>
    <xf numFmtId="10" fontId="13" fillId="3" borderId="41" xfId="3" applyNumberFormat="1" applyFont="1" applyFill="1" applyBorder="1"/>
    <xf numFmtId="10" fontId="13" fillId="3" borderId="73" xfId="3" applyNumberFormat="1" applyFont="1" applyFill="1" applyBorder="1"/>
    <xf numFmtId="10" fontId="13" fillId="3" borderId="64" xfId="3" applyNumberFormat="1" applyFont="1" applyFill="1" applyBorder="1"/>
    <xf numFmtId="10" fontId="13" fillId="3" borderId="68" xfId="3" applyNumberFormat="1" applyFont="1" applyFill="1" applyBorder="1"/>
    <xf numFmtId="0" fontId="16" fillId="10" borderId="0" xfId="0" applyFont="1" applyFill="1" applyAlignment="1">
      <alignment horizontal="center" vertical="center"/>
    </xf>
    <xf numFmtId="165" fontId="16" fillId="10" borderId="4" xfId="4" applyNumberFormat="1" applyFont="1" applyFill="1" applyBorder="1" applyAlignment="1" applyProtection="1">
      <alignment horizontal="center" vertical="center"/>
    </xf>
    <xf numFmtId="0" fontId="16" fillId="10" borderId="4" xfId="0" applyFont="1" applyFill="1" applyBorder="1" applyAlignment="1">
      <alignment horizontal="center" vertical="center"/>
    </xf>
    <xf numFmtId="0" fontId="14" fillId="10" borderId="20" xfId="0" applyFont="1" applyFill="1" applyBorder="1"/>
    <xf numFmtId="10" fontId="14" fillId="3" borderId="79" xfId="3" applyNumberFormat="1" applyFont="1" applyFill="1" applyBorder="1"/>
    <xf numFmtId="10" fontId="14" fillId="3" borderId="72" xfId="3" applyNumberFormat="1" applyFont="1" applyFill="1" applyBorder="1"/>
    <xf numFmtId="10" fontId="14" fillId="3" borderId="21" xfId="3" applyNumberFormat="1" applyFont="1" applyFill="1" applyBorder="1"/>
    <xf numFmtId="0" fontId="16" fillId="10" borderId="20" xfId="0" applyFont="1" applyFill="1" applyBorder="1"/>
    <xf numFmtId="0" fontId="41" fillId="10" borderId="80" xfId="0" applyFont="1" applyFill="1" applyBorder="1" applyAlignment="1">
      <alignment vertical="center"/>
    </xf>
    <xf numFmtId="10" fontId="13" fillId="3" borderId="63" xfId="0" applyNumberFormat="1" applyFont="1" applyFill="1" applyBorder="1"/>
    <xf numFmtId="10" fontId="13" fillId="3" borderId="41" xfId="0" applyNumberFormat="1" applyFont="1" applyFill="1" applyBorder="1"/>
    <xf numFmtId="0" fontId="41" fillId="10" borderId="20" xfId="0" applyFont="1" applyFill="1" applyBorder="1" applyAlignment="1">
      <alignment vertical="center"/>
    </xf>
    <xf numFmtId="44" fontId="8" fillId="10" borderId="79" xfId="0" applyNumberFormat="1" applyFont="1" applyFill="1" applyBorder="1"/>
    <xf numFmtId="44" fontId="8" fillId="10" borderId="72" xfId="0" applyNumberFormat="1" applyFont="1" applyFill="1" applyBorder="1"/>
    <xf numFmtId="44" fontId="8" fillId="10" borderId="21" xfId="0" applyNumberFormat="1" applyFont="1" applyFill="1" applyBorder="1"/>
    <xf numFmtId="44" fontId="59" fillId="10" borderId="26" xfId="0" applyNumberFormat="1" applyFont="1" applyFill="1" applyBorder="1"/>
    <xf numFmtId="44" fontId="59" fillId="10" borderId="27" xfId="0" applyNumberFormat="1" applyFont="1" applyFill="1" applyBorder="1"/>
    <xf numFmtId="44" fontId="59" fillId="10" borderId="12" xfId="0" applyNumberFormat="1" applyFont="1" applyFill="1" applyBorder="1"/>
    <xf numFmtId="8" fontId="8" fillId="10" borderId="64" xfId="3" applyNumberFormat="1" applyFont="1" applyFill="1" applyBorder="1"/>
    <xf numFmtId="8" fontId="8" fillId="10" borderId="68" xfId="3" applyNumberFormat="1" applyFont="1" applyFill="1" applyBorder="1"/>
    <xf numFmtId="8" fontId="8" fillId="10" borderId="73" xfId="3" applyNumberFormat="1" applyFont="1" applyFill="1" applyBorder="1"/>
    <xf numFmtId="44" fontId="8" fillId="0" borderId="75" xfId="0" applyNumberFormat="1" applyFont="1" applyBorder="1"/>
    <xf numFmtId="44" fontId="8" fillId="0" borderId="65" xfId="0" applyNumberFormat="1" applyFont="1" applyBorder="1"/>
    <xf numFmtId="44" fontId="8" fillId="0" borderId="69" xfId="0" applyNumberFormat="1" applyFont="1" applyBorder="1"/>
    <xf numFmtId="44" fontId="59" fillId="10" borderId="77" xfId="0" applyNumberFormat="1" applyFont="1" applyFill="1" applyBorder="1"/>
    <xf numFmtId="44" fontId="59" fillId="10" borderId="67" xfId="0" applyNumberFormat="1" applyFont="1" applyFill="1" applyBorder="1"/>
    <xf numFmtId="44" fontId="59" fillId="10" borderId="71" xfId="0" applyNumberFormat="1" applyFont="1" applyFill="1" applyBorder="1"/>
    <xf numFmtId="44" fontId="8" fillId="10" borderId="64" xfId="1" applyFont="1" applyFill="1" applyBorder="1"/>
    <xf numFmtId="44" fontId="8" fillId="10" borderId="68" xfId="1" applyFont="1" applyFill="1" applyBorder="1"/>
    <xf numFmtId="44" fontId="8" fillId="10" borderId="75" xfId="0" applyNumberFormat="1" applyFont="1" applyFill="1" applyBorder="1"/>
    <xf numFmtId="44" fontId="8" fillId="10" borderId="65" xfId="0" applyNumberFormat="1" applyFont="1" applyFill="1" applyBorder="1"/>
    <xf numFmtId="44" fontId="8" fillId="10" borderId="69" xfId="0" applyNumberFormat="1" applyFont="1" applyFill="1" applyBorder="1"/>
    <xf numFmtId="10" fontId="59" fillId="10" borderId="79" xfId="0" applyNumberFormat="1" applyFont="1" applyFill="1" applyBorder="1"/>
    <xf numFmtId="10" fontId="59" fillId="10" borderId="72" xfId="0" applyNumberFormat="1" applyFont="1" applyFill="1" applyBorder="1"/>
    <xf numFmtId="10" fontId="59" fillId="10" borderId="21" xfId="0" applyNumberFormat="1" applyFont="1" applyFill="1" applyBorder="1"/>
    <xf numFmtId="44" fontId="59" fillId="10" borderId="81" xfId="0" applyNumberFormat="1" applyFont="1" applyFill="1" applyBorder="1"/>
    <xf numFmtId="44" fontId="59" fillId="10" borderId="82" xfId="0" applyNumberFormat="1" applyFont="1" applyFill="1" applyBorder="1"/>
    <xf numFmtId="44" fontId="59" fillId="10" borderId="44" xfId="0" applyNumberFormat="1" applyFont="1" applyFill="1" applyBorder="1"/>
    <xf numFmtId="168" fontId="62" fillId="10" borderId="72" xfId="0" applyNumberFormat="1" applyFont="1" applyFill="1" applyBorder="1" applyAlignment="1">
      <alignment vertical="center"/>
    </xf>
    <xf numFmtId="168" fontId="62" fillId="10" borderId="6" xfId="0" applyNumberFormat="1" applyFont="1" applyFill="1" applyBorder="1" applyAlignment="1">
      <alignment vertical="center"/>
    </xf>
    <xf numFmtId="168" fontId="62" fillId="10" borderId="86" xfId="0" applyNumberFormat="1" applyFont="1" applyFill="1" applyBorder="1" applyAlignment="1">
      <alignment vertical="center"/>
    </xf>
    <xf numFmtId="0" fontId="62" fillId="10" borderId="20" xfId="0" applyFont="1" applyFill="1" applyBorder="1" applyAlignment="1">
      <alignment horizontal="left" vertical="center"/>
    </xf>
    <xf numFmtId="0" fontId="62" fillId="10" borderId="20" xfId="0" applyFont="1" applyFill="1" applyBorder="1" applyAlignment="1">
      <alignment vertical="center"/>
    </xf>
    <xf numFmtId="0" fontId="62" fillId="10" borderId="10" xfId="0" applyFont="1" applyFill="1" applyBorder="1"/>
    <xf numFmtId="9" fontId="62" fillId="10" borderId="26" xfId="0" applyNumberFormat="1" applyFont="1" applyFill="1" applyBorder="1"/>
    <xf numFmtId="9" fontId="62" fillId="10" borderId="27" xfId="0" applyNumberFormat="1" applyFont="1" applyFill="1" applyBorder="1" applyAlignment="1">
      <alignment horizontal="right"/>
    </xf>
    <xf numFmtId="9" fontId="62" fillId="10" borderId="60" xfId="0" applyNumberFormat="1" applyFont="1" applyFill="1" applyBorder="1" applyAlignment="1">
      <alignment horizontal="right"/>
    </xf>
    <xf numFmtId="9" fontId="62" fillId="10" borderId="12" xfId="0" applyNumberFormat="1" applyFont="1" applyFill="1" applyBorder="1" applyAlignment="1">
      <alignment horizontal="right"/>
    </xf>
    <xf numFmtId="0" fontId="14" fillId="4" borderId="4" xfId="0" applyFont="1" applyFill="1" applyBorder="1"/>
    <xf numFmtId="9" fontId="13" fillId="10" borderId="4" xfId="3" applyFont="1" applyFill="1" applyBorder="1"/>
    <xf numFmtId="0" fontId="8" fillId="10" borderId="4" xfId="0" applyFont="1" applyFill="1" applyBorder="1"/>
    <xf numFmtId="168" fontId="15" fillId="18" borderId="4" xfId="0" applyNumberFormat="1" applyFont="1" applyFill="1" applyBorder="1" applyAlignment="1">
      <alignment horizontal="right" vertical="center"/>
    </xf>
    <xf numFmtId="44" fontId="13" fillId="3" borderId="4" xfId="0" applyNumberFormat="1" applyFont="1" applyFill="1" applyBorder="1"/>
    <xf numFmtId="0" fontId="14" fillId="4" borderId="22" xfId="0" applyFont="1" applyFill="1" applyBorder="1"/>
    <xf numFmtId="9" fontId="13" fillId="10" borderId="22" xfId="3" applyFont="1" applyFill="1" applyBorder="1"/>
    <xf numFmtId="0" fontId="8" fillId="10" borderId="22" xfId="0" applyFont="1" applyFill="1" applyBorder="1"/>
    <xf numFmtId="44" fontId="13" fillId="3" borderId="22" xfId="0" applyNumberFormat="1" applyFont="1" applyFill="1" applyBorder="1"/>
    <xf numFmtId="44" fontId="49" fillId="11" borderId="61" xfId="1" applyFont="1" applyFill="1" applyBorder="1" applyAlignment="1" applyProtection="1">
      <alignment vertical="center"/>
    </xf>
    <xf numFmtId="168" fontId="15" fillId="18" borderId="0" xfId="0" applyNumberFormat="1" applyFont="1" applyFill="1" applyAlignment="1">
      <alignment horizontal="right" vertical="center"/>
    </xf>
    <xf numFmtId="44" fontId="49" fillId="11" borderId="95" xfId="1" applyFont="1" applyFill="1" applyBorder="1" applyAlignment="1" applyProtection="1">
      <alignment vertical="center"/>
    </xf>
    <xf numFmtId="44" fontId="49" fillId="11" borderId="19" xfId="1" applyFont="1" applyFill="1" applyBorder="1" applyAlignment="1" applyProtection="1">
      <alignment vertical="center"/>
    </xf>
    <xf numFmtId="0" fontId="14" fillId="4" borderId="23" xfId="0" applyFont="1" applyFill="1" applyBorder="1"/>
    <xf numFmtId="0" fontId="14" fillId="4" borderId="24" xfId="0" applyFont="1" applyFill="1" applyBorder="1"/>
    <xf numFmtId="0" fontId="14" fillId="4" borderId="14" xfId="0" applyFont="1" applyFill="1" applyBorder="1"/>
    <xf numFmtId="9" fontId="13" fillId="10" borderId="25" xfId="3" applyFont="1" applyFill="1" applyBorder="1"/>
    <xf numFmtId="0" fontId="8" fillId="10" borderId="25" xfId="0" applyFont="1" applyFill="1" applyBorder="1"/>
    <xf numFmtId="0" fontId="14" fillId="4" borderId="25" xfId="0" applyFont="1" applyFill="1" applyBorder="1"/>
    <xf numFmtId="168" fontId="15" fillId="18" borderId="25" xfId="0" applyNumberFormat="1" applyFont="1" applyFill="1" applyBorder="1" applyAlignment="1">
      <alignment horizontal="right" vertical="center"/>
    </xf>
    <xf numFmtId="44" fontId="13" fillId="3" borderId="25" xfId="0" applyNumberFormat="1" applyFont="1" applyFill="1" applyBorder="1"/>
    <xf numFmtId="44" fontId="13" fillId="3" borderId="26" xfId="0" applyNumberFormat="1" applyFont="1" applyFill="1" applyBorder="1"/>
    <xf numFmtId="44" fontId="13" fillId="3" borderId="27" xfId="0" applyNumberFormat="1" applyFont="1" applyFill="1" applyBorder="1"/>
    <xf numFmtId="44" fontId="13" fillId="3" borderId="12" xfId="0" applyNumberFormat="1" applyFont="1" applyFill="1" applyBorder="1"/>
    <xf numFmtId="1" fontId="13" fillId="3" borderId="25" xfId="0" applyNumberFormat="1" applyFont="1" applyFill="1" applyBorder="1"/>
    <xf numFmtId="1" fontId="13" fillId="3" borderId="0" xfId="0" applyNumberFormat="1" applyFont="1" applyFill="1"/>
    <xf numFmtId="1" fontId="13" fillId="3" borderId="4" xfId="0" applyNumberFormat="1" applyFont="1" applyFill="1" applyBorder="1"/>
    <xf numFmtId="168" fontId="62" fillId="10" borderId="79" xfId="0" applyNumberFormat="1" applyFont="1" applyFill="1" applyBorder="1" applyAlignment="1">
      <alignment vertical="center"/>
    </xf>
    <xf numFmtId="168" fontId="62" fillId="10" borderId="21" xfId="0" applyNumberFormat="1" applyFont="1" applyFill="1" applyBorder="1" applyAlignment="1">
      <alignment vertical="center"/>
    </xf>
    <xf numFmtId="0" fontId="13" fillId="3" borderId="25" xfId="0" applyFont="1" applyFill="1" applyBorder="1" applyAlignment="1">
      <alignment horizontal="right"/>
    </xf>
    <xf numFmtId="0" fontId="13" fillId="3" borderId="0" xfId="0" applyFont="1" applyFill="1" applyAlignment="1">
      <alignment horizontal="right"/>
    </xf>
    <xf numFmtId="0" fontId="0" fillId="10" borderId="4" xfId="0" applyFill="1" applyBorder="1"/>
    <xf numFmtId="0" fontId="13" fillId="10" borderId="8" xfId="0" applyFont="1" applyFill="1" applyBorder="1" applyAlignment="1">
      <alignment horizontal="left"/>
    </xf>
    <xf numFmtId="0" fontId="65" fillId="10" borderId="9" xfId="0" applyFont="1" applyFill="1" applyBorder="1"/>
    <xf numFmtId="0" fontId="65" fillId="10" borderId="10" xfId="0" applyFont="1" applyFill="1" applyBorder="1"/>
    <xf numFmtId="9" fontId="26" fillId="10" borderId="62" xfId="3" applyFont="1" applyFill="1" applyBorder="1"/>
    <xf numFmtId="9" fontId="26" fillId="10" borderId="39" xfId="3" applyFont="1" applyFill="1" applyBorder="1"/>
    <xf numFmtId="9" fontId="26" fillId="10" borderId="40" xfId="3" applyFont="1" applyFill="1" applyBorder="1"/>
    <xf numFmtId="0" fontId="34" fillId="10" borderId="96" xfId="0" applyFont="1" applyFill="1" applyBorder="1"/>
    <xf numFmtId="0" fontId="34" fillId="10" borderId="97" xfId="0" applyFont="1" applyFill="1" applyBorder="1"/>
    <xf numFmtId="0" fontId="34" fillId="10" borderId="98" xfId="0" applyFont="1" applyFill="1" applyBorder="1"/>
    <xf numFmtId="0" fontId="37" fillId="3" borderId="17" xfId="0" applyFont="1" applyFill="1" applyBorder="1" applyAlignment="1">
      <alignment horizontal="right"/>
    </xf>
    <xf numFmtId="166" fontId="37" fillId="3" borderId="19" xfId="3" applyNumberFormat="1" applyFont="1" applyFill="1" applyBorder="1"/>
    <xf numFmtId="0" fontId="34" fillId="4" borderId="7" xfId="0" applyFont="1" applyFill="1" applyBorder="1"/>
    <xf numFmtId="0" fontId="13" fillId="4" borderId="14" xfId="0" applyFont="1" applyFill="1" applyBorder="1"/>
    <xf numFmtId="8" fontId="8" fillId="10" borderId="7" xfId="0" applyNumberFormat="1" applyFont="1" applyFill="1" applyBorder="1" applyAlignment="1">
      <alignment horizontal="right"/>
    </xf>
    <xf numFmtId="0" fontId="13" fillId="10" borderId="41" xfId="0" applyFont="1" applyFill="1" applyBorder="1"/>
    <xf numFmtId="0" fontId="13" fillId="10" borderId="99" xfId="0" applyFont="1" applyFill="1" applyBorder="1"/>
    <xf numFmtId="166" fontId="13" fillId="10" borderId="68" xfId="0" applyNumberFormat="1" applyFont="1" applyFill="1" applyBorder="1"/>
    <xf numFmtId="9" fontId="13" fillId="0" borderId="66" xfId="3" applyFont="1" applyFill="1" applyBorder="1" applyAlignment="1">
      <alignment horizontal="right"/>
    </xf>
    <xf numFmtId="9" fontId="13" fillId="0" borderId="64" xfId="3" applyFont="1" applyFill="1" applyBorder="1" applyAlignment="1">
      <alignment horizontal="right"/>
    </xf>
    <xf numFmtId="165" fontId="14" fillId="10" borderId="31" xfId="4" applyNumberFormat="1" applyFont="1" applyFill="1" applyBorder="1" applyAlignment="1" applyProtection="1"/>
    <xf numFmtId="165" fontId="14" fillId="13" borderId="7" xfId="4" applyNumberFormat="1" applyFont="1" applyFill="1" applyBorder="1" applyAlignment="1" applyProtection="1"/>
    <xf numFmtId="10" fontId="19" fillId="17" borderId="22" xfId="0" applyNumberFormat="1" applyFont="1" applyFill="1" applyBorder="1" applyAlignment="1">
      <alignment horizontal="right" vertical="center"/>
    </xf>
    <xf numFmtId="9" fontId="21" fillId="4" borderId="1" xfId="0" applyNumberFormat="1" applyFont="1" applyFill="1" applyBorder="1" applyAlignment="1" applyProtection="1">
      <alignment horizontal="right" vertical="center"/>
      <protection locked="0"/>
    </xf>
    <xf numFmtId="0" fontId="71" fillId="0" borderId="0" xfId="0" applyFont="1"/>
    <xf numFmtId="0" fontId="71" fillId="18" borderId="7" xfId="0" applyFont="1" applyFill="1" applyBorder="1"/>
    <xf numFmtId="0" fontId="71" fillId="13" borderId="36" xfId="0" applyFont="1" applyFill="1" applyBorder="1"/>
    <xf numFmtId="0" fontId="71" fillId="0" borderId="36" xfId="0" quotePrefix="1" applyFont="1" applyBorder="1"/>
    <xf numFmtId="0" fontId="71" fillId="3" borderId="36" xfId="0" applyFont="1" applyFill="1" applyBorder="1"/>
    <xf numFmtId="0" fontId="71" fillId="4" borderId="36" xfId="0" applyFont="1" applyFill="1" applyBorder="1"/>
    <xf numFmtId="0" fontId="71" fillId="10" borderId="0" xfId="0" applyFont="1" applyFill="1"/>
    <xf numFmtId="0" fontId="73" fillId="10" borderId="0" xfId="0" applyFont="1" applyFill="1"/>
    <xf numFmtId="0" fontId="72" fillId="10" borderId="0" xfId="0" applyFont="1" applyFill="1"/>
    <xf numFmtId="0" fontId="30" fillId="10" borderId="0" xfId="0" applyFont="1" applyFill="1"/>
    <xf numFmtId="0" fontId="71" fillId="4" borderId="100" xfId="0" applyFont="1" applyFill="1" applyBorder="1"/>
    <xf numFmtId="0" fontId="71" fillId="4" borderId="0" xfId="0" applyFont="1" applyFill="1"/>
    <xf numFmtId="0" fontId="30" fillId="7" borderId="101" xfId="0" applyFont="1" applyFill="1" applyBorder="1"/>
    <xf numFmtId="0" fontId="67" fillId="24" borderId="103" xfId="0" applyFont="1" applyFill="1" applyBorder="1"/>
    <xf numFmtId="0" fontId="67" fillId="2" borderId="102" xfId="0" applyFont="1" applyFill="1" applyBorder="1"/>
    <xf numFmtId="0" fontId="74" fillId="10" borderId="0" xfId="0" applyFont="1" applyFill="1"/>
    <xf numFmtId="44" fontId="69" fillId="8" borderId="7" xfId="1" applyFont="1" applyFill="1" applyBorder="1"/>
    <xf numFmtId="44" fontId="14" fillId="8" borderId="7" xfId="1" applyFont="1" applyFill="1" applyBorder="1"/>
    <xf numFmtId="10" fontId="21" fillId="0" borderId="0" xfId="3" applyNumberFormat="1" applyFont="1" applyFill="1" applyBorder="1" applyAlignment="1">
      <alignment horizontal="right" vertical="center"/>
    </xf>
    <xf numFmtId="10" fontId="21" fillId="3" borderId="0" xfId="0" applyNumberFormat="1" applyFont="1" applyFill="1"/>
    <xf numFmtId="0" fontId="71" fillId="10" borderId="0" xfId="0" applyFont="1" applyFill="1" applyAlignment="1">
      <alignment vertical="center" wrapText="1"/>
    </xf>
    <xf numFmtId="0" fontId="8" fillId="10" borderId="78" xfId="0" applyFont="1" applyFill="1" applyBorder="1" applyAlignment="1">
      <alignment vertical="center"/>
    </xf>
    <xf numFmtId="0" fontId="8" fillId="10" borderId="30" xfId="0" applyFont="1" applyFill="1" applyBorder="1" applyAlignment="1">
      <alignment vertical="center"/>
    </xf>
    <xf numFmtId="0" fontId="48" fillId="10" borderId="0" xfId="0" applyFont="1" applyFill="1"/>
    <xf numFmtId="165" fontId="13" fillId="0" borderId="73" xfId="0" applyNumberFormat="1" applyFont="1" applyBorder="1"/>
    <xf numFmtId="165" fontId="13" fillId="0" borderId="64" xfId="0" applyNumberFormat="1" applyFont="1" applyBorder="1"/>
    <xf numFmtId="165" fontId="13" fillId="0" borderId="68" xfId="0" applyNumberFormat="1" applyFont="1" applyBorder="1"/>
    <xf numFmtId="165" fontId="14" fillId="0" borderId="75" xfId="0" applyNumberFormat="1" applyFont="1" applyBorder="1"/>
    <xf numFmtId="165" fontId="14" fillId="0" borderId="65" xfId="0" applyNumberFormat="1" applyFont="1" applyBorder="1"/>
    <xf numFmtId="165" fontId="14" fillId="0" borderId="69" xfId="0" applyNumberFormat="1" applyFont="1" applyBorder="1"/>
    <xf numFmtId="0" fontId="32" fillId="10" borderId="9" xfId="0" applyFont="1" applyFill="1" applyBorder="1"/>
    <xf numFmtId="165" fontId="14" fillId="10" borderId="21" xfId="4" applyNumberFormat="1" applyFont="1" applyFill="1" applyBorder="1" applyAlignment="1" applyProtection="1"/>
    <xf numFmtId="166" fontId="13" fillId="10" borderId="65" xfId="0" applyNumberFormat="1" applyFont="1" applyFill="1" applyBorder="1"/>
    <xf numFmtId="10" fontId="13" fillId="3" borderId="86" xfId="0" applyNumberFormat="1" applyFont="1" applyFill="1" applyBorder="1"/>
    <xf numFmtId="0" fontId="10" fillId="10" borderId="69" xfId="0" applyFont="1" applyFill="1" applyBorder="1"/>
    <xf numFmtId="10" fontId="13" fillId="3" borderId="72" xfId="0" applyNumberFormat="1" applyFont="1" applyFill="1" applyBorder="1"/>
    <xf numFmtId="10" fontId="13" fillId="3" borderId="21" xfId="0" applyNumberFormat="1" applyFont="1" applyFill="1" applyBorder="1"/>
    <xf numFmtId="0" fontId="8" fillId="10" borderId="10" xfId="0" applyFont="1" applyFill="1" applyBorder="1" applyAlignment="1">
      <alignment horizontal="right"/>
    </xf>
    <xf numFmtId="166" fontId="16" fillId="10" borderId="9" xfId="3" applyNumberFormat="1" applyFont="1" applyFill="1" applyBorder="1" applyProtection="1">
      <protection locked="0"/>
    </xf>
    <xf numFmtId="166" fontId="16" fillId="10" borderId="10" xfId="3" applyNumberFormat="1" applyFont="1" applyFill="1" applyBorder="1" applyProtection="1">
      <protection locked="0"/>
    </xf>
    <xf numFmtId="166" fontId="16" fillId="10" borderId="9" xfId="3" applyNumberFormat="1" applyFont="1" applyFill="1" applyBorder="1"/>
    <xf numFmtId="166" fontId="16" fillId="10" borderId="10" xfId="3" applyNumberFormat="1" applyFont="1" applyFill="1" applyBorder="1"/>
    <xf numFmtId="165" fontId="14" fillId="0" borderId="73" xfId="0" applyNumberFormat="1" applyFont="1" applyBorder="1"/>
    <xf numFmtId="165" fontId="14" fillId="0" borderId="64" xfId="0" applyNumberFormat="1" applyFont="1" applyBorder="1"/>
    <xf numFmtId="165" fontId="14" fillId="0" borderId="68" xfId="0" applyNumberFormat="1" applyFont="1" applyBorder="1"/>
    <xf numFmtId="2" fontId="40" fillId="8" borderId="11" xfId="3" applyNumberFormat="1" applyFont="1" applyFill="1" applyBorder="1" applyAlignment="1">
      <alignment horizontal="right" vertical="top"/>
    </xf>
    <xf numFmtId="166" fontId="0" fillId="10" borderId="0" xfId="0" applyNumberFormat="1" applyFill="1"/>
    <xf numFmtId="10" fontId="77" fillId="10" borderId="0" xfId="0" applyNumberFormat="1" applyFont="1" applyFill="1"/>
    <xf numFmtId="0" fontId="77" fillId="10" borderId="0" xfId="0" applyFont="1" applyFill="1"/>
    <xf numFmtId="2" fontId="77" fillId="10" borderId="0" xfId="0" applyNumberFormat="1" applyFont="1" applyFill="1"/>
    <xf numFmtId="166" fontId="77" fillId="10" borderId="0" xfId="0" applyNumberFormat="1" applyFont="1" applyFill="1"/>
    <xf numFmtId="166" fontId="16" fillId="10" borderId="4" xfId="3" applyNumberFormat="1" applyFont="1" applyFill="1" applyBorder="1"/>
    <xf numFmtId="166" fontId="16" fillId="10" borderId="12" xfId="3" applyNumberFormat="1" applyFont="1" applyFill="1" applyBorder="1"/>
    <xf numFmtId="165" fontId="14" fillId="0" borderId="25" xfId="0" applyNumberFormat="1" applyFont="1" applyBorder="1"/>
    <xf numFmtId="44" fontId="51" fillId="4" borderId="13" xfId="0" applyNumberFormat="1" applyFont="1" applyFill="1" applyBorder="1"/>
    <xf numFmtId="165" fontId="14" fillId="4" borderId="7" xfId="1" applyNumberFormat="1" applyFont="1" applyFill="1" applyBorder="1"/>
    <xf numFmtId="0" fontId="35" fillId="10" borderId="0" xfId="0" applyFont="1" applyFill="1" applyAlignment="1">
      <alignment vertical="top"/>
    </xf>
    <xf numFmtId="44" fontId="19" fillId="10" borderId="0" xfId="0" applyNumberFormat="1" applyFont="1" applyFill="1"/>
    <xf numFmtId="0" fontId="0" fillId="10" borderId="0" xfId="0" applyFill="1" applyAlignment="1">
      <alignment horizontal="right"/>
    </xf>
    <xf numFmtId="0" fontId="0" fillId="10" borderId="0" xfId="0" quotePrefix="1" applyFill="1" applyAlignment="1">
      <alignment horizontal="right"/>
    </xf>
    <xf numFmtId="44" fontId="79" fillId="10" borderId="0" xfId="1" applyFont="1" applyFill="1" applyBorder="1" applyAlignment="1" applyProtection="1">
      <alignment vertical="center"/>
    </xf>
    <xf numFmtId="0" fontId="5" fillId="0" borderId="0" xfId="0" applyFont="1"/>
    <xf numFmtId="0" fontId="5" fillId="10" borderId="0" xfId="0" applyFont="1" applyFill="1"/>
    <xf numFmtId="0" fontId="5" fillId="18" borderId="18" xfId="0" applyFont="1" applyFill="1" applyBorder="1"/>
    <xf numFmtId="0" fontId="5" fillId="18" borderId="19" xfId="0" applyFont="1" applyFill="1" applyBorder="1"/>
    <xf numFmtId="0" fontId="5" fillId="18" borderId="11" xfId="0" applyFont="1" applyFill="1" applyBorder="1"/>
    <xf numFmtId="0" fontId="5" fillId="18" borderId="12" xfId="0" applyFont="1" applyFill="1" applyBorder="1"/>
    <xf numFmtId="0" fontId="5" fillId="18" borderId="13" xfId="0" applyFont="1" applyFill="1" applyBorder="1"/>
    <xf numFmtId="0" fontId="5" fillId="18" borderId="14" xfId="0" applyFont="1" applyFill="1" applyBorder="1"/>
    <xf numFmtId="0" fontId="12" fillId="2" borderId="7" xfId="0" applyFont="1" applyFill="1" applyBorder="1" applyAlignment="1">
      <alignment horizontal="center" vertical="center"/>
    </xf>
    <xf numFmtId="9" fontId="13" fillId="10" borderId="104" xfId="0" applyNumberFormat="1" applyFont="1" applyFill="1" applyBorder="1" applyAlignment="1">
      <alignment horizontal="right"/>
    </xf>
    <xf numFmtId="9" fontId="13" fillId="10" borderId="97" xfId="0" applyNumberFormat="1" applyFont="1" applyFill="1" applyBorder="1" applyAlignment="1">
      <alignment horizontal="right"/>
    </xf>
    <xf numFmtId="9" fontId="68" fillId="18" borderId="7" xfId="0" applyNumberFormat="1" applyFont="1" applyFill="1" applyBorder="1" applyAlignment="1">
      <alignment horizontal="right"/>
    </xf>
    <xf numFmtId="9" fontId="15" fillId="10" borderId="7" xfId="0" applyNumberFormat="1" applyFont="1" applyFill="1" applyBorder="1" applyAlignment="1">
      <alignment horizontal="right"/>
    </xf>
    <xf numFmtId="9" fontId="13" fillId="10" borderId="96" xfId="3" applyFont="1" applyFill="1" applyBorder="1" applyAlignment="1">
      <alignment horizontal="right"/>
    </xf>
    <xf numFmtId="9" fontId="13" fillId="10" borderId="97" xfId="3" applyFont="1" applyFill="1" applyBorder="1" applyAlignment="1">
      <alignment horizontal="right"/>
    </xf>
    <xf numFmtId="9" fontId="13" fillId="10" borderId="105" xfId="0" applyNumberFormat="1" applyFont="1" applyFill="1" applyBorder="1" applyAlignment="1">
      <alignment horizontal="right"/>
    </xf>
    <xf numFmtId="9" fontId="13" fillId="10" borderId="98" xfId="0" applyNumberFormat="1" applyFont="1" applyFill="1" applyBorder="1" applyAlignment="1">
      <alignment horizontal="right"/>
    </xf>
    <xf numFmtId="0" fontId="10" fillId="4" borderId="36" xfId="0" applyFont="1" applyFill="1" applyBorder="1"/>
    <xf numFmtId="0" fontId="10" fillId="10" borderId="15" xfId="0" applyFont="1" applyFill="1" applyBorder="1"/>
    <xf numFmtId="44" fontId="14" fillId="3" borderId="97" xfId="1" applyFont="1" applyFill="1" applyBorder="1"/>
    <xf numFmtId="44" fontId="8" fillId="0" borderId="105" xfId="0" applyNumberFormat="1" applyFont="1" applyBorder="1"/>
    <xf numFmtId="168" fontId="15" fillId="18" borderId="49" xfId="0" applyNumberFormat="1" applyFont="1" applyFill="1" applyBorder="1" applyAlignment="1">
      <alignment horizontal="right" vertical="center"/>
    </xf>
    <xf numFmtId="10" fontId="13" fillId="3" borderId="104" xfId="3" applyNumberFormat="1" applyFont="1" applyFill="1" applyBorder="1"/>
    <xf numFmtId="8" fontId="8" fillId="10" borderId="97" xfId="3" applyNumberFormat="1" applyFont="1" applyFill="1" applyBorder="1"/>
    <xf numFmtId="10" fontId="13" fillId="3" borderId="97" xfId="3" applyNumberFormat="1" applyFont="1" applyFill="1" applyBorder="1"/>
    <xf numFmtId="165" fontId="13" fillId="0" borderId="97" xfId="0" applyNumberFormat="1" applyFont="1" applyBorder="1"/>
    <xf numFmtId="44" fontId="59" fillId="10" borderId="98" xfId="0" applyNumberFormat="1" applyFont="1" applyFill="1" applyBorder="1"/>
    <xf numFmtId="0" fontId="52" fillId="4" borderId="36" xfId="0" applyFont="1" applyFill="1" applyBorder="1"/>
    <xf numFmtId="0" fontId="10" fillId="10" borderId="104" xfId="0" applyFont="1" applyFill="1" applyBorder="1"/>
    <xf numFmtId="0" fontId="13" fillId="10" borderId="105" xfId="0" applyFont="1" applyFill="1" applyBorder="1"/>
    <xf numFmtId="10" fontId="14" fillId="3" borderId="49" xfId="3" applyNumberFormat="1" applyFont="1" applyFill="1" applyBorder="1"/>
    <xf numFmtId="10" fontId="13" fillId="3" borderId="97" xfId="0" applyNumberFormat="1" applyFont="1" applyFill="1" applyBorder="1"/>
    <xf numFmtId="44" fontId="8" fillId="10" borderId="97" xfId="1" applyFont="1" applyFill="1" applyBorder="1"/>
    <xf numFmtId="44" fontId="13" fillId="10" borderId="97" xfId="1" applyFont="1" applyFill="1" applyBorder="1"/>
    <xf numFmtId="0" fontId="10" fillId="10" borderId="105" xfId="0" applyFont="1" applyFill="1" applyBorder="1"/>
    <xf numFmtId="10" fontId="13" fillId="3" borderId="49" xfId="0" applyNumberFormat="1" applyFont="1" applyFill="1" applyBorder="1"/>
    <xf numFmtId="0" fontId="13" fillId="10" borderId="15" xfId="0" applyFont="1" applyFill="1" applyBorder="1"/>
    <xf numFmtId="10" fontId="59" fillId="10" borderId="49" xfId="0" applyNumberFormat="1" applyFont="1" applyFill="1" applyBorder="1"/>
    <xf numFmtId="44" fontId="59" fillId="10" borderId="16" xfId="0" applyNumberFormat="1" applyFont="1" applyFill="1" applyBorder="1"/>
    <xf numFmtId="44" fontId="59" fillId="10" borderId="32" xfId="0" applyNumberFormat="1" applyFont="1" applyFill="1" applyBorder="1"/>
    <xf numFmtId="10" fontId="13" fillId="3" borderId="104" xfId="0" applyNumberFormat="1" applyFont="1" applyFill="1" applyBorder="1"/>
    <xf numFmtId="44" fontId="8" fillId="10" borderId="105" xfId="0" applyNumberFormat="1" applyFont="1" applyFill="1" applyBorder="1"/>
    <xf numFmtId="44" fontId="8" fillId="10" borderId="49" xfId="0" applyNumberFormat="1" applyFont="1" applyFill="1" applyBorder="1"/>
    <xf numFmtId="168" fontId="15" fillId="18" borderId="15" xfId="0" applyNumberFormat="1" applyFont="1" applyFill="1" applyBorder="1" applyAlignment="1">
      <alignment horizontal="right" vertical="center"/>
    </xf>
    <xf numFmtId="166" fontId="14" fillId="3" borderId="97" xfId="0" applyNumberFormat="1" applyFont="1" applyFill="1" applyBorder="1"/>
    <xf numFmtId="44" fontId="8" fillId="10" borderId="97" xfId="0" applyNumberFormat="1" applyFont="1" applyFill="1" applyBorder="1"/>
    <xf numFmtId="0" fontId="11" fillId="10" borderId="97" xfId="0" applyFont="1" applyFill="1" applyBorder="1"/>
    <xf numFmtId="165" fontId="14" fillId="0" borderId="105" xfId="0" applyNumberFormat="1" applyFont="1" applyBorder="1"/>
    <xf numFmtId="165" fontId="14" fillId="0" borderId="15" xfId="0" applyNumberFormat="1" applyFont="1" applyBorder="1"/>
    <xf numFmtId="44" fontId="59" fillId="10" borderId="7" xfId="0" applyNumberFormat="1" applyFont="1" applyFill="1" applyBorder="1" applyAlignment="1">
      <alignment vertical="center"/>
    </xf>
    <xf numFmtId="1" fontId="13" fillId="3" borderId="15" xfId="0" applyNumberFormat="1" applyFont="1" applyFill="1" applyBorder="1"/>
    <xf numFmtId="168" fontId="62" fillId="10" borderId="49" xfId="0" applyNumberFormat="1" applyFont="1" applyFill="1" applyBorder="1" applyAlignment="1">
      <alignment vertical="center"/>
    </xf>
    <xf numFmtId="0" fontId="13" fillId="3" borderId="15" xfId="0" applyFont="1" applyFill="1" applyBorder="1" applyAlignment="1">
      <alignment horizontal="right"/>
    </xf>
    <xf numFmtId="168" fontId="59" fillId="10" borderId="7" xfId="0" applyNumberFormat="1" applyFont="1" applyFill="1" applyBorder="1" applyAlignment="1">
      <alignment horizontal="right" vertical="center"/>
    </xf>
    <xf numFmtId="9" fontId="62" fillId="10" borderId="16" xfId="0" applyNumberFormat="1" applyFont="1" applyFill="1" applyBorder="1" applyAlignment="1">
      <alignment horizontal="right"/>
    </xf>
    <xf numFmtId="44" fontId="56" fillId="16" borderId="7" xfId="0" quotePrefix="1" applyNumberFormat="1" applyFont="1" applyFill="1" applyBorder="1"/>
    <xf numFmtId="0" fontId="14" fillId="4" borderId="36" xfId="0" applyFont="1" applyFill="1" applyBorder="1"/>
    <xf numFmtId="9" fontId="13" fillId="10" borderId="15" xfId="3" applyFont="1" applyFill="1" applyBorder="1"/>
    <xf numFmtId="0" fontId="8" fillId="10" borderId="15" xfId="0" applyFont="1" applyFill="1" applyBorder="1"/>
    <xf numFmtId="0" fontId="14" fillId="4" borderId="15" xfId="0" applyFont="1" applyFill="1" applyBorder="1"/>
    <xf numFmtId="44" fontId="13" fillId="3" borderId="15" xfId="0" applyNumberFormat="1" applyFont="1" applyFill="1" applyBorder="1"/>
    <xf numFmtId="44" fontId="13" fillId="3" borderId="16" xfId="0" applyNumberFormat="1" applyFont="1" applyFill="1" applyBorder="1"/>
    <xf numFmtId="44" fontId="17" fillId="8" borderId="16" xfId="0" applyNumberFormat="1" applyFont="1" applyFill="1" applyBorder="1" applyAlignment="1">
      <alignment vertical="center"/>
    </xf>
    <xf numFmtId="2" fontId="18" fillId="12" borderId="16" xfId="0" applyNumberFormat="1" applyFont="1" applyFill="1" applyBorder="1" applyAlignment="1">
      <alignment horizontal="right" vertical="center"/>
    </xf>
    <xf numFmtId="0" fontId="5" fillId="10" borderId="0" xfId="0" applyFont="1" applyFill="1" applyAlignment="1">
      <alignment vertical="center"/>
    </xf>
    <xf numFmtId="44" fontId="5" fillId="10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0" fontId="78" fillId="18" borderId="17" xfId="0" applyFont="1" applyFill="1" applyBorder="1" applyAlignment="1">
      <alignment horizontal="left" vertical="center" indent="1"/>
    </xf>
    <xf numFmtId="0" fontId="78" fillId="18" borderId="10" xfId="0" applyFont="1" applyFill="1" applyBorder="1" applyAlignment="1">
      <alignment horizontal="left" vertical="center" indent="1"/>
    </xf>
    <xf numFmtId="0" fontId="80" fillId="18" borderId="17" xfId="0" applyFont="1" applyFill="1" applyBorder="1" applyAlignment="1">
      <alignment horizontal="left" vertical="center" indent="1"/>
    </xf>
    <xf numFmtId="0" fontId="4" fillId="10" borderId="0" xfId="0" applyFont="1" applyFill="1" applyAlignment="1">
      <alignment vertical="center"/>
    </xf>
    <xf numFmtId="0" fontId="80" fillId="18" borderId="10" xfId="0" applyFont="1" applyFill="1" applyBorder="1" applyAlignment="1">
      <alignment horizontal="left" vertical="center" indent="1"/>
    </xf>
    <xf numFmtId="0" fontId="80" fillId="18" borderId="8" xfId="0" applyFont="1" applyFill="1" applyBorder="1" applyAlignment="1">
      <alignment horizontal="left" vertical="center" indent="1"/>
    </xf>
    <xf numFmtId="0" fontId="4" fillId="10" borderId="0" xfId="0" applyFont="1" applyFill="1" applyAlignment="1">
      <alignment horizontal="left" vertical="center" indent="1"/>
    </xf>
    <xf numFmtId="0" fontId="15" fillId="18" borderId="41" xfId="0" applyFont="1" applyFill="1" applyBorder="1" applyAlignment="1">
      <alignment horizontal="right"/>
    </xf>
    <xf numFmtId="166" fontId="14" fillId="3" borderId="41" xfId="0" applyNumberFormat="1" applyFont="1" applyFill="1" applyBorder="1"/>
    <xf numFmtId="44" fontId="8" fillId="10" borderId="41" xfId="1" applyFont="1" applyFill="1" applyBorder="1"/>
    <xf numFmtId="165" fontId="13" fillId="0" borderId="75" xfId="0" applyNumberFormat="1" applyFont="1" applyBorder="1"/>
    <xf numFmtId="165" fontId="13" fillId="0" borderId="65" xfId="0" applyNumberFormat="1" applyFont="1" applyBorder="1"/>
    <xf numFmtId="165" fontId="13" fillId="0" borderId="69" xfId="0" applyNumberFormat="1" applyFont="1" applyBorder="1"/>
    <xf numFmtId="165" fontId="13" fillId="0" borderId="105" xfId="0" applyNumberFormat="1" applyFont="1" applyBorder="1"/>
    <xf numFmtId="166" fontId="14" fillId="13" borderId="7" xfId="3" applyNumberFormat="1" applyFont="1" applyFill="1" applyBorder="1"/>
    <xf numFmtId="44" fontId="35" fillId="7" borderId="21" xfId="1" applyFont="1" applyFill="1" applyBorder="1"/>
    <xf numFmtId="0" fontId="71" fillId="9" borderId="0" xfId="0" applyFont="1" applyFill="1"/>
    <xf numFmtId="44" fontId="0" fillId="9" borderId="0" xfId="0" applyNumberFormat="1" applyFill="1"/>
    <xf numFmtId="44" fontId="24" fillId="8" borderId="48" xfId="1" applyFont="1" applyFill="1" applyBorder="1"/>
    <xf numFmtId="44" fontId="24" fillId="8" borderId="20" xfId="1" applyFont="1" applyFill="1" applyBorder="1"/>
    <xf numFmtId="10" fontId="0" fillId="10" borderId="0" xfId="0" applyNumberFormat="1" applyFill="1"/>
    <xf numFmtId="44" fontId="0" fillId="10" borderId="0" xfId="1" applyFont="1" applyFill="1" applyBorder="1"/>
    <xf numFmtId="0" fontId="19" fillId="10" borderId="106" xfId="0" applyFont="1" applyFill="1" applyBorder="1"/>
    <xf numFmtId="0" fontId="0" fillId="10" borderId="109" xfId="0" applyFill="1" applyBorder="1"/>
    <xf numFmtId="0" fontId="19" fillId="10" borderId="110" xfId="0" applyFont="1" applyFill="1" applyBorder="1"/>
    <xf numFmtId="44" fontId="82" fillId="10" borderId="110" xfId="1" applyFont="1" applyFill="1" applyBorder="1"/>
    <xf numFmtId="0" fontId="19" fillId="10" borderId="109" xfId="0" applyFont="1" applyFill="1" applyBorder="1"/>
    <xf numFmtId="0" fontId="19" fillId="10" borderId="111" xfId="0" applyFont="1" applyFill="1" applyBorder="1"/>
    <xf numFmtId="0" fontId="19" fillId="10" borderId="112" xfId="0" applyFont="1" applyFill="1" applyBorder="1"/>
    <xf numFmtId="0" fontId="19" fillId="10" borderId="113" xfId="0" applyFont="1" applyFill="1" applyBorder="1"/>
    <xf numFmtId="0" fontId="35" fillId="10" borderId="107" xfId="0" applyFont="1" applyFill="1" applyBorder="1" applyAlignment="1">
      <alignment horizontal="center"/>
    </xf>
    <xf numFmtId="0" fontId="35" fillId="10" borderId="108" xfId="0" applyFont="1" applyFill="1" applyBorder="1" applyAlignment="1">
      <alignment horizontal="center"/>
    </xf>
    <xf numFmtId="0" fontId="77" fillId="10" borderId="109" xfId="0" applyFont="1" applyFill="1" applyBorder="1"/>
    <xf numFmtId="0" fontId="84" fillId="9" borderId="4" xfId="0" applyFont="1" applyFill="1" applyBorder="1"/>
    <xf numFmtId="43" fontId="3" fillId="10" borderId="0" xfId="6" applyFont="1" applyFill="1" applyBorder="1"/>
    <xf numFmtId="43" fontId="13" fillId="10" borderId="0" xfId="6" applyFont="1" applyFill="1" applyBorder="1"/>
    <xf numFmtId="43" fontId="83" fillId="10" borderId="0" xfId="6" applyFont="1" applyFill="1" applyBorder="1"/>
    <xf numFmtId="43" fontId="13" fillId="10" borderId="0" xfId="6" applyFont="1" applyFill="1" applyBorder="1" applyAlignment="1">
      <alignment horizontal="right"/>
    </xf>
    <xf numFmtId="43" fontId="14" fillId="10" borderId="0" xfId="6" applyFont="1" applyFill="1" applyBorder="1" applyAlignment="1">
      <alignment horizontal="center"/>
    </xf>
    <xf numFmtId="0" fontId="67" fillId="2" borderId="61" xfId="0" applyFont="1" applyFill="1" applyBorder="1" applyAlignment="1">
      <alignment horizontal="center" vertical="center" wrapText="1"/>
    </xf>
    <xf numFmtId="9" fontId="13" fillId="10" borderId="76" xfId="0" applyNumberFormat="1" applyFont="1" applyFill="1" applyBorder="1" applyAlignment="1" applyProtection="1">
      <alignment horizontal="right"/>
      <protection locked="0"/>
    </xf>
    <xf numFmtId="9" fontId="33" fillId="10" borderId="73" xfId="0" applyNumberFormat="1" applyFont="1" applyFill="1" applyBorder="1" applyAlignment="1" applyProtection="1">
      <alignment horizontal="right"/>
      <protection locked="0"/>
    </xf>
    <xf numFmtId="9" fontId="13" fillId="10" borderId="73" xfId="0" applyNumberFormat="1" applyFont="1" applyFill="1" applyBorder="1" applyAlignment="1" applyProtection="1">
      <alignment horizontal="right"/>
      <protection locked="0"/>
    </xf>
    <xf numFmtId="9" fontId="13" fillId="10" borderId="66" xfId="3" applyFont="1" applyFill="1" applyBorder="1" applyAlignment="1" applyProtection="1">
      <alignment horizontal="right"/>
      <protection locked="0"/>
    </xf>
    <xf numFmtId="9" fontId="13" fillId="10" borderId="64" xfId="3" applyFont="1" applyFill="1" applyBorder="1" applyAlignment="1" applyProtection="1">
      <alignment horizontal="right"/>
      <protection locked="0"/>
    </xf>
    <xf numFmtId="9" fontId="13" fillId="10" borderId="63" xfId="0" applyNumberFormat="1" applyFont="1" applyFill="1" applyBorder="1" applyAlignment="1" applyProtection="1">
      <alignment horizontal="right"/>
      <protection locked="0"/>
    </xf>
    <xf numFmtId="9" fontId="13" fillId="10" borderId="64" xfId="0" applyNumberFormat="1" applyFont="1" applyFill="1" applyBorder="1" applyAlignment="1" applyProtection="1">
      <alignment horizontal="right"/>
      <protection locked="0"/>
    </xf>
    <xf numFmtId="9" fontId="13" fillId="10" borderId="65" xfId="0" applyNumberFormat="1" applyFont="1" applyFill="1" applyBorder="1" applyAlignment="1" applyProtection="1">
      <alignment horizontal="right"/>
      <protection locked="0"/>
    </xf>
    <xf numFmtId="9" fontId="13" fillId="10" borderId="67" xfId="0" applyNumberFormat="1" applyFont="1" applyFill="1" applyBorder="1" applyAlignment="1" applyProtection="1">
      <alignment horizontal="right"/>
      <protection locked="0"/>
    </xf>
    <xf numFmtId="166" fontId="14" fillId="4" borderId="16" xfId="3" applyNumberFormat="1" applyFont="1" applyFill="1" applyBorder="1" applyProtection="1">
      <protection locked="0"/>
    </xf>
    <xf numFmtId="9" fontId="14" fillId="4" borderId="7" xfId="0" applyNumberFormat="1" applyFont="1" applyFill="1" applyBorder="1" applyProtection="1">
      <protection locked="0"/>
    </xf>
    <xf numFmtId="165" fontId="14" fillId="13" borderId="7" xfId="1" applyNumberFormat="1" applyFont="1" applyFill="1" applyBorder="1" applyProtection="1">
      <protection locked="0"/>
    </xf>
    <xf numFmtId="165" fontId="14" fillId="4" borderId="7" xfId="1" applyNumberFormat="1" applyFont="1" applyFill="1" applyBorder="1" applyProtection="1">
      <protection locked="0"/>
    </xf>
    <xf numFmtId="168" fontId="15" fillId="18" borderId="25" xfId="0" applyNumberFormat="1" applyFont="1" applyFill="1" applyBorder="1" applyAlignment="1" applyProtection="1">
      <alignment horizontal="right" vertical="center"/>
      <protection locked="0"/>
    </xf>
    <xf numFmtId="0" fontId="13" fillId="3" borderId="25" xfId="0" applyFont="1" applyFill="1" applyBorder="1" applyAlignment="1" applyProtection="1">
      <alignment horizontal="right"/>
      <protection locked="0"/>
    </xf>
    <xf numFmtId="0" fontId="13" fillId="3" borderId="25" xfId="0" applyFont="1" applyFill="1" applyBorder="1" applyProtection="1">
      <protection locked="0"/>
    </xf>
    <xf numFmtId="44" fontId="14" fillId="4" borderId="7" xfId="1" applyFont="1" applyFill="1" applyBorder="1" applyProtection="1">
      <protection locked="0"/>
    </xf>
    <xf numFmtId="44" fontId="14" fillId="10" borderId="19" xfId="1" applyFont="1" applyFill="1" applyBorder="1" applyProtection="1">
      <protection locked="0"/>
    </xf>
    <xf numFmtId="44" fontId="14" fillId="10" borderId="14" xfId="1" applyFont="1" applyFill="1" applyBorder="1" applyProtection="1">
      <protection locked="0"/>
    </xf>
    <xf numFmtId="0" fontId="85" fillId="2" borderId="61" xfId="0" applyFont="1" applyFill="1" applyBorder="1" applyAlignment="1">
      <alignment horizontal="center" vertical="center" wrapText="1"/>
    </xf>
    <xf numFmtId="1" fontId="13" fillId="3" borderId="25" xfId="0" applyNumberFormat="1" applyFont="1" applyFill="1" applyBorder="1" applyProtection="1">
      <protection locked="0"/>
    </xf>
    <xf numFmtId="0" fontId="0" fillId="10" borderId="0" xfId="0" applyFill="1" applyProtection="1">
      <protection locked="0"/>
    </xf>
    <xf numFmtId="44" fontId="79" fillId="10" borderId="0" xfId="1" applyFont="1" applyFill="1" applyBorder="1" applyProtection="1">
      <protection locked="0"/>
    </xf>
    <xf numFmtId="44" fontId="16" fillId="10" borderId="0" xfId="1" applyFont="1" applyFill="1" applyBorder="1" applyProtection="1">
      <protection locked="0"/>
    </xf>
    <xf numFmtId="0" fontId="16" fillId="10" borderId="0" xfId="0" applyFont="1" applyFill="1" applyProtection="1">
      <protection locked="0"/>
    </xf>
    <xf numFmtId="0" fontId="16" fillId="10" borderId="11" xfId="0" applyFont="1" applyFill="1" applyBorder="1" applyProtection="1">
      <protection locked="0"/>
    </xf>
    <xf numFmtId="9" fontId="13" fillId="10" borderId="0" xfId="3" applyFont="1" applyFill="1" applyBorder="1"/>
    <xf numFmtId="1" fontId="16" fillId="10" borderId="13" xfId="0" applyNumberFormat="1" applyFont="1" applyFill="1" applyBorder="1" applyProtection="1">
      <protection locked="0"/>
    </xf>
    <xf numFmtId="1" fontId="13" fillId="3" borderId="25" xfId="0" applyNumberFormat="1" applyFont="1" applyFill="1" applyBorder="1" applyAlignment="1" applyProtection="1">
      <alignment horizontal="right"/>
      <protection locked="0"/>
    </xf>
    <xf numFmtId="10" fontId="13" fillId="3" borderId="25" xfId="3" applyNumberFormat="1" applyFont="1" applyFill="1" applyBorder="1" applyProtection="1">
      <protection locked="0"/>
    </xf>
    <xf numFmtId="0" fontId="13" fillId="10" borderId="56" xfId="0" applyFont="1" applyFill="1" applyBorder="1"/>
    <xf numFmtId="0" fontId="13" fillId="10" borderId="43" xfId="0" applyFont="1" applyFill="1" applyBorder="1"/>
    <xf numFmtId="1" fontId="13" fillId="3" borderId="15" xfId="0" applyNumberFormat="1" applyFont="1" applyFill="1" applyBorder="1" applyAlignment="1">
      <alignment horizontal="right"/>
    </xf>
    <xf numFmtId="44" fontId="14" fillId="4" borderId="36" xfId="1" applyFont="1" applyFill="1" applyBorder="1"/>
    <xf numFmtId="44" fontId="14" fillId="4" borderId="114" xfId="1" applyFont="1" applyFill="1" applyBorder="1"/>
    <xf numFmtId="0" fontId="8" fillId="10" borderId="9" xfId="0" applyFont="1" applyFill="1" applyBorder="1" applyAlignment="1">
      <alignment horizontal="left" vertical="center"/>
    </xf>
    <xf numFmtId="166" fontId="14" fillId="3" borderId="73" xfId="0" applyNumberFormat="1" applyFont="1" applyFill="1" applyBorder="1" applyProtection="1">
      <protection locked="0"/>
    </xf>
    <xf numFmtId="168" fontId="62" fillId="10" borderId="79" xfId="0" applyNumberFormat="1" applyFont="1" applyFill="1" applyBorder="1" applyAlignment="1" applyProtection="1">
      <alignment vertical="center"/>
      <protection locked="0"/>
    </xf>
    <xf numFmtId="168" fontId="59" fillId="10" borderId="45" xfId="0" applyNumberFormat="1" applyFont="1" applyFill="1" applyBorder="1" applyAlignment="1" applyProtection="1">
      <alignment vertical="center"/>
      <protection locked="0"/>
    </xf>
    <xf numFmtId="9" fontId="62" fillId="10" borderId="26" xfId="0" applyNumberFormat="1" applyFont="1" applyFill="1" applyBorder="1" applyProtection="1">
      <protection locked="0"/>
    </xf>
    <xf numFmtId="0" fontId="78" fillId="10" borderId="0" xfId="0" applyFont="1" applyFill="1" applyAlignment="1">
      <alignment horizontal="left" vertical="center" indent="1"/>
    </xf>
    <xf numFmtId="168" fontId="15" fillId="18" borderId="36" xfId="0" applyNumberFormat="1" applyFont="1" applyFill="1" applyBorder="1" applyAlignment="1">
      <alignment horizontal="right" vertical="center"/>
    </xf>
    <xf numFmtId="44" fontId="14" fillId="10" borderId="4" xfId="1" applyFont="1" applyFill="1" applyBorder="1"/>
    <xf numFmtId="0" fontId="14" fillId="10" borderId="8" xfId="0" applyFont="1" applyFill="1" applyBorder="1" applyAlignment="1">
      <alignment vertical="center"/>
    </xf>
    <xf numFmtId="9" fontId="13" fillId="10" borderId="115" xfId="0" applyNumberFormat="1" applyFont="1" applyFill="1" applyBorder="1" applyAlignment="1">
      <alignment horizontal="right"/>
    </xf>
    <xf numFmtId="0" fontId="8" fillId="10" borderId="116" xfId="0" applyFont="1" applyFill="1" applyBorder="1" applyAlignment="1">
      <alignment vertical="center"/>
    </xf>
    <xf numFmtId="0" fontId="13" fillId="10" borderId="117" xfId="0" applyFont="1" applyFill="1" applyBorder="1"/>
    <xf numFmtId="0" fontId="13" fillId="10" borderId="118" xfId="0" applyFont="1" applyFill="1" applyBorder="1"/>
    <xf numFmtId="9" fontId="13" fillId="10" borderId="7" xfId="0" applyNumberFormat="1" applyFont="1" applyFill="1" applyBorder="1" applyAlignment="1">
      <alignment horizontal="right"/>
    </xf>
    <xf numFmtId="0" fontId="8" fillId="10" borderId="17" xfId="0" applyFont="1" applyFill="1" applyBorder="1" applyAlignment="1">
      <alignment horizontal="left" vertical="center"/>
    </xf>
    <xf numFmtId="0" fontId="13" fillId="10" borderId="18" xfId="0" applyFont="1" applyFill="1" applyBorder="1"/>
    <xf numFmtId="0" fontId="13" fillId="10" borderId="19" xfId="0" applyFont="1" applyFill="1" applyBorder="1"/>
    <xf numFmtId="0" fontId="71" fillId="4" borderId="100" xfId="0" applyFont="1" applyFill="1" applyBorder="1" applyAlignment="1">
      <alignment horizontal="center"/>
    </xf>
    <xf numFmtId="0" fontId="71" fillId="4" borderId="0" xfId="0" applyFont="1" applyFill="1" applyAlignment="1">
      <alignment horizontal="center"/>
    </xf>
    <xf numFmtId="0" fontId="1" fillId="9" borderId="17" xfId="0" applyFont="1" applyFill="1" applyBorder="1" applyAlignment="1">
      <alignment horizontal="center"/>
    </xf>
    <xf numFmtId="0" fontId="30" fillId="9" borderId="18" xfId="0" applyFont="1" applyFill="1" applyBorder="1" applyAlignment="1">
      <alignment horizontal="center"/>
    </xf>
    <xf numFmtId="0" fontId="30" fillId="9" borderId="19" xfId="0" applyFont="1" applyFill="1" applyBorder="1" applyAlignment="1">
      <alignment horizontal="center"/>
    </xf>
    <xf numFmtId="0" fontId="24" fillId="13" borderId="17" xfId="0" applyFont="1" applyFill="1" applyBorder="1" applyAlignment="1">
      <alignment horizontal="center" vertical="center" wrapText="1"/>
    </xf>
    <xf numFmtId="0" fontId="24" fillId="13" borderId="19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7" borderId="17" xfId="0" applyFont="1" applyFill="1" applyBorder="1" applyAlignment="1">
      <alignment horizontal="center" vertical="center" wrapText="1"/>
    </xf>
    <xf numFmtId="0" fontId="24" fillId="7" borderId="19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" fillId="10" borderId="0" xfId="0" applyFont="1" applyFill="1" applyAlignment="1">
      <alignment horizontal="left" vertical="top" wrapText="1"/>
    </xf>
    <xf numFmtId="0" fontId="71" fillId="10" borderId="0" xfId="0" applyFont="1" applyFill="1" applyAlignment="1">
      <alignment horizontal="left" vertical="top" wrapText="1"/>
    </xf>
    <xf numFmtId="0" fontId="71" fillId="10" borderId="11" xfId="0" applyFont="1" applyFill="1" applyBorder="1" applyAlignment="1">
      <alignment horizontal="left" vertical="top" wrapText="1"/>
    </xf>
    <xf numFmtId="43" fontId="13" fillId="10" borderId="0" xfId="6" applyFont="1" applyFill="1" applyBorder="1" applyAlignment="1">
      <alignment horizontal="center"/>
    </xf>
    <xf numFmtId="0" fontId="8" fillId="10" borderId="78" xfId="0" applyFont="1" applyFill="1" applyBorder="1" applyAlignment="1">
      <alignment horizontal="left" vertical="center"/>
    </xf>
    <xf numFmtId="0" fontId="8" fillId="10" borderId="30" xfId="0" applyFont="1" applyFill="1" applyBorder="1" applyAlignment="1">
      <alignment horizontal="left" vertical="center"/>
    </xf>
    <xf numFmtId="0" fontId="49" fillId="2" borderId="17" xfId="0" applyFont="1" applyFill="1" applyBorder="1" applyAlignment="1">
      <alignment horizontal="right" vertical="center" shrinkToFit="1"/>
    </xf>
    <xf numFmtId="0" fontId="49" fillId="2" borderId="18" xfId="0" applyFont="1" applyFill="1" applyBorder="1" applyAlignment="1">
      <alignment horizontal="right" vertical="center" shrinkToFit="1"/>
    </xf>
    <xf numFmtId="0" fontId="49" fillId="2" borderId="19" xfId="0" applyFont="1" applyFill="1" applyBorder="1" applyAlignment="1">
      <alignment horizontal="right" vertical="center" shrinkToFit="1"/>
    </xf>
    <xf numFmtId="0" fontId="8" fillId="8" borderId="10" xfId="0" applyFont="1" applyFill="1" applyBorder="1" applyAlignment="1">
      <alignment horizontal="right" vertical="top" shrinkToFit="1"/>
    </xf>
    <xf numFmtId="0" fontId="8" fillId="8" borderId="11" xfId="0" applyFont="1" applyFill="1" applyBorder="1" applyAlignment="1">
      <alignment horizontal="right" vertical="top" shrinkToFit="1"/>
    </xf>
    <xf numFmtId="0" fontId="8" fillId="8" borderId="12" xfId="0" applyFont="1" applyFill="1" applyBorder="1" applyAlignment="1">
      <alignment horizontal="right" vertical="top" shrinkToFit="1"/>
    </xf>
    <xf numFmtId="0" fontId="61" fillId="14" borderId="10" xfId="0" applyFont="1" applyFill="1" applyBorder="1" applyAlignment="1">
      <alignment horizontal="right" vertical="center"/>
    </xf>
    <xf numFmtId="0" fontId="61" fillId="14" borderId="11" xfId="0" applyFont="1" applyFill="1" applyBorder="1" applyAlignment="1">
      <alignment horizontal="right" vertical="center"/>
    </xf>
    <xf numFmtId="0" fontId="61" fillId="14" borderId="12" xfId="0" applyFont="1" applyFill="1" applyBorder="1" applyAlignment="1">
      <alignment horizontal="right" vertical="center"/>
    </xf>
    <xf numFmtId="0" fontId="30" fillId="9" borderId="11" xfId="0" applyFont="1" applyFill="1" applyBorder="1" applyAlignment="1">
      <alignment horizontal="right" vertical="center"/>
    </xf>
    <xf numFmtId="0" fontId="8" fillId="10" borderId="9" xfId="0" applyFont="1" applyFill="1" applyBorder="1" applyAlignment="1">
      <alignment horizontal="left" vertical="center"/>
    </xf>
    <xf numFmtId="0" fontId="13" fillId="10" borderId="25" xfId="0" applyFont="1" applyFill="1" applyBorder="1" applyAlignment="1" applyProtection="1">
      <alignment horizontal="right" vertical="center"/>
      <protection locked="0"/>
    </xf>
    <xf numFmtId="0" fontId="13" fillId="10" borderId="128" xfId="0" applyFont="1" applyFill="1" applyBorder="1" applyAlignment="1" applyProtection="1">
      <alignment horizontal="right" vertical="center"/>
      <protection locked="0"/>
    </xf>
    <xf numFmtId="0" fontId="13" fillId="10" borderId="15" xfId="0" applyFont="1" applyFill="1" applyBorder="1" applyAlignment="1" applyProtection="1">
      <alignment horizontal="right" vertical="center"/>
      <protection locked="0"/>
    </xf>
    <xf numFmtId="0" fontId="13" fillId="10" borderId="48" xfId="0" applyFont="1" applyFill="1" applyBorder="1" applyAlignment="1" applyProtection="1">
      <alignment horizontal="right" vertical="center"/>
      <protection locked="0"/>
    </xf>
    <xf numFmtId="0" fontId="13" fillId="10" borderId="127" xfId="0" applyFont="1" applyFill="1" applyBorder="1" applyAlignment="1" applyProtection="1">
      <alignment horizontal="right" vertical="center"/>
      <protection locked="0"/>
    </xf>
    <xf numFmtId="0" fontId="13" fillId="10" borderId="84" xfId="0" applyFont="1" applyFill="1" applyBorder="1" applyAlignment="1" applyProtection="1">
      <alignment horizontal="right" vertical="center"/>
      <protection locked="0"/>
    </xf>
    <xf numFmtId="0" fontId="13" fillId="10" borderId="119" xfId="0" applyFont="1" applyFill="1" applyBorder="1" applyAlignment="1">
      <alignment horizontal="right" vertical="center"/>
    </xf>
    <xf numFmtId="0" fontId="13" fillId="10" borderId="59" xfId="0" applyFont="1" applyFill="1" applyBorder="1" applyAlignment="1">
      <alignment horizontal="right" vertical="center"/>
    </xf>
    <xf numFmtId="0" fontId="13" fillId="10" borderId="120" xfId="0" applyFont="1" applyFill="1" applyBorder="1" applyAlignment="1">
      <alignment horizontal="right" vertical="center"/>
    </xf>
    <xf numFmtId="0" fontId="13" fillId="10" borderId="124" xfId="0" applyFont="1" applyFill="1" applyBorder="1" applyAlignment="1">
      <alignment horizontal="right" vertical="center"/>
    </xf>
    <xf numFmtId="0" fontId="13" fillId="10" borderId="125" xfId="0" applyFont="1" applyFill="1" applyBorder="1" applyAlignment="1">
      <alignment horizontal="right" vertical="center"/>
    </xf>
    <xf numFmtId="0" fontId="13" fillId="10" borderId="126" xfId="0" applyFont="1" applyFill="1" applyBorder="1" applyAlignment="1">
      <alignment horizontal="right" vertical="center"/>
    </xf>
    <xf numFmtId="0" fontId="13" fillId="10" borderId="123" xfId="0" applyFont="1" applyFill="1" applyBorder="1" applyAlignment="1">
      <alignment horizontal="right" vertical="center"/>
    </xf>
    <xf numFmtId="0" fontId="13" fillId="10" borderId="22" xfId="0" applyFont="1" applyFill="1" applyBorder="1" applyAlignment="1">
      <alignment horizontal="right" vertical="center"/>
    </xf>
    <xf numFmtId="0" fontId="13" fillId="10" borderId="85" xfId="0" applyFont="1" applyFill="1" applyBorder="1" applyAlignment="1">
      <alignment horizontal="right" vertical="center"/>
    </xf>
    <xf numFmtId="0" fontId="13" fillId="10" borderId="121" xfId="0" applyFont="1" applyFill="1" applyBorder="1" applyAlignment="1">
      <alignment horizontal="right" vertical="center"/>
    </xf>
    <xf numFmtId="0" fontId="13" fillId="10" borderId="54" xfId="0" applyFont="1" applyFill="1" applyBorder="1" applyAlignment="1">
      <alignment horizontal="right" vertical="center"/>
    </xf>
    <xf numFmtId="0" fontId="13" fillId="10" borderId="122" xfId="0" applyFont="1" applyFill="1" applyBorder="1" applyAlignment="1">
      <alignment horizontal="right" vertical="center"/>
    </xf>
    <xf numFmtId="0" fontId="13" fillId="10" borderId="15" xfId="0" applyFont="1" applyFill="1" applyBorder="1" applyAlignment="1">
      <alignment horizontal="right" vertical="center"/>
    </xf>
    <xf numFmtId="0" fontId="8" fillId="10" borderId="8" xfId="0" applyFont="1" applyFill="1" applyBorder="1" applyAlignment="1">
      <alignment horizontal="center"/>
    </xf>
    <xf numFmtId="0" fontId="8" fillId="10" borderId="14" xfId="0" applyFont="1" applyFill="1" applyBorder="1" applyAlignment="1">
      <alignment horizontal="center"/>
    </xf>
    <xf numFmtId="0" fontId="8" fillId="10" borderId="106" xfId="0" applyFont="1" applyFill="1" applyBorder="1" applyAlignment="1">
      <alignment horizontal="center" vertical="center"/>
    </xf>
    <xf numFmtId="0" fontId="8" fillId="10" borderId="107" xfId="0" applyFont="1" applyFill="1" applyBorder="1" applyAlignment="1">
      <alignment horizontal="center" vertical="center"/>
    </xf>
    <xf numFmtId="0" fontId="8" fillId="10" borderId="108" xfId="0" applyFont="1" applyFill="1" applyBorder="1" applyAlignment="1">
      <alignment horizontal="center" vertical="center"/>
    </xf>
    <xf numFmtId="0" fontId="8" fillId="10" borderId="109" xfId="0" applyFont="1" applyFill="1" applyBorder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8" fillId="10" borderId="110" xfId="0" applyFont="1" applyFill="1" applyBorder="1" applyAlignment="1">
      <alignment horizontal="center" vertical="center"/>
    </xf>
    <xf numFmtId="10" fontId="81" fillId="10" borderId="109" xfId="0" applyNumberFormat="1" applyFont="1" applyFill="1" applyBorder="1" applyAlignment="1">
      <alignment horizontal="center" vertical="center"/>
    </xf>
    <xf numFmtId="10" fontId="81" fillId="10" borderId="0" xfId="0" applyNumberFormat="1" applyFont="1" applyFill="1" applyAlignment="1">
      <alignment horizontal="center" vertical="center"/>
    </xf>
    <xf numFmtId="10" fontId="81" fillId="10" borderId="110" xfId="0" applyNumberFormat="1" applyFont="1" applyFill="1" applyBorder="1" applyAlignment="1">
      <alignment horizontal="center" vertical="center"/>
    </xf>
    <xf numFmtId="10" fontId="81" fillId="10" borderId="111" xfId="0" applyNumberFormat="1" applyFont="1" applyFill="1" applyBorder="1" applyAlignment="1">
      <alignment horizontal="center" vertical="center"/>
    </xf>
    <xf numFmtId="10" fontId="81" fillId="10" borderId="112" xfId="0" applyNumberFormat="1" applyFont="1" applyFill="1" applyBorder="1" applyAlignment="1">
      <alignment horizontal="center" vertical="center"/>
    </xf>
    <xf numFmtId="10" fontId="81" fillId="10" borderId="113" xfId="0" applyNumberFormat="1" applyFont="1" applyFill="1" applyBorder="1" applyAlignment="1">
      <alignment horizontal="center" vertical="center"/>
    </xf>
    <xf numFmtId="0" fontId="20" fillId="0" borderId="9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10" borderId="9" xfId="0" applyFont="1" applyFill="1" applyBorder="1" applyAlignment="1">
      <alignment horizontal="center"/>
    </xf>
    <xf numFmtId="0" fontId="20" fillId="10" borderId="0" xfId="0" applyFont="1" applyFill="1" applyAlignment="1">
      <alignment horizontal="center"/>
    </xf>
    <xf numFmtId="0" fontId="20" fillId="10" borderId="4" xfId="0" applyFont="1" applyFill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14" fontId="20" fillId="10" borderId="9" xfId="0" applyNumberFormat="1" applyFont="1" applyFill="1" applyBorder="1" applyAlignment="1">
      <alignment horizontal="center"/>
    </xf>
    <xf numFmtId="0" fontId="13" fillId="10" borderId="4" xfId="0" applyFont="1" applyFill="1" applyBorder="1" applyAlignment="1">
      <alignment horizontal="right" vertical="center"/>
    </xf>
    <xf numFmtId="0" fontId="13" fillId="10" borderId="25" xfId="0" applyFont="1" applyFill="1" applyBorder="1" applyAlignment="1">
      <alignment horizontal="right" vertical="center"/>
    </xf>
  </cellXfs>
  <cellStyles count="9">
    <cellStyle name="Hyperlink" xfId="2" builtinId="8"/>
    <cellStyle name="Komma" xfId="8" builtinId="3"/>
    <cellStyle name="Komma 2" xfId="6" xr:uid="{C60C8D05-775C-449F-9166-3495366BD9D2}"/>
    <cellStyle name="Komma 3" xfId="7" xr:uid="{4E382AFA-1428-478D-B701-9D2CA97BC92B}"/>
    <cellStyle name="Procent" xfId="3" builtinId="5"/>
    <cellStyle name="Procent 2" xfId="5" xr:uid="{0BD46F54-7762-4679-AC0C-EC6B97591E49}"/>
    <cellStyle name="Standaard" xfId="0" builtinId="0"/>
    <cellStyle name="Valuta" xfId="1" builtinId="4"/>
    <cellStyle name="Valuta 2" xfId="4" xr:uid="{57275724-18B0-44BD-8F6D-21AA82BBDDC9}"/>
  </cellStyles>
  <dxfs count="36">
    <dxf>
      <font>
        <b/>
        <i val="0"/>
      </font>
      <fill>
        <patternFill>
          <bgColor theme="5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color theme="2" tint="-9.9948118533890809E-2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theme="5"/>
      </font>
      <fill>
        <patternFill patternType="solid">
          <bgColor theme="0" tint="-4.9989318521683403E-2"/>
        </patternFill>
      </fill>
    </dxf>
    <dxf>
      <font>
        <color theme="2" tint="-9.9948118533890809E-2"/>
      </font>
    </dxf>
    <dxf>
      <font>
        <b/>
        <i val="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color theme="2" tint="-9.9948118533890809E-2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color theme="2" tint="-9.9948118533890809E-2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theme="5"/>
      </font>
      <fill>
        <patternFill patternType="solid">
          <bgColor theme="0" tint="-4.9989318521683403E-2"/>
        </patternFill>
      </fill>
    </dxf>
    <dxf>
      <font>
        <color theme="2" tint="-9.9948118533890809E-2"/>
      </font>
    </dxf>
    <dxf>
      <font>
        <b/>
        <i val="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color theme="2" tint="-9.9948118533890809E-2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theme="5"/>
      </font>
      <fill>
        <patternFill patternType="solid">
          <bgColor theme="0" tint="-4.9989318521683403E-2"/>
        </patternFill>
      </fill>
    </dxf>
    <dxf>
      <font>
        <color theme="2" tint="-9.9948118533890809E-2"/>
      </font>
    </dxf>
    <dxf>
      <font>
        <b/>
        <i val="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E81606"/>
      <color rgb="FFFDB199"/>
      <color rgb="FFF13D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0/relationships/richValueRel" Target="richData/richValueRel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arm Eskes" id="{C0CEE905-46AB-43A4-B6E9-575E092C42EA}" userId="S::h.eskes@hhm.nl::d3e9b51a-4b2b-4223-a271-18f14fb4e380" providerId="AD"/>
</personList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HH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82C4"/>
      </a:accent1>
      <a:accent2>
        <a:srgbClr val="59A553"/>
      </a:accent2>
      <a:accent3>
        <a:srgbClr val="EFA916"/>
      </a:accent3>
      <a:accent4>
        <a:srgbClr val="C48014"/>
      </a:accent4>
      <a:accent5>
        <a:srgbClr val="345575"/>
      </a:accent5>
      <a:accent6>
        <a:srgbClr val="326D6A"/>
      </a:accent6>
      <a:hlink>
        <a:srgbClr val="0082C4"/>
      </a:hlink>
      <a:folHlink>
        <a:srgbClr val="0082C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6" dT="2024-12-04T07:29:56.74" personId="{C0CEE905-46AB-43A4-B6E9-575E092C42EA}" id="{C2C8AFC9-FEA9-4792-A285-D3DB2C5ABBE8}">
    <text>+ 0,1% voor IKB, dus 8,96% wordt 9,06%</text>
  </threadedComment>
</ThreadedComment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puc.overheid.nl/nza/doc/PUC_770296_22/1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64452-2461-4586-A7FB-1B09D4B74686}">
  <sheetPr>
    <tabColor theme="1"/>
  </sheetPr>
  <dimension ref="A1:R30"/>
  <sheetViews>
    <sheetView showRowColHeaders="0" tabSelected="1" zoomScaleNormal="100" workbookViewId="0">
      <selection activeCell="C2" sqref="C2"/>
    </sheetView>
  </sheetViews>
  <sheetFormatPr defaultColWidth="0" defaultRowHeight="15.6" zeroHeight="1"/>
  <cols>
    <col min="1" max="4" width="8.77734375" style="790" customWidth="1"/>
    <col min="5" max="5" width="23" style="790" customWidth="1"/>
    <col min="6" max="6" width="5.44140625" style="790" customWidth="1"/>
    <col min="7" max="7" width="8.77734375" style="790" customWidth="1"/>
    <col min="8" max="8" width="10.44140625" style="790" customWidth="1"/>
    <col min="9" max="9" width="8.77734375" style="790" customWidth="1"/>
    <col min="10" max="10" width="4" style="790" customWidth="1"/>
    <col min="11" max="11" width="8.77734375" style="790" customWidth="1"/>
    <col min="12" max="12" width="12.44140625" style="790" customWidth="1"/>
    <col min="13" max="13" width="4.109375" style="790" customWidth="1"/>
    <col min="14" max="14" width="15.44140625" style="790" customWidth="1"/>
    <col min="15" max="15" width="9.109375" style="790" customWidth="1"/>
    <col min="16" max="18" width="8.77734375" style="790" customWidth="1"/>
    <col min="19" max="16384" width="8.77734375" style="790" hidden="1"/>
  </cols>
  <sheetData>
    <row r="1" spans="1:18" ht="7.05" customHeight="1">
      <c r="A1" s="796"/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  <c r="Q1" s="796"/>
      <c r="R1" s="796"/>
    </row>
    <row r="2" spans="1:18" ht="29.4" thickBot="1">
      <c r="A2" s="796"/>
      <c r="B2" s="796"/>
      <c r="C2" s="796"/>
      <c r="D2" s="796"/>
      <c r="E2" s="797" t="s">
        <v>393</v>
      </c>
      <c r="F2" s="796"/>
      <c r="G2" s="796"/>
      <c r="H2" s="796"/>
      <c r="I2" s="796"/>
      <c r="J2" s="796"/>
      <c r="K2" s="796"/>
      <c r="L2" s="796"/>
      <c r="M2" s="796"/>
      <c r="N2" s="796"/>
      <c r="O2" s="796"/>
      <c r="P2" s="796"/>
      <c r="Q2" s="796"/>
      <c r="R2" s="796"/>
    </row>
    <row r="3" spans="1:18" ht="24.6" thickBot="1">
      <c r="A3" s="796"/>
      <c r="B3" s="796"/>
      <c r="C3" s="796"/>
      <c r="D3" s="796"/>
      <c r="E3" s="798" t="s">
        <v>317</v>
      </c>
      <c r="F3" s="796"/>
      <c r="G3" s="796"/>
      <c r="H3" s="796"/>
      <c r="I3" s="796"/>
      <c r="J3" s="1012" t="s">
        <v>398</v>
      </c>
      <c r="K3" s="1013"/>
      <c r="L3" s="1013"/>
      <c r="M3" s="1013"/>
      <c r="N3" s="1014"/>
      <c r="P3" s="796"/>
      <c r="Q3" s="796"/>
      <c r="R3" s="796"/>
    </row>
    <row r="4" spans="1:18" ht="6.45" customHeight="1">
      <c r="A4" s="796"/>
      <c r="B4" s="796"/>
      <c r="C4" s="796"/>
      <c r="D4" s="796"/>
      <c r="E4" s="796"/>
      <c r="F4" s="796"/>
      <c r="G4" s="796"/>
      <c r="H4" s="796"/>
      <c r="I4" s="796"/>
      <c r="J4" s="796"/>
      <c r="K4" s="796"/>
      <c r="L4" s="796"/>
      <c r="M4" s="796"/>
      <c r="N4" s="796"/>
      <c r="O4" s="796"/>
      <c r="P4" s="796"/>
      <c r="Q4" s="796"/>
      <c r="R4" s="796"/>
    </row>
    <row r="5" spans="1:18" ht="16.5" customHeight="1">
      <c r="A5" s="796"/>
      <c r="B5" s="796"/>
      <c r="C5" s="796"/>
      <c r="D5" s="796"/>
      <c r="E5" s="1025" t="s">
        <v>395</v>
      </c>
      <c r="F5" s="1026"/>
      <c r="G5" s="1026"/>
      <c r="H5" s="1026"/>
      <c r="I5" s="1026"/>
      <c r="J5" s="1026"/>
      <c r="K5" s="1026"/>
      <c r="L5" s="1026"/>
      <c r="M5" s="1026"/>
      <c r="N5" s="1026"/>
      <c r="O5" s="810"/>
      <c r="P5" s="796"/>
      <c r="Q5" s="796"/>
      <c r="R5" s="796"/>
    </row>
    <row r="6" spans="1:18">
      <c r="A6" s="796"/>
      <c r="B6" s="796"/>
      <c r="C6" s="796"/>
      <c r="D6" s="796"/>
      <c r="E6" s="1026"/>
      <c r="F6" s="1026"/>
      <c r="G6" s="1026"/>
      <c r="H6" s="1026"/>
      <c r="I6" s="1026"/>
      <c r="J6" s="1026"/>
      <c r="K6" s="1026"/>
      <c r="L6" s="1026"/>
      <c r="M6" s="1026"/>
      <c r="N6" s="1026"/>
      <c r="O6" s="810"/>
      <c r="P6" s="796"/>
      <c r="Q6" s="796"/>
      <c r="R6" s="796"/>
    </row>
    <row r="7" spans="1:18">
      <c r="A7" s="796"/>
      <c r="B7" s="796"/>
      <c r="C7" s="796"/>
      <c r="D7" s="796"/>
      <c r="E7" s="1026"/>
      <c r="F7" s="1026"/>
      <c r="G7" s="1026"/>
      <c r="H7" s="1026"/>
      <c r="I7" s="1026"/>
      <c r="J7" s="1026"/>
      <c r="K7" s="1026"/>
      <c r="L7" s="1026"/>
      <c r="M7" s="1026"/>
      <c r="N7" s="1026"/>
      <c r="O7" s="810"/>
      <c r="P7" s="796"/>
      <c r="Q7" s="796"/>
      <c r="R7" s="796"/>
    </row>
    <row r="8" spans="1:18" ht="16.2" thickBot="1">
      <c r="A8" s="796"/>
      <c r="B8" s="796"/>
      <c r="C8" s="796"/>
      <c r="D8" s="796"/>
      <c r="E8" s="1027"/>
      <c r="F8" s="1027"/>
      <c r="G8" s="1027"/>
      <c r="H8" s="1027"/>
      <c r="I8" s="1027"/>
      <c r="J8" s="1027"/>
      <c r="K8" s="1027"/>
      <c r="L8" s="1027"/>
      <c r="M8" s="1027"/>
      <c r="N8" s="1027"/>
      <c r="O8" s="810"/>
      <c r="P8" s="796"/>
      <c r="Q8" s="796"/>
      <c r="R8" s="796"/>
    </row>
    <row r="9" spans="1:18" ht="44.55" customHeight="1" thickBot="1">
      <c r="A9" s="796"/>
      <c r="B9" s="796"/>
      <c r="C9" s="796"/>
      <c r="D9" s="796"/>
      <c r="E9" s="1023" t="s">
        <v>343</v>
      </c>
      <c r="F9" s="1024"/>
      <c r="G9" s="1021" t="s">
        <v>342</v>
      </c>
      <c r="H9" s="1022"/>
      <c r="I9" s="1019" t="s">
        <v>394</v>
      </c>
      <c r="J9" s="1020"/>
      <c r="K9" s="1017" t="s">
        <v>340</v>
      </c>
      <c r="L9" s="1018"/>
      <c r="M9" s="1015" t="s">
        <v>341</v>
      </c>
      <c r="N9" s="1016"/>
      <c r="O9" s="796"/>
      <c r="P9" s="796"/>
      <c r="Q9" s="796"/>
      <c r="R9" s="796"/>
    </row>
    <row r="10" spans="1:18">
      <c r="A10" s="796"/>
      <c r="B10" s="796"/>
      <c r="C10" s="796"/>
      <c r="D10" s="796"/>
      <c r="E10" s="796"/>
      <c r="F10" s="796"/>
      <c r="G10" s="796"/>
      <c r="H10" s="796"/>
      <c r="I10" s="796"/>
      <c r="J10" s="796"/>
      <c r="K10" s="796"/>
      <c r="L10" s="796"/>
      <c r="M10" s="796"/>
      <c r="N10" s="796"/>
      <c r="O10" s="796"/>
      <c r="P10" s="796"/>
      <c r="Q10" s="796"/>
      <c r="R10" s="796"/>
    </row>
    <row r="11" spans="1:18" ht="16.2" thickBot="1">
      <c r="A11" s="796"/>
      <c r="B11" s="796"/>
      <c r="C11" s="796"/>
      <c r="D11" s="796"/>
      <c r="E11" s="805" t="s">
        <v>338</v>
      </c>
      <c r="F11" s="796"/>
      <c r="G11" s="796"/>
      <c r="H11" s="796"/>
      <c r="I11" s="796"/>
      <c r="J11" s="796"/>
      <c r="K11" s="796"/>
      <c r="L11" s="796"/>
      <c r="M11" s="796"/>
      <c r="N11" s="796"/>
      <c r="O11" s="796"/>
      <c r="P11" s="796"/>
      <c r="Q11" s="796"/>
      <c r="R11" s="796"/>
    </row>
    <row r="12" spans="1:18" ht="16.2" thickBot="1">
      <c r="A12" s="796"/>
      <c r="B12" s="796"/>
      <c r="C12" s="796"/>
      <c r="D12" s="796"/>
      <c r="E12" s="804" t="s">
        <v>327</v>
      </c>
      <c r="F12" s="796" t="s">
        <v>334</v>
      </c>
      <c r="G12" s="796"/>
      <c r="H12" s="796"/>
      <c r="I12" s="796"/>
      <c r="J12" s="796"/>
      <c r="K12" s="796"/>
      <c r="L12" s="796"/>
      <c r="M12" s="796"/>
      <c r="N12" s="796"/>
      <c r="O12" s="796"/>
      <c r="P12" s="796"/>
      <c r="Q12" s="796"/>
      <c r="R12" s="796"/>
    </row>
    <row r="13" spans="1:18" ht="16.2" thickBot="1">
      <c r="A13" s="796"/>
      <c r="B13" s="796"/>
      <c r="C13" s="796"/>
      <c r="D13" s="796"/>
      <c r="E13" s="803" t="s">
        <v>328</v>
      </c>
      <c r="F13" s="796" t="s">
        <v>333</v>
      </c>
      <c r="G13" s="796"/>
      <c r="H13" s="796"/>
      <c r="I13" s="796"/>
      <c r="J13" s="796"/>
      <c r="K13" s="796"/>
      <c r="L13" s="796"/>
      <c r="M13" s="796"/>
      <c r="N13" s="796"/>
      <c r="O13" s="796"/>
      <c r="P13" s="796"/>
      <c r="Q13" s="796"/>
      <c r="R13" s="796"/>
    </row>
    <row r="14" spans="1:18" ht="16.2" thickBot="1">
      <c r="A14" s="796"/>
      <c r="B14" s="796"/>
      <c r="C14" s="796"/>
      <c r="D14" s="796"/>
      <c r="E14" s="802" t="s">
        <v>329</v>
      </c>
      <c r="F14" s="796" t="s">
        <v>330</v>
      </c>
      <c r="G14" s="796"/>
      <c r="H14" s="796"/>
      <c r="I14" s="796"/>
      <c r="J14" s="796"/>
      <c r="K14" s="796"/>
      <c r="L14" s="796"/>
      <c r="M14" s="796"/>
      <c r="N14" s="796"/>
      <c r="O14" s="796"/>
      <c r="P14" s="796"/>
      <c r="Q14" s="796"/>
      <c r="R14" s="796"/>
    </row>
    <row r="15" spans="1:18">
      <c r="A15" s="796"/>
      <c r="B15" s="796"/>
      <c r="C15" s="796"/>
      <c r="D15" s="796"/>
      <c r="E15" s="799"/>
      <c r="F15" s="796"/>
      <c r="G15" s="796"/>
      <c r="H15" s="796"/>
      <c r="I15" s="796"/>
      <c r="J15" s="796"/>
      <c r="K15" s="796"/>
      <c r="L15" s="796"/>
      <c r="M15" s="796"/>
      <c r="N15" s="796"/>
      <c r="O15" s="796"/>
      <c r="P15" s="796"/>
      <c r="Q15" s="796"/>
      <c r="R15" s="796"/>
    </row>
    <row r="16" spans="1:18" ht="16.2" thickBot="1">
      <c r="A16" s="796"/>
      <c r="B16" s="796"/>
      <c r="C16" s="796"/>
      <c r="D16" s="796"/>
      <c r="E16" s="805" t="s">
        <v>339</v>
      </c>
      <c r="F16" s="796"/>
      <c r="G16" s="796"/>
      <c r="H16" s="796"/>
      <c r="I16" s="796"/>
      <c r="J16" s="796"/>
      <c r="K16" s="796"/>
      <c r="L16" s="796"/>
      <c r="M16" s="796"/>
      <c r="N16" s="796"/>
      <c r="O16" s="796"/>
      <c r="P16" s="796"/>
      <c r="Q16" s="796"/>
      <c r="R16" s="796"/>
    </row>
    <row r="17" spans="1:18" ht="16.2" thickBot="1">
      <c r="A17" s="796"/>
      <c r="B17" s="796"/>
      <c r="C17" s="796"/>
      <c r="D17" s="796"/>
      <c r="E17" s="795" t="s">
        <v>318</v>
      </c>
      <c r="F17" s="796" t="s">
        <v>335</v>
      </c>
      <c r="G17" s="796"/>
      <c r="H17" s="796"/>
      <c r="I17" s="796"/>
      <c r="J17" s="796"/>
      <c r="K17" s="796"/>
      <c r="L17" s="796"/>
      <c r="M17" s="796"/>
      <c r="N17" s="796"/>
      <c r="O17" s="796"/>
      <c r="P17" s="796"/>
      <c r="Q17" s="796"/>
      <c r="R17" s="796"/>
    </row>
    <row r="18" spans="1:18" ht="16.2" thickBot="1">
      <c r="A18" s="796"/>
      <c r="B18" s="796"/>
      <c r="C18" s="796"/>
      <c r="D18" s="796"/>
      <c r="E18" s="794" t="s">
        <v>319</v>
      </c>
      <c r="F18" s="796" t="s">
        <v>336</v>
      </c>
      <c r="G18" s="796"/>
      <c r="H18" s="796"/>
      <c r="I18" s="796"/>
      <c r="J18" s="796"/>
      <c r="K18" s="796"/>
      <c r="L18" s="796"/>
      <c r="M18" s="796"/>
      <c r="N18" s="796"/>
      <c r="O18" s="796"/>
      <c r="P18" s="796"/>
      <c r="Q18" s="796"/>
      <c r="R18" s="796"/>
    </row>
    <row r="19" spans="1:18" ht="16.2" thickBot="1">
      <c r="A19" s="796"/>
      <c r="B19" s="796"/>
      <c r="C19" s="796"/>
      <c r="D19" s="796"/>
      <c r="E19" s="793" t="s">
        <v>320</v>
      </c>
      <c r="F19" s="796" t="s">
        <v>337</v>
      </c>
      <c r="G19" s="796"/>
      <c r="H19" s="796"/>
      <c r="I19" s="796"/>
      <c r="J19" s="796"/>
      <c r="K19" s="796"/>
      <c r="L19" s="796"/>
      <c r="M19" s="796"/>
      <c r="N19" s="796"/>
      <c r="O19" s="796"/>
      <c r="P19" s="796"/>
      <c r="Q19" s="796"/>
      <c r="R19" s="796"/>
    </row>
    <row r="20" spans="1:18" ht="16.2" thickBot="1">
      <c r="A20" s="796"/>
      <c r="B20" s="796"/>
      <c r="C20" s="796"/>
      <c r="D20" s="796"/>
      <c r="E20" s="792" t="s">
        <v>322</v>
      </c>
      <c r="F20" s="796" t="s">
        <v>332</v>
      </c>
      <c r="G20" s="796"/>
      <c r="H20" s="796"/>
      <c r="I20" s="796"/>
      <c r="J20" s="796"/>
      <c r="K20" s="796"/>
      <c r="L20" s="796"/>
      <c r="M20" s="796"/>
      <c r="N20" s="796"/>
      <c r="O20" s="796"/>
      <c r="P20" s="796"/>
      <c r="Q20" s="796"/>
      <c r="R20" s="796"/>
    </row>
    <row r="21" spans="1:18" ht="16.2" thickBot="1">
      <c r="A21" s="796"/>
      <c r="B21" s="796"/>
      <c r="C21" s="796"/>
      <c r="D21" s="796"/>
      <c r="E21" s="791" t="s">
        <v>323</v>
      </c>
      <c r="F21" s="796" t="s">
        <v>331</v>
      </c>
      <c r="G21" s="796"/>
      <c r="H21" s="796"/>
      <c r="I21" s="796"/>
      <c r="J21" s="796"/>
      <c r="K21" s="796"/>
      <c r="L21" s="796"/>
      <c r="M21" s="796"/>
      <c r="N21" s="796"/>
      <c r="O21" s="796"/>
      <c r="P21" s="796"/>
      <c r="Q21" s="796"/>
      <c r="R21" s="796"/>
    </row>
    <row r="22" spans="1:18" ht="16.2" thickBot="1">
      <c r="A22" s="796"/>
      <c r="B22" s="796"/>
      <c r="C22" s="796"/>
      <c r="D22" s="796"/>
      <c r="E22" s="796"/>
      <c r="F22" s="796"/>
      <c r="G22" s="796"/>
      <c r="H22" s="796"/>
      <c r="I22" s="796"/>
      <c r="J22" s="796"/>
      <c r="K22" s="796"/>
      <c r="L22" s="796"/>
      <c r="M22" s="796"/>
      <c r="N22" s="796"/>
      <c r="O22" s="796"/>
      <c r="P22" s="796"/>
      <c r="Q22" s="796"/>
      <c r="R22" s="796"/>
    </row>
    <row r="23" spans="1:18" ht="10.050000000000001" customHeight="1">
      <c r="A23" s="800"/>
      <c r="B23" s="800"/>
      <c r="C23" s="800"/>
      <c r="D23" s="800"/>
      <c r="E23" s="800"/>
      <c r="F23" s="1010" t="e" vm="1">
        <v>#VALUE!</v>
      </c>
      <c r="G23" s="1010"/>
      <c r="H23" s="1010"/>
      <c r="I23" s="1010"/>
      <c r="J23" s="1010"/>
      <c r="K23" s="1010"/>
      <c r="L23" s="1010"/>
      <c r="M23" s="800"/>
      <c r="N23" s="800"/>
      <c r="O23" s="800"/>
      <c r="P23" s="800"/>
      <c r="Q23" s="800"/>
      <c r="R23" s="800"/>
    </row>
    <row r="24" spans="1:18">
      <c r="A24" s="801"/>
      <c r="B24" s="801"/>
      <c r="C24" s="801"/>
      <c r="D24" s="801"/>
      <c r="E24" s="801"/>
      <c r="F24" s="1011"/>
      <c r="G24" s="1011"/>
      <c r="H24" s="1011"/>
      <c r="I24" s="1011"/>
      <c r="J24" s="1011"/>
      <c r="K24" s="1011"/>
      <c r="L24" s="1011"/>
      <c r="M24" s="801"/>
      <c r="N24" s="801"/>
      <c r="O24" s="801"/>
      <c r="P24" s="801"/>
      <c r="Q24" s="801"/>
      <c r="R24" s="801"/>
    </row>
    <row r="25" spans="1:18">
      <c r="A25" s="801"/>
      <c r="B25" s="801"/>
      <c r="C25" s="801"/>
      <c r="D25" s="801"/>
      <c r="E25" s="801"/>
      <c r="F25" s="1011"/>
      <c r="G25" s="1011"/>
      <c r="H25" s="1011"/>
      <c r="I25" s="1011"/>
      <c r="J25" s="1011"/>
      <c r="K25" s="1011"/>
      <c r="L25" s="1011"/>
      <c r="M25" s="801"/>
      <c r="N25" s="801"/>
      <c r="O25" s="801"/>
      <c r="P25" s="801"/>
      <c r="Q25" s="801"/>
      <c r="R25" s="801"/>
    </row>
    <row r="26" spans="1:18" ht="10.95" customHeight="1">
      <c r="A26" s="801"/>
      <c r="B26" s="801"/>
      <c r="C26" s="801"/>
      <c r="D26" s="801"/>
      <c r="E26" s="801"/>
      <c r="F26" s="1011"/>
      <c r="G26" s="1011"/>
      <c r="H26" s="1011"/>
      <c r="I26" s="1011"/>
      <c r="J26" s="1011"/>
      <c r="K26" s="1011"/>
      <c r="L26" s="1011"/>
      <c r="M26" s="801"/>
      <c r="N26" s="801"/>
      <c r="O26" s="801"/>
      <c r="P26" s="801"/>
      <c r="Q26" s="801"/>
      <c r="R26" s="801"/>
    </row>
    <row r="27" spans="1:18">
      <c r="A27" s="801"/>
      <c r="B27" s="801"/>
      <c r="C27" s="801"/>
      <c r="D27" s="801"/>
      <c r="E27" s="801"/>
      <c r="F27" s="1011"/>
      <c r="G27" s="1011"/>
      <c r="H27" s="1011"/>
      <c r="I27" s="1011"/>
      <c r="J27" s="1011"/>
      <c r="K27" s="1011"/>
      <c r="L27" s="1011"/>
      <c r="M27" s="801"/>
      <c r="N27" s="801"/>
      <c r="O27" s="801"/>
      <c r="P27" s="801"/>
      <c r="Q27" s="801"/>
      <c r="R27" s="801"/>
    </row>
    <row r="28" spans="1:18" ht="1.05" customHeight="1">
      <c r="A28" s="801"/>
      <c r="B28" s="801"/>
      <c r="C28" s="801"/>
      <c r="D28" s="801"/>
      <c r="E28" s="801"/>
      <c r="F28" s="1011"/>
      <c r="G28" s="1011"/>
      <c r="H28" s="1011"/>
      <c r="I28" s="1011"/>
      <c r="J28" s="1011"/>
      <c r="K28" s="1011"/>
      <c r="L28" s="1011"/>
      <c r="M28" s="801"/>
      <c r="N28" s="801"/>
      <c r="O28" s="801"/>
      <c r="P28" s="801"/>
      <c r="Q28" s="801"/>
      <c r="R28" s="801"/>
    </row>
    <row r="29" spans="1:18">
      <c r="A29" s="801"/>
      <c r="B29" s="801"/>
      <c r="C29" s="801"/>
      <c r="D29" s="801"/>
      <c r="E29" s="801"/>
      <c r="F29" s="1011"/>
      <c r="G29" s="1011"/>
      <c r="H29" s="1011"/>
      <c r="I29" s="1011"/>
      <c r="J29" s="1011"/>
      <c r="K29" s="1011"/>
      <c r="L29" s="1011"/>
      <c r="M29" s="801"/>
      <c r="N29" s="801"/>
      <c r="O29" s="801"/>
      <c r="P29" s="801"/>
      <c r="Q29" s="801"/>
      <c r="R29" s="801"/>
    </row>
    <row r="30" spans="1:18" hidden="1">
      <c r="A30" s="796"/>
      <c r="B30" s="796"/>
      <c r="C30" s="796"/>
      <c r="D30" s="796"/>
      <c r="E30" s="796"/>
      <c r="F30" s="796"/>
      <c r="G30" s="796"/>
      <c r="H30" s="796"/>
      <c r="I30" s="796"/>
      <c r="J30" s="796"/>
      <c r="K30" s="796"/>
      <c r="L30" s="796"/>
      <c r="M30" s="796"/>
      <c r="N30" s="796"/>
      <c r="O30" s="796"/>
      <c r="P30" s="796"/>
      <c r="Q30" s="796"/>
      <c r="R30" s="796"/>
    </row>
  </sheetData>
  <sheetProtection algorithmName="SHA-512" hashValue="yBwbZjgHmpI0VVW3dB2+jHVQj1eZpRSKTAvWeXccCCdP4jO9fzJWfhbn5PDRkQgD3QkI1uO8qxm2B4rIxS9Zfw==" saltValue="RteTSvxFRW52Huep6kmbrQ==" spinCount="100000" sheet="1" objects="1" scenarios="1"/>
  <mergeCells count="8">
    <mergeCell ref="F23:L29"/>
    <mergeCell ref="J3:N3"/>
    <mergeCell ref="M9:N9"/>
    <mergeCell ref="K9:L9"/>
    <mergeCell ref="I9:J9"/>
    <mergeCell ref="G9:H9"/>
    <mergeCell ref="E9:F9"/>
    <mergeCell ref="E5:N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F1B6-BBDF-4EDD-B59B-2FA41B70629E}">
  <sheetPr>
    <tabColor theme="9" tint="0.79998168889431442"/>
  </sheetPr>
  <dimension ref="B2:AG223"/>
  <sheetViews>
    <sheetView zoomScale="70" zoomScaleNormal="70" workbookViewId="0">
      <selection activeCell="M237" sqref="M237"/>
    </sheetView>
  </sheetViews>
  <sheetFormatPr defaultColWidth="10.77734375" defaultRowHeight="14.4"/>
  <cols>
    <col min="1" max="1" width="2.44140625" style="48" customWidth="1"/>
    <col min="2" max="2" width="27.77734375" style="48" bestFit="1" customWidth="1"/>
    <col min="3" max="3" width="21.77734375" style="48" bestFit="1" customWidth="1"/>
    <col min="4" max="4" width="10.77734375" style="66" bestFit="1" customWidth="1"/>
    <col min="5" max="5" width="10.77734375" style="66"/>
    <col min="6" max="6" width="10.77734375" style="66" bestFit="1" customWidth="1"/>
    <col min="7" max="7" width="16" style="48" bestFit="1" customWidth="1"/>
    <col min="8" max="8" width="10.77734375" style="48" bestFit="1" customWidth="1"/>
    <col min="9" max="9" width="12.6640625" style="48" customWidth="1"/>
    <col min="10" max="10" width="21.77734375" style="48" bestFit="1" customWidth="1"/>
    <col min="11" max="11" width="10.77734375" style="48" customWidth="1"/>
    <col min="12" max="12" width="13.6640625" style="48" bestFit="1" customWidth="1"/>
    <col min="13" max="13" width="20.109375" style="48" bestFit="1" customWidth="1"/>
    <col min="14" max="14" width="12.77734375" style="48" bestFit="1" customWidth="1"/>
    <col min="15" max="15" width="10.77734375" style="48" bestFit="1" customWidth="1"/>
    <col min="16" max="16" width="16" style="48" bestFit="1" customWidth="1"/>
    <col min="17" max="17" width="9.44140625" style="48" bestFit="1" customWidth="1"/>
    <col min="18" max="18" width="34.77734375" style="48" customWidth="1"/>
    <col min="19" max="19" width="10.77734375" style="48"/>
    <col min="20" max="20" width="24.109375" style="48" bestFit="1" customWidth="1"/>
    <col min="21" max="21" width="10.77734375" style="48" bestFit="1" customWidth="1"/>
    <col min="22" max="23" width="10.77734375" style="48"/>
    <col min="24" max="26" width="10.77734375" style="48" bestFit="1" customWidth="1"/>
    <col min="27" max="27" width="41.109375" style="48" customWidth="1"/>
    <col min="28" max="28" width="4.44140625" style="48" bestFit="1" customWidth="1"/>
    <col min="29" max="29" width="10.77734375" style="48"/>
    <col min="30" max="30" width="10.77734375" style="48" bestFit="1" customWidth="1"/>
    <col min="31" max="32" width="10.77734375" style="48"/>
    <col min="33" max="35" width="10.77734375" style="48" bestFit="1" customWidth="1"/>
    <col min="36" max="36" width="45.44140625" style="48" customWidth="1"/>
    <col min="37" max="16384" width="10.77734375" style="48"/>
  </cols>
  <sheetData>
    <row r="2" spans="2:33" ht="17.399999999999999">
      <c r="B2" s="131" t="s">
        <v>71</v>
      </c>
      <c r="C2" s="129"/>
      <c r="D2" s="130"/>
      <c r="E2" s="130"/>
      <c r="F2" s="130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2:33" ht="15" thickBot="1">
      <c r="B3" s="27"/>
      <c r="C3" s="27"/>
      <c r="D3" s="27"/>
      <c r="E3" s="27"/>
      <c r="F3" s="27"/>
      <c r="H3" s="27"/>
      <c r="I3" s="27"/>
      <c r="J3" s="27"/>
      <c r="K3" s="27"/>
      <c r="L3" s="27"/>
      <c r="M3" s="27"/>
      <c r="N3" s="27"/>
    </row>
    <row r="4" spans="2:33">
      <c r="B4" s="132"/>
      <c r="C4" s="589" t="s">
        <v>11</v>
      </c>
      <c r="D4" s="590" t="s">
        <v>12</v>
      </c>
      <c r="E4" s="591" t="s">
        <v>13</v>
      </c>
      <c r="F4" s="592" t="s">
        <v>10</v>
      </c>
      <c r="G4" s="593" t="s">
        <v>14</v>
      </c>
      <c r="H4" s="67"/>
      <c r="J4" s="846" t="s">
        <v>223</v>
      </c>
      <c r="K4" s="27"/>
      <c r="L4" s="27"/>
    </row>
    <row r="5" spans="2:33">
      <c r="B5" s="135" t="s">
        <v>101</v>
      </c>
      <c r="C5" s="138">
        <f>H31</f>
        <v>0.16669642857142858</v>
      </c>
      <c r="D5" s="139">
        <f>C5</f>
        <v>0.16669642857142858</v>
      </c>
      <c r="E5" s="536">
        <f>P31</f>
        <v>0.12812500000000002</v>
      </c>
      <c r="F5" s="534">
        <f>H31</f>
        <v>0.16669642857142858</v>
      </c>
      <c r="G5" s="140">
        <f>X31</f>
        <v>0.15089285714285713</v>
      </c>
      <c r="J5" s="846" t="s">
        <v>101</v>
      </c>
      <c r="K5" s="27"/>
      <c r="L5" s="27"/>
    </row>
    <row r="6" spans="2:33" ht="57.6">
      <c r="B6" s="133" t="s">
        <v>122</v>
      </c>
      <c r="C6" s="138">
        <f>H49</f>
        <v>0.24246753246753247</v>
      </c>
      <c r="D6" s="139">
        <f t="shared" ref="D6:D8" si="0">C6</f>
        <v>0.24246753246753247</v>
      </c>
      <c r="E6" s="536">
        <f>P49</f>
        <v>0.18636363636363637</v>
      </c>
      <c r="F6" s="534">
        <f>H49</f>
        <v>0.24246753246753247</v>
      </c>
      <c r="G6" s="140">
        <f>X49</f>
        <v>0.21948051948051947</v>
      </c>
      <c r="J6" s="846" t="s">
        <v>106</v>
      </c>
      <c r="K6" s="27"/>
      <c r="L6" s="27"/>
    </row>
    <row r="7" spans="2:33" ht="72">
      <c r="B7" s="134" t="s">
        <v>123</v>
      </c>
      <c r="C7" s="141">
        <f>H67</f>
        <v>2.9714285714285715E-3</v>
      </c>
      <c r="D7" s="139">
        <f t="shared" si="0"/>
        <v>2.9714285714285715E-3</v>
      </c>
      <c r="E7" s="536">
        <f>P67</f>
        <v>2.5000000000000001E-3</v>
      </c>
      <c r="F7" s="534">
        <f>H67</f>
        <v>2.9714285714285715E-3</v>
      </c>
      <c r="G7" s="142">
        <f>X67</f>
        <v>2.8571428571428571E-3</v>
      </c>
      <c r="J7" s="846" t="s">
        <v>221</v>
      </c>
    </row>
    <row r="8" spans="2:33" ht="72">
      <c r="B8" s="134" t="s">
        <v>124</v>
      </c>
      <c r="C8" s="141">
        <f>H85</f>
        <v>5.942857142857143E-3</v>
      </c>
      <c r="D8" s="139">
        <f t="shared" si="0"/>
        <v>5.942857142857143E-3</v>
      </c>
      <c r="E8" s="536">
        <f>P85</f>
        <v>5.0000000000000001E-3</v>
      </c>
      <c r="F8" s="534">
        <f>H85</f>
        <v>5.942857142857143E-3</v>
      </c>
      <c r="G8" s="142">
        <f>X85</f>
        <v>5.7142857142857143E-3</v>
      </c>
      <c r="J8" s="846" t="s">
        <v>222</v>
      </c>
    </row>
    <row r="9" spans="2:33">
      <c r="B9" s="135" t="s">
        <v>291</v>
      </c>
      <c r="C9" s="141">
        <f>H121</f>
        <v>0.43301587301587308</v>
      </c>
      <c r="D9" s="139">
        <f>H121</f>
        <v>0.43301587301587308</v>
      </c>
      <c r="E9" s="536">
        <f>P121</f>
        <v>0.2722222222222222</v>
      </c>
      <c r="F9" s="534">
        <f>H121</f>
        <v>0.43301587301587308</v>
      </c>
      <c r="G9" s="142">
        <f>X121</f>
        <v>0.41984126984126985</v>
      </c>
      <c r="J9" s="846" t="s">
        <v>291</v>
      </c>
    </row>
    <row r="10" spans="2:33">
      <c r="B10" s="135" t="s">
        <v>107</v>
      </c>
      <c r="C10" s="141">
        <f>H103</f>
        <v>0.2605952380952381</v>
      </c>
      <c r="D10" s="139">
        <f>H103</f>
        <v>0.2605952380952381</v>
      </c>
      <c r="E10" s="536">
        <f>P103</f>
        <v>0.17708333333333334</v>
      </c>
      <c r="F10" s="534">
        <f>H103</f>
        <v>0.2605952380952381</v>
      </c>
      <c r="G10" s="142">
        <f>X103</f>
        <v>0.24374999999999999</v>
      </c>
      <c r="J10" s="846" t="s">
        <v>107</v>
      </c>
    </row>
    <row r="11" spans="2:33">
      <c r="B11" s="135" t="s">
        <v>108</v>
      </c>
      <c r="C11" s="141">
        <f>H139</f>
        <v>0.44839285714285715</v>
      </c>
      <c r="D11" s="139">
        <f>H139</f>
        <v>0.44839285714285715</v>
      </c>
      <c r="E11" s="536">
        <f>P139</f>
        <v>0.27500000000000002</v>
      </c>
      <c r="F11" s="534">
        <f>H139</f>
        <v>0.44839285714285715</v>
      </c>
      <c r="G11" s="142">
        <f>X139</f>
        <v>0.42946428571428574</v>
      </c>
      <c r="J11" s="846" t="s">
        <v>108</v>
      </c>
    </row>
    <row r="12" spans="2:33" ht="15" thickBot="1">
      <c r="B12" s="137" t="s">
        <v>105</v>
      </c>
      <c r="C12" s="143">
        <f>H157</f>
        <v>0.47000000000000008</v>
      </c>
      <c r="D12" s="144">
        <f>H157</f>
        <v>0.47000000000000008</v>
      </c>
      <c r="E12" s="537">
        <f>P157</f>
        <v>0.27857142857142858</v>
      </c>
      <c r="F12" s="535">
        <f>H157</f>
        <v>0.47000000000000008</v>
      </c>
      <c r="G12" s="145">
        <f>X157</f>
        <v>0.45000000000000007</v>
      </c>
      <c r="J12" s="846" t="s">
        <v>105</v>
      </c>
    </row>
    <row r="13" spans="2:33">
      <c r="B13" s="27"/>
      <c r="C13" s="27"/>
      <c r="D13" s="71"/>
      <c r="E13" s="109"/>
      <c r="F13" s="71"/>
      <c r="H13" s="108"/>
      <c r="I13" s="101"/>
      <c r="J13" s="101"/>
      <c r="K13" s="38"/>
      <c r="L13" s="27"/>
      <c r="M13" s="73"/>
      <c r="N13" s="27"/>
    </row>
    <row r="14" spans="2:33">
      <c r="B14" s="27"/>
      <c r="C14" s="27"/>
      <c r="D14" s="71"/>
      <c r="E14" s="109"/>
      <c r="F14" s="71"/>
      <c r="H14" s="108"/>
      <c r="I14" s="101"/>
      <c r="J14" s="101"/>
      <c r="K14" s="38"/>
      <c r="L14" s="27"/>
      <c r="M14" s="73"/>
      <c r="N14" s="27"/>
    </row>
    <row r="15" spans="2:33" s="102" customFormat="1" ht="15">
      <c r="B15" s="68" t="s">
        <v>101</v>
      </c>
      <c r="C15" s="68"/>
      <c r="D15" s="68"/>
      <c r="E15" s="68"/>
      <c r="F15" s="68"/>
      <c r="G15" s="47"/>
      <c r="H15" s="68"/>
      <c r="I15" s="68"/>
      <c r="J15" s="68"/>
      <c r="K15" s="533"/>
      <c r="L15" s="533"/>
      <c r="M15" s="533"/>
      <c r="N15" s="533"/>
      <c r="O15" s="533"/>
      <c r="P15" s="533"/>
      <c r="Q15" s="533"/>
      <c r="R15" s="68"/>
      <c r="S15" s="68"/>
      <c r="T15" s="68"/>
      <c r="U15" s="68"/>
      <c r="V15" s="47"/>
      <c r="W15" s="47"/>
      <c r="X15" s="47"/>
    </row>
    <row r="16" spans="2:33" s="102" customFormat="1">
      <c r="B16" s="44"/>
      <c r="C16" s="44"/>
      <c r="D16" s="44"/>
      <c r="E16" s="44"/>
      <c r="F16" s="44"/>
      <c r="G16" s="44"/>
      <c r="H16" s="44"/>
      <c r="I16" s="44"/>
      <c r="J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</row>
    <row r="17" spans="2:33" s="102" customFormat="1" ht="15" thickBot="1">
      <c r="B17" s="586" t="s">
        <v>272</v>
      </c>
      <c r="C17" s="587"/>
      <c r="D17" s="588"/>
      <c r="E17" s="126"/>
      <c r="F17" s="587"/>
      <c r="G17" s="588"/>
      <c r="H17" s="126"/>
      <c r="I17" s="44"/>
      <c r="J17" s="531" t="s">
        <v>13</v>
      </c>
      <c r="K17" s="532"/>
      <c r="L17" s="532"/>
      <c r="M17" s="532"/>
      <c r="N17" s="532"/>
      <c r="O17" s="532"/>
      <c r="P17" s="532"/>
      <c r="R17" s="128" t="s">
        <v>14</v>
      </c>
      <c r="S17" s="127"/>
      <c r="T17" s="127"/>
      <c r="U17" s="127"/>
      <c r="V17" s="127"/>
      <c r="W17" s="127"/>
      <c r="X17" s="127"/>
      <c r="Y17" s="44"/>
      <c r="Z17" s="44"/>
      <c r="AA17" s="44"/>
      <c r="AB17" s="44"/>
      <c r="AC17" s="44"/>
      <c r="AD17" s="44"/>
      <c r="AE17" s="44"/>
      <c r="AF17" s="44"/>
      <c r="AG17" s="44"/>
    </row>
    <row r="18" spans="2:33" s="102" customFormat="1" ht="15" thickBot="1">
      <c r="B18" s="44"/>
      <c r="C18" s="44"/>
      <c r="D18" s="44"/>
      <c r="E18" s="44"/>
      <c r="F18" s="778">
        <v>16</v>
      </c>
      <c r="G18" s="103" t="s">
        <v>102</v>
      </c>
      <c r="H18" s="44"/>
      <c r="I18" s="44"/>
      <c r="J18" s="44"/>
      <c r="K18" s="44"/>
      <c r="L18" s="44"/>
      <c r="M18" s="44"/>
      <c r="N18" s="778">
        <v>16</v>
      </c>
      <c r="O18" s="103" t="s">
        <v>102</v>
      </c>
      <c r="P18" s="44"/>
      <c r="R18" s="44"/>
      <c r="S18" s="44"/>
      <c r="T18" s="44"/>
      <c r="U18" s="44"/>
      <c r="V18" s="778">
        <v>16</v>
      </c>
      <c r="W18" s="103" t="s">
        <v>102</v>
      </c>
      <c r="X18" s="44"/>
      <c r="Y18" s="44"/>
      <c r="Z18" s="44"/>
      <c r="AA18" s="44"/>
      <c r="AB18" s="44"/>
      <c r="AC18" s="44"/>
      <c r="AD18" s="44"/>
      <c r="AE18" s="44"/>
      <c r="AF18" s="44"/>
      <c r="AG18" s="44"/>
    </row>
    <row r="19" spans="2:33" s="102" customFormat="1">
      <c r="B19" s="116" t="s">
        <v>72</v>
      </c>
      <c r="C19" s="117">
        <v>0.44</v>
      </c>
      <c r="D19" s="118"/>
      <c r="E19" s="44"/>
      <c r="F19" s="773"/>
      <c r="G19" s="770">
        <f>(F19/$F$18)*C19</f>
        <v>0</v>
      </c>
      <c r="H19" s="118"/>
      <c r="I19" s="44"/>
      <c r="J19" s="116" t="s">
        <v>72</v>
      </c>
      <c r="K19" s="117">
        <v>0.25</v>
      </c>
      <c r="L19" s="118"/>
      <c r="M19" s="44"/>
      <c r="N19" s="773"/>
      <c r="O19" s="770">
        <f>(N19/$N$18)*K19</f>
        <v>0</v>
      </c>
      <c r="P19" s="118"/>
      <c r="R19" s="116" t="s">
        <v>72</v>
      </c>
      <c r="S19" s="117">
        <v>0.45</v>
      </c>
      <c r="T19" s="118"/>
      <c r="U19" s="44"/>
      <c r="V19" s="773"/>
      <c r="W19" s="770">
        <f>(V19/$V$18)*S19</f>
        <v>0</v>
      </c>
      <c r="X19" s="118"/>
      <c r="Y19" s="44"/>
      <c r="Z19" s="44"/>
      <c r="AA19" s="44"/>
      <c r="AB19" s="44"/>
      <c r="AC19" s="44"/>
      <c r="AD19" s="44"/>
      <c r="AE19" s="44"/>
      <c r="AF19" s="44"/>
      <c r="AG19" s="44"/>
    </row>
    <row r="20" spans="2:33" s="102" customFormat="1">
      <c r="B20" s="119" t="s">
        <v>73</v>
      </c>
      <c r="C20" s="74">
        <v>0.22</v>
      </c>
      <c r="D20" s="120"/>
      <c r="E20" s="44"/>
      <c r="F20" s="774"/>
      <c r="G20" s="771">
        <f t="shared" ref="G20:G29" si="1">(F20/$F$18)*C20</f>
        <v>0</v>
      </c>
      <c r="H20" s="120"/>
      <c r="I20" s="44"/>
      <c r="J20" s="119" t="s">
        <v>73</v>
      </c>
      <c r="K20" s="74">
        <v>0.25</v>
      </c>
      <c r="L20" s="120"/>
      <c r="M20" s="44"/>
      <c r="N20" s="774"/>
      <c r="O20" s="771">
        <f t="shared" ref="O20:O29" si="2">(N20/$N$18)*K20</f>
        <v>0</v>
      </c>
      <c r="P20" s="120"/>
      <c r="R20" s="119" t="s">
        <v>73</v>
      </c>
      <c r="S20" s="74">
        <v>0.25</v>
      </c>
      <c r="T20" s="120"/>
      <c r="U20" s="44"/>
      <c r="V20" s="774"/>
      <c r="W20" s="771">
        <f t="shared" ref="W20:W29" si="3">(V20/$V$18)*S20</f>
        <v>0</v>
      </c>
      <c r="X20" s="120"/>
      <c r="Y20" s="44"/>
      <c r="Z20" s="44"/>
      <c r="AA20" s="44"/>
      <c r="AB20" s="44"/>
      <c r="AC20" s="44"/>
      <c r="AD20" s="44"/>
      <c r="AE20" s="44"/>
      <c r="AF20" s="44"/>
      <c r="AG20" s="44"/>
    </row>
    <row r="21" spans="2:33" s="102" customFormat="1">
      <c r="B21" s="119" t="s">
        <v>74</v>
      </c>
      <c r="C21" s="74">
        <v>0</v>
      </c>
      <c r="D21" s="120"/>
      <c r="E21" s="44"/>
      <c r="F21" s="774">
        <v>13</v>
      </c>
      <c r="G21" s="771">
        <f t="shared" si="1"/>
        <v>0</v>
      </c>
      <c r="H21" s="120"/>
      <c r="I21" s="44"/>
      <c r="J21" s="119" t="s">
        <v>74</v>
      </c>
      <c r="K21" s="74">
        <v>0</v>
      </c>
      <c r="L21" s="120"/>
      <c r="M21" s="44"/>
      <c r="N21" s="774">
        <v>13</v>
      </c>
      <c r="O21" s="771">
        <f t="shared" si="2"/>
        <v>0</v>
      </c>
      <c r="P21" s="120"/>
      <c r="R21" s="119" t="s">
        <v>103</v>
      </c>
      <c r="S21" s="74">
        <v>0</v>
      </c>
      <c r="T21" s="120"/>
      <c r="U21" s="44"/>
      <c r="V21" s="774">
        <v>13</v>
      </c>
      <c r="W21" s="771">
        <f t="shared" si="3"/>
        <v>0</v>
      </c>
      <c r="X21" s="120"/>
      <c r="Y21" s="44"/>
      <c r="Z21" s="44"/>
      <c r="AA21" s="44"/>
      <c r="AB21" s="44"/>
      <c r="AC21" s="44"/>
      <c r="AD21" s="44"/>
      <c r="AE21" s="44"/>
      <c r="AF21" s="44"/>
      <c r="AG21" s="44"/>
    </row>
    <row r="22" spans="2:33" s="102" customFormat="1">
      <c r="B22" s="119" t="s">
        <v>75</v>
      </c>
      <c r="C22" s="74">
        <v>0.22</v>
      </c>
      <c r="D22" s="120"/>
      <c r="E22" s="44"/>
      <c r="F22" s="774">
        <v>2</v>
      </c>
      <c r="G22" s="771">
        <f t="shared" si="1"/>
        <v>2.75E-2</v>
      </c>
      <c r="H22" s="120"/>
      <c r="I22" s="44"/>
      <c r="J22" s="119" t="s">
        <v>75</v>
      </c>
      <c r="K22" s="74">
        <v>0.21</v>
      </c>
      <c r="L22" s="120"/>
      <c r="M22" s="44"/>
      <c r="N22" s="774">
        <v>2</v>
      </c>
      <c r="O22" s="771">
        <f t="shared" si="2"/>
        <v>2.6249999999999999E-2</v>
      </c>
      <c r="P22" s="120"/>
      <c r="R22" s="119" t="s">
        <v>104</v>
      </c>
      <c r="S22" s="74">
        <v>0.25</v>
      </c>
      <c r="T22" s="120"/>
      <c r="U22" s="44"/>
      <c r="V22" s="774">
        <v>2</v>
      </c>
      <c r="W22" s="771">
        <f t="shared" si="3"/>
        <v>3.125E-2</v>
      </c>
      <c r="X22" s="120"/>
      <c r="Y22" s="44"/>
      <c r="Z22" s="44"/>
      <c r="AA22" s="44"/>
      <c r="AB22" s="44"/>
      <c r="AC22" s="44"/>
      <c r="AD22" s="44"/>
      <c r="AE22" s="44"/>
      <c r="AF22" s="44"/>
      <c r="AG22" s="44"/>
    </row>
    <row r="23" spans="2:33" s="102" customFormat="1">
      <c r="B23" s="119" t="s">
        <v>76</v>
      </c>
      <c r="C23" s="74">
        <v>0.44</v>
      </c>
      <c r="D23" s="120"/>
      <c r="E23" s="104"/>
      <c r="F23" s="774">
        <v>1</v>
      </c>
      <c r="G23" s="771">
        <f t="shared" si="1"/>
        <v>2.75E-2</v>
      </c>
      <c r="H23" s="124">
        <f>SUM(G19:G23)</f>
        <v>5.5E-2</v>
      </c>
      <c r="I23" s="44"/>
      <c r="J23" s="119" t="s">
        <v>76</v>
      </c>
      <c r="K23" s="74">
        <v>0.21</v>
      </c>
      <c r="L23" s="120"/>
      <c r="M23" s="104"/>
      <c r="N23" s="774">
        <v>1</v>
      </c>
      <c r="O23" s="771">
        <f t="shared" si="2"/>
        <v>1.3125E-2</v>
      </c>
      <c r="P23" s="124">
        <f>SUM(O19:O23)</f>
        <v>3.9375E-2</v>
      </c>
      <c r="R23" s="119" t="s">
        <v>76</v>
      </c>
      <c r="S23" s="74">
        <v>0.45</v>
      </c>
      <c r="T23" s="120"/>
      <c r="U23" s="104"/>
      <c r="V23" s="774">
        <v>1</v>
      </c>
      <c r="W23" s="771">
        <f t="shared" si="3"/>
        <v>2.8125000000000001E-2</v>
      </c>
      <c r="X23" s="124">
        <f>SUM(W19:W23)</f>
        <v>5.9374999999999997E-2</v>
      </c>
      <c r="Y23" s="44"/>
      <c r="Z23" s="44"/>
      <c r="AA23" s="44"/>
      <c r="AB23" s="44"/>
      <c r="AC23" s="44"/>
      <c r="AD23" s="44"/>
      <c r="AE23" s="44"/>
      <c r="AF23" s="44"/>
      <c r="AG23" s="44"/>
    </row>
    <row r="24" spans="2:33" s="102" customFormat="1">
      <c r="B24" s="119" t="s">
        <v>77</v>
      </c>
      <c r="C24" s="74">
        <v>0.49</v>
      </c>
      <c r="D24" s="120"/>
      <c r="E24" s="44"/>
      <c r="F24" s="774"/>
      <c r="G24" s="771">
        <f t="shared" si="1"/>
        <v>0</v>
      </c>
      <c r="H24" s="120"/>
      <c r="I24" s="44"/>
      <c r="J24" s="119" t="s">
        <v>77</v>
      </c>
      <c r="K24" s="74">
        <v>0.25</v>
      </c>
      <c r="L24" s="120"/>
      <c r="M24" s="44"/>
      <c r="N24" s="774"/>
      <c r="O24" s="771">
        <f t="shared" si="2"/>
        <v>0</v>
      </c>
      <c r="P24" s="120"/>
      <c r="R24" s="119" t="s">
        <v>77</v>
      </c>
      <c r="S24" s="74">
        <v>0.45</v>
      </c>
      <c r="T24" s="120"/>
      <c r="U24" s="44"/>
      <c r="V24" s="774"/>
      <c r="W24" s="771">
        <f t="shared" si="3"/>
        <v>0</v>
      </c>
      <c r="X24" s="120"/>
      <c r="Y24" s="44"/>
      <c r="Z24" s="44"/>
      <c r="AA24" s="44"/>
      <c r="AB24" s="44"/>
      <c r="AC24" s="44"/>
      <c r="AD24" s="44"/>
      <c r="AE24" s="44"/>
      <c r="AF24" s="44"/>
      <c r="AG24" s="44"/>
    </row>
    <row r="25" spans="2:33" s="102" customFormat="1">
      <c r="B25" s="119" t="s">
        <v>78</v>
      </c>
      <c r="C25" s="74">
        <v>0.38</v>
      </c>
      <c r="D25" s="120"/>
      <c r="E25" s="44"/>
      <c r="F25" s="774">
        <v>1</v>
      </c>
      <c r="G25" s="771">
        <f t="shared" si="1"/>
        <v>2.375E-2</v>
      </c>
      <c r="H25" s="120"/>
      <c r="I25" s="44"/>
      <c r="J25" s="119" t="s">
        <v>78</v>
      </c>
      <c r="K25" s="74">
        <v>0.25</v>
      </c>
      <c r="L25" s="120"/>
      <c r="M25" s="44"/>
      <c r="N25" s="774">
        <v>1</v>
      </c>
      <c r="O25" s="771">
        <f t="shared" si="2"/>
        <v>1.5625E-2</v>
      </c>
      <c r="P25" s="120"/>
      <c r="R25" s="119" t="s">
        <v>78</v>
      </c>
      <c r="S25" s="74">
        <v>0.3</v>
      </c>
      <c r="T25" s="120"/>
      <c r="U25" s="44"/>
      <c r="V25" s="774">
        <v>1</v>
      </c>
      <c r="W25" s="771">
        <f t="shared" si="3"/>
        <v>1.8749999999999999E-2</v>
      </c>
      <c r="X25" s="120"/>
      <c r="Y25" s="44"/>
      <c r="Z25" s="44"/>
      <c r="AA25" s="44"/>
      <c r="AB25" s="44"/>
      <c r="AC25" s="44"/>
      <c r="AD25" s="44"/>
      <c r="AE25" s="44"/>
      <c r="AF25" s="44"/>
      <c r="AG25" s="44"/>
    </row>
    <row r="26" spans="2:33" s="102" customFormat="1">
      <c r="B26" s="119" t="s">
        <v>79</v>
      </c>
      <c r="C26" s="74">
        <v>0</v>
      </c>
      <c r="D26" s="120"/>
      <c r="E26" s="44"/>
      <c r="F26" s="774">
        <v>4</v>
      </c>
      <c r="G26" s="771">
        <f t="shared" si="1"/>
        <v>0</v>
      </c>
      <c r="H26" s="120"/>
      <c r="I26" s="44"/>
      <c r="J26" s="119" t="s">
        <v>79</v>
      </c>
      <c r="K26" s="74">
        <v>0.25</v>
      </c>
      <c r="L26" s="120"/>
      <c r="M26" s="44"/>
      <c r="N26" s="774">
        <v>4</v>
      </c>
      <c r="O26" s="771">
        <f t="shared" si="2"/>
        <v>6.25E-2</v>
      </c>
      <c r="P26" s="120"/>
      <c r="R26" s="119" t="s">
        <v>79</v>
      </c>
      <c r="S26" s="74">
        <v>0.3</v>
      </c>
      <c r="T26" s="120"/>
      <c r="U26" s="44"/>
      <c r="V26" s="774">
        <v>4</v>
      </c>
      <c r="W26" s="771">
        <f t="shared" si="3"/>
        <v>7.4999999999999997E-2</v>
      </c>
      <c r="X26" s="120"/>
      <c r="Y26" s="44"/>
      <c r="Z26" s="44"/>
      <c r="AA26" s="44"/>
      <c r="AB26" s="44"/>
      <c r="AC26" s="44"/>
      <c r="AD26" s="44"/>
      <c r="AE26" s="44"/>
      <c r="AF26" s="44"/>
      <c r="AG26" s="44"/>
    </row>
    <row r="27" spans="2:33" s="102" customFormat="1">
      <c r="B27" s="119" t="s">
        <v>80</v>
      </c>
      <c r="C27" s="74">
        <v>0.38</v>
      </c>
      <c r="D27" s="120"/>
      <c r="E27" s="44"/>
      <c r="F27" s="774">
        <v>10</v>
      </c>
      <c r="G27" s="771">
        <f t="shared" si="1"/>
        <v>0.23749999999999999</v>
      </c>
      <c r="H27" s="120"/>
      <c r="I27" s="44"/>
      <c r="J27" s="119" t="s">
        <v>80</v>
      </c>
      <c r="K27" s="74">
        <v>0.25</v>
      </c>
      <c r="L27" s="120"/>
      <c r="M27" s="44"/>
      <c r="N27" s="774">
        <v>10</v>
      </c>
      <c r="O27" s="771">
        <f t="shared" si="2"/>
        <v>0.15625</v>
      </c>
      <c r="P27" s="120"/>
      <c r="R27" s="119" t="s">
        <v>80</v>
      </c>
      <c r="S27" s="74">
        <v>0.3</v>
      </c>
      <c r="T27" s="120"/>
      <c r="U27" s="44"/>
      <c r="V27" s="774">
        <v>10</v>
      </c>
      <c r="W27" s="771">
        <f t="shared" si="3"/>
        <v>0.1875</v>
      </c>
      <c r="X27" s="120"/>
      <c r="Y27" s="44"/>
      <c r="Z27" s="44"/>
      <c r="AA27" s="44"/>
      <c r="AB27" s="44"/>
      <c r="AC27" s="44"/>
      <c r="AD27" s="44"/>
      <c r="AE27" s="44"/>
      <c r="AF27" s="44"/>
      <c r="AG27" s="44"/>
    </row>
    <row r="28" spans="2:33" s="102" customFormat="1">
      <c r="B28" s="119" t="s">
        <v>81</v>
      </c>
      <c r="C28" s="74">
        <v>0.49</v>
      </c>
      <c r="D28" s="120"/>
      <c r="E28" s="44"/>
      <c r="F28" s="774">
        <v>1</v>
      </c>
      <c r="G28" s="771">
        <f t="shared" si="1"/>
        <v>3.0624999999999999E-2</v>
      </c>
      <c r="H28" s="124">
        <f>SUM(G24:G28)</f>
        <v>0.291875</v>
      </c>
      <c r="I28" s="44"/>
      <c r="J28" s="119" t="s">
        <v>81</v>
      </c>
      <c r="K28" s="74">
        <v>0.25</v>
      </c>
      <c r="L28" s="120"/>
      <c r="M28" s="44"/>
      <c r="N28" s="774">
        <v>1</v>
      </c>
      <c r="O28" s="771">
        <f t="shared" si="2"/>
        <v>1.5625E-2</v>
      </c>
      <c r="P28" s="124">
        <f>SUM(O24:O28)</f>
        <v>0.25</v>
      </c>
      <c r="R28" s="119" t="s">
        <v>81</v>
      </c>
      <c r="S28" s="74">
        <v>0.45</v>
      </c>
      <c r="T28" s="120"/>
      <c r="U28" s="44"/>
      <c r="V28" s="774">
        <v>1</v>
      </c>
      <c r="W28" s="771">
        <f t="shared" si="3"/>
        <v>2.8125000000000001E-2</v>
      </c>
      <c r="X28" s="124">
        <f>SUM(W24:W28)</f>
        <v>0.30937500000000001</v>
      </c>
      <c r="Y28" s="44"/>
      <c r="Z28" s="44"/>
      <c r="AA28" s="44"/>
      <c r="AB28" s="44"/>
      <c r="AC28" s="44"/>
      <c r="AD28" s="44"/>
      <c r="AE28" s="44"/>
      <c r="AF28" s="44"/>
      <c r="AG28" s="44"/>
    </row>
    <row r="29" spans="2:33" s="102" customFormat="1" ht="15" thickBot="1">
      <c r="B29" s="121" t="s">
        <v>82</v>
      </c>
      <c r="C29" s="122">
        <v>0.6</v>
      </c>
      <c r="D29" s="123"/>
      <c r="E29" s="44"/>
      <c r="F29" s="775">
        <v>16</v>
      </c>
      <c r="G29" s="772">
        <f t="shared" si="1"/>
        <v>0.6</v>
      </c>
      <c r="H29" s="125">
        <f>G29</f>
        <v>0.6</v>
      </c>
      <c r="I29" s="44"/>
      <c r="J29" s="121" t="s">
        <v>82</v>
      </c>
      <c r="K29" s="122">
        <v>0.45</v>
      </c>
      <c r="L29" s="123"/>
      <c r="M29" s="44"/>
      <c r="N29" s="775">
        <v>16</v>
      </c>
      <c r="O29" s="772">
        <f t="shared" si="2"/>
        <v>0.45</v>
      </c>
      <c r="P29" s="125">
        <f>O29</f>
        <v>0.45</v>
      </c>
      <c r="R29" s="121" t="s">
        <v>82</v>
      </c>
      <c r="S29" s="122">
        <v>0.45</v>
      </c>
      <c r="T29" s="123"/>
      <c r="U29" s="44"/>
      <c r="V29" s="775">
        <v>16</v>
      </c>
      <c r="W29" s="772">
        <f t="shared" si="3"/>
        <v>0.45</v>
      </c>
      <c r="X29" s="125">
        <f>W29</f>
        <v>0.45</v>
      </c>
      <c r="Y29" s="44"/>
      <c r="Z29" s="44"/>
      <c r="AA29" s="44"/>
      <c r="AB29" s="44"/>
      <c r="AC29" s="44"/>
      <c r="AD29" s="44"/>
      <c r="AE29" s="44"/>
      <c r="AF29" s="44"/>
      <c r="AG29" s="44"/>
    </row>
    <row r="30" spans="2:33" s="102" customFormat="1" ht="15" thickBot="1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</row>
    <row r="31" spans="2:33" s="102" customFormat="1" ht="15.6" thickBot="1">
      <c r="B31" s="44"/>
      <c r="C31" s="44"/>
      <c r="D31" s="44"/>
      <c r="E31" s="44"/>
      <c r="F31" s="44"/>
      <c r="G31" s="776" t="s">
        <v>71</v>
      </c>
      <c r="H31" s="777">
        <f>((H23*5)+H28+H29)/7</f>
        <v>0.16669642857142858</v>
      </c>
      <c r="I31" s="115"/>
      <c r="J31" s="44"/>
      <c r="K31" s="44"/>
      <c r="L31" s="44"/>
      <c r="M31" s="44"/>
      <c r="N31" s="44"/>
      <c r="O31" s="776" t="s">
        <v>71</v>
      </c>
      <c r="P31" s="777">
        <f>((P23*5)+P28+P29)/7</f>
        <v>0.12812500000000002</v>
      </c>
      <c r="R31" s="115"/>
      <c r="S31" s="115"/>
      <c r="T31" s="115"/>
      <c r="U31" s="115"/>
      <c r="V31" s="115"/>
      <c r="W31" s="776" t="s">
        <v>71</v>
      </c>
      <c r="X31" s="777">
        <f>((X23*5)+X28+X29)/7</f>
        <v>0.15089285714285713</v>
      </c>
      <c r="Y31" s="44"/>
      <c r="Z31" s="44"/>
      <c r="AA31" s="44"/>
      <c r="AB31" s="44"/>
      <c r="AC31" s="44"/>
      <c r="AD31" s="44"/>
      <c r="AE31" s="44"/>
      <c r="AF31" s="44"/>
      <c r="AG31" s="44"/>
    </row>
    <row r="32" spans="2:33" s="102" customFormat="1">
      <c r="B32" s="103"/>
      <c r="C32" s="105"/>
      <c r="D32" s="44"/>
      <c r="E32" s="44"/>
      <c r="F32" s="44"/>
      <c r="G32" s="44"/>
      <c r="H32" s="44"/>
      <c r="I32" s="44"/>
      <c r="J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</row>
    <row r="33" spans="2:33" s="102" customFormat="1" ht="15">
      <c r="B33" s="68" t="s">
        <v>106</v>
      </c>
      <c r="C33" s="68"/>
      <c r="D33" s="68"/>
      <c r="E33" s="68"/>
      <c r="F33" s="68"/>
      <c r="G33" s="47"/>
      <c r="H33" s="68"/>
      <c r="I33" s="68"/>
      <c r="J33" s="68"/>
      <c r="K33" s="533"/>
      <c r="L33" s="533"/>
      <c r="M33" s="533"/>
      <c r="N33" s="533"/>
      <c r="O33" s="533"/>
      <c r="P33" s="533"/>
      <c r="Q33" s="533"/>
      <c r="R33" s="68"/>
      <c r="S33" s="68"/>
      <c r="T33" s="68"/>
      <c r="U33" s="68"/>
      <c r="V33" s="47"/>
      <c r="W33" s="47"/>
      <c r="X33" s="47"/>
      <c r="Y33" s="44"/>
      <c r="Z33" s="44"/>
      <c r="AA33" s="44"/>
      <c r="AB33" s="44"/>
      <c r="AC33" s="44"/>
      <c r="AD33" s="44"/>
      <c r="AE33" s="44"/>
      <c r="AF33" s="44"/>
      <c r="AG33" s="44"/>
    </row>
    <row r="34" spans="2:33" s="102" customFormat="1">
      <c r="B34" s="44"/>
      <c r="C34" s="44"/>
      <c r="D34" s="44"/>
      <c r="E34" s="44"/>
      <c r="F34" s="44"/>
      <c r="G34" s="44"/>
      <c r="H34" s="44"/>
      <c r="I34" s="44"/>
      <c r="J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</row>
    <row r="35" spans="2:33" s="102" customFormat="1" ht="15" thickBot="1">
      <c r="B35" s="586" t="s">
        <v>272</v>
      </c>
      <c r="C35" s="587"/>
      <c r="D35" s="588"/>
      <c r="E35" s="126"/>
      <c r="F35" s="587"/>
      <c r="G35" s="588"/>
      <c r="H35" s="126"/>
      <c r="I35" s="44"/>
      <c r="J35" s="531" t="s">
        <v>13</v>
      </c>
      <c r="K35" s="532"/>
      <c r="L35" s="532"/>
      <c r="M35" s="532"/>
      <c r="N35" s="532"/>
      <c r="O35" s="532"/>
      <c r="P35" s="532"/>
      <c r="R35" s="128" t="s">
        <v>14</v>
      </c>
      <c r="S35" s="127"/>
      <c r="T35" s="127"/>
      <c r="U35" s="127"/>
      <c r="V35" s="127"/>
      <c r="W35" s="127"/>
      <c r="X35" s="127"/>
      <c r="Y35" s="44"/>
      <c r="Z35" s="44"/>
      <c r="AA35" s="44"/>
      <c r="AB35" s="44"/>
      <c r="AC35" s="44"/>
      <c r="AD35" s="44"/>
      <c r="AE35" s="44"/>
      <c r="AF35" s="44"/>
      <c r="AG35" s="44"/>
    </row>
    <row r="36" spans="2:33" s="102" customFormat="1" ht="15" thickBot="1">
      <c r="B36" s="44"/>
      <c r="C36" s="44"/>
      <c r="D36" s="44"/>
      <c r="E36" s="44"/>
      <c r="F36" s="778">
        <v>11</v>
      </c>
      <c r="G36" s="103" t="s">
        <v>102</v>
      </c>
      <c r="H36" s="44"/>
      <c r="I36" s="44"/>
      <c r="J36" s="44"/>
      <c r="K36" s="44"/>
      <c r="L36" s="44"/>
      <c r="M36" s="44"/>
      <c r="N36" s="778">
        <v>11</v>
      </c>
      <c r="O36" s="103" t="s">
        <v>102</v>
      </c>
      <c r="P36" s="44"/>
      <c r="R36" s="44"/>
      <c r="S36" s="44"/>
      <c r="T36" s="44"/>
      <c r="U36" s="44"/>
      <c r="V36" s="778">
        <v>11</v>
      </c>
      <c r="W36" s="103" t="s">
        <v>102</v>
      </c>
      <c r="X36" s="44"/>
      <c r="Y36" s="44"/>
      <c r="Z36" s="44"/>
      <c r="AA36" s="44"/>
      <c r="AB36" s="44"/>
      <c r="AC36" s="44"/>
      <c r="AD36" s="44"/>
      <c r="AE36" s="44"/>
      <c r="AF36" s="44"/>
      <c r="AG36" s="44"/>
    </row>
    <row r="37" spans="2:33" s="102" customFormat="1">
      <c r="B37" s="116" t="s">
        <v>72</v>
      </c>
      <c r="C37" s="117">
        <v>0.44</v>
      </c>
      <c r="D37" s="118"/>
      <c r="E37" s="44"/>
      <c r="F37" s="773"/>
      <c r="G37" s="770">
        <f>(F37/$F$36)*C37</f>
        <v>0</v>
      </c>
      <c r="H37" s="118"/>
      <c r="I37" s="44"/>
      <c r="J37" s="116" t="s">
        <v>72</v>
      </c>
      <c r="K37" s="117">
        <v>0.25</v>
      </c>
      <c r="L37" s="118"/>
      <c r="M37" s="44"/>
      <c r="N37" s="773"/>
      <c r="O37" s="770">
        <f>(N37/$N$36)*K37</f>
        <v>0</v>
      </c>
      <c r="P37" s="118"/>
      <c r="R37" s="116" t="s">
        <v>72</v>
      </c>
      <c r="S37" s="117">
        <v>0.45</v>
      </c>
      <c r="T37" s="118"/>
      <c r="U37" s="44"/>
      <c r="V37" s="773"/>
      <c r="W37" s="770">
        <f t="shared" ref="W37:W47" si="4">(V37/$V$36)*S37</f>
        <v>0</v>
      </c>
      <c r="X37" s="118"/>
      <c r="Y37" s="44"/>
      <c r="Z37" s="44"/>
      <c r="AA37" s="44"/>
      <c r="AB37" s="44"/>
      <c r="AC37" s="44"/>
      <c r="AD37" s="44"/>
      <c r="AE37" s="44"/>
      <c r="AF37" s="44"/>
      <c r="AG37" s="44"/>
    </row>
    <row r="38" spans="2:33" s="102" customFormat="1">
      <c r="B38" s="119" t="s">
        <v>73</v>
      </c>
      <c r="C38" s="74">
        <v>0.22</v>
      </c>
      <c r="D38" s="120"/>
      <c r="E38" s="44"/>
      <c r="F38" s="774"/>
      <c r="G38" s="771">
        <f>(F38/$F$36)*C38</f>
        <v>0</v>
      </c>
      <c r="H38" s="120"/>
      <c r="I38" s="44"/>
      <c r="J38" s="119" t="s">
        <v>73</v>
      </c>
      <c r="K38" s="74">
        <v>0.25</v>
      </c>
      <c r="L38" s="120"/>
      <c r="M38" s="44"/>
      <c r="N38" s="774"/>
      <c r="O38" s="771">
        <f t="shared" ref="O38" si="5">(N38/$N$18)*K38</f>
        <v>0</v>
      </c>
      <c r="P38" s="120"/>
      <c r="R38" s="119" t="s">
        <v>73</v>
      </c>
      <c r="S38" s="74">
        <v>0.25</v>
      </c>
      <c r="T38" s="120"/>
      <c r="U38" s="44"/>
      <c r="V38" s="774"/>
      <c r="W38" s="771">
        <f t="shared" si="4"/>
        <v>0</v>
      </c>
      <c r="X38" s="120"/>
      <c r="Y38" s="44"/>
      <c r="Z38" s="44"/>
      <c r="AA38" s="44"/>
      <c r="AB38" s="44"/>
      <c r="AC38" s="44"/>
      <c r="AD38" s="44"/>
      <c r="AE38" s="44"/>
      <c r="AF38" s="44"/>
      <c r="AG38" s="44"/>
    </row>
    <row r="39" spans="2:33" s="102" customFormat="1">
      <c r="B39" s="119" t="s">
        <v>74</v>
      </c>
      <c r="C39" s="74">
        <v>0</v>
      </c>
      <c r="D39" s="120"/>
      <c r="E39" s="44"/>
      <c r="F39" s="774">
        <v>8</v>
      </c>
      <c r="G39" s="771">
        <f>(F39/$F$36)*C39</f>
        <v>0</v>
      </c>
      <c r="H39" s="120"/>
      <c r="I39" s="44"/>
      <c r="J39" s="119" t="s">
        <v>74</v>
      </c>
      <c r="K39" s="74">
        <v>0</v>
      </c>
      <c r="L39" s="120"/>
      <c r="M39" s="44"/>
      <c r="N39" s="774">
        <v>8</v>
      </c>
      <c r="O39" s="771">
        <f t="shared" ref="O39:O47" si="6">(N39/$N$36)*K39</f>
        <v>0</v>
      </c>
      <c r="P39" s="120"/>
      <c r="R39" s="119" t="s">
        <v>74</v>
      </c>
      <c r="S39" s="74">
        <v>0</v>
      </c>
      <c r="T39" s="120"/>
      <c r="U39" s="44"/>
      <c r="V39" s="774">
        <v>8</v>
      </c>
      <c r="W39" s="771">
        <f t="shared" si="4"/>
        <v>0</v>
      </c>
      <c r="X39" s="120"/>
      <c r="Y39" s="44"/>
      <c r="Z39" s="44"/>
      <c r="AA39" s="44"/>
      <c r="AB39" s="44"/>
      <c r="AC39" s="44"/>
      <c r="AD39" s="44"/>
      <c r="AE39" s="44"/>
      <c r="AF39" s="44"/>
      <c r="AG39" s="44"/>
    </row>
    <row r="40" spans="2:33" s="102" customFormat="1">
      <c r="B40" s="119" t="s">
        <v>75</v>
      </c>
      <c r="C40" s="74">
        <v>0.22</v>
      </c>
      <c r="D40" s="120"/>
      <c r="E40" s="44"/>
      <c r="F40" s="774">
        <v>2</v>
      </c>
      <c r="G40" s="771">
        <f>(F40/$F$36)*C40</f>
        <v>0.04</v>
      </c>
      <c r="H40" s="120"/>
      <c r="I40" s="44"/>
      <c r="J40" s="119" t="s">
        <v>75</v>
      </c>
      <c r="K40" s="74">
        <v>0.21</v>
      </c>
      <c r="L40" s="120"/>
      <c r="M40" s="44"/>
      <c r="N40" s="774">
        <v>2</v>
      </c>
      <c r="O40" s="771">
        <f t="shared" si="6"/>
        <v>3.8181818181818185E-2</v>
      </c>
      <c r="P40" s="120"/>
      <c r="R40" s="119" t="s">
        <v>75</v>
      </c>
      <c r="S40" s="74">
        <v>0.25</v>
      </c>
      <c r="T40" s="120"/>
      <c r="U40" s="44"/>
      <c r="V40" s="774">
        <v>2</v>
      </c>
      <c r="W40" s="771">
        <f t="shared" si="4"/>
        <v>4.5454545454545456E-2</v>
      </c>
      <c r="X40" s="120"/>
      <c r="Y40" s="44"/>
      <c r="Z40" s="44"/>
      <c r="AA40" s="44"/>
      <c r="AB40" s="44"/>
      <c r="AC40" s="44"/>
      <c r="AD40" s="44"/>
      <c r="AE40" s="44"/>
      <c r="AF40" s="44"/>
      <c r="AG40" s="44"/>
    </row>
    <row r="41" spans="2:33" s="102" customFormat="1">
      <c r="B41" s="119" t="s">
        <v>76</v>
      </c>
      <c r="C41" s="74">
        <v>0.44</v>
      </c>
      <c r="D41" s="120"/>
      <c r="E41" s="104"/>
      <c r="F41" s="774">
        <v>1</v>
      </c>
      <c r="G41" s="771">
        <f t="shared" ref="G41:G47" si="7">(F41/$F$36)*C41</f>
        <v>0.04</v>
      </c>
      <c r="H41" s="124">
        <f>SUM(G37:G41)</f>
        <v>0.08</v>
      </c>
      <c r="I41" s="44"/>
      <c r="J41" s="119" t="s">
        <v>76</v>
      </c>
      <c r="K41" s="74">
        <v>0.21</v>
      </c>
      <c r="L41" s="120"/>
      <c r="M41" s="104"/>
      <c r="N41" s="774">
        <v>1</v>
      </c>
      <c r="O41" s="771">
        <f t="shared" si="6"/>
        <v>1.9090909090909092E-2</v>
      </c>
      <c r="P41" s="124">
        <f>SUM(O37:O41)</f>
        <v>5.7272727272727281E-2</v>
      </c>
      <c r="R41" s="119" t="s">
        <v>76</v>
      </c>
      <c r="S41" s="74">
        <v>0.45</v>
      </c>
      <c r="T41" s="120"/>
      <c r="U41" s="104"/>
      <c r="V41" s="774">
        <v>1</v>
      </c>
      <c r="W41" s="771">
        <f t="shared" si="4"/>
        <v>4.0909090909090909E-2</v>
      </c>
      <c r="X41" s="124">
        <f>SUM(W37:W41)</f>
        <v>8.6363636363636365E-2</v>
      </c>
      <c r="Y41" s="44"/>
      <c r="Z41" s="44"/>
      <c r="AA41" s="44"/>
      <c r="AB41" s="44"/>
      <c r="AC41" s="44"/>
      <c r="AD41" s="44"/>
      <c r="AE41" s="44"/>
      <c r="AF41" s="44"/>
      <c r="AG41" s="44"/>
    </row>
    <row r="42" spans="2:33" s="102" customFormat="1">
      <c r="B42" s="119" t="s">
        <v>77</v>
      </c>
      <c r="C42" s="74">
        <v>0.49</v>
      </c>
      <c r="D42" s="120"/>
      <c r="E42" s="44"/>
      <c r="F42" s="774"/>
      <c r="G42" s="771">
        <f t="shared" si="7"/>
        <v>0</v>
      </c>
      <c r="H42" s="120"/>
      <c r="I42" s="44"/>
      <c r="J42" s="119" t="s">
        <v>77</v>
      </c>
      <c r="K42" s="74">
        <v>0.25</v>
      </c>
      <c r="L42" s="120"/>
      <c r="M42" s="44"/>
      <c r="N42" s="774"/>
      <c r="O42" s="771">
        <f t="shared" si="6"/>
        <v>0</v>
      </c>
      <c r="P42" s="120"/>
      <c r="R42" s="119" t="s">
        <v>77</v>
      </c>
      <c r="S42" s="74">
        <v>0.45</v>
      </c>
      <c r="T42" s="120"/>
      <c r="U42" s="44"/>
      <c r="V42" s="774"/>
      <c r="W42" s="771">
        <f t="shared" si="4"/>
        <v>0</v>
      </c>
      <c r="X42" s="120"/>
      <c r="Y42" s="44"/>
      <c r="Z42" s="44"/>
      <c r="AA42" s="44"/>
      <c r="AB42" s="44"/>
      <c r="AC42" s="44"/>
      <c r="AD42" s="44"/>
      <c r="AE42" s="44"/>
      <c r="AF42" s="44"/>
      <c r="AG42" s="44"/>
    </row>
    <row r="43" spans="2:33" s="102" customFormat="1">
      <c r="B43" s="119" t="s">
        <v>78</v>
      </c>
      <c r="C43" s="74">
        <v>0.38</v>
      </c>
      <c r="D43" s="120"/>
      <c r="E43" s="44"/>
      <c r="F43" s="774">
        <v>1</v>
      </c>
      <c r="G43" s="771">
        <f t="shared" si="7"/>
        <v>3.4545454545454546E-2</v>
      </c>
      <c r="H43" s="120"/>
      <c r="I43" s="44"/>
      <c r="J43" s="119" t="s">
        <v>78</v>
      </c>
      <c r="K43" s="74">
        <v>0.25</v>
      </c>
      <c r="L43" s="120"/>
      <c r="M43" s="44"/>
      <c r="N43" s="774">
        <v>1</v>
      </c>
      <c r="O43" s="771">
        <f t="shared" si="6"/>
        <v>2.2727272727272728E-2</v>
      </c>
      <c r="P43" s="120"/>
      <c r="R43" s="119" t="s">
        <v>78</v>
      </c>
      <c r="S43" s="74">
        <v>0.3</v>
      </c>
      <c r="T43" s="120"/>
      <c r="U43" s="44"/>
      <c r="V43" s="774">
        <v>1</v>
      </c>
      <c r="W43" s="771">
        <f t="shared" si="4"/>
        <v>2.7272727272727271E-2</v>
      </c>
      <c r="X43" s="120"/>
      <c r="Y43" s="44"/>
      <c r="Z43" s="44"/>
      <c r="AA43" s="44"/>
      <c r="AB43" s="44"/>
      <c r="AC43" s="44"/>
      <c r="AD43" s="44"/>
      <c r="AE43" s="44"/>
      <c r="AF43" s="44"/>
      <c r="AG43" s="44"/>
    </row>
    <row r="44" spans="2:33" s="102" customFormat="1">
      <c r="B44" s="119" t="s">
        <v>79</v>
      </c>
      <c r="C44" s="74">
        <v>0</v>
      </c>
      <c r="D44" s="120"/>
      <c r="E44" s="44"/>
      <c r="F44" s="774">
        <v>4</v>
      </c>
      <c r="G44" s="771">
        <f t="shared" si="7"/>
        <v>0</v>
      </c>
      <c r="H44" s="120"/>
      <c r="I44" s="44"/>
      <c r="J44" s="119" t="s">
        <v>79</v>
      </c>
      <c r="K44" s="74">
        <v>0.25</v>
      </c>
      <c r="L44" s="120"/>
      <c r="M44" s="44"/>
      <c r="N44" s="774">
        <v>4</v>
      </c>
      <c r="O44" s="771">
        <f t="shared" si="6"/>
        <v>9.0909090909090912E-2</v>
      </c>
      <c r="P44" s="120"/>
      <c r="R44" s="119" t="s">
        <v>79</v>
      </c>
      <c r="S44" s="74">
        <v>0.3</v>
      </c>
      <c r="T44" s="120"/>
      <c r="U44" s="44"/>
      <c r="V44" s="774">
        <v>4</v>
      </c>
      <c r="W44" s="771">
        <f t="shared" si="4"/>
        <v>0.10909090909090909</v>
      </c>
      <c r="X44" s="120"/>
      <c r="Y44" s="44"/>
      <c r="Z44" s="44"/>
      <c r="AA44" s="44"/>
      <c r="AB44" s="44"/>
      <c r="AC44" s="44"/>
      <c r="AD44" s="44"/>
      <c r="AE44" s="44"/>
      <c r="AF44" s="44"/>
      <c r="AG44" s="44"/>
    </row>
    <row r="45" spans="2:33" s="102" customFormat="1">
      <c r="B45" s="119" t="s">
        <v>80</v>
      </c>
      <c r="C45" s="74">
        <v>0.38</v>
      </c>
      <c r="D45" s="120"/>
      <c r="E45" s="44"/>
      <c r="F45" s="774">
        <v>10</v>
      </c>
      <c r="G45" s="771">
        <f t="shared" si="7"/>
        <v>0.34545454545454546</v>
      </c>
      <c r="H45" s="120"/>
      <c r="I45" s="44"/>
      <c r="J45" s="119" t="s">
        <v>80</v>
      </c>
      <c r="K45" s="74">
        <v>0.25</v>
      </c>
      <c r="L45" s="120"/>
      <c r="M45" s="44"/>
      <c r="N45" s="774">
        <v>10</v>
      </c>
      <c r="O45" s="771">
        <f t="shared" si="6"/>
        <v>0.22727272727272727</v>
      </c>
      <c r="P45" s="120"/>
      <c r="R45" s="119" t="s">
        <v>80</v>
      </c>
      <c r="S45" s="74">
        <v>0.3</v>
      </c>
      <c r="T45" s="120"/>
      <c r="U45" s="44"/>
      <c r="V45" s="774">
        <v>10</v>
      </c>
      <c r="W45" s="771">
        <f t="shared" si="4"/>
        <v>0.27272727272727271</v>
      </c>
      <c r="X45" s="120"/>
      <c r="Y45" s="44"/>
      <c r="Z45" s="44"/>
      <c r="AA45" s="44"/>
      <c r="AB45" s="44"/>
      <c r="AC45" s="44"/>
      <c r="AD45" s="44"/>
      <c r="AE45" s="44"/>
      <c r="AF45" s="44"/>
      <c r="AG45" s="44"/>
    </row>
    <row r="46" spans="2:33" s="102" customFormat="1">
      <c r="B46" s="119" t="s">
        <v>81</v>
      </c>
      <c r="C46" s="74">
        <v>0.49</v>
      </c>
      <c r="D46" s="120"/>
      <c r="E46" s="44"/>
      <c r="F46" s="774">
        <v>1</v>
      </c>
      <c r="G46" s="771">
        <f>(F46/$F$36)*C46</f>
        <v>4.4545454545454548E-2</v>
      </c>
      <c r="H46" s="124">
        <f>SUM(G42:G46)</f>
        <v>0.42454545454545456</v>
      </c>
      <c r="I46" s="44"/>
      <c r="J46" s="119" t="s">
        <v>81</v>
      </c>
      <c r="K46" s="74">
        <v>0.25</v>
      </c>
      <c r="L46" s="120"/>
      <c r="M46" s="44"/>
      <c r="N46" s="774">
        <v>1</v>
      </c>
      <c r="O46" s="771">
        <f t="shared" si="6"/>
        <v>2.2727272727272728E-2</v>
      </c>
      <c r="P46" s="124">
        <f>SUM(O42:O46)</f>
        <v>0.36363636363636365</v>
      </c>
      <c r="R46" s="119" t="s">
        <v>81</v>
      </c>
      <c r="S46" s="74">
        <v>0.45</v>
      </c>
      <c r="T46" s="120"/>
      <c r="U46" s="44"/>
      <c r="V46" s="774">
        <v>1</v>
      </c>
      <c r="W46" s="771">
        <f t="shared" si="4"/>
        <v>4.0909090909090909E-2</v>
      </c>
      <c r="X46" s="124">
        <f>SUM(W42:W46)</f>
        <v>0.44999999999999996</v>
      </c>
      <c r="Y46" s="44"/>
      <c r="Z46" s="44"/>
      <c r="AA46" s="44"/>
      <c r="AB46" s="44"/>
      <c r="AC46" s="44"/>
      <c r="AD46" s="44"/>
      <c r="AE46" s="44"/>
      <c r="AF46" s="44"/>
      <c r="AG46" s="44"/>
    </row>
    <row r="47" spans="2:33" s="102" customFormat="1" ht="15" thickBot="1">
      <c r="B47" s="121" t="s">
        <v>82</v>
      </c>
      <c r="C47" s="122">
        <v>0.6</v>
      </c>
      <c r="D47" s="123"/>
      <c r="E47" s="44"/>
      <c r="F47" s="775">
        <v>16</v>
      </c>
      <c r="G47" s="772">
        <f t="shared" si="7"/>
        <v>0.87272727272727268</v>
      </c>
      <c r="H47" s="125">
        <f>G47</f>
        <v>0.87272727272727268</v>
      </c>
      <c r="I47" s="44"/>
      <c r="J47" s="121" t="s">
        <v>82</v>
      </c>
      <c r="K47" s="122">
        <v>0.45</v>
      </c>
      <c r="L47" s="123"/>
      <c r="M47" s="44"/>
      <c r="N47" s="775">
        <v>16</v>
      </c>
      <c r="O47" s="772">
        <f t="shared" si="6"/>
        <v>0.65454545454545454</v>
      </c>
      <c r="P47" s="125">
        <f>O47</f>
        <v>0.65454545454545454</v>
      </c>
      <c r="R47" s="121" t="s">
        <v>82</v>
      </c>
      <c r="S47" s="122">
        <v>0.45</v>
      </c>
      <c r="T47" s="123"/>
      <c r="U47" s="44"/>
      <c r="V47" s="775">
        <v>16</v>
      </c>
      <c r="W47" s="772">
        <f t="shared" si="4"/>
        <v>0.65454545454545454</v>
      </c>
      <c r="X47" s="125">
        <f>W47</f>
        <v>0.65454545454545454</v>
      </c>
      <c r="Y47" s="44"/>
      <c r="Z47" s="44"/>
      <c r="AA47" s="44"/>
      <c r="AB47" s="44"/>
      <c r="AC47" s="44"/>
      <c r="AD47" s="44"/>
      <c r="AE47" s="44"/>
      <c r="AF47" s="44"/>
      <c r="AG47" s="44"/>
    </row>
    <row r="48" spans="2:33" s="102" customFormat="1" ht="15" thickBot="1"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</row>
    <row r="49" spans="2:33" s="102" customFormat="1" ht="15.6" thickBot="1">
      <c r="B49" s="44"/>
      <c r="C49" s="44"/>
      <c r="D49" s="44"/>
      <c r="E49" s="44"/>
      <c r="F49" s="44"/>
      <c r="G49" s="776" t="s">
        <v>71</v>
      </c>
      <c r="H49" s="777">
        <f>((H41*5)+H46+H47)/7</f>
        <v>0.24246753246753247</v>
      </c>
      <c r="I49" s="115"/>
      <c r="J49" s="44"/>
      <c r="K49" s="44"/>
      <c r="L49" s="44"/>
      <c r="M49" s="44"/>
      <c r="N49" s="44"/>
      <c r="O49" s="776" t="s">
        <v>71</v>
      </c>
      <c r="P49" s="777">
        <f>((P41*5)+P46+P47)/7</f>
        <v>0.18636363636363637</v>
      </c>
      <c r="R49" s="115"/>
      <c r="S49" s="115"/>
      <c r="T49" s="115"/>
      <c r="U49" s="115"/>
      <c r="V49" s="115"/>
      <c r="W49" s="776" t="s">
        <v>71</v>
      </c>
      <c r="X49" s="777">
        <f>((X41*5)+X46+X47)/7</f>
        <v>0.21948051948051947</v>
      </c>
      <c r="Y49" s="44"/>
      <c r="Z49" s="44"/>
      <c r="AA49" s="44"/>
      <c r="AB49" s="44"/>
      <c r="AC49" s="44"/>
      <c r="AD49" s="44"/>
      <c r="AE49" s="44"/>
      <c r="AF49" s="44"/>
      <c r="AG49" s="44"/>
    </row>
    <row r="50" spans="2:33" s="102" customFormat="1">
      <c r="B50" s="103"/>
      <c r="C50" s="105"/>
      <c r="D50" s="44"/>
      <c r="E50" s="44"/>
      <c r="F50" s="44"/>
      <c r="G50" s="44"/>
      <c r="H50" s="44"/>
      <c r="I50" s="44"/>
      <c r="J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</row>
    <row r="51" spans="2:33" s="102" customFormat="1" ht="15">
      <c r="B51" s="68" t="s">
        <v>121</v>
      </c>
      <c r="C51" s="68"/>
      <c r="D51" s="68"/>
      <c r="E51" s="68"/>
      <c r="F51" s="68"/>
      <c r="G51" s="47"/>
      <c r="H51" s="68"/>
      <c r="I51" s="68"/>
      <c r="J51" s="68"/>
      <c r="K51" s="533"/>
      <c r="L51" s="533"/>
      <c r="M51" s="533"/>
      <c r="N51" s="533"/>
      <c r="O51" s="533"/>
      <c r="P51" s="533"/>
      <c r="Q51" s="533"/>
      <c r="R51" s="68"/>
      <c r="S51" s="68"/>
      <c r="T51" s="68"/>
      <c r="U51" s="68"/>
      <c r="V51" s="47"/>
      <c r="W51" s="47"/>
      <c r="X51" s="47"/>
    </row>
    <row r="52" spans="2:33" s="102" customFormat="1" ht="15">
      <c r="B52" s="46"/>
      <c r="C52" s="46"/>
      <c r="D52" s="46"/>
      <c r="E52" s="46"/>
      <c r="F52" s="46"/>
      <c r="G52" s="114"/>
      <c r="H52" s="46"/>
      <c r="I52" s="46"/>
      <c r="J52" s="46"/>
      <c r="R52" s="46"/>
      <c r="S52" s="46"/>
      <c r="T52" s="46"/>
      <c r="U52" s="46"/>
      <c r="V52" s="114"/>
      <c r="W52" s="114"/>
      <c r="X52" s="114"/>
    </row>
    <row r="53" spans="2:33" s="102" customFormat="1" ht="15" thickBot="1">
      <c r="B53" s="586" t="s">
        <v>272</v>
      </c>
      <c r="C53" s="587"/>
      <c r="D53" s="588"/>
      <c r="E53" s="126"/>
      <c r="F53" s="587"/>
      <c r="G53" s="588"/>
      <c r="H53" s="126"/>
      <c r="I53" s="44"/>
      <c r="J53" s="531" t="s">
        <v>13</v>
      </c>
      <c r="K53" s="532"/>
      <c r="L53" s="532"/>
      <c r="M53" s="532"/>
      <c r="N53" s="532"/>
      <c r="O53" s="532"/>
      <c r="P53" s="532"/>
      <c r="R53" s="128" t="s">
        <v>14</v>
      </c>
      <c r="S53" s="127"/>
      <c r="T53" s="127"/>
      <c r="U53" s="127"/>
      <c r="V53" s="127"/>
      <c r="W53" s="127"/>
      <c r="X53" s="127"/>
    </row>
    <row r="54" spans="2:33" s="102" customFormat="1" ht="15" thickBot="1">
      <c r="B54" s="44"/>
      <c r="C54" s="44"/>
      <c r="D54" s="44"/>
      <c r="E54" s="44"/>
      <c r="F54" s="778">
        <v>100</v>
      </c>
      <c r="G54" s="103" t="s">
        <v>102</v>
      </c>
      <c r="H54" s="44"/>
      <c r="I54" s="44"/>
      <c r="J54" s="44"/>
      <c r="K54" s="44"/>
      <c r="L54" s="44"/>
      <c r="M54" s="44"/>
      <c r="N54" s="778">
        <v>100</v>
      </c>
      <c r="O54" s="103" t="s">
        <v>102</v>
      </c>
      <c r="P54" s="44"/>
      <c r="R54" s="44"/>
      <c r="S54" s="44"/>
      <c r="T54" s="44"/>
      <c r="U54" s="44"/>
      <c r="V54" s="778">
        <v>100</v>
      </c>
      <c r="W54" s="103" t="s">
        <v>102</v>
      </c>
      <c r="X54" s="44"/>
    </row>
    <row r="55" spans="2:33" s="102" customFormat="1">
      <c r="B55" s="116" t="s">
        <v>72</v>
      </c>
      <c r="C55" s="117">
        <v>0.44</v>
      </c>
      <c r="D55" s="118"/>
      <c r="E55" s="44"/>
      <c r="F55" s="773"/>
      <c r="G55" s="770">
        <f>(F55/$F$54)*C55</f>
        <v>0</v>
      </c>
      <c r="H55" s="118"/>
      <c r="I55" s="44"/>
      <c r="J55" s="116" t="s">
        <v>72</v>
      </c>
      <c r="K55" s="117">
        <v>0.25</v>
      </c>
      <c r="L55" s="118"/>
      <c r="M55" s="44"/>
      <c r="N55" s="773"/>
      <c r="O55" s="770">
        <f>(N55/$N$54)*K55</f>
        <v>0</v>
      </c>
      <c r="P55" s="118"/>
      <c r="R55" s="116" t="s">
        <v>72</v>
      </c>
      <c r="S55" s="117">
        <v>0.45</v>
      </c>
      <c r="T55" s="118"/>
      <c r="U55" s="44"/>
      <c r="V55" s="773"/>
      <c r="W55" s="770">
        <f t="shared" ref="W55:W65" si="8">(V55/$V$54)*S55</f>
        <v>0</v>
      </c>
      <c r="X55" s="118"/>
    </row>
    <row r="56" spans="2:33" s="102" customFormat="1">
      <c r="B56" s="119" t="s">
        <v>73</v>
      </c>
      <c r="C56" s="74">
        <v>0.22</v>
      </c>
      <c r="D56" s="120"/>
      <c r="E56" s="44"/>
      <c r="F56" s="774"/>
      <c r="G56" s="771">
        <f t="shared" ref="G56:G65" si="9">(F56/$F$54)*C56</f>
        <v>0</v>
      </c>
      <c r="H56" s="120"/>
      <c r="I56" s="44"/>
      <c r="J56" s="119" t="s">
        <v>73</v>
      </c>
      <c r="K56" s="74">
        <v>0.25</v>
      </c>
      <c r="L56" s="120"/>
      <c r="M56" s="44"/>
      <c r="N56" s="774"/>
      <c r="O56" s="771">
        <f t="shared" ref="O56:O65" si="10">(N56/$N$54)*K56</f>
        <v>0</v>
      </c>
      <c r="P56" s="120"/>
      <c r="R56" s="119" t="s">
        <v>73</v>
      </c>
      <c r="S56" s="74">
        <v>0.25</v>
      </c>
      <c r="T56" s="120"/>
      <c r="U56" s="44"/>
      <c r="V56" s="774"/>
      <c r="W56" s="771">
        <f t="shared" si="8"/>
        <v>0</v>
      </c>
      <c r="X56" s="120"/>
    </row>
    <row r="57" spans="2:33" s="102" customFormat="1">
      <c r="B57" s="119" t="s">
        <v>74</v>
      </c>
      <c r="C57" s="74">
        <v>0</v>
      </c>
      <c r="D57" s="120"/>
      <c r="E57" s="44"/>
      <c r="F57" s="774">
        <v>97</v>
      </c>
      <c r="G57" s="771">
        <f t="shared" si="9"/>
        <v>0</v>
      </c>
      <c r="H57" s="120"/>
      <c r="I57" s="44"/>
      <c r="J57" s="119" t="s">
        <v>74</v>
      </c>
      <c r="K57" s="74">
        <v>0</v>
      </c>
      <c r="L57" s="120"/>
      <c r="M57" s="44"/>
      <c r="N57" s="774">
        <v>97</v>
      </c>
      <c r="O57" s="771">
        <f>(N57/$N$54)*K57</f>
        <v>0</v>
      </c>
      <c r="P57" s="120"/>
      <c r="R57" s="119" t="s">
        <v>74</v>
      </c>
      <c r="S57" s="74">
        <v>0</v>
      </c>
      <c r="T57" s="120"/>
      <c r="U57" s="44"/>
      <c r="V57" s="774">
        <v>97</v>
      </c>
      <c r="W57" s="771">
        <f t="shared" si="8"/>
        <v>0</v>
      </c>
      <c r="X57" s="120"/>
    </row>
    <row r="58" spans="2:33" s="102" customFormat="1">
      <c r="B58" s="119" t="s">
        <v>75</v>
      </c>
      <c r="C58" s="74">
        <v>0.22</v>
      </c>
      <c r="D58" s="120"/>
      <c r="E58" s="44"/>
      <c r="F58" s="774">
        <v>1</v>
      </c>
      <c r="G58" s="771">
        <f t="shared" si="9"/>
        <v>2.2000000000000001E-3</v>
      </c>
      <c r="H58" s="120"/>
      <c r="I58" s="44"/>
      <c r="J58" s="119" t="s">
        <v>75</v>
      </c>
      <c r="K58" s="74">
        <v>0.21</v>
      </c>
      <c r="L58" s="120"/>
      <c r="M58" s="44"/>
      <c r="N58" s="774">
        <v>1</v>
      </c>
      <c r="O58" s="771">
        <f>(N58/$N$54)*K58</f>
        <v>2.0999999999999999E-3</v>
      </c>
      <c r="P58" s="120"/>
      <c r="R58" s="119" t="s">
        <v>75</v>
      </c>
      <c r="S58" s="74">
        <v>0.25</v>
      </c>
      <c r="T58" s="120"/>
      <c r="U58" s="44"/>
      <c r="V58" s="774">
        <v>1</v>
      </c>
      <c r="W58" s="771">
        <f t="shared" si="8"/>
        <v>2.5000000000000001E-3</v>
      </c>
      <c r="X58" s="120"/>
    </row>
    <row r="59" spans="2:33" s="102" customFormat="1">
      <c r="B59" s="119" t="s">
        <v>76</v>
      </c>
      <c r="C59" s="74">
        <v>0.44</v>
      </c>
      <c r="D59" s="120"/>
      <c r="E59" s="104"/>
      <c r="F59" s="774"/>
      <c r="G59" s="771">
        <f t="shared" si="9"/>
        <v>0</v>
      </c>
      <c r="H59" s="124">
        <f>SUM(G55:G59)</f>
        <v>2.2000000000000001E-3</v>
      </c>
      <c r="I59" s="44"/>
      <c r="J59" s="119" t="s">
        <v>76</v>
      </c>
      <c r="K59" s="74">
        <v>0.21</v>
      </c>
      <c r="L59" s="120"/>
      <c r="M59" s="104"/>
      <c r="N59" s="774"/>
      <c r="O59" s="771">
        <f t="shared" si="10"/>
        <v>0</v>
      </c>
      <c r="P59" s="124">
        <f>SUM(O55:O59)</f>
        <v>2.0999999999999999E-3</v>
      </c>
      <c r="R59" s="119" t="s">
        <v>76</v>
      </c>
      <c r="S59" s="74">
        <v>0.45</v>
      </c>
      <c r="T59" s="120"/>
      <c r="U59" s="104"/>
      <c r="V59" s="774"/>
      <c r="W59" s="771">
        <f t="shared" si="8"/>
        <v>0</v>
      </c>
      <c r="X59" s="124">
        <f>SUM(W55:W59)</f>
        <v>2.5000000000000001E-3</v>
      </c>
    </row>
    <row r="60" spans="2:33" s="102" customFormat="1">
      <c r="B60" s="119" t="s">
        <v>77</v>
      </c>
      <c r="C60" s="74">
        <v>0.49</v>
      </c>
      <c r="D60" s="120"/>
      <c r="E60" s="44"/>
      <c r="F60" s="774"/>
      <c r="G60" s="771">
        <f t="shared" si="9"/>
        <v>0</v>
      </c>
      <c r="H60" s="120"/>
      <c r="I60" s="44"/>
      <c r="J60" s="119" t="s">
        <v>77</v>
      </c>
      <c r="K60" s="74">
        <v>0.25</v>
      </c>
      <c r="L60" s="120"/>
      <c r="M60" s="44"/>
      <c r="N60" s="774"/>
      <c r="O60" s="771">
        <f t="shared" si="10"/>
        <v>0</v>
      </c>
      <c r="P60" s="120"/>
      <c r="R60" s="119" t="s">
        <v>77</v>
      </c>
      <c r="S60" s="74">
        <v>0.45</v>
      </c>
      <c r="T60" s="120"/>
      <c r="U60" s="44"/>
      <c r="V60" s="774"/>
      <c r="W60" s="771">
        <f t="shared" si="8"/>
        <v>0</v>
      </c>
      <c r="X60" s="120"/>
    </row>
    <row r="61" spans="2:33" s="102" customFormat="1">
      <c r="B61" s="119" t="s">
        <v>78</v>
      </c>
      <c r="C61" s="74">
        <v>0.38</v>
      </c>
      <c r="D61" s="120"/>
      <c r="E61" s="44"/>
      <c r="F61" s="774"/>
      <c r="G61" s="771">
        <f t="shared" si="9"/>
        <v>0</v>
      </c>
      <c r="H61" s="120"/>
      <c r="I61" s="44"/>
      <c r="J61" s="119" t="s">
        <v>78</v>
      </c>
      <c r="K61" s="74">
        <v>0.25</v>
      </c>
      <c r="L61" s="120"/>
      <c r="M61" s="44"/>
      <c r="N61" s="774"/>
      <c r="O61" s="771">
        <f t="shared" si="10"/>
        <v>0</v>
      </c>
      <c r="P61" s="120"/>
      <c r="R61" s="119" t="s">
        <v>78</v>
      </c>
      <c r="S61" s="74">
        <v>0.3</v>
      </c>
      <c r="T61" s="120"/>
      <c r="U61" s="44"/>
      <c r="V61" s="774"/>
      <c r="W61" s="771">
        <f t="shared" si="8"/>
        <v>0</v>
      </c>
      <c r="X61" s="120"/>
    </row>
    <row r="62" spans="2:33" s="102" customFormat="1">
      <c r="B62" s="119" t="s">
        <v>79</v>
      </c>
      <c r="C62" s="74">
        <v>0</v>
      </c>
      <c r="D62" s="120"/>
      <c r="E62" s="44"/>
      <c r="F62" s="774"/>
      <c r="G62" s="771">
        <f t="shared" si="9"/>
        <v>0</v>
      </c>
      <c r="H62" s="120"/>
      <c r="I62" s="44"/>
      <c r="J62" s="119" t="s">
        <v>79</v>
      </c>
      <c r="K62" s="74">
        <v>0.25</v>
      </c>
      <c r="L62" s="120"/>
      <c r="M62" s="44"/>
      <c r="N62" s="774"/>
      <c r="O62" s="771">
        <f t="shared" si="10"/>
        <v>0</v>
      </c>
      <c r="P62" s="120"/>
      <c r="R62" s="119" t="s">
        <v>79</v>
      </c>
      <c r="S62" s="74">
        <v>0.3</v>
      </c>
      <c r="T62" s="120"/>
      <c r="U62" s="44"/>
      <c r="V62" s="774"/>
      <c r="W62" s="771">
        <f t="shared" si="8"/>
        <v>0</v>
      </c>
      <c r="X62" s="120"/>
    </row>
    <row r="63" spans="2:33" s="102" customFormat="1">
      <c r="B63" s="119" t="s">
        <v>80</v>
      </c>
      <c r="C63" s="74">
        <v>0.38</v>
      </c>
      <c r="D63" s="120"/>
      <c r="E63" s="44"/>
      <c r="F63" s="774">
        <v>1</v>
      </c>
      <c r="G63" s="771">
        <f t="shared" si="9"/>
        <v>3.8E-3</v>
      </c>
      <c r="H63" s="120"/>
      <c r="I63" s="44"/>
      <c r="J63" s="119" t="s">
        <v>80</v>
      </c>
      <c r="K63" s="74">
        <v>0.25</v>
      </c>
      <c r="L63" s="120"/>
      <c r="M63" s="44"/>
      <c r="N63" s="774">
        <v>1</v>
      </c>
      <c r="O63" s="771">
        <f t="shared" si="10"/>
        <v>2.5000000000000001E-3</v>
      </c>
      <c r="P63" s="120"/>
      <c r="R63" s="119" t="s">
        <v>80</v>
      </c>
      <c r="S63" s="74">
        <v>0.3</v>
      </c>
      <c r="T63" s="120"/>
      <c r="U63" s="44"/>
      <c r="V63" s="774">
        <v>1</v>
      </c>
      <c r="W63" s="771">
        <f t="shared" si="8"/>
        <v>3.0000000000000001E-3</v>
      </c>
      <c r="X63" s="120"/>
    </row>
    <row r="64" spans="2:33" s="102" customFormat="1">
      <c r="B64" s="119" t="s">
        <v>81</v>
      </c>
      <c r="C64" s="74">
        <v>0.49</v>
      </c>
      <c r="D64" s="120"/>
      <c r="E64" s="44"/>
      <c r="F64" s="774"/>
      <c r="G64" s="771">
        <f t="shared" si="9"/>
        <v>0</v>
      </c>
      <c r="H64" s="124">
        <f>SUM(G60:G64)</f>
        <v>3.8E-3</v>
      </c>
      <c r="I64" s="44"/>
      <c r="J64" s="119" t="s">
        <v>81</v>
      </c>
      <c r="K64" s="74">
        <v>0.25</v>
      </c>
      <c r="L64" s="120"/>
      <c r="M64" s="44"/>
      <c r="N64" s="774"/>
      <c r="O64" s="771">
        <f t="shared" si="10"/>
        <v>0</v>
      </c>
      <c r="P64" s="124">
        <f>SUM(O60:O64)</f>
        <v>2.5000000000000001E-3</v>
      </c>
      <c r="R64" s="119" t="s">
        <v>81</v>
      </c>
      <c r="S64" s="74">
        <v>0.45</v>
      </c>
      <c r="T64" s="120"/>
      <c r="U64" s="44"/>
      <c r="V64" s="774"/>
      <c r="W64" s="771">
        <f t="shared" si="8"/>
        <v>0</v>
      </c>
      <c r="X64" s="124">
        <f>SUM(W60:W64)</f>
        <v>3.0000000000000001E-3</v>
      </c>
    </row>
    <row r="65" spans="2:33" s="102" customFormat="1" ht="15" thickBot="1">
      <c r="B65" s="121" t="s">
        <v>82</v>
      </c>
      <c r="C65" s="122">
        <v>0.6</v>
      </c>
      <c r="D65" s="123"/>
      <c r="E65" s="44"/>
      <c r="F65" s="775">
        <v>1</v>
      </c>
      <c r="G65" s="772">
        <f t="shared" si="9"/>
        <v>6.0000000000000001E-3</v>
      </c>
      <c r="H65" s="125">
        <f>G65</f>
        <v>6.0000000000000001E-3</v>
      </c>
      <c r="I65" s="44"/>
      <c r="J65" s="121" t="s">
        <v>82</v>
      </c>
      <c r="K65" s="122">
        <v>0.45</v>
      </c>
      <c r="L65" s="123"/>
      <c r="M65" s="44"/>
      <c r="N65" s="775">
        <v>1</v>
      </c>
      <c r="O65" s="772">
        <f t="shared" si="10"/>
        <v>4.5000000000000005E-3</v>
      </c>
      <c r="P65" s="125">
        <f>O65</f>
        <v>4.5000000000000005E-3</v>
      </c>
      <c r="R65" s="121" t="s">
        <v>82</v>
      </c>
      <c r="S65" s="122">
        <v>0.45</v>
      </c>
      <c r="T65" s="123"/>
      <c r="U65" s="44"/>
      <c r="V65" s="775">
        <v>1</v>
      </c>
      <c r="W65" s="772">
        <f t="shared" si="8"/>
        <v>4.5000000000000005E-3</v>
      </c>
      <c r="X65" s="125">
        <f>W65</f>
        <v>4.5000000000000005E-3</v>
      </c>
    </row>
    <row r="66" spans="2:33" s="102" customFormat="1" ht="15" thickBot="1"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R66" s="44"/>
      <c r="S66" s="44"/>
      <c r="T66" s="44"/>
      <c r="U66" s="44"/>
      <c r="V66" s="44"/>
      <c r="W66" s="44"/>
      <c r="X66" s="44"/>
    </row>
    <row r="67" spans="2:33" s="102" customFormat="1" ht="15.6" thickBot="1">
      <c r="B67" s="44"/>
      <c r="C67" s="44"/>
      <c r="D67" s="44"/>
      <c r="E67" s="44"/>
      <c r="F67" s="44"/>
      <c r="G67" s="776" t="s">
        <v>71</v>
      </c>
      <c r="H67" s="777">
        <f>((H59*5)+H64+H65)/7</f>
        <v>2.9714285714285715E-3</v>
      </c>
      <c r="I67" s="115"/>
      <c r="J67" s="44"/>
      <c r="K67" s="44"/>
      <c r="L67" s="44"/>
      <c r="M67" s="44"/>
      <c r="N67" s="44"/>
      <c r="O67" s="776" t="s">
        <v>71</v>
      </c>
      <c r="P67" s="777">
        <f>((P59*5)+P64+P65)/7</f>
        <v>2.5000000000000001E-3</v>
      </c>
      <c r="R67" s="115"/>
      <c r="S67" s="115"/>
      <c r="T67" s="115"/>
      <c r="U67" s="115"/>
      <c r="V67" s="115"/>
      <c r="W67" s="776" t="s">
        <v>71</v>
      </c>
      <c r="X67" s="777">
        <f>((X59*5)+X64+X65)/7</f>
        <v>2.8571428571428571E-3</v>
      </c>
    </row>
    <row r="68" spans="2:33" s="102" customFormat="1">
      <c r="B68" s="103"/>
      <c r="C68" s="106"/>
      <c r="D68" s="44"/>
      <c r="E68" s="44"/>
      <c r="F68" s="44"/>
      <c r="G68" s="44"/>
      <c r="H68" s="44"/>
      <c r="I68" s="44"/>
      <c r="J68" s="44"/>
      <c r="R68" s="44"/>
      <c r="S68" s="44"/>
      <c r="T68" s="44"/>
      <c r="U68" s="44"/>
      <c r="V68" s="44"/>
      <c r="W68" s="44"/>
      <c r="X68" s="44"/>
    </row>
    <row r="69" spans="2:33" s="102" customFormat="1" ht="15">
      <c r="B69" s="68" t="s">
        <v>109</v>
      </c>
      <c r="C69" s="68"/>
      <c r="D69" s="68"/>
      <c r="E69" s="68"/>
      <c r="F69" s="68"/>
      <c r="G69" s="47"/>
      <c r="H69" s="68"/>
      <c r="I69" s="68"/>
      <c r="J69" s="68"/>
      <c r="K69" s="533"/>
      <c r="L69" s="533"/>
      <c r="M69" s="533"/>
      <c r="N69" s="533"/>
      <c r="O69" s="533"/>
      <c r="P69" s="533"/>
      <c r="Q69" s="533"/>
      <c r="R69" s="68"/>
      <c r="S69" s="68"/>
      <c r="T69" s="68"/>
      <c r="U69" s="68"/>
      <c r="V69" s="47"/>
      <c r="W69" s="47"/>
      <c r="X69" s="47"/>
      <c r="Y69" s="44"/>
      <c r="Z69" s="44"/>
      <c r="AA69" s="44"/>
      <c r="AB69" s="44"/>
      <c r="AC69" s="44"/>
      <c r="AD69" s="44"/>
      <c r="AE69" s="44"/>
      <c r="AF69" s="44"/>
      <c r="AG69" s="44"/>
    </row>
    <row r="70" spans="2:33" s="102" customFormat="1">
      <c r="B70" s="44"/>
      <c r="C70" s="44"/>
      <c r="D70" s="44"/>
      <c r="E70" s="44"/>
      <c r="F70" s="44"/>
      <c r="G70" s="44"/>
      <c r="H70" s="44"/>
      <c r="I70" s="44"/>
      <c r="J70" s="44"/>
      <c r="R70" s="44"/>
      <c r="S70" s="44"/>
      <c r="T70" s="44"/>
      <c r="U70" s="44"/>
      <c r="V70" s="44"/>
      <c r="Y70" s="44"/>
      <c r="Z70" s="44"/>
      <c r="AA70" s="44"/>
      <c r="AB70" s="44"/>
      <c r="AC70" s="44"/>
      <c r="AD70" s="44"/>
      <c r="AE70" s="44"/>
      <c r="AF70" s="44"/>
      <c r="AG70" s="44"/>
    </row>
    <row r="71" spans="2:33" s="102" customFormat="1" ht="15" thickBot="1">
      <c r="B71" s="586" t="s">
        <v>272</v>
      </c>
      <c r="C71" s="587"/>
      <c r="D71" s="588"/>
      <c r="E71" s="126"/>
      <c r="F71" s="587"/>
      <c r="G71" s="588"/>
      <c r="H71" s="126"/>
      <c r="I71" s="44"/>
      <c r="J71" s="531" t="s">
        <v>13</v>
      </c>
      <c r="K71" s="532"/>
      <c r="L71" s="532"/>
      <c r="M71" s="532"/>
      <c r="N71" s="532"/>
      <c r="O71" s="532"/>
      <c r="P71" s="532"/>
      <c r="R71" s="128" t="s">
        <v>14</v>
      </c>
      <c r="S71" s="127"/>
      <c r="T71" s="127"/>
      <c r="U71" s="127"/>
      <c r="V71" s="127"/>
      <c r="W71" s="127"/>
      <c r="X71" s="127"/>
      <c r="Y71" s="44"/>
      <c r="Z71" s="44"/>
      <c r="AA71" s="44"/>
      <c r="AB71" s="44"/>
      <c r="AC71" s="44"/>
      <c r="AD71" s="44"/>
      <c r="AE71" s="44"/>
      <c r="AF71" s="44"/>
      <c r="AG71" s="44"/>
    </row>
    <row r="72" spans="2:33" s="102" customFormat="1" ht="15" thickBot="1">
      <c r="B72" s="44"/>
      <c r="C72" s="44"/>
      <c r="D72" s="44"/>
      <c r="E72" s="44"/>
      <c r="F72" s="778">
        <v>100</v>
      </c>
      <c r="G72" s="103" t="s">
        <v>102</v>
      </c>
      <c r="H72" s="44"/>
      <c r="I72" s="44"/>
      <c r="J72" s="44"/>
      <c r="K72" s="44"/>
      <c r="L72" s="44"/>
      <c r="M72" s="44"/>
      <c r="N72" s="778">
        <v>100</v>
      </c>
      <c r="O72" s="103" t="s">
        <v>102</v>
      </c>
      <c r="P72" s="44"/>
      <c r="R72" s="44"/>
      <c r="S72" s="44"/>
      <c r="T72" s="44"/>
      <c r="U72" s="44"/>
      <c r="V72" s="778">
        <v>100</v>
      </c>
      <c r="W72" s="103" t="s">
        <v>102</v>
      </c>
      <c r="X72" s="44"/>
      <c r="Y72" s="44"/>
      <c r="Z72" s="44"/>
      <c r="AA72" s="44"/>
      <c r="AB72" s="44"/>
      <c r="AC72" s="44"/>
      <c r="AD72" s="44"/>
      <c r="AE72" s="44"/>
      <c r="AF72" s="44"/>
      <c r="AG72" s="44"/>
    </row>
    <row r="73" spans="2:33" s="102" customFormat="1">
      <c r="B73" s="116" t="s">
        <v>72</v>
      </c>
      <c r="C73" s="117">
        <v>0.44</v>
      </c>
      <c r="D73" s="118"/>
      <c r="E73" s="44"/>
      <c r="F73" s="773"/>
      <c r="G73" s="770">
        <f t="shared" ref="G73:G83" si="11">(F73/$F$72)*C73</f>
        <v>0</v>
      </c>
      <c r="H73" s="118"/>
      <c r="I73" s="44"/>
      <c r="J73" s="116" t="s">
        <v>72</v>
      </c>
      <c r="K73" s="117">
        <v>0.25</v>
      </c>
      <c r="L73" s="118"/>
      <c r="M73" s="44"/>
      <c r="N73" s="773"/>
      <c r="O73" s="770">
        <f>(N73/$N$72)*K73</f>
        <v>0</v>
      </c>
      <c r="P73" s="118"/>
      <c r="R73" s="116" t="s">
        <v>72</v>
      </c>
      <c r="S73" s="117">
        <v>0.45</v>
      </c>
      <c r="T73" s="118"/>
      <c r="U73" s="44"/>
      <c r="V73" s="773"/>
      <c r="W73" s="770">
        <f t="shared" ref="W73:W83" si="12">(V73/$V$72)*S73</f>
        <v>0</v>
      </c>
      <c r="X73" s="118"/>
      <c r="Y73" s="44"/>
      <c r="Z73" s="44"/>
      <c r="AA73" s="44"/>
      <c r="AB73" s="44"/>
      <c r="AC73" s="44"/>
      <c r="AD73" s="44"/>
      <c r="AE73" s="44"/>
      <c r="AF73" s="44"/>
      <c r="AG73" s="44"/>
    </row>
    <row r="74" spans="2:33" s="102" customFormat="1">
      <c r="B74" s="119" t="s">
        <v>73</v>
      </c>
      <c r="C74" s="74">
        <v>0.22</v>
      </c>
      <c r="D74" s="120"/>
      <c r="E74" s="44"/>
      <c r="F74" s="774"/>
      <c r="G74" s="771">
        <f t="shared" si="11"/>
        <v>0</v>
      </c>
      <c r="H74" s="120"/>
      <c r="I74" s="44"/>
      <c r="J74" s="119" t="s">
        <v>73</v>
      </c>
      <c r="K74" s="74">
        <v>0.25</v>
      </c>
      <c r="L74" s="120"/>
      <c r="M74" s="44"/>
      <c r="N74" s="774"/>
      <c r="O74" s="771">
        <f t="shared" ref="O74:O83" si="13">(N74/$N$72)*K74</f>
        <v>0</v>
      </c>
      <c r="P74" s="120"/>
      <c r="R74" s="119" t="s">
        <v>73</v>
      </c>
      <c r="S74" s="74">
        <v>0.25</v>
      </c>
      <c r="T74" s="120"/>
      <c r="U74" s="44"/>
      <c r="V74" s="774"/>
      <c r="W74" s="771">
        <f t="shared" si="12"/>
        <v>0</v>
      </c>
      <c r="X74" s="120"/>
      <c r="Y74" s="44"/>
      <c r="Z74" s="44"/>
      <c r="AA74" s="44"/>
      <c r="AB74" s="44"/>
      <c r="AC74" s="44"/>
      <c r="AD74" s="44"/>
      <c r="AE74" s="44"/>
      <c r="AF74" s="44"/>
      <c r="AG74" s="44"/>
    </row>
    <row r="75" spans="2:33" s="102" customFormat="1">
      <c r="B75" s="119" t="s">
        <v>74</v>
      </c>
      <c r="C75" s="74">
        <v>0</v>
      </c>
      <c r="D75" s="120"/>
      <c r="E75" s="44"/>
      <c r="F75" s="774">
        <v>94</v>
      </c>
      <c r="G75" s="771">
        <f t="shared" si="11"/>
        <v>0</v>
      </c>
      <c r="H75" s="120"/>
      <c r="I75" s="44"/>
      <c r="J75" s="119" t="s">
        <v>74</v>
      </c>
      <c r="K75" s="74">
        <v>0</v>
      </c>
      <c r="L75" s="120"/>
      <c r="M75" s="44"/>
      <c r="N75" s="774">
        <v>94</v>
      </c>
      <c r="O75" s="771">
        <f t="shared" si="13"/>
        <v>0</v>
      </c>
      <c r="P75" s="120"/>
      <c r="R75" s="119" t="s">
        <v>74</v>
      </c>
      <c r="S75" s="74">
        <v>0</v>
      </c>
      <c r="T75" s="120"/>
      <c r="U75" s="44"/>
      <c r="V75" s="774">
        <v>94</v>
      </c>
      <c r="W75" s="771">
        <f t="shared" si="12"/>
        <v>0</v>
      </c>
      <c r="X75" s="120"/>
      <c r="Y75" s="44"/>
      <c r="Z75" s="44"/>
      <c r="AA75" s="44"/>
      <c r="AB75" s="44"/>
      <c r="AC75" s="44"/>
      <c r="AD75" s="44"/>
      <c r="AE75" s="44"/>
      <c r="AF75" s="44"/>
      <c r="AG75" s="44"/>
    </row>
    <row r="76" spans="2:33" s="102" customFormat="1">
      <c r="B76" s="119" t="s">
        <v>75</v>
      </c>
      <c r="C76" s="74">
        <v>0.22</v>
      </c>
      <c r="D76" s="120"/>
      <c r="E76" s="44"/>
      <c r="F76" s="774">
        <v>2</v>
      </c>
      <c r="G76" s="771">
        <f t="shared" si="11"/>
        <v>4.4000000000000003E-3</v>
      </c>
      <c r="H76" s="120"/>
      <c r="I76" s="44"/>
      <c r="J76" s="119" t="s">
        <v>75</v>
      </c>
      <c r="K76" s="74">
        <v>0.21</v>
      </c>
      <c r="L76" s="120"/>
      <c r="M76" s="44"/>
      <c r="N76" s="774">
        <v>2</v>
      </c>
      <c r="O76" s="771">
        <f t="shared" si="13"/>
        <v>4.1999999999999997E-3</v>
      </c>
      <c r="P76" s="120"/>
      <c r="R76" s="119" t="s">
        <v>75</v>
      </c>
      <c r="S76" s="74">
        <v>0.25</v>
      </c>
      <c r="T76" s="120"/>
      <c r="U76" s="44"/>
      <c r="V76" s="774">
        <v>2</v>
      </c>
      <c r="W76" s="771">
        <f t="shared" si="12"/>
        <v>5.0000000000000001E-3</v>
      </c>
      <c r="X76" s="120"/>
      <c r="Y76" s="44"/>
      <c r="Z76" s="44"/>
      <c r="AA76" s="44"/>
      <c r="AB76" s="44"/>
      <c r="AC76" s="44"/>
      <c r="AD76" s="44"/>
      <c r="AE76" s="44"/>
      <c r="AF76" s="44"/>
      <c r="AG76" s="44"/>
    </row>
    <row r="77" spans="2:33" s="102" customFormat="1">
      <c r="B77" s="119" t="s">
        <v>76</v>
      </c>
      <c r="C77" s="74">
        <v>0.44</v>
      </c>
      <c r="D77" s="120"/>
      <c r="E77" s="104"/>
      <c r="F77" s="774"/>
      <c r="G77" s="771">
        <f t="shared" si="11"/>
        <v>0</v>
      </c>
      <c r="H77" s="124">
        <f>SUM(G73:G77)</f>
        <v>4.4000000000000003E-3</v>
      </c>
      <c r="I77" s="44"/>
      <c r="J77" s="119" t="s">
        <v>76</v>
      </c>
      <c r="K77" s="74">
        <v>0.21</v>
      </c>
      <c r="L77" s="120"/>
      <c r="M77" s="104"/>
      <c r="N77" s="774"/>
      <c r="O77" s="771">
        <f t="shared" si="13"/>
        <v>0</v>
      </c>
      <c r="P77" s="124">
        <f>SUM(O73:O77)</f>
        <v>4.1999999999999997E-3</v>
      </c>
      <c r="R77" s="119" t="s">
        <v>76</v>
      </c>
      <c r="S77" s="74">
        <v>0.45</v>
      </c>
      <c r="T77" s="120"/>
      <c r="U77" s="104"/>
      <c r="V77" s="774"/>
      <c r="W77" s="771">
        <f t="shared" si="12"/>
        <v>0</v>
      </c>
      <c r="X77" s="124">
        <f>SUM(W73:W77)</f>
        <v>5.0000000000000001E-3</v>
      </c>
      <c r="Y77" s="44"/>
      <c r="Z77" s="44"/>
      <c r="AA77" s="44"/>
      <c r="AB77" s="44"/>
      <c r="AC77" s="44"/>
      <c r="AD77" s="44"/>
      <c r="AE77" s="44"/>
      <c r="AF77" s="44"/>
      <c r="AG77" s="44"/>
    </row>
    <row r="78" spans="2:33" s="102" customFormat="1">
      <c r="B78" s="119" t="s">
        <v>77</v>
      </c>
      <c r="C78" s="74">
        <v>0.49</v>
      </c>
      <c r="D78" s="120"/>
      <c r="E78" s="44"/>
      <c r="F78" s="774"/>
      <c r="G78" s="771">
        <f t="shared" si="11"/>
        <v>0</v>
      </c>
      <c r="H78" s="120"/>
      <c r="I78" s="44"/>
      <c r="J78" s="119" t="s">
        <v>77</v>
      </c>
      <c r="K78" s="74">
        <v>0.25</v>
      </c>
      <c r="L78" s="120"/>
      <c r="M78" s="44"/>
      <c r="N78" s="774"/>
      <c r="O78" s="771">
        <f t="shared" si="13"/>
        <v>0</v>
      </c>
      <c r="P78" s="120"/>
      <c r="R78" s="119" t="s">
        <v>77</v>
      </c>
      <c r="S78" s="74">
        <v>0.45</v>
      </c>
      <c r="T78" s="120"/>
      <c r="U78" s="44"/>
      <c r="V78" s="774"/>
      <c r="W78" s="771">
        <f t="shared" si="12"/>
        <v>0</v>
      </c>
      <c r="X78" s="120"/>
      <c r="Y78" s="44"/>
      <c r="Z78" s="44"/>
      <c r="AA78" s="44"/>
      <c r="AB78" s="44"/>
      <c r="AC78" s="44"/>
      <c r="AD78" s="44"/>
      <c r="AE78" s="44"/>
      <c r="AF78" s="44"/>
      <c r="AG78" s="44"/>
    </row>
    <row r="79" spans="2:33" s="102" customFormat="1">
      <c r="B79" s="119" t="s">
        <v>78</v>
      </c>
      <c r="C79" s="74">
        <v>0.38</v>
      </c>
      <c r="D79" s="120"/>
      <c r="E79" s="44"/>
      <c r="F79" s="774"/>
      <c r="G79" s="771">
        <f t="shared" si="11"/>
        <v>0</v>
      </c>
      <c r="H79" s="120"/>
      <c r="I79" s="44"/>
      <c r="J79" s="119" t="s">
        <v>78</v>
      </c>
      <c r="K79" s="74">
        <v>0.25</v>
      </c>
      <c r="L79" s="120"/>
      <c r="M79" s="44"/>
      <c r="N79" s="774"/>
      <c r="O79" s="771">
        <f t="shared" si="13"/>
        <v>0</v>
      </c>
      <c r="P79" s="120"/>
      <c r="R79" s="119" t="s">
        <v>78</v>
      </c>
      <c r="S79" s="74">
        <v>0.3</v>
      </c>
      <c r="T79" s="120"/>
      <c r="U79" s="44"/>
      <c r="V79" s="774"/>
      <c r="W79" s="771">
        <f t="shared" si="12"/>
        <v>0</v>
      </c>
      <c r="X79" s="120"/>
      <c r="Y79" s="44"/>
      <c r="Z79" s="44"/>
      <c r="AA79" s="44"/>
      <c r="AB79" s="44"/>
      <c r="AC79" s="44"/>
      <c r="AD79" s="44"/>
      <c r="AE79" s="44"/>
      <c r="AF79" s="44"/>
      <c r="AG79" s="44"/>
    </row>
    <row r="80" spans="2:33" s="102" customFormat="1">
      <c r="B80" s="119" t="s">
        <v>79</v>
      </c>
      <c r="C80" s="74">
        <v>0</v>
      </c>
      <c r="D80" s="120"/>
      <c r="E80" s="44"/>
      <c r="F80" s="774"/>
      <c r="G80" s="771">
        <f t="shared" si="11"/>
        <v>0</v>
      </c>
      <c r="H80" s="120"/>
      <c r="I80" s="44"/>
      <c r="J80" s="119" t="s">
        <v>79</v>
      </c>
      <c r="K80" s="74">
        <v>0.25</v>
      </c>
      <c r="L80" s="120"/>
      <c r="M80" s="44"/>
      <c r="N80" s="774"/>
      <c r="O80" s="771">
        <f t="shared" si="13"/>
        <v>0</v>
      </c>
      <c r="P80" s="120"/>
      <c r="R80" s="119" t="s">
        <v>79</v>
      </c>
      <c r="S80" s="74">
        <v>0.3</v>
      </c>
      <c r="T80" s="120"/>
      <c r="U80" s="44"/>
      <c r="V80" s="774"/>
      <c r="W80" s="771">
        <f t="shared" si="12"/>
        <v>0</v>
      </c>
      <c r="X80" s="120"/>
      <c r="Y80" s="44"/>
      <c r="Z80" s="44"/>
      <c r="AA80" s="44"/>
      <c r="AB80" s="44"/>
      <c r="AC80" s="44"/>
      <c r="AD80" s="44"/>
      <c r="AE80" s="44"/>
      <c r="AF80" s="44"/>
      <c r="AG80" s="44"/>
    </row>
    <row r="81" spans="2:33" s="102" customFormat="1">
      <c r="B81" s="119" t="s">
        <v>80</v>
      </c>
      <c r="C81" s="74">
        <v>0.38</v>
      </c>
      <c r="D81" s="120"/>
      <c r="E81" s="44"/>
      <c r="F81" s="774">
        <v>2</v>
      </c>
      <c r="G81" s="771">
        <f t="shared" si="11"/>
        <v>7.6E-3</v>
      </c>
      <c r="H81" s="120"/>
      <c r="I81" s="44"/>
      <c r="J81" s="119" t="s">
        <v>80</v>
      </c>
      <c r="K81" s="74">
        <v>0.25</v>
      </c>
      <c r="L81" s="120"/>
      <c r="M81" s="44"/>
      <c r="N81" s="774">
        <v>2</v>
      </c>
      <c r="O81" s="771">
        <f t="shared" si="13"/>
        <v>5.0000000000000001E-3</v>
      </c>
      <c r="P81" s="120"/>
      <c r="R81" s="119" t="s">
        <v>80</v>
      </c>
      <c r="S81" s="74">
        <v>0.3</v>
      </c>
      <c r="T81" s="120"/>
      <c r="U81" s="44"/>
      <c r="V81" s="774">
        <v>2</v>
      </c>
      <c r="W81" s="771">
        <f t="shared" si="12"/>
        <v>6.0000000000000001E-3</v>
      </c>
      <c r="X81" s="120"/>
      <c r="Y81" s="44"/>
      <c r="Z81" s="44"/>
      <c r="AA81" s="44"/>
      <c r="AB81" s="44"/>
      <c r="AC81" s="44"/>
      <c r="AD81" s="44"/>
      <c r="AE81" s="44"/>
      <c r="AF81" s="44"/>
      <c r="AG81" s="44"/>
    </row>
    <row r="82" spans="2:33" s="102" customFormat="1">
      <c r="B82" s="119" t="s">
        <v>81</v>
      </c>
      <c r="C82" s="74">
        <v>0.49</v>
      </c>
      <c r="D82" s="120"/>
      <c r="E82" s="44"/>
      <c r="F82" s="774"/>
      <c r="G82" s="771">
        <f t="shared" si="11"/>
        <v>0</v>
      </c>
      <c r="H82" s="124">
        <f>SUM(G78:G82)</f>
        <v>7.6E-3</v>
      </c>
      <c r="I82" s="44"/>
      <c r="J82" s="119" t="s">
        <v>81</v>
      </c>
      <c r="K82" s="74">
        <v>0.25</v>
      </c>
      <c r="L82" s="120"/>
      <c r="M82" s="44"/>
      <c r="N82" s="774"/>
      <c r="O82" s="771">
        <f t="shared" si="13"/>
        <v>0</v>
      </c>
      <c r="P82" s="124">
        <f>SUM(O78:O82)</f>
        <v>5.0000000000000001E-3</v>
      </c>
      <c r="R82" s="119" t="s">
        <v>81</v>
      </c>
      <c r="S82" s="74">
        <v>0.45</v>
      </c>
      <c r="T82" s="120"/>
      <c r="U82" s="44"/>
      <c r="V82" s="774"/>
      <c r="W82" s="771">
        <f t="shared" si="12"/>
        <v>0</v>
      </c>
      <c r="X82" s="124">
        <f>SUM(W78:W82)</f>
        <v>6.0000000000000001E-3</v>
      </c>
      <c r="Y82" s="44"/>
      <c r="Z82" s="44"/>
      <c r="AA82" s="44"/>
      <c r="AB82" s="44"/>
      <c r="AC82" s="44"/>
      <c r="AD82" s="44"/>
      <c r="AE82" s="44"/>
      <c r="AF82" s="44"/>
      <c r="AG82" s="44"/>
    </row>
    <row r="83" spans="2:33" s="102" customFormat="1" ht="15" thickBot="1">
      <c r="B83" s="121" t="s">
        <v>82</v>
      </c>
      <c r="C83" s="122">
        <v>0.6</v>
      </c>
      <c r="D83" s="123"/>
      <c r="E83" s="44"/>
      <c r="F83" s="775">
        <v>2</v>
      </c>
      <c r="G83" s="772">
        <f t="shared" si="11"/>
        <v>1.2E-2</v>
      </c>
      <c r="H83" s="125">
        <f>G83</f>
        <v>1.2E-2</v>
      </c>
      <c r="I83" s="44"/>
      <c r="J83" s="121" t="s">
        <v>82</v>
      </c>
      <c r="K83" s="122">
        <v>0.45</v>
      </c>
      <c r="L83" s="123"/>
      <c r="M83" s="44"/>
      <c r="N83" s="775">
        <v>2</v>
      </c>
      <c r="O83" s="772">
        <f t="shared" si="13"/>
        <v>9.0000000000000011E-3</v>
      </c>
      <c r="P83" s="125">
        <f>O83</f>
        <v>9.0000000000000011E-3</v>
      </c>
      <c r="R83" s="121" t="s">
        <v>82</v>
      </c>
      <c r="S83" s="122">
        <v>0.45</v>
      </c>
      <c r="T83" s="123"/>
      <c r="U83" s="44"/>
      <c r="V83" s="775">
        <v>2</v>
      </c>
      <c r="W83" s="772">
        <f t="shared" si="12"/>
        <v>9.0000000000000011E-3</v>
      </c>
      <c r="X83" s="125">
        <f>W83</f>
        <v>9.0000000000000011E-3</v>
      </c>
      <c r="Y83" s="44"/>
      <c r="Z83" s="44"/>
      <c r="AA83" s="44"/>
      <c r="AB83" s="44"/>
      <c r="AC83" s="44"/>
      <c r="AD83" s="44"/>
      <c r="AE83" s="44"/>
      <c r="AF83" s="44"/>
      <c r="AG83" s="44"/>
    </row>
    <row r="84" spans="2:33" s="102" customFormat="1" ht="15" thickBot="1"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</row>
    <row r="85" spans="2:33" s="102" customFormat="1" ht="15.6" thickBot="1">
      <c r="B85" s="44"/>
      <c r="C85" s="44"/>
      <c r="D85" s="44"/>
      <c r="E85" s="44"/>
      <c r="F85" s="44"/>
      <c r="G85" s="776" t="s">
        <v>71</v>
      </c>
      <c r="H85" s="777">
        <f>((H77*5)+H82+H83)/7</f>
        <v>5.942857142857143E-3</v>
      </c>
      <c r="I85" s="115"/>
      <c r="J85" s="44"/>
      <c r="K85" s="44"/>
      <c r="L85" s="44"/>
      <c r="M85" s="44"/>
      <c r="N85" s="44"/>
      <c r="O85" s="776" t="s">
        <v>71</v>
      </c>
      <c r="P85" s="777">
        <f>((P77*5)+P82+P83)/7</f>
        <v>5.0000000000000001E-3</v>
      </c>
      <c r="R85" s="115"/>
      <c r="S85" s="115"/>
      <c r="T85" s="115"/>
      <c r="U85" s="115"/>
      <c r="V85" s="115"/>
      <c r="W85" s="776" t="s">
        <v>71</v>
      </c>
      <c r="X85" s="777">
        <f>((X77*5)+X82+X83)/7</f>
        <v>5.7142857142857143E-3</v>
      </c>
      <c r="Y85" s="44"/>
      <c r="Z85" s="44"/>
      <c r="AA85" s="44"/>
      <c r="AB85" s="44"/>
      <c r="AC85" s="44"/>
      <c r="AD85" s="44"/>
      <c r="AE85" s="44"/>
      <c r="AF85" s="44"/>
      <c r="AG85" s="44"/>
    </row>
    <row r="86" spans="2:33" s="102" customFormat="1">
      <c r="B86" s="103"/>
      <c r="C86" s="105"/>
      <c r="D86" s="44"/>
      <c r="E86" s="44"/>
      <c r="F86" s="44"/>
      <c r="G86" s="44"/>
      <c r="H86" s="44"/>
      <c r="I86" s="44"/>
      <c r="J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</row>
    <row r="87" spans="2:33" s="102" customFormat="1" ht="15">
      <c r="B87" s="68" t="s">
        <v>107</v>
      </c>
      <c r="C87" s="68"/>
      <c r="D87" s="68"/>
      <c r="E87" s="68"/>
      <c r="F87" s="68"/>
      <c r="G87" s="47"/>
      <c r="H87" s="68"/>
      <c r="I87" s="68"/>
      <c r="J87" s="68"/>
      <c r="K87" s="533"/>
      <c r="L87" s="533"/>
      <c r="M87" s="533"/>
      <c r="N87" s="533"/>
      <c r="O87" s="533"/>
      <c r="P87" s="533"/>
      <c r="Q87" s="533"/>
      <c r="R87" s="68"/>
      <c r="S87" s="68"/>
      <c r="T87" s="68"/>
      <c r="U87" s="68"/>
      <c r="V87" s="47"/>
      <c r="W87" s="47"/>
      <c r="X87" s="47"/>
      <c r="Y87" s="44"/>
      <c r="Z87" s="44"/>
      <c r="AA87" s="44"/>
      <c r="AB87" s="44"/>
      <c r="AC87" s="44"/>
      <c r="AD87" s="44"/>
      <c r="AE87" s="44"/>
      <c r="AF87" s="44"/>
      <c r="AG87" s="44"/>
    </row>
    <row r="88" spans="2:33" s="102" customFormat="1">
      <c r="B88" s="44"/>
      <c r="C88" s="44"/>
      <c r="D88" s="44"/>
      <c r="E88" s="44"/>
      <c r="F88" s="44"/>
      <c r="G88" s="44"/>
      <c r="H88" s="44"/>
      <c r="I88" s="44"/>
      <c r="J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</row>
    <row r="89" spans="2:33" s="102" customFormat="1" ht="15" thickBot="1">
      <c r="B89" s="586" t="s">
        <v>272</v>
      </c>
      <c r="C89" s="587"/>
      <c r="D89" s="588"/>
      <c r="E89" s="126"/>
      <c r="F89" s="587"/>
      <c r="G89" s="588"/>
      <c r="H89" s="126"/>
      <c r="I89" s="44"/>
      <c r="J89" s="531" t="s">
        <v>13</v>
      </c>
      <c r="K89" s="532"/>
      <c r="L89" s="532"/>
      <c r="M89" s="532"/>
      <c r="N89" s="532"/>
      <c r="O89" s="532"/>
      <c r="P89" s="532"/>
      <c r="R89" s="128" t="s">
        <v>14</v>
      </c>
      <c r="S89" s="127"/>
      <c r="T89" s="127"/>
      <c r="U89" s="127"/>
      <c r="V89" s="127"/>
      <c r="W89" s="127"/>
      <c r="X89" s="127"/>
      <c r="Y89" s="44"/>
      <c r="Z89" s="44"/>
      <c r="AA89" s="44"/>
      <c r="AB89" s="44"/>
      <c r="AC89" s="44"/>
      <c r="AD89" s="44"/>
      <c r="AE89" s="44"/>
      <c r="AF89" s="44"/>
      <c r="AG89" s="44"/>
    </row>
    <row r="90" spans="2:33" s="102" customFormat="1" ht="15" thickBot="1">
      <c r="B90" s="44"/>
      <c r="C90" s="44"/>
      <c r="D90" s="44"/>
      <c r="E90" s="44"/>
      <c r="F90" s="778">
        <v>24</v>
      </c>
      <c r="G90" s="103" t="s">
        <v>102</v>
      </c>
      <c r="H90" s="44"/>
      <c r="I90" s="44"/>
      <c r="J90" s="44"/>
      <c r="K90" s="44"/>
      <c r="L90" s="44"/>
      <c r="M90" s="44"/>
      <c r="N90" s="778">
        <v>24</v>
      </c>
      <c r="O90" s="103" t="s">
        <v>102</v>
      </c>
      <c r="P90" s="44"/>
      <c r="R90" s="44"/>
      <c r="S90" s="44"/>
      <c r="T90" s="44"/>
      <c r="U90" s="44"/>
      <c r="V90" s="778">
        <v>24</v>
      </c>
      <c r="W90" s="103" t="s">
        <v>102</v>
      </c>
      <c r="X90" s="44"/>
      <c r="Y90" s="44"/>
      <c r="Z90" s="44"/>
      <c r="AA90" s="44"/>
      <c r="AB90" s="44"/>
      <c r="AC90" s="44"/>
      <c r="AD90" s="44"/>
      <c r="AE90" s="44"/>
      <c r="AF90" s="44"/>
      <c r="AG90" s="44"/>
    </row>
    <row r="91" spans="2:33" s="102" customFormat="1">
      <c r="B91" s="116" t="s">
        <v>72</v>
      </c>
      <c r="C91" s="117">
        <v>0.44</v>
      </c>
      <c r="D91" s="118"/>
      <c r="E91" s="44"/>
      <c r="F91" s="773">
        <v>6</v>
      </c>
      <c r="G91" s="770">
        <f>(F91/$F$90)*C91</f>
        <v>0.11</v>
      </c>
      <c r="H91" s="118"/>
      <c r="I91" s="44"/>
      <c r="J91" s="116" t="s">
        <v>72</v>
      </c>
      <c r="K91" s="117">
        <v>0.25</v>
      </c>
      <c r="L91" s="118"/>
      <c r="M91" s="44"/>
      <c r="N91" s="773">
        <v>6</v>
      </c>
      <c r="O91" s="770">
        <f>(N91/$N$90)*K91</f>
        <v>6.25E-2</v>
      </c>
      <c r="P91" s="118"/>
      <c r="R91" s="116" t="s">
        <v>72</v>
      </c>
      <c r="S91" s="117">
        <v>0.45</v>
      </c>
      <c r="T91" s="118"/>
      <c r="U91" s="44"/>
      <c r="V91" s="773">
        <v>6</v>
      </c>
      <c r="W91" s="770">
        <f t="shared" ref="W91:W101" si="14">(V91/$V$90)*S91</f>
        <v>0.1125</v>
      </c>
      <c r="X91" s="118"/>
      <c r="Y91" s="44"/>
      <c r="Z91" s="44"/>
      <c r="AA91" s="44"/>
      <c r="AB91" s="44"/>
      <c r="AC91" s="44"/>
      <c r="AD91" s="44"/>
      <c r="AE91" s="44"/>
      <c r="AF91" s="44"/>
      <c r="AG91" s="44"/>
    </row>
    <row r="92" spans="2:33" s="102" customFormat="1">
      <c r="B92" s="119" t="s">
        <v>73</v>
      </c>
      <c r="C92" s="74">
        <v>0.22</v>
      </c>
      <c r="D92" s="120"/>
      <c r="E92" s="44"/>
      <c r="F92" s="774">
        <v>1</v>
      </c>
      <c r="G92" s="771">
        <f t="shared" ref="G92:G101" si="15">(F92/$F$90)*C92</f>
        <v>9.1666666666666667E-3</v>
      </c>
      <c r="H92" s="120"/>
      <c r="I92" s="44"/>
      <c r="J92" s="119" t="s">
        <v>73</v>
      </c>
      <c r="K92" s="74">
        <v>0.25</v>
      </c>
      <c r="L92" s="120"/>
      <c r="M92" s="44"/>
      <c r="N92" s="774">
        <v>1</v>
      </c>
      <c r="O92" s="771">
        <f t="shared" ref="O92:O101" si="16">(N92/$N$90)*K92</f>
        <v>1.0416666666666666E-2</v>
      </c>
      <c r="P92" s="120"/>
      <c r="R92" s="119" t="s">
        <v>73</v>
      </c>
      <c r="S92" s="74">
        <v>0.25</v>
      </c>
      <c r="T92" s="120"/>
      <c r="U92" s="44"/>
      <c r="V92" s="774">
        <v>1</v>
      </c>
      <c r="W92" s="771">
        <f t="shared" si="14"/>
        <v>1.0416666666666666E-2</v>
      </c>
      <c r="X92" s="120"/>
      <c r="Y92" s="44"/>
      <c r="Z92" s="44"/>
      <c r="AA92" s="44"/>
      <c r="AB92" s="44"/>
      <c r="AC92" s="44"/>
      <c r="AD92" s="44"/>
      <c r="AE92" s="44"/>
      <c r="AF92" s="44"/>
      <c r="AG92" s="44"/>
    </row>
    <row r="93" spans="2:33" s="102" customFormat="1">
      <c r="B93" s="119" t="s">
        <v>74</v>
      </c>
      <c r="C93" s="74">
        <v>0</v>
      </c>
      <c r="D93" s="120"/>
      <c r="E93" s="44"/>
      <c r="F93" s="774">
        <v>13</v>
      </c>
      <c r="G93" s="771">
        <f t="shared" si="15"/>
        <v>0</v>
      </c>
      <c r="H93" s="120"/>
      <c r="I93" s="44"/>
      <c r="J93" s="119" t="s">
        <v>74</v>
      </c>
      <c r="K93" s="74">
        <v>0</v>
      </c>
      <c r="L93" s="120"/>
      <c r="M93" s="44"/>
      <c r="N93" s="774">
        <v>13</v>
      </c>
      <c r="O93" s="771">
        <f t="shared" si="16"/>
        <v>0</v>
      </c>
      <c r="P93" s="120"/>
      <c r="R93" s="119" t="s">
        <v>74</v>
      </c>
      <c r="S93" s="74">
        <v>0</v>
      </c>
      <c r="T93" s="120"/>
      <c r="U93" s="44"/>
      <c r="V93" s="774">
        <v>13</v>
      </c>
      <c r="W93" s="771">
        <f t="shared" si="14"/>
        <v>0</v>
      </c>
      <c r="X93" s="120"/>
      <c r="Y93" s="44"/>
      <c r="Z93" s="44"/>
      <c r="AA93" s="44"/>
      <c r="AB93" s="44"/>
      <c r="AC93" s="44"/>
      <c r="AD93" s="44"/>
      <c r="AE93" s="44"/>
      <c r="AF93" s="44"/>
      <c r="AG93" s="44"/>
    </row>
    <row r="94" spans="2:33" s="102" customFormat="1">
      <c r="B94" s="119" t="s">
        <v>75</v>
      </c>
      <c r="C94" s="74">
        <v>0.22</v>
      </c>
      <c r="D94" s="120"/>
      <c r="E94" s="44"/>
      <c r="F94" s="774">
        <v>2</v>
      </c>
      <c r="G94" s="771">
        <f t="shared" si="15"/>
        <v>1.8333333333333333E-2</v>
      </c>
      <c r="H94" s="120"/>
      <c r="I94" s="44"/>
      <c r="J94" s="119" t="s">
        <v>75</v>
      </c>
      <c r="K94" s="74">
        <v>0.21</v>
      </c>
      <c r="L94" s="120"/>
      <c r="M94" s="44"/>
      <c r="N94" s="774">
        <v>2</v>
      </c>
      <c r="O94" s="771">
        <f t="shared" si="16"/>
        <v>1.7499999999999998E-2</v>
      </c>
      <c r="P94" s="120"/>
      <c r="R94" s="119" t="s">
        <v>75</v>
      </c>
      <c r="S94" s="74">
        <v>0.25</v>
      </c>
      <c r="T94" s="120"/>
      <c r="U94" s="44"/>
      <c r="V94" s="774">
        <v>2</v>
      </c>
      <c r="W94" s="771">
        <f t="shared" si="14"/>
        <v>2.0833333333333332E-2</v>
      </c>
      <c r="X94" s="120"/>
      <c r="Y94" s="44"/>
      <c r="Z94" s="44"/>
      <c r="AA94" s="44"/>
      <c r="AB94" s="44"/>
      <c r="AC94" s="44"/>
      <c r="AD94" s="44"/>
      <c r="AE94" s="44"/>
      <c r="AF94" s="44"/>
      <c r="AG94" s="44"/>
    </row>
    <row r="95" spans="2:33" s="102" customFormat="1">
      <c r="B95" s="119" t="s">
        <v>76</v>
      </c>
      <c r="C95" s="74">
        <v>0.44</v>
      </c>
      <c r="D95" s="120"/>
      <c r="E95" s="104"/>
      <c r="F95" s="774">
        <v>2</v>
      </c>
      <c r="G95" s="771">
        <f t="shared" si="15"/>
        <v>3.6666666666666667E-2</v>
      </c>
      <c r="H95" s="124">
        <f>SUM(G91:G95)</f>
        <v>0.17416666666666669</v>
      </c>
      <c r="I95" s="44"/>
      <c r="J95" s="119" t="s">
        <v>76</v>
      </c>
      <c r="K95" s="74">
        <v>0.21</v>
      </c>
      <c r="L95" s="120"/>
      <c r="M95" s="104"/>
      <c r="N95" s="774">
        <v>2</v>
      </c>
      <c r="O95" s="771">
        <f t="shared" si="16"/>
        <v>1.7499999999999998E-2</v>
      </c>
      <c r="P95" s="124">
        <f>SUM(O91:O95)</f>
        <v>0.10791666666666667</v>
      </c>
      <c r="R95" s="119" t="s">
        <v>76</v>
      </c>
      <c r="S95" s="74">
        <v>0.45</v>
      </c>
      <c r="T95" s="120"/>
      <c r="U95" s="104"/>
      <c r="V95" s="774">
        <v>2</v>
      </c>
      <c r="W95" s="771">
        <f t="shared" si="14"/>
        <v>3.7499999999999999E-2</v>
      </c>
      <c r="X95" s="124">
        <f>SUM(W91:W95)</f>
        <v>0.18125000000000002</v>
      </c>
      <c r="Y95" s="44"/>
      <c r="Z95" s="44"/>
      <c r="AA95" s="44"/>
      <c r="AB95" s="44"/>
      <c r="AC95" s="44"/>
      <c r="AD95" s="44"/>
      <c r="AE95" s="44"/>
      <c r="AF95" s="44"/>
      <c r="AG95" s="44"/>
    </row>
    <row r="96" spans="2:33" s="102" customFormat="1">
      <c r="B96" s="119" t="s">
        <v>77</v>
      </c>
      <c r="C96" s="74">
        <v>0.49</v>
      </c>
      <c r="D96" s="120"/>
      <c r="E96" s="44"/>
      <c r="F96" s="774">
        <v>6</v>
      </c>
      <c r="G96" s="771">
        <f t="shared" si="15"/>
        <v>0.1225</v>
      </c>
      <c r="H96" s="120"/>
      <c r="I96" s="44"/>
      <c r="J96" s="119" t="s">
        <v>77</v>
      </c>
      <c r="K96" s="74">
        <v>0.25</v>
      </c>
      <c r="L96" s="120"/>
      <c r="M96" s="44"/>
      <c r="N96" s="774">
        <v>6</v>
      </c>
      <c r="O96" s="771">
        <f t="shared" si="16"/>
        <v>6.25E-2</v>
      </c>
      <c r="P96" s="120"/>
      <c r="R96" s="119" t="s">
        <v>77</v>
      </c>
      <c r="S96" s="74">
        <v>0.45</v>
      </c>
      <c r="T96" s="120"/>
      <c r="U96" s="44"/>
      <c r="V96" s="774">
        <v>6</v>
      </c>
      <c r="W96" s="771">
        <f t="shared" si="14"/>
        <v>0.1125</v>
      </c>
      <c r="X96" s="120"/>
      <c r="Y96" s="44"/>
      <c r="Z96" s="44"/>
      <c r="AA96" s="44"/>
      <c r="AB96" s="44"/>
      <c r="AC96" s="44"/>
      <c r="AD96" s="44"/>
      <c r="AE96" s="44"/>
      <c r="AF96" s="44"/>
      <c r="AG96" s="44"/>
    </row>
    <row r="97" spans="2:33" s="102" customFormat="1">
      <c r="B97" s="119" t="s">
        <v>78</v>
      </c>
      <c r="C97" s="74">
        <v>0.38</v>
      </c>
      <c r="D97" s="120"/>
      <c r="E97" s="44"/>
      <c r="F97" s="774">
        <v>2</v>
      </c>
      <c r="G97" s="771">
        <f t="shared" si="15"/>
        <v>3.1666666666666662E-2</v>
      </c>
      <c r="H97" s="120"/>
      <c r="I97" s="44"/>
      <c r="J97" s="119" t="s">
        <v>78</v>
      </c>
      <c r="K97" s="74">
        <v>0.25</v>
      </c>
      <c r="L97" s="120"/>
      <c r="M97" s="44"/>
      <c r="N97" s="774">
        <v>2</v>
      </c>
      <c r="O97" s="771">
        <f t="shared" si="16"/>
        <v>2.0833333333333332E-2</v>
      </c>
      <c r="P97" s="120"/>
      <c r="R97" s="119" t="s">
        <v>78</v>
      </c>
      <c r="S97" s="74">
        <v>0.3</v>
      </c>
      <c r="T97" s="120"/>
      <c r="U97" s="44"/>
      <c r="V97" s="774">
        <v>2</v>
      </c>
      <c r="W97" s="771">
        <f t="shared" si="14"/>
        <v>2.4999999999999998E-2</v>
      </c>
      <c r="X97" s="120"/>
      <c r="Y97" s="44"/>
      <c r="Z97" s="44"/>
      <c r="AA97" s="44"/>
      <c r="AB97" s="44"/>
      <c r="AC97" s="44"/>
      <c r="AD97" s="44"/>
      <c r="AE97" s="44"/>
      <c r="AF97" s="44"/>
      <c r="AG97" s="44"/>
    </row>
    <row r="98" spans="2:33" s="102" customFormat="1">
      <c r="B98" s="119" t="s">
        <v>79</v>
      </c>
      <c r="C98" s="74">
        <v>0</v>
      </c>
      <c r="D98" s="120"/>
      <c r="E98" s="44"/>
      <c r="F98" s="774">
        <v>4</v>
      </c>
      <c r="G98" s="771">
        <f t="shared" si="15"/>
        <v>0</v>
      </c>
      <c r="H98" s="120"/>
      <c r="I98" s="44"/>
      <c r="J98" s="119" t="s">
        <v>79</v>
      </c>
      <c r="K98" s="74">
        <v>0.25</v>
      </c>
      <c r="L98" s="120"/>
      <c r="M98" s="44"/>
      <c r="N98" s="774">
        <v>4</v>
      </c>
      <c r="O98" s="771">
        <f t="shared" si="16"/>
        <v>4.1666666666666664E-2</v>
      </c>
      <c r="P98" s="120"/>
      <c r="R98" s="119" t="s">
        <v>79</v>
      </c>
      <c r="S98" s="74">
        <v>0.3</v>
      </c>
      <c r="T98" s="120"/>
      <c r="U98" s="44"/>
      <c r="V98" s="774">
        <v>4</v>
      </c>
      <c r="W98" s="771">
        <f t="shared" si="14"/>
        <v>4.9999999999999996E-2</v>
      </c>
      <c r="X98" s="120"/>
      <c r="Y98" s="44"/>
      <c r="Z98" s="44"/>
      <c r="AA98" s="44"/>
      <c r="AB98" s="44"/>
      <c r="AC98" s="44"/>
      <c r="AD98" s="44"/>
      <c r="AE98" s="44"/>
      <c r="AF98" s="44"/>
      <c r="AG98" s="44"/>
    </row>
    <row r="99" spans="2:33" s="102" customFormat="1">
      <c r="B99" s="119" t="s">
        <v>80</v>
      </c>
      <c r="C99" s="74">
        <v>0.38</v>
      </c>
      <c r="D99" s="120"/>
      <c r="E99" s="44"/>
      <c r="F99" s="774">
        <v>10</v>
      </c>
      <c r="G99" s="771">
        <f t="shared" si="15"/>
        <v>0.15833333333333335</v>
      </c>
      <c r="H99" s="120"/>
      <c r="I99" s="44"/>
      <c r="J99" s="119" t="s">
        <v>80</v>
      </c>
      <c r="K99" s="74">
        <v>0.25</v>
      </c>
      <c r="L99" s="120"/>
      <c r="M99" s="44"/>
      <c r="N99" s="774">
        <v>10</v>
      </c>
      <c r="O99" s="771">
        <f t="shared" si="16"/>
        <v>0.10416666666666667</v>
      </c>
      <c r="P99" s="120"/>
      <c r="R99" s="119" t="s">
        <v>80</v>
      </c>
      <c r="S99" s="74">
        <v>0.3</v>
      </c>
      <c r="T99" s="120"/>
      <c r="U99" s="44"/>
      <c r="V99" s="774">
        <v>10</v>
      </c>
      <c r="W99" s="771">
        <f t="shared" si="14"/>
        <v>0.125</v>
      </c>
      <c r="X99" s="120"/>
      <c r="Y99" s="44"/>
      <c r="Z99" s="44"/>
      <c r="AA99" s="44"/>
      <c r="AB99" s="44"/>
      <c r="AC99" s="44"/>
      <c r="AD99" s="44"/>
      <c r="AE99" s="44"/>
      <c r="AF99" s="44"/>
      <c r="AG99" s="44"/>
    </row>
    <row r="100" spans="2:33" s="102" customFormat="1">
      <c r="B100" s="119" t="s">
        <v>81</v>
      </c>
      <c r="C100" s="74">
        <v>0.49</v>
      </c>
      <c r="D100" s="120"/>
      <c r="E100" s="44"/>
      <c r="F100" s="774">
        <v>2</v>
      </c>
      <c r="G100" s="771">
        <f t="shared" si="15"/>
        <v>4.0833333333333333E-2</v>
      </c>
      <c r="H100" s="124">
        <f>SUM(G96:G100)</f>
        <v>0.35333333333333333</v>
      </c>
      <c r="I100" s="44"/>
      <c r="J100" s="119" t="s">
        <v>81</v>
      </c>
      <c r="K100" s="74">
        <v>0.25</v>
      </c>
      <c r="L100" s="120"/>
      <c r="M100" s="44"/>
      <c r="N100" s="774">
        <v>2</v>
      </c>
      <c r="O100" s="771">
        <f t="shared" si="16"/>
        <v>2.0833333333333332E-2</v>
      </c>
      <c r="P100" s="124">
        <f>SUM(O96:O100)</f>
        <v>0.25</v>
      </c>
      <c r="R100" s="119" t="s">
        <v>81</v>
      </c>
      <c r="S100" s="74">
        <v>0.45</v>
      </c>
      <c r="T100" s="120"/>
      <c r="U100" s="44"/>
      <c r="V100" s="774">
        <v>2</v>
      </c>
      <c r="W100" s="771">
        <f t="shared" si="14"/>
        <v>3.7499999999999999E-2</v>
      </c>
      <c r="X100" s="124">
        <f>SUM(W96:W100)</f>
        <v>0.35</v>
      </c>
      <c r="Y100" s="44"/>
      <c r="Z100" s="44"/>
      <c r="AA100" s="44"/>
      <c r="AB100" s="44"/>
      <c r="AC100" s="44"/>
      <c r="AD100" s="44"/>
      <c r="AE100" s="44"/>
      <c r="AF100" s="44"/>
      <c r="AG100" s="44"/>
    </row>
    <row r="101" spans="2:33" s="102" customFormat="1" ht="15" thickBot="1">
      <c r="B101" s="121" t="s">
        <v>82</v>
      </c>
      <c r="C101" s="122">
        <v>0.6</v>
      </c>
      <c r="D101" s="123"/>
      <c r="E101" s="44"/>
      <c r="F101" s="775">
        <v>24</v>
      </c>
      <c r="G101" s="772">
        <f t="shared" si="15"/>
        <v>0.6</v>
      </c>
      <c r="H101" s="125">
        <f>G101</f>
        <v>0.6</v>
      </c>
      <c r="I101" s="44"/>
      <c r="J101" s="121" t="s">
        <v>82</v>
      </c>
      <c r="K101" s="122">
        <v>0.45</v>
      </c>
      <c r="L101" s="123"/>
      <c r="M101" s="44"/>
      <c r="N101" s="775">
        <v>24</v>
      </c>
      <c r="O101" s="772">
        <f t="shared" si="16"/>
        <v>0.45</v>
      </c>
      <c r="P101" s="125">
        <f>O101</f>
        <v>0.45</v>
      </c>
      <c r="R101" s="121" t="s">
        <v>82</v>
      </c>
      <c r="S101" s="122">
        <v>0.45</v>
      </c>
      <c r="T101" s="123"/>
      <c r="U101" s="44"/>
      <c r="V101" s="775">
        <v>24</v>
      </c>
      <c r="W101" s="772">
        <f t="shared" si="14"/>
        <v>0.45</v>
      </c>
      <c r="X101" s="125">
        <f>W101</f>
        <v>0.45</v>
      </c>
      <c r="Y101" s="44"/>
      <c r="Z101" s="44"/>
      <c r="AA101" s="44"/>
      <c r="AB101" s="44"/>
      <c r="AC101" s="44"/>
      <c r="AD101" s="44"/>
      <c r="AE101" s="44"/>
      <c r="AF101" s="44"/>
      <c r="AG101" s="44"/>
    </row>
    <row r="102" spans="2:33" s="102" customFormat="1" ht="15" thickBot="1"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</row>
    <row r="103" spans="2:33" s="102" customFormat="1" ht="15.6" thickBot="1">
      <c r="B103" s="44"/>
      <c r="C103" s="44"/>
      <c r="D103" s="44"/>
      <c r="E103" s="44"/>
      <c r="F103" s="44"/>
      <c r="G103" s="776" t="s">
        <v>71</v>
      </c>
      <c r="H103" s="777">
        <f>((H95*5)+H100+H101)/7</f>
        <v>0.2605952380952381</v>
      </c>
      <c r="I103" s="115"/>
      <c r="J103" s="44"/>
      <c r="K103" s="44"/>
      <c r="L103" s="44"/>
      <c r="M103" s="44"/>
      <c r="N103" s="44"/>
      <c r="O103" s="776" t="s">
        <v>71</v>
      </c>
      <c r="P103" s="777">
        <f>((P95*5)+P100+P101)/7</f>
        <v>0.17708333333333334</v>
      </c>
      <c r="R103" s="115"/>
      <c r="S103" s="115"/>
      <c r="T103" s="115"/>
      <c r="U103" s="115"/>
      <c r="V103" s="115"/>
      <c r="W103" s="776" t="s">
        <v>71</v>
      </c>
      <c r="X103" s="777">
        <f>((X95*5)+X100+X101)/7</f>
        <v>0.24374999999999999</v>
      </c>
      <c r="Y103" s="44"/>
      <c r="Z103" s="44"/>
      <c r="AA103" s="44"/>
      <c r="AB103" s="44"/>
      <c r="AC103" s="44"/>
      <c r="AD103" s="44"/>
      <c r="AE103" s="44"/>
      <c r="AF103" s="44"/>
      <c r="AG103" s="44"/>
    </row>
    <row r="104" spans="2:33" s="102" customFormat="1" ht="15">
      <c r="B104" s="44"/>
      <c r="C104" s="44"/>
      <c r="D104" s="44"/>
      <c r="E104" s="44"/>
      <c r="F104" s="44"/>
      <c r="G104" s="564"/>
      <c r="H104" s="565"/>
      <c r="I104" s="115"/>
      <c r="J104" s="44"/>
      <c r="K104" s="44"/>
      <c r="L104" s="44"/>
      <c r="M104" s="44"/>
      <c r="N104" s="44"/>
      <c r="O104" s="564"/>
      <c r="P104" s="565"/>
      <c r="R104" s="115"/>
      <c r="S104" s="115"/>
      <c r="T104" s="115"/>
      <c r="U104" s="115"/>
      <c r="V104" s="115"/>
      <c r="W104" s="564"/>
      <c r="X104" s="565"/>
      <c r="Y104" s="44"/>
      <c r="Z104" s="44"/>
      <c r="AA104" s="44"/>
      <c r="AB104" s="44"/>
      <c r="AC104" s="44"/>
      <c r="AD104" s="44"/>
      <c r="AE104" s="44"/>
      <c r="AF104" s="44"/>
      <c r="AG104" s="44"/>
    </row>
    <row r="105" spans="2:33" s="102" customFormat="1" ht="15">
      <c r="B105" s="68" t="s">
        <v>291</v>
      </c>
      <c r="C105" s="68"/>
      <c r="D105" s="68"/>
      <c r="E105" s="68"/>
      <c r="F105" s="68"/>
      <c r="G105" s="47"/>
      <c r="H105" s="68"/>
      <c r="I105" s="68"/>
      <c r="J105" s="68"/>
      <c r="K105" s="533"/>
      <c r="L105" s="533"/>
      <c r="M105" s="533"/>
      <c r="N105" s="533"/>
      <c r="O105" s="533"/>
      <c r="P105" s="533"/>
      <c r="Q105" s="533"/>
      <c r="R105" s="68"/>
      <c r="S105" s="68"/>
      <c r="T105" s="68"/>
      <c r="U105" s="68"/>
      <c r="V105" s="47"/>
      <c r="W105" s="47"/>
      <c r="X105" s="47"/>
      <c r="Y105" s="44"/>
      <c r="Z105" s="44"/>
      <c r="AA105" s="44"/>
      <c r="AB105" s="44"/>
      <c r="AC105" s="44"/>
      <c r="AD105" s="44"/>
      <c r="AE105" s="44"/>
      <c r="AF105" s="44"/>
      <c r="AG105" s="44"/>
    </row>
    <row r="106" spans="2:33" s="102" customFormat="1">
      <c r="B106" s="44"/>
      <c r="C106" s="44"/>
      <c r="D106" s="44"/>
      <c r="E106" s="44"/>
      <c r="F106" s="44"/>
      <c r="G106" s="44"/>
      <c r="H106" s="44"/>
      <c r="I106" s="44"/>
      <c r="J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</row>
    <row r="107" spans="2:33" s="102" customFormat="1" ht="15" thickBot="1">
      <c r="B107" s="586" t="s">
        <v>272</v>
      </c>
      <c r="C107" s="587"/>
      <c r="D107" s="588"/>
      <c r="E107" s="126"/>
      <c r="F107" s="587"/>
      <c r="G107" s="588"/>
      <c r="H107" s="126"/>
      <c r="I107" s="44"/>
      <c r="J107" s="531" t="s">
        <v>13</v>
      </c>
      <c r="K107" s="532"/>
      <c r="L107" s="532"/>
      <c r="M107" s="532"/>
      <c r="N107" s="532"/>
      <c r="O107" s="532"/>
      <c r="P107" s="532"/>
      <c r="R107" s="128" t="s">
        <v>14</v>
      </c>
      <c r="S107" s="127"/>
      <c r="T107" s="127"/>
      <c r="U107" s="127"/>
      <c r="V107" s="127"/>
      <c r="W107" s="127"/>
      <c r="X107" s="127"/>
      <c r="Y107" s="44"/>
      <c r="Z107" s="44"/>
      <c r="AA107" s="44"/>
      <c r="AB107" s="44"/>
      <c r="AC107" s="44"/>
      <c r="AD107" s="44"/>
      <c r="AE107" s="44"/>
      <c r="AF107" s="44"/>
      <c r="AG107" s="44"/>
    </row>
    <row r="108" spans="2:33" s="102" customFormat="1" ht="15" thickBot="1">
      <c r="B108" s="44"/>
      <c r="C108" s="44"/>
      <c r="D108" s="44"/>
      <c r="E108" s="44"/>
      <c r="F108" s="778">
        <v>9</v>
      </c>
      <c r="G108" s="103">
        <v>24</v>
      </c>
      <c r="H108" s="44" t="s">
        <v>102</v>
      </c>
      <c r="I108" s="44"/>
      <c r="J108" s="44"/>
      <c r="K108" s="44"/>
      <c r="L108" s="44"/>
      <c r="M108" s="44"/>
      <c r="N108" s="778">
        <v>9</v>
      </c>
      <c r="O108" s="103">
        <v>24</v>
      </c>
      <c r="P108" s="44" t="s">
        <v>102</v>
      </c>
      <c r="R108" s="44"/>
      <c r="S108" s="44"/>
      <c r="T108" s="44"/>
      <c r="U108" s="44"/>
      <c r="V108" s="778">
        <v>9</v>
      </c>
      <c r="W108" s="103">
        <v>24</v>
      </c>
      <c r="X108" s="44" t="s">
        <v>102</v>
      </c>
      <c r="Y108" s="44"/>
      <c r="Z108" s="44"/>
      <c r="AA108" s="44"/>
      <c r="AB108" s="44"/>
      <c r="AC108" s="44"/>
      <c r="AD108" s="44"/>
      <c r="AE108" s="44"/>
      <c r="AF108" s="44"/>
      <c r="AG108" s="44"/>
    </row>
    <row r="109" spans="2:33" s="102" customFormat="1">
      <c r="B109" s="116" t="s">
        <v>72</v>
      </c>
      <c r="C109" s="117">
        <v>0.44</v>
      </c>
      <c r="D109" s="118"/>
      <c r="E109" s="44"/>
      <c r="F109" s="773">
        <v>6</v>
      </c>
      <c r="G109" s="770">
        <f>(F109/$F$108)*C109</f>
        <v>0.29333333333333333</v>
      </c>
      <c r="H109" s="118"/>
      <c r="I109" s="44"/>
      <c r="J109" s="116" t="s">
        <v>72</v>
      </c>
      <c r="K109" s="117">
        <v>0.25</v>
      </c>
      <c r="L109" s="118"/>
      <c r="M109" s="44"/>
      <c r="N109" s="773">
        <v>6</v>
      </c>
      <c r="O109" s="770">
        <f>(N109/$N$108)*K109</f>
        <v>0.16666666666666666</v>
      </c>
      <c r="P109" s="118"/>
      <c r="R109" s="116" t="s">
        <v>72</v>
      </c>
      <c r="S109" s="117">
        <v>0.45</v>
      </c>
      <c r="T109" s="118"/>
      <c r="U109" s="44"/>
      <c r="V109" s="773">
        <v>6</v>
      </c>
      <c r="W109" s="770">
        <f>(V109/$V$108)*S109</f>
        <v>0.3</v>
      </c>
      <c r="X109" s="118"/>
      <c r="Y109" s="44"/>
      <c r="Z109" s="44"/>
      <c r="AA109" s="44"/>
      <c r="AB109" s="44"/>
      <c r="AC109" s="44"/>
      <c r="AD109" s="44"/>
      <c r="AE109" s="44"/>
      <c r="AF109" s="44"/>
      <c r="AG109" s="44"/>
    </row>
    <row r="110" spans="2:33" s="102" customFormat="1">
      <c r="B110" s="119" t="s">
        <v>73</v>
      </c>
      <c r="C110" s="74">
        <v>0.22</v>
      </c>
      <c r="D110" s="120"/>
      <c r="E110" s="44"/>
      <c r="F110" s="774">
        <v>1</v>
      </c>
      <c r="G110" s="771">
        <f t="shared" ref="G110:G113" si="17">(F110/$F$108)*C110</f>
        <v>2.4444444444444442E-2</v>
      </c>
      <c r="H110" s="120"/>
      <c r="I110" s="44"/>
      <c r="J110" s="119" t="s">
        <v>73</v>
      </c>
      <c r="K110" s="74">
        <v>0.25</v>
      </c>
      <c r="L110" s="120"/>
      <c r="M110" s="44"/>
      <c r="N110" s="774">
        <v>1</v>
      </c>
      <c r="O110" s="771">
        <f t="shared" ref="O110:O113" si="18">(N110/$N$108)*K110</f>
        <v>2.7777777777777776E-2</v>
      </c>
      <c r="P110" s="120"/>
      <c r="R110" s="119" t="s">
        <v>73</v>
      </c>
      <c r="S110" s="74">
        <v>0.25</v>
      </c>
      <c r="T110" s="120"/>
      <c r="U110" s="44"/>
      <c r="V110" s="774">
        <v>1</v>
      </c>
      <c r="W110" s="771">
        <f>(V110/$V$108)*S110</f>
        <v>2.7777777777777776E-2</v>
      </c>
      <c r="X110" s="120"/>
      <c r="Y110" s="44"/>
      <c r="Z110" s="44"/>
      <c r="AA110" s="44"/>
      <c r="AB110" s="44"/>
      <c r="AC110" s="44"/>
      <c r="AD110" s="44"/>
      <c r="AE110" s="44"/>
      <c r="AF110" s="44"/>
      <c r="AG110" s="44"/>
    </row>
    <row r="111" spans="2:33" s="102" customFormat="1">
      <c r="B111" s="119" t="s">
        <v>74</v>
      </c>
      <c r="C111" s="74">
        <v>0</v>
      </c>
      <c r="D111" s="120"/>
      <c r="E111" s="44"/>
      <c r="F111" s="774"/>
      <c r="G111" s="771">
        <f t="shared" si="17"/>
        <v>0</v>
      </c>
      <c r="H111" s="120"/>
      <c r="I111" s="44"/>
      <c r="J111" s="119" t="s">
        <v>74</v>
      </c>
      <c r="K111" s="74">
        <v>0</v>
      </c>
      <c r="L111" s="120"/>
      <c r="M111" s="44"/>
      <c r="N111" s="774"/>
      <c r="O111" s="771">
        <f t="shared" si="18"/>
        <v>0</v>
      </c>
      <c r="P111" s="120"/>
      <c r="R111" s="119" t="s">
        <v>74</v>
      </c>
      <c r="S111" s="74">
        <v>0</v>
      </c>
      <c r="T111" s="120"/>
      <c r="U111" s="44"/>
      <c r="V111" s="774"/>
      <c r="W111" s="771">
        <f>(V111/$V$108)*S111</f>
        <v>0</v>
      </c>
      <c r="X111" s="120"/>
      <c r="Y111" s="44"/>
      <c r="Z111" s="44"/>
      <c r="AA111" s="44"/>
      <c r="AB111" s="44"/>
      <c r="AC111" s="44"/>
      <c r="AD111" s="44"/>
      <c r="AE111" s="44"/>
      <c r="AF111" s="44"/>
      <c r="AG111" s="44"/>
    </row>
    <row r="112" spans="2:33" s="102" customFormat="1">
      <c r="B112" s="119" t="s">
        <v>75</v>
      </c>
      <c r="C112" s="74">
        <v>0.22</v>
      </c>
      <c r="D112" s="120"/>
      <c r="E112" s="44"/>
      <c r="F112" s="774"/>
      <c r="G112" s="771">
        <f t="shared" si="17"/>
        <v>0</v>
      </c>
      <c r="H112" s="120"/>
      <c r="I112" s="44"/>
      <c r="J112" s="119" t="s">
        <v>75</v>
      </c>
      <c r="K112" s="74">
        <v>0.21</v>
      </c>
      <c r="L112" s="120"/>
      <c r="M112" s="44"/>
      <c r="N112" s="774"/>
      <c r="O112" s="771">
        <f t="shared" si="18"/>
        <v>0</v>
      </c>
      <c r="P112" s="120"/>
      <c r="R112" s="119" t="s">
        <v>75</v>
      </c>
      <c r="S112" s="74">
        <v>0.25</v>
      </c>
      <c r="T112" s="120"/>
      <c r="U112" s="44"/>
      <c r="V112" s="774"/>
      <c r="W112" s="771">
        <f>(V112/$V$108)*S112</f>
        <v>0</v>
      </c>
      <c r="X112" s="120"/>
      <c r="Y112" s="44"/>
      <c r="Z112" s="44"/>
      <c r="AA112" s="44"/>
      <c r="AB112" s="44"/>
      <c r="AC112" s="44"/>
      <c r="AD112" s="44"/>
      <c r="AE112" s="44"/>
      <c r="AF112" s="44"/>
      <c r="AG112" s="44"/>
    </row>
    <row r="113" spans="2:33" s="102" customFormat="1">
      <c r="B113" s="119" t="s">
        <v>76</v>
      </c>
      <c r="C113" s="74">
        <v>0.44</v>
      </c>
      <c r="D113" s="120"/>
      <c r="E113" s="104"/>
      <c r="F113" s="774">
        <v>2</v>
      </c>
      <c r="G113" s="771">
        <f t="shared" si="17"/>
        <v>9.7777777777777769E-2</v>
      </c>
      <c r="H113" s="124">
        <f>SUM(G109:G113)</f>
        <v>0.41555555555555557</v>
      </c>
      <c r="I113" s="44"/>
      <c r="J113" s="119" t="s">
        <v>76</v>
      </c>
      <c r="K113" s="74">
        <v>0.21</v>
      </c>
      <c r="L113" s="120"/>
      <c r="M113" s="104"/>
      <c r="N113" s="774">
        <v>2</v>
      </c>
      <c r="O113" s="771">
        <f t="shared" si="18"/>
        <v>4.6666666666666662E-2</v>
      </c>
      <c r="P113" s="124">
        <f>SUM(O109:O113)</f>
        <v>0.24111111111111108</v>
      </c>
      <c r="R113" s="119" t="s">
        <v>76</v>
      </c>
      <c r="S113" s="74">
        <v>0.45</v>
      </c>
      <c r="T113" s="120"/>
      <c r="U113" s="104"/>
      <c r="V113" s="774">
        <v>2</v>
      </c>
      <c r="W113" s="771">
        <f>(V113/$V$108)*S113</f>
        <v>9.9999999999999992E-2</v>
      </c>
      <c r="X113" s="124">
        <f>SUM(W109:W113)</f>
        <v>0.42777777777777776</v>
      </c>
      <c r="Y113" s="44"/>
      <c r="Z113" s="44"/>
      <c r="AA113" s="44"/>
      <c r="AB113" s="44"/>
      <c r="AC113" s="44"/>
      <c r="AD113" s="44"/>
      <c r="AE113" s="44"/>
      <c r="AF113" s="44"/>
      <c r="AG113" s="44"/>
    </row>
    <row r="114" spans="2:33" s="102" customFormat="1">
      <c r="B114" s="119" t="s">
        <v>77</v>
      </c>
      <c r="C114" s="74">
        <v>0.49</v>
      </c>
      <c r="D114" s="120"/>
      <c r="E114" s="44"/>
      <c r="F114" s="774">
        <v>6</v>
      </c>
      <c r="G114" s="771">
        <f>(F114/$G$108)*C114</f>
        <v>0.1225</v>
      </c>
      <c r="H114" s="120"/>
      <c r="I114" s="44"/>
      <c r="J114" s="119" t="s">
        <v>77</v>
      </c>
      <c r="K114" s="74">
        <v>0.25</v>
      </c>
      <c r="L114" s="120"/>
      <c r="M114" s="44"/>
      <c r="N114" s="774">
        <v>6</v>
      </c>
      <c r="O114" s="771">
        <f>(N114/$O$108)*K114</f>
        <v>6.25E-2</v>
      </c>
      <c r="P114" s="120"/>
      <c r="R114" s="119" t="s">
        <v>77</v>
      </c>
      <c r="S114" s="74">
        <v>0.45</v>
      </c>
      <c r="T114" s="120"/>
      <c r="U114" s="44"/>
      <c r="V114" s="774">
        <v>6</v>
      </c>
      <c r="W114" s="771">
        <f>(V114/$W$108)*S114</f>
        <v>0.1125</v>
      </c>
      <c r="X114" s="120"/>
      <c r="Y114" s="44"/>
      <c r="Z114" s="44"/>
      <c r="AA114" s="44"/>
      <c r="AB114" s="44"/>
      <c r="AC114" s="44"/>
      <c r="AD114" s="44"/>
      <c r="AE114" s="44"/>
      <c r="AF114" s="44"/>
      <c r="AG114" s="44"/>
    </row>
    <row r="115" spans="2:33" s="102" customFormat="1">
      <c r="B115" s="119" t="s">
        <v>78</v>
      </c>
      <c r="C115" s="74">
        <v>0.38</v>
      </c>
      <c r="D115" s="120"/>
      <c r="E115" s="44"/>
      <c r="F115" s="774">
        <v>2</v>
      </c>
      <c r="G115" s="771">
        <f t="shared" ref="G115:G119" si="19">(F115/$G$108)*C115</f>
        <v>3.1666666666666662E-2</v>
      </c>
      <c r="H115" s="120"/>
      <c r="I115" s="44"/>
      <c r="J115" s="119" t="s">
        <v>78</v>
      </c>
      <c r="K115" s="74">
        <v>0.25</v>
      </c>
      <c r="L115" s="120"/>
      <c r="M115" s="44"/>
      <c r="N115" s="774">
        <v>2</v>
      </c>
      <c r="O115" s="771">
        <f t="shared" ref="O115:O119" si="20">(N115/$O$108)*K115</f>
        <v>2.0833333333333332E-2</v>
      </c>
      <c r="P115" s="120"/>
      <c r="R115" s="119" t="s">
        <v>78</v>
      </c>
      <c r="S115" s="74">
        <v>0.3</v>
      </c>
      <c r="T115" s="120"/>
      <c r="U115" s="44"/>
      <c r="V115" s="774">
        <v>2</v>
      </c>
      <c r="W115" s="771">
        <f t="shared" ref="W115:W119" si="21">(V115/$W$108)*S115</f>
        <v>2.4999999999999998E-2</v>
      </c>
      <c r="X115" s="120"/>
      <c r="Y115" s="44"/>
      <c r="Z115" s="44"/>
      <c r="AA115" s="44"/>
      <c r="AB115" s="44"/>
      <c r="AC115" s="44"/>
      <c r="AD115" s="44"/>
      <c r="AE115" s="44"/>
      <c r="AF115" s="44"/>
      <c r="AG115" s="44"/>
    </row>
    <row r="116" spans="2:33" s="102" customFormat="1">
      <c r="B116" s="119" t="s">
        <v>79</v>
      </c>
      <c r="C116" s="74">
        <v>0</v>
      </c>
      <c r="D116" s="120"/>
      <c r="E116" s="44"/>
      <c r="F116" s="774">
        <v>4</v>
      </c>
      <c r="G116" s="771">
        <f t="shared" si="19"/>
        <v>0</v>
      </c>
      <c r="H116" s="120"/>
      <c r="I116" s="44"/>
      <c r="J116" s="119" t="s">
        <v>79</v>
      </c>
      <c r="K116" s="74">
        <v>0.25</v>
      </c>
      <c r="L116" s="120"/>
      <c r="M116" s="44"/>
      <c r="N116" s="774">
        <v>4</v>
      </c>
      <c r="O116" s="771">
        <f t="shared" si="20"/>
        <v>4.1666666666666664E-2</v>
      </c>
      <c r="P116" s="120"/>
      <c r="R116" s="119" t="s">
        <v>79</v>
      </c>
      <c r="S116" s="74">
        <v>0.3</v>
      </c>
      <c r="T116" s="120"/>
      <c r="U116" s="44"/>
      <c r="V116" s="774">
        <v>4</v>
      </c>
      <c r="W116" s="771">
        <f t="shared" si="21"/>
        <v>4.9999999999999996E-2</v>
      </c>
      <c r="X116" s="120"/>
      <c r="Y116" s="44"/>
      <c r="Z116" s="44"/>
      <c r="AA116" s="44"/>
      <c r="AB116" s="44"/>
      <c r="AC116" s="44"/>
      <c r="AD116" s="44"/>
      <c r="AE116" s="44"/>
      <c r="AF116" s="44"/>
      <c r="AG116" s="44"/>
    </row>
    <row r="117" spans="2:33" s="102" customFormat="1">
      <c r="B117" s="119" t="s">
        <v>80</v>
      </c>
      <c r="C117" s="74">
        <v>0.38</v>
      </c>
      <c r="D117" s="120"/>
      <c r="E117" s="44"/>
      <c r="F117" s="774">
        <v>10</v>
      </c>
      <c r="G117" s="771">
        <f t="shared" si="19"/>
        <v>0.15833333333333335</v>
      </c>
      <c r="H117" s="120"/>
      <c r="I117" s="44"/>
      <c r="J117" s="119" t="s">
        <v>80</v>
      </c>
      <c r="K117" s="74">
        <v>0.25</v>
      </c>
      <c r="L117" s="120"/>
      <c r="M117" s="44"/>
      <c r="N117" s="774">
        <v>10</v>
      </c>
      <c r="O117" s="771">
        <f t="shared" si="20"/>
        <v>0.10416666666666667</v>
      </c>
      <c r="P117" s="120"/>
      <c r="R117" s="119" t="s">
        <v>80</v>
      </c>
      <c r="S117" s="74">
        <v>0.3</v>
      </c>
      <c r="T117" s="120"/>
      <c r="U117" s="44"/>
      <c r="V117" s="774">
        <v>10</v>
      </c>
      <c r="W117" s="771">
        <f t="shared" si="21"/>
        <v>0.125</v>
      </c>
      <c r="X117" s="120"/>
      <c r="Y117" s="44"/>
      <c r="Z117" s="44"/>
      <c r="AA117" s="44"/>
      <c r="AB117" s="44"/>
      <c r="AC117" s="44"/>
      <c r="AD117" s="44"/>
      <c r="AE117" s="44"/>
      <c r="AF117" s="44"/>
      <c r="AG117" s="44"/>
    </row>
    <row r="118" spans="2:33" s="102" customFormat="1">
      <c r="B118" s="119" t="s">
        <v>81</v>
      </c>
      <c r="C118" s="74">
        <v>0.49</v>
      </c>
      <c r="D118" s="120"/>
      <c r="E118" s="44"/>
      <c r="F118" s="774">
        <v>2</v>
      </c>
      <c r="G118" s="771">
        <f t="shared" si="19"/>
        <v>4.0833333333333333E-2</v>
      </c>
      <c r="H118" s="124">
        <f>SUM(G114:G118)</f>
        <v>0.35333333333333333</v>
      </c>
      <c r="I118" s="44"/>
      <c r="J118" s="119" t="s">
        <v>81</v>
      </c>
      <c r="K118" s="74">
        <v>0.25</v>
      </c>
      <c r="L118" s="120"/>
      <c r="M118" s="44"/>
      <c r="N118" s="774">
        <v>2</v>
      </c>
      <c r="O118" s="771">
        <f t="shared" si="20"/>
        <v>2.0833333333333332E-2</v>
      </c>
      <c r="P118" s="124">
        <f>SUM(O114:O118)</f>
        <v>0.25</v>
      </c>
      <c r="R118" s="119" t="s">
        <v>81</v>
      </c>
      <c r="S118" s="74">
        <v>0.45</v>
      </c>
      <c r="T118" s="120"/>
      <c r="U118" s="44"/>
      <c r="V118" s="774">
        <v>2</v>
      </c>
      <c r="W118" s="771">
        <f t="shared" si="21"/>
        <v>3.7499999999999999E-2</v>
      </c>
      <c r="X118" s="124">
        <f>SUM(W114:W118)</f>
        <v>0.35</v>
      </c>
      <c r="Y118" s="44"/>
      <c r="Z118" s="44"/>
      <c r="AA118" s="44"/>
      <c r="AB118" s="44"/>
      <c r="AC118" s="44"/>
      <c r="AD118" s="44"/>
      <c r="AE118" s="44"/>
      <c r="AF118" s="44"/>
      <c r="AG118" s="44"/>
    </row>
    <row r="119" spans="2:33" s="102" customFormat="1" ht="15" thickBot="1">
      <c r="B119" s="121" t="s">
        <v>82</v>
      </c>
      <c r="C119" s="122">
        <v>0.6</v>
      </c>
      <c r="D119" s="123"/>
      <c r="E119" s="44"/>
      <c r="F119" s="775">
        <v>24</v>
      </c>
      <c r="G119" s="772">
        <f t="shared" si="19"/>
        <v>0.6</v>
      </c>
      <c r="H119" s="125">
        <f>G119</f>
        <v>0.6</v>
      </c>
      <c r="I119" s="44"/>
      <c r="J119" s="121" t="s">
        <v>82</v>
      </c>
      <c r="K119" s="122">
        <v>0.45</v>
      </c>
      <c r="L119" s="123"/>
      <c r="M119" s="44"/>
      <c r="N119" s="775">
        <v>24</v>
      </c>
      <c r="O119" s="772">
        <f t="shared" si="20"/>
        <v>0.45</v>
      </c>
      <c r="P119" s="125">
        <f>O119</f>
        <v>0.45</v>
      </c>
      <c r="R119" s="121" t="s">
        <v>82</v>
      </c>
      <c r="S119" s="122">
        <v>0.45</v>
      </c>
      <c r="T119" s="123"/>
      <c r="U119" s="44"/>
      <c r="V119" s="775">
        <v>24</v>
      </c>
      <c r="W119" s="772">
        <f t="shared" si="21"/>
        <v>0.45</v>
      </c>
      <c r="X119" s="125">
        <f>W119</f>
        <v>0.45</v>
      </c>
      <c r="Y119" s="44"/>
      <c r="Z119" s="44"/>
      <c r="AA119" s="44"/>
      <c r="AB119" s="44"/>
      <c r="AC119" s="44"/>
      <c r="AD119" s="44"/>
      <c r="AE119" s="44"/>
      <c r="AF119" s="44"/>
      <c r="AG119" s="44"/>
    </row>
    <row r="120" spans="2:33" s="102" customFormat="1" ht="15" thickBot="1"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</row>
    <row r="121" spans="2:33" s="102" customFormat="1" ht="15.6" thickBot="1">
      <c r="B121" s="44"/>
      <c r="C121" s="44"/>
      <c r="D121" s="44"/>
      <c r="E121" s="44"/>
      <c r="F121" s="44"/>
      <c r="G121" s="776" t="s">
        <v>71</v>
      </c>
      <c r="H121" s="777">
        <f>((H113*5)+H118+H119)/7</f>
        <v>0.43301587301587308</v>
      </c>
      <c r="I121" s="115"/>
      <c r="J121" s="44"/>
      <c r="K121" s="44"/>
      <c r="L121" s="44"/>
      <c r="M121" s="44"/>
      <c r="N121" s="44"/>
      <c r="O121" s="776" t="s">
        <v>71</v>
      </c>
      <c r="P121" s="777">
        <f>((P113*5)+P118+P119)/7</f>
        <v>0.2722222222222222</v>
      </c>
      <c r="R121" s="115"/>
      <c r="S121" s="115"/>
      <c r="T121" s="115"/>
      <c r="U121" s="115"/>
      <c r="V121" s="115"/>
      <c r="W121" s="776" t="s">
        <v>71</v>
      </c>
      <c r="X121" s="777">
        <f>((X113*5)+X118+X119)/7</f>
        <v>0.41984126984126985</v>
      </c>
      <c r="Y121" s="44"/>
      <c r="Z121" s="44"/>
      <c r="AA121" s="44"/>
      <c r="AB121" s="44"/>
      <c r="AC121" s="44"/>
      <c r="AD121" s="44"/>
      <c r="AE121" s="44"/>
      <c r="AF121" s="44"/>
      <c r="AG121" s="44"/>
    </row>
    <row r="122" spans="2:33" s="102" customFormat="1">
      <c r="B122" s="44"/>
      <c r="C122" s="44"/>
      <c r="D122" s="44"/>
      <c r="E122" s="44"/>
      <c r="F122" s="44"/>
      <c r="G122" s="44"/>
      <c r="H122" s="44"/>
      <c r="I122" s="44"/>
      <c r="J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</row>
    <row r="123" spans="2:33" s="102" customFormat="1" ht="15">
      <c r="B123" s="68" t="s">
        <v>108</v>
      </c>
      <c r="C123" s="68"/>
      <c r="D123" s="68"/>
      <c r="E123" s="68"/>
      <c r="F123" s="68"/>
      <c r="G123" s="47"/>
      <c r="H123" s="68"/>
      <c r="I123" s="68"/>
      <c r="J123" s="68"/>
      <c r="K123" s="533"/>
      <c r="L123" s="533"/>
      <c r="M123" s="533"/>
      <c r="N123" s="533"/>
      <c r="O123" s="533"/>
      <c r="P123" s="533"/>
      <c r="Q123" s="533"/>
      <c r="R123" s="68"/>
      <c r="S123" s="68"/>
      <c r="T123" s="68"/>
      <c r="U123" s="68"/>
      <c r="V123" s="47"/>
      <c r="W123" s="47"/>
      <c r="X123" s="47"/>
      <c r="Y123" s="44"/>
      <c r="Z123" s="44"/>
      <c r="AA123" s="44"/>
      <c r="AB123" s="44"/>
      <c r="AC123" s="44"/>
      <c r="AD123" s="44"/>
      <c r="AE123" s="44"/>
      <c r="AF123" s="44"/>
      <c r="AG123" s="44"/>
    </row>
    <row r="124" spans="2:33" s="102" customFormat="1">
      <c r="B124" s="44"/>
      <c r="C124" s="44"/>
      <c r="D124" s="44"/>
      <c r="E124" s="44"/>
      <c r="F124" s="44"/>
      <c r="G124" s="44"/>
      <c r="H124" s="44"/>
      <c r="I124" s="44"/>
      <c r="J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</row>
    <row r="125" spans="2:33" s="102" customFormat="1" ht="15" thickBot="1">
      <c r="B125" s="586" t="s">
        <v>272</v>
      </c>
      <c r="C125" s="587"/>
      <c r="D125" s="588"/>
      <c r="E125" s="126"/>
      <c r="F125" s="587"/>
      <c r="G125" s="588"/>
      <c r="H125" s="126"/>
      <c r="I125" s="44"/>
      <c r="J125" s="531" t="s">
        <v>13</v>
      </c>
      <c r="K125" s="532"/>
      <c r="L125" s="532"/>
      <c r="M125" s="532"/>
      <c r="N125" s="532"/>
      <c r="O125" s="532"/>
      <c r="P125" s="532"/>
      <c r="R125" s="128" t="s">
        <v>14</v>
      </c>
      <c r="S125" s="127"/>
      <c r="T125" s="127"/>
      <c r="U125" s="127"/>
      <c r="V125" s="127"/>
      <c r="W125" s="127"/>
      <c r="X125" s="127"/>
      <c r="Y125" s="44"/>
      <c r="Z125" s="44"/>
      <c r="AA125" s="44"/>
      <c r="AB125" s="44"/>
      <c r="AC125" s="44"/>
      <c r="AD125" s="44"/>
      <c r="AE125" s="44"/>
      <c r="AF125" s="44"/>
      <c r="AG125" s="44"/>
    </row>
    <row r="126" spans="2:33" s="102" customFormat="1" ht="15" thickBot="1">
      <c r="B126" s="44"/>
      <c r="C126" s="44"/>
      <c r="D126" s="44"/>
      <c r="E126" s="44"/>
      <c r="F126" s="778">
        <v>8</v>
      </c>
      <c r="G126" s="103" t="s">
        <v>102</v>
      </c>
      <c r="H126" s="44"/>
      <c r="I126" s="44"/>
      <c r="J126" s="44"/>
      <c r="K126" s="44"/>
      <c r="L126" s="44"/>
      <c r="M126" s="44"/>
      <c r="N126" s="778">
        <v>8</v>
      </c>
      <c r="O126" s="103" t="s">
        <v>102</v>
      </c>
      <c r="P126" s="44"/>
      <c r="R126" s="44"/>
      <c r="S126" s="44"/>
      <c r="T126" s="44"/>
      <c r="U126" s="44"/>
      <c r="V126" s="778">
        <v>8</v>
      </c>
      <c r="W126" s="103" t="s">
        <v>102</v>
      </c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</row>
    <row r="127" spans="2:33" s="102" customFormat="1">
      <c r="B127" s="116" t="s">
        <v>72</v>
      </c>
      <c r="C127" s="117">
        <v>0.44</v>
      </c>
      <c r="D127" s="118"/>
      <c r="E127" s="44"/>
      <c r="F127" s="773">
        <v>6</v>
      </c>
      <c r="G127" s="770">
        <f>(F127/$F$126)*C127</f>
        <v>0.33</v>
      </c>
      <c r="H127" s="118"/>
      <c r="I127" s="44"/>
      <c r="J127" s="116" t="s">
        <v>72</v>
      </c>
      <c r="K127" s="117">
        <v>0.25</v>
      </c>
      <c r="L127" s="118"/>
      <c r="M127" s="44"/>
      <c r="N127" s="773">
        <v>6</v>
      </c>
      <c r="O127" s="770">
        <f>(N127/$N$126)*K127</f>
        <v>0.1875</v>
      </c>
      <c r="P127" s="118"/>
      <c r="R127" s="116" t="s">
        <v>72</v>
      </c>
      <c r="S127" s="117">
        <v>0.45</v>
      </c>
      <c r="T127" s="118"/>
      <c r="U127" s="44"/>
      <c r="V127" s="773">
        <v>6</v>
      </c>
      <c r="W127" s="770">
        <f t="shared" ref="W127:W137" si="22">(V127/V$126)*S127</f>
        <v>0.33750000000000002</v>
      </c>
      <c r="X127" s="118"/>
      <c r="Y127" s="44"/>
      <c r="Z127" s="44"/>
      <c r="AA127" s="44"/>
      <c r="AB127" s="44"/>
      <c r="AC127" s="44"/>
      <c r="AD127" s="44"/>
      <c r="AE127" s="44"/>
      <c r="AF127" s="44"/>
      <c r="AG127" s="44"/>
    </row>
    <row r="128" spans="2:33" s="102" customFormat="1">
      <c r="B128" s="119" t="s">
        <v>73</v>
      </c>
      <c r="C128" s="74">
        <v>0.22</v>
      </c>
      <c r="D128" s="120"/>
      <c r="E128" s="44"/>
      <c r="F128" s="774">
        <v>1</v>
      </c>
      <c r="G128" s="771">
        <f t="shared" ref="G128:G136" si="23">(F128/$F$126)*C128</f>
        <v>2.75E-2</v>
      </c>
      <c r="H128" s="120"/>
      <c r="I128" s="44"/>
      <c r="J128" s="119" t="s">
        <v>73</v>
      </c>
      <c r="K128" s="74">
        <v>0.25</v>
      </c>
      <c r="L128" s="120"/>
      <c r="M128" s="44"/>
      <c r="N128" s="774">
        <v>1</v>
      </c>
      <c r="O128" s="771">
        <f t="shared" ref="O128:O137" si="24">(N128/$N$126)*K128</f>
        <v>3.125E-2</v>
      </c>
      <c r="P128" s="120"/>
      <c r="R128" s="119" t="s">
        <v>73</v>
      </c>
      <c r="S128" s="74">
        <v>0.25</v>
      </c>
      <c r="T128" s="120"/>
      <c r="U128" s="44"/>
      <c r="V128" s="774">
        <v>1</v>
      </c>
      <c r="W128" s="771">
        <f t="shared" si="22"/>
        <v>3.125E-2</v>
      </c>
      <c r="X128" s="120"/>
      <c r="Y128" s="44"/>
      <c r="Z128" s="44"/>
      <c r="AA128" s="44"/>
      <c r="AB128" s="44"/>
      <c r="AC128" s="44"/>
      <c r="AD128" s="44"/>
      <c r="AE128" s="44"/>
      <c r="AF128" s="44"/>
      <c r="AG128" s="44"/>
    </row>
    <row r="129" spans="2:33" s="102" customFormat="1">
      <c r="B129" s="119" t="s">
        <v>74</v>
      </c>
      <c r="C129" s="74">
        <v>0</v>
      </c>
      <c r="D129" s="120"/>
      <c r="E129" s="44"/>
      <c r="F129" s="774"/>
      <c r="G129" s="771">
        <f>(F129/$F$126)*C129</f>
        <v>0</v>
      </c>
      <c r="H129" s="120"/>
      <c r="I129" s="44"/>
      <c r="J129" s="119" t="s">
        <v>74</v>
      </c>
      <c r="K129" s="74">
        <v>0</v>
      </c>
      <c r="L129" s="120"/>
      <c r="M129" s="44"/>
      <c r="N129" s="774"/>
      <c r="O129" s="771">
        <f t="shared" si="24"/>
        <v>0</v>
      </c>
      <c r="P129" s="120"/>
      <c r="R129" s="119" t="s">
        <v>74</v>
      </c>
      <c r="S129" s="74">
        <v>0</v>
      </c>
      <c r="T129" s="120"/>
      <c r="U129" s="44"/>
      <c r="V129" s="774"/>
      <c r="W129" s="771">
        <f t="shared" si="22"/>
        <v>0</v>
      </c>
      <c r="X129" s="120"/>
      <c r="Y129" s="44"/>
      <c r="Z129" s="44"/>
      <c r="AA129" s="44"/>
      <c r="AB129" s="44"/>
      <c r="AC129" s="44"/>
      <c r="AD129" s="44"/>
      <c r="AE129" s="44"/>
      <c r="AF129" s="44"/>
      <c r="AG129" s="44"/>
    </row>
    <row r="130" spans="2:33" s="102" customFormat="1">
      <c r="B130" s="119" t="s">
        <v>75</v>
      </c>
      <c r="C130" s="74">
        <v>0.22</v>
      </c>
      <c r="D130" s="120"/>
      <c r="E130" s="44"/>
      <c r="F130" s="774"/>
      <c r="G130" s="771">
        <f>(F130/$F$126)*C130</f>
        <v>0</v>
      </c>
      <c r="H130" s="120"/>
      <c r="I130" s="44"/>
      <c r="J130" s="119" t="s">
        <v>75</v>
      </c>
      <c r="K130" s="74">
        <v>0.21</v>
      </c>
      <c r="L130" s="120"/>
      <c r="M130" s="44"/>
      <c r="N130" s="774"/>
      <c r="O130" s="771">
        <f t="shared" si="24"/>
        <v>0</v>
      </c>
      <c r="P130" s="120"/>
      <c r="R130" s="119" t="s">
        <v>75</v>
      </c>
      <c r="S130" s="74">
        <v>0.25</v>
      </c>
      <c r="T130" s="120"/>
      <c r="U130" s="44"/>
      <c r="V130" s="774"/>
      <c r="W130" s="771">
        <f t="shared" si="22"/>
        <v>0</v>
      </c>
      <c r="X130" s="120"/>
      <c r="Y130" s="44"/>
      <c r="Z130" s="44"/>
      <c r="AA130" s="44"/>
      <c r="AB130" s="44"/>
      <c r="AC130" s="44"/>
      <c r="AD130" s="44"/>
      <c r="AE130" s="44"/>
      <c r="AF130" s="44"/>
      <c r="AG130" s="44"/>
    </row>
    <row r="131" spans="2:33" s="102" customFormat="1">
      <c r="B131" s="119" t="s">
        <v>76</v>
      </c>
      <c r="C131" s="74">
        <v>0.44</v>
      </c>
      <c r="D131" s="120"/>
      <c r="E131" s="104"/>
      <c r="F131" s="774">
        <v>1</v>
      </c>
      <c r="G131" s="771">
        <f>(F131/$F$126)*C131</f>
        <v>5.5E-2</v>
      </c>
      <c r="H131" s="124">
        <f>SUM(G127:G131)</f>
        <v>0.41250000000000003</v>
      </c>
      <c r="I131" s="44"/>
      <c r="J131" s="119" t="s">
        <v>76</v>
      </c>
      <c r="K131" s="74">
        <v>0.21</v>
      </c>
      <c r="L131" s="120"/>
      <c r="M131" s="104"/>
      <c r="N131" s="774">
        <v>1</v>
      </c>
      <c r="O131" s="771">
        <f t="shared" si="24"/>
        <v>2.6249999999999999E-2</v>
      </c>
      <c r="P131" s="124">
        <f>SUM(O127:O131)</f>
        <v>0.245</v>
      </c>
      <c r="R131" s="119" t="s">
        <v>76</v>
      </c>
      <c r="S131" s="74">
        <v>0.45</v>
      </c>
      <c r="T131" s="120"/>
      <c r="U131" s="104"/>
      <c r="V131" s="774">
        <v>1</v>
      </c>
      <c r="W131" s="771">
        <f t="shared" si="22"/>
        <v>5.6250000000000001E-2</v>
      </c>
      <c r="X131" s="124">
        <f>SUM(W127:W131)</f>
        <v>0.42500000000000004</v>
      </c>
      <c r="Y131" s="44"/>
      <c r="Z131" s="44"/>
      <c r="AA131" s="44"/>
      <c r="AB131" s="44"/>
      <c r="AC131" s="44"/>
      <c r="AD131" s="44"/>
      <c r="AE131" s="44"/>
      <c r="AF131" s="44"/>
      <c r="AG131" s="44"/>
    </row>
    <row r="132" spans="2:33" s="102" customFormat="1">
      <c r="B132" s="119" t="s">
        <v>77</v>
      </c>
      <c r="C132" s="74">
        <v>0.49</v>
      </c>
      <c r="D132" s="120"/>
      <c r="E132" s="44"/>
      <c r="F132" s="774">
        <v>6</v>
      </c>
      <c r="G132" s="771">
        <f>(F132/$F$126)*C132</f>
        <v>0.36749999999999999</v>
      </c>
      <c r="H132" s="120"/>
      <c r="I132" s="44"/>
      <c r="J132" s="119" t="s">
        <v>77</v>
      </c>
      <c r="K132" s="74">
        <v>0.25</v>
      </c>
      <c r="L132" s="120"/>
      <c r="M132" s="44"/>
      <c r="N132" s="774">
        <v>6</v>
      </c>
      <c r="O132" s="771">
        <f t="shared" si="24"/>
        <v>0.1875</v>
      </c>
      <c r="P132" s="120"/>
      <c r="R132" s="119" t="s">
        <v>77</v>
      </c>
      <c r="S132" s="74">
        <v>0.45</v>
      </c>
      <c r="T132" s="120"/>
      <c r="U132" s="44"/>
      <c r="V132" s="774">
        <v>6</v>
      </c>
      <c r="W132" s="771">
        <f t="shared" si="22"/>
        <v>0.33750000000000002</v>
      </c>
      <c r="X132" s="120"/>
      <c r="Y132" s="44"/>
      <c r="Z132" s="44"/>
      <c r="AA132" s="44"/>
      <c r="AB132" s="44"/>
      <c r="AC132" s="44"/>
      <c r="AD132" s="44"/>
      <c r="AE132" s="44"/>
      <c r="AF132" s="44"/>
      <c r="AG132" s="44"/>
    </row>
    <row r="133" spans="2:33" s="102" customFormat="1">
      <c r="B133" s="119" t="s">
        <v>78</v>
      </c>
      <c r="C133" s="74">
        <v>0.38</v>
      </c>
      <c r="D133" s="120"/>
      <c r="E133" s="44"/>
      <c r="F133" s="774">
        <v>1</v>
      </c>
      <c r="G133" s="771">
        <f>(F133/$F$126)*C133</f>
        <v>4.7500000000000001E-2</v>
      </c>
      <c r="H133" s="120"/>
      <c r="I133" s="44"/>
      <c r="J133" s="119" t="s">
        <v>78</v>
      </c>
      <c r="K133" s="74">
        <v>0.25</v>
      </c>
      <c r="L133" s="120"/>
      <c r="M133" s="44"/>
      <c r="N133" s="774">
        <v>1</v>
      </c>
      <c r="O133" s="771">
        <f t="shared" si="24"/>
        <v>3.125E-2</v>
      </c>
      <c r="P133" s="120"/>
      <c r="R133" s="119" t="s">
        <v>78</v>
      </c>
      <c r="S133" s="74">
        <v>0.3</v>
      </c>
      <c r="T133" s="120"/>
      <c r="U133" s="44"/>
      <c r="V133" s="774">
        <v>1</v>
      </c>
      <c r="W133" s="771">
        <f t="shared" si="22"/>
        <v>3.7499999999999999E-2</v>
      </c>
      <c r="X133" s="120"/>
      <c r="Y133" s="44"/>
      <c r="Z133" s="44"/>
      <c r="AA133" s="44"/>
      <c r="AB133" s="44"/>
      <c r="AC133" s="44"/>
      <c r="AD133" s="44"/>
      <c r="AE133" s="44"/>
      <c r="AF133" s="44"/>
      <c r="AG133" s="44"/>
    </row>
    <row r="134" spans="2:33" s="102" customFormat="1">
      <c r="B134" s="119" t="s">
        <v>79</v>
      </c>
      <c r="C134" s="74">
        <v>0</v>
      </c>
      <c r="D134" s="120"/>
      <c r="E134" s="44"/>
      <c r="F134" s="774"/>
      <c r="G134" s="771">
        <f t="shared" si="23"/>
        <v>0</v>
      </c>
      <c r="H134" s="120"/>
      <c r="I134" s="44"/>
      <c r="J134" s="119" t="s">
        <v>79</v>
      </c>
      <c r="K134" s="74">
        <v>0.25</v>
      </c>
      <c r="L134" s="120"/>
      <c r="M134" s="44"/>
      <c r="N134" s="774"/>
      <c r="O134" s="771">
        <f t="shared" si="24"/>
        <v>0</v>
      </c>
      <c r="P134" s="120"/>
      <c r="R134" s="119" t="s">
        <v>79</v>
      </c>
      <c r="S134" s="74">
        <v>0.3</v>
      </c>
      <c r="T134" s="120"/>
      <c r="U134" s="44"/>
      <c r="V134" s="774"/>
      <c r="W134" s="771">
        <f t="shared" si="22"/>
        <v>0</v>
      </c>
      <c r="X134" s="120"/>
      <c r="Y134" s="44"/>
      <c r="Z134" s="44"/>
      <c r="AA134" s="44"/>
      <c r="AB134" s="44"/>
      <c r="AC134" s="44"/>
      <c r="AD134" s="44"/>
      <c r="AE134" s="44"/>
      <c r="AF134" s="44"/>
      <c r="AG134" s="44"/>
    </row>
    <row r="135" spans="2:33" s="102" customFormat="1">
      <c r="B135" s="119" t="s">
        <v>80</v>
      </c>
      <c r="C135" s="74">
        <v>0.38</v>
      </c>
      <c r="D135" s="120"/>
      <c r="E135" s="44"/>
      <c r="F135" s="774"/>
      <c r="G135" s="771">
        <f t="shared" si="23"/>
        <v>0</v>
      </c>
      <c r="H135" s="120"/>
      <c r="I135" s="44"/>
      <c r="J135" s="119" t="s">
        <v>80</v>
      </c>
      <c r="K135" s="74">
        <v>0.25</v>
      </c>
      <c r="L135" s="120"/>
      <c r="M135" s="44"/>
      <c r="N135" s="774"/>
      <c r="O135" s="771">
        <f t="shared" si="24"/>
        <v>0</v>
      </c>
      <c r="P135" s="120"/>
      <c r="R135" s="119" t="s">
        <v>80</v>
      </c>
      <c r="S135" s="74">
        <v>0.3</v>
      </c>
      <c r="T135" s="120"/>
      <c r="U135" s="44"/>
      <c r="V135" s="774"/>
      <c r="W135" s="771">
        <f t="shared" si="22"/>
        <v>0</v>
      </c>
      <c r="X135" s="120"/>
      <c r="Y135" s="44"/>
      <c r="Z135" s="44"/>
      <c r="AA135" s="44"/>
      <c r="AB135" s="44"/>
      <c r="AC135" s="44"/>
      <c r="AD135" s="44"/>
      <c r="AE135" s="44"/>
      <c r="AF135" s="44"/>
      <c r="AG135" s="44"/>
    </row>
    <row r="136" spans="2:33" s="102" customFormat="1">
      <c r="B136" s="119" t="s">
        <v>81</v>
      </c>
      <c r="C136" s="74">
        <v>0.49</v>
      </c>
      <c r="D136" s="120"/>
      <c r="E136" s="44"/>
      <c r="F136" s="774">
        <v>1</v>
      </c>
      <c r="G136" s="771">
        <f t="shared" si="23"/>
        <v>6.1249999999999999E-2</v>
      </c>
      <c r="H136" s="124">
        <f>SUM(G132:G136)</f>
        <v>0.47624999999999995</v>
      </c>
      <c r="I136" s="44"/>
      <c r="J136" s="119" t="s">
        <v>81</v>
      </c>
      <c r="K136" s="74">
        <v>0.25</v>
      </c>
      <c r="L136" s="120"/>
      <c r="M136" s="44"/>
      <c r="N136" s="774">
        <v>1</v>
      </c>
      <c r="O136" s="771">
        <f t="shared" si="24"/>
        <v>3.125E-2</v>
      </c>
      <c r="P136" s="124">
        <f>SUM(O132:O136)</f>
        <v>0.25</v>
      </c>
      <c r="R136" s="119" t="s">
        <v>81</v>
      </c>
      <c r="S136" s="74">
        <v>0.45</v>
      </c>
      <c r="T136" s="120"/>
      <c r="U136" s="44"/>
      <c r="V136" s="774">
        <v>1</v>
      </c>
      <c r="W136" s="771">
        <f t="shared" si="22"/>
        <v>5.6250000000000001E-2</v>
      </c>
      <c r="X136" s="124">
        <f>SUM(W132:W136)</f>
        <v>0.43125000000000002</v>
      </c>
      <c r="Y136" s="44"/>
      <c r="Z136" s="44"/>
      <c r="AA136" s="44"/>
      <c r="AB136" s="44"/>
      <c r="AC136" s="44"/>
      <c r="AD136" s="44"/>
      <c r="AE136" s="44"/>
      <c r="AF136" s="44"/>
      <c r="AG136" s="44"/>
    </row>
    <row r="137" spans="2:33" s="102" customFormat="1" ht="15" thickBot="1">
      <c r="B137" s="121" t="s">
        <v>82</v>
      </c>
      <c r="C137" s="122">
        <v>0.6</v>
      </c>
      <c r="D137" s="123"/>
      <c r="E137" s="44"/>
      <c r="F137" s="775">
        <v>8</v>
      </c>
      <c r="G137" s="772">
        <f>(F137/$F$126)*C137</f>
        <v>0.6</v>
      </c>
      <c r="H137" s="125">
        <f>G137</f>
        <v>0.6</v>
      </c>
      <c r="I137" s="44"/>
      <c r="J137" s="121" t="s">
        <v>82</v>
      </c>
      <c r="K137" s="122">
        <v>0.45</v>
      </c>
      <c r="L137" s="123"/>
      <c r="M137" s="44"/>
      <c r="N137" s="775">
        <v>8</v>
      </c>
      <c r="O137" s="772">
        <f t="shared" si="24"/>
        <v>0.45</v>
      </c>
      <c r="P137" s="125">
        <f>O137</f>
        <v>0.45</v>
      </c>
      <c r="R137" s="121" t="s">
        <v>82</v>
      </c>
      <c r="S137" s="122">
        <v>0.45</v>
      </c>
      <c r="T137" s="123"/>
      <c r="U137" s="44"/>
      <c r="V137" s="775">
        <v>8</v>
      </c>
      <c r="W137" s="772">
        <f t="shared" si="22"/>
        <v>0.45</v>
      </c>
      <c r="X137" s="125">
        <f>W137</f>
        <v>0.45</v>
      </c>
      <c r="Y137" s="44"/>
      <c r="Z137" s="44"/>
      <c r="AA137" s="44"/>
      <c r="AB137" s="44"/>
      <c r="AC137" s="44"/>
      <c r="AD137" s="44"/>
      <c r="AE137" s="44"/>
      <c r="AF137" s="44"/>
      <c r="AG137" s="44"/>
    </row>
    <row r="138" spans="2:33" s="102" customFormat="1" ht="15" thickBot="1"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</row>
    <row r="139" spans="2:33" s="102" customFormat="1" ht="15.6" thickBot="1">
      <c r="B139" s="44"/>
      <c r="C139" s="44"/>
      <c r="D139" s="44"/>
      <c r="E139" s="44"/>
      <c r="F139" s="44"/>
      <c r="G139" s="776" t="s">
        <v>71</v>
      </c>
      <c r="H139" s="777">
        <f>((H131*5)+H136+H137)/7</f>
        <v>0.44839285714285715</v>
      </c>
      <c r="I139" s="115"/>
      <c r="J139" s="44"/>
      <c r="K139" s="44"/>
      <c r="L139" s="44"/>
      <c r="M139" s="44"/>
      <c r="N139" s="44"/>
      <c r="O139" s="776" t="s">
        <v>71</v>
      </c>
      <c r="P139" s="777">
        <f>((P131*5)+P136+P137)/7</f>
        <v>0.27500000000000002</v>
      </c>
      <c r="R139" s="115"/>
      <c r="S139" s="115"/>
      <c r="T139" s="115"/>
      <c r="U139" s="115"/>
      <c r="V139" s="115"/>
      <c r="W139" s="776" t="s">
        <v>71</v>
      </c>
      <c r="X139" s="777">
        <f>((X131*5)+X136+X137)/7</f>
        <v>0.42946428571428574</v>
      </c>
      <c r="Y139" s="44"/>
      <c r="Z139" s="44"/>
      <c r="AA139" s="44"/>
      <c r="AB139" s="44"/>
      <c r="AC139" s="44"/>
      <c r="AD139" s="44"/>
      <c r="AE139" s="44"/>
      <c r="AF139" s="44"/>
      <c r="AG139" s="44"/>
    </row>
    <row r="140" spans="2:33" s="102" customFormat="1">
      <c r="D140" s="44"/>
      <c r="E140" s="44"/>
      <c r="F140" s="44"/>
      <c r="G140" s="44"/>
      <c r="H140" s="44"/>
      <c r="I140" s="44"/>
      <c r="J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</row>
    <row r="141" spans="2:33" s="102" customFormat="1" ht="15">
      <c r="B141" s="68" t="s">
        <v>105</v>
      </c>
      <c r="C141" s="68"/>
      <c r="D141" s="68"/>
      <c r="E141" s="68"/>
      <c r="F141" s="68"/>
      <c r="G141" s="47"/>
      <c r="H141" s="68"/>
      <c r="I141" s="68"/>
      <c r="J141" s="68"/>
      <c r="K141" s="533"/>
      <c r="L141" s="533"/>
      <c r="M141" s="533"/>
      <c r="N141" s="533"/>
      <c r="O141" s="533"/>
      <c r="P141" s="533"/>
      <c r="Q141" s="533"/>
      <c r="R141" s="68"/>
      <c r="S141" s="68"/>
      <c r="T141" s="68"/>
      <c r="U141" s="68"/>
      <c r="V141" s="47"/>
      <c r="W141" s="47"/>
      <c r="X141" s="113"/>
      <c r="Y141" s="44"/>
      <c r="Z141" s="44"/>
      <c r="AA141" s="44"/>
      <c r="AB141" s="44"/>
      <c r="AC141" s="44"/>
      <c r="AD141" s="44"/>
      <c r="AE141" s="44"/>
      <c r="AF141" s="44"/>
      <c r="AG141" s="44"/>
    </row>
    <row r="142" spans="2:33" s="102" customFormat="1">
      <c r="B142" s="44"/>
      <c r="C142" s="44"/>
      <c r="D142" s="44"/>
      <c r="E142" s="44"/>
      <c r="F142" s="44"/>
      <c r="G142" s="44"/>
      <c r="H142" s="44"/>
      <c r="I142" s="44"/>
      <c r="J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</row>
    <row r="143" spans="2:33" s="102" customFormat="1" ht="15" thickBot="1">
      <c r="B143" s="586" t="s">
        <v>272</v>
      </c>
      <c r="C143" s="587"/>
      <c r="D143" s="588"/>
      <c r="E143" s="126"/>
      <c r="F143" s="587"/>
      <c r="G143" s="588"/>
      <c r="H143" s="126"/>
      <c r="I143" s="44"/>
      <c r="J143" s="531" t="s">
        <v>13</v>
      </c>
      <c r="K143" s="532"/>
      <c r="L143" s="532"/>
      <c r="M143" s="532"/>
      <c r="N143" s="532"/>
      <c r="O143" s="532"/>
      <c r="P143" s="532"/>
      <c r="R143" s="128" t="s">
        <v>14</v>
      </c>
      <c r="S143" s="127"/>
      <c r="T143" s="127"/>
      <c r="U143" s="127"/>
      <c r="V143" s="127"/>
      <c r="W143" s="127"/>
      <c r="X143" s="127"/>
      <c r="Y143" s="44"/>
      <c r="Z143" s="44"/>
      <c r="AA143" s="44"/>
      <c r="AB143" s="44"/>
      <c r="AC143" s="44"/>
      <c r="AD143" s="44"/>
      <c r="AE143" s="44"/>
      <c r="AF143" s="44"/>
      <c r="AG143" s="44"/>
    </row>
    <row r="144" spans="2:33" s="102" customFormat="1" ht="15" thickBot="1">
      <c r="B144" s="44"/>
      <c r="C144" s="44"/>
      <c r="D144" s="44"/>
      <c r="E144" s="44"/>
      <c r="F144" s="778">
        <v>1</v>
      </c>
      <c r="G144" s="103" t="s">
        <v>102</v>
      </c>
      <c r="H144" s="44"/>
      <c r="I144" s="44"/>
      <c r="J144" s="44"/>
      <c r="K144" s="44"/>
      <c r="L144" s="44"/>
      <c r="M144" s="44"/>
      <c r="N144" s="778">
        <v>1</v>
      </c>
      <c r="O144" s="103" t="s">
        <v>102</v>
      </c>
      <c r="P144" s="44"/>
      <c r="R144" s="44"/>
      <c r="S144" s="44"/>
      <c r="T144" s="44"/>
      <c r="U144" s="44"/>
      <c r="V144" s="778">
        <v>1</v>
      </c>
      <c r="W144" s="103" t="s">
        <v>102</v>
      </c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</row>
    <row r="145" spans="2:33" s="102" customFormat="1">
      <c r="B145" s="116" t="s">
        <v>72</v>
      </c>
      <c r="C145" s="117">
        <v>0.44</v>
      </c>
      <c r="D145" s="118"/>
      <c r="E145" s="44"/>
      <c r="F145" s="773">
        <v>1</v>
      </c>
      <c r="G145" s="770">
        <f>(F145/$F$144*C145)</f>
        <v>0.44</v>
      </c>
      <c r="H145" s="118"/>
      <c r="I145" s="44"/>
      <c r="J145" s="116" t="s">
        <v>72</v>
      </c>
      <c r="K145" s="117">
        <v>0.25</v>
      </c>
      <c r="L145" s="118"/>
      <c r="M145" s="44"/>
      <c r="N145" s="773">
        <v>1</v>
      </c>
      <c r="O145" s="770">
        <f>(N145/$N$144)*K145</f>
        <v>0.25</v>
      </c>
      <c r="P145" s="118"/>
      <c r="R145" s="116" t="s">
        <v>72</v>
      </c>
      <c r="S145" s="117">
        <v>0.45</v>
      </c>
      <c r="T145" s="118"/>
      <c r="U145" s="44"/>
      <c r="V145" s="773">
        <v>1</v>
      </c>
      <c r="W145" s="770">
        <f t="shared" ref="W145:W155" si="25">(V145/V$144)*S145</f>
        <v>0.45</v>
      </c>
      <c r="X145" s="118"/>
      <c r="Y145" s="44"/>
      <c r="Z145" s="44"/>
      <c r="AA145" s="44"/>
      <c r="AB145" s="44"/>
      <c r="AC145" s="44"/>
      <c r="AD145" s="44"/>
      <c r="AE145" s="44"/>
      <c r="AF145" s="44"/>
      <c r="AG145" s="44"/>
    </row>
    <row r="146" spans="2:33" s="102" customFormat="1">
      <c r="B146" s="119" t="s">
        <v>73</v>
      </c>
      <c r="C146" s="74">
        <v>0.22</v>
      </c>
      <c r="D146" s="120"/>
      <c r="E146" s="44"/>
      <c r="F146" s="774"/>
      <c r="G146" s="771">
        <f t="shared" ref="G146:G154" si="26">(F146/$F$144*C146)</f>
        <v>0</v>
      </c>
      <c r="H146" s="120"/>
      <c r="I146" s="44"/>
      <c r="J146" s="119" t="s">
        <v>73</v>
      </c>
      <c r="K146" s="74">
        <v>0.25</v>
      </c>
      <c r="L146" s="120"/>
      <c r="M146" s="44"/>
      <c r="N146" s="774"/>
      <c r="O146" s="771">
        <f t="shared" ref="O146:O155" si="27">(N146/$N$144)*K146</f>
        <v>0</v>
      </c>
      <c r="P146" s="120"/>
      <c r="R146" s="119" t="s">
        <v>73</v>
      </c>
      <c r="S146" s="74">
        <v>0.25</v>
      </c>
      <c r="T146" s="120"/>
      <c r="U146" s="44"/>
      <c r="V146" s="774"/>
      <c r="W146" s="771">
        <f t="shared" si="25"/>
        <v>0</v>
      </c>
      <c r="X146" s="120"/>
      <c r="Y146" s="44"/>
      <c r="Z146" s="44"/>
      <c r="AA146" s="44"/>
      <c r="AB146" s="44"/>
      <c r="AC146" s="44"/>
      <c r="AD146" s="44"/>
      <c r="AE146" s="44"/>
      <c r="AF146" s="44"/>
      <c r="AG146" s="44"/>
    </row>
    <row r="147" spans="2:33" s="102" customFormat="1">
      <c r="B147" s="119" t="s">
        <v>74</v>
      </c>
      <c r="C147" s="74">
        <v>0</v>
      </c>
      <c r="D147" s="120"/>
      <c r="E147" s="44"/>
      <c r="F147" s="774"/>
      <c r="G147" s="771">
        <f t="shared" si="26"/>
        <v>0</v>
      </c>
      <c r="H147" s="120"/>
      <c r="I147" s="44"/>
      <c r="J147" s="119" t="s">
        <v>74</v>
      </c>
      <c r="K147" s="74">
        <v>0</v>
      </c>
      <c r="L147" s="120"/>
      <c r="M147" s="44"/>
      <c r="N147" s="774"/>
      <c r="O147" s="771">
        <f t="shared" si="27"/>
        <v>0</v>
      </c>
      <c r="P147" s="120"/>
      <c r="R147" s="119" t="s">
        <v>74</v>
      </c>
      <c r="S147" s="74">
        <v>0</v>
      </c>
      <c r="T147" s="120"/>
      <c r="U147" s="44"/>
      <c r="V147" s="774"/>
      <c r="W147" s="771">
        <f t="shared" si="25"/>
        <v>0</v>
      </c>
      <c r="X147" s="120"/>
      <c r="Y147" s="44"/>
      <c r="Z147" s="44"/>
      <c r="AA147" s="44"/>
      <c r="AB147" s="44"/>
      <c r="AC147" s="44"/>
      <c r="AD147" s="44"/>
      <c r="AE147" s="44"/>
      <c r="AF147" s="44"/>
      <c r="AG147" s="44"/>
    </row>
    <row r="148" spans="2:33" s="102" customFormat="1">
      <c r="B148" s="119" t="s">
        <v>75</v>
      </c>
      <c r="C148" s="74">
        <v>0.22</v>
      </c>
      <c r="D148" s="120"/>
      <c r="E148" s="44"/>
      <c r="F148" s="774"/>
      <c r="G148" s="771">
        <f t="shared" si="26"/>
        <v>0</v>
      </c>
      <c r="H148" s="120"/>
      <c r="I148" s="44"/>
      <c r="J148" s="119" t="s">
        <v>75</v>
      </c>
      <c r="K148" s="74">
        <v>0.21</v>
      </c>
      <c r="L148" s="120"/>
      <c r="M148" s="44"/>
      <c r="N148" s="774"/>
      <c r="O148" s="771">
        <f t="shared" si="27"/>
        <v>0</v>
      </c>
      <c r="P148" s="120"/>
      <c r="R148" s="119" t="s">
        <v>75</v>
      </c>
      <c r="S148" s="74">
        <v>0.25</v>
      </c>
      <c r="T148" s="120"/>
      <c r="U148" s="44"/>
      <c r="V148" s="774"/>
      <c r="W148" s="771">
        <f t="shared" si="25"/>
        <v>0</v>
      </c>
      <c r="X148" s="120"/>
      <c r="Y148" s="44"/>
      <c r="Z148" s="44"/>
      <c r="AA148" s="44"/>
      <c r="AB148" s="44"/>
      <c r="AC148" s="44"/>
      <c r="AD148" s="44"/>
      <c r="AE148" s="44"/>
      <c r="AF148" s="44"/>
      <c r="AG148" s="44"/>
    </row>
    <row r="149" spans="2:33" s="102" customFormat="1">
      <c r="B149" s="119" t="s">
        <v>76</v>
      </c>
      <c r="C149" s="74">
        <v>0.44</v>
      </c>
      <c r="D149" s="120"/>
      <c r="E149" s="104"/>
      <c r="F149" s="774"/>
      <c r="G149" s="771">
        <f t="shared" si="26"/>
        <v>0</v>
      </c>
      <c r="H149" s="124">
        <f>SUM(G145:G149)</f>
        <v>0.44</v>
      </c>
      <c r="I149" s="44"/>
      <c r="J149" s="119" t="s">
        <v>76</v>
      </c>
      <c r="K149" s="74">
        <v>0.21</v>
      </c>
      <c r="L149" s="120"/>
      <c r="M149" s="104"/>
      <c r="N149" s="774"/>
      <c r="O149" s="771">
        <f t="shared" si="27"/>
        <v>0</v>
      </c>
      <c r="P149" s="124">
        <f>SUM(O145:O149)</f>
        <v>0.25</v>
      </c>
      <c r="R149" s="119" t="s">
        <v>76</v>
      </c>
      <c r="S149" s="74">
        <v>0.45</v>
      </c>
      <c r="T149" s="120"/>
      <c r="U149" s="104"/>
      <c r="V149" s="774"/>
      <c r="W149" s="771">
        <f t="shared" si="25"/>
        <v>0</v>
      </c>
      <c r="X149" s="124">
        <f>SUM(W145:W149)</f>
        <v>0.45</v>
      </c>
      <c r="Y149" s="44"/>
      <c r="Z149" s="44"/>
      <c r="AA149" s="44"/>
      <c r="AB149" s="44"/>
      <c r="AC149" s="44"/>
      <c r="AD149" s="44"/>
      <c r="AE149" s="44"/>
      <c r="AF149" s="44"/>
      <c r="AG149" s="44"/>
    </row>
    <row r="150" spans="2:33" s="102" customFormat="1">
      <c r="B150" s="119" t="s">
        <v>77</v>
      </c>
      <c r="C150" s="74">
        <v>0.49</v>
      </c>
      <c r="D150" s="120"/>
      <c r="E150" s="44"/>
      <c r="F150" s="774">
        <v>1</v>
      </c>
      <c r="G150" s="771">
        <f>(F150/$F$144*C150)</f>
        <v>0.49</v>
      </c>
      <c r="H150" s="120"/>
      <c r="I150" s="44"/>
      <c r="J150" s="119" t="s">
        <v>77</v>
      </c>
      <c r="K150" s="74">
        <v>0.25</v>
      </c>
      <c r="L150" s="120"/>
      <c r="M150" s="44"/>
      <c r="N150" s="774">
        <v>1</v>
      </c>
      <c r="O150" s="771">
        <f t="shared" si="27"/>
        <v>0.25</v>
      </c>
      <c r="P150" s="120"/>
      <c r="R150" s="119" t="s">
        <v>77</v>
      </c>
      <c r="S150" s="74">
        <v>0.45</v>
      </c>
      <c r="T150" s="120"/>
      <c r="U150" s="44"/>
      <c r="V150" s="774">
        <v>1</v>
      </c>
      <c r="W150" s="771">
        <f t="shared" si="25"/>
        <v>0.45</v>
      </c>
      <c r="X150" s="120"/>
      <c r="Y150" s="44"/>
      <c r="Z150" s="44"/>
      <c r="AA150" s="44"/>
      <c r="AB150" s="44"/>
      <c r="AC150" s="44"/>
      <c r="AD150" s="44"/>
      <c r="AE150" s="44"/>
      <c r="AF150" s="44"/>
      <c r="AG150" s="44"/>
    </row>
    <row r="151" spans="2:33" s="102" customFormat="1">
      <c r="B151" s="119" t="s">
        <v>78</v>
      </c>
      <c r="C151" s="74">
        <v>0.38</v>
      </c>
      <c r="D151" s="120"/>
      <c r="E151" s="44"/>
      <c r="F151" s="774"/>
      <c r="G151" s="771">
        <f t="shared" si="26"/>
        <v>0</v>
      </c>
      <c r="H151" s="120"/>
      <c r="I151" s="44"/>
      <c r="J151" s="119" t="s">
        <v>78</v>
      </c>
      <c r="K151" s="74">
        <v>0.25</v>
      </c>
      <c r="L151" s="120"/>
      <c r="M151" s="44"/>
      <c r="N151" s="774"/>
      <c r="O151" s="771">
        <f t="shared" si="27"/>
        <v>0</v>
      </c>
      <c r="P151" s="120"/>
      <c r="R151" s="119" t="s">
        <v>78</v>
      </c>
      <c r="S151" s="74">
        <v>0.3</v>
      </c>
      <c r="T151" s="120"/>
      <c r="U151" s="44"/>
      <c r="V151" s="774"/>
      <c r="W151" s="771">
        <f t="shared" si="25"/>
        <v>0</v>
      </c>
      <c r="X151" s="120"/>
      <c r="Y151" s="44"/>
      <c r="Z151" s="44"/>
      <c r="AA151" s="44"/>
      <c r="AB151" s="44"/>
      <c r="AC151" s="44"/>
      <c r="AD151" s="44"/>
      <c r="AE151" s="44"/>
      <c r="AF151" s="44"/>
      <c r="AG151" s="44"/>
    </row>
    <row r="152" spans="2:33" s="102" customFormat="1">
      <c r="B152" s="119" t="s">
        <v>79</v>
      </c>
      <c r="C152" s="74">
        <v>0</v>
      </c>
      <c r="D152" s="120"/>
      <c r="E152" s="44"/>
      <c r="F152" s="774"/>
      <c r="G152" s="771">
        <f t="shared" si="26"/>
        <v>0</v>
      </c>
      <c r="H152" s="120"/>
      <c r="I152" s="44"/>
      <c r="J152" s="119" t="s">
        <v>79</v>
      </c>
      <c r="K152" s="74">
        <v>0.25</v>
      </c>
      <c r="L152" s="120"/>
      <c r="M152" s="44"/>
      <c r="N152" s="774"/>
      <c r="O152" s="771">
        <f t="shared" si="27"/>
        <v>0</v>
      </c>
      <c r="P152" s="120"/>
      <c r="R152" s="119" t="s">
        <v>79</v>
      </c>
      <c r="S152" s="74">
        <v>0.3</v>
      </c>
      <c r="T152" s="120"/>
      <c r="U152" s="44"/>
      <c r="V152" s="774"/>
      <c r="W152" s="771">
        <f t="shared" si="25"/>
        <v>0</v>
      </c>
      <c r="X152" s="120"/>
      <c r="Y152" s="44"/>
      <c r="Z152" s="44"/>
      <c r="AA152" s="44"/>
      <c r="AB152" s="44"/>
      <c r="AC152" s="44"/>
      <c r="AD152" s="44"/>
      <c r="AE152" s="44"/>
      <c r="AF152" s="44"/>
      <c r="AG152" s="44"/>
    </row>
    <row r="153" spans="2:33" s="102" customFormat="1">
      <c r="B153" s="119" t="s">
        <v>80</v>
      </c>
      <c r="C153" s="74">
        <v>0.38</v>
      </c>
      <c r="D153" s="120"/>
      <c r="E153" s="44"/>
      <c r="F153" s="774"/>
      <c r="G153" s="771">
        <f t="shared" si="26"/>
        <v>0</v>
      </c>
      <c r="H153" s="120"/>
      <c r="I153" s="44"/>
      <c r="J153" s="119" t="s">
        <v>80</v>
      </c>
      <c r="K153" s="74">
        <v>0.25</v>
      </c>
      <c r="L153" s="120"/>
      <c r="M153" s="44"/>
      <c r="N153" s="774"/>
      <c r="O153" s="771">
        <f t="shared" si="27"/>
        <v>0</v>
      </c>
      <c r="P153" s="120"/>
      <c r="R153" s="119" t="s">
        <v>80</v>
      </c>
      <c r="S153" s="74">
        <v>0.3</v>
      </c>
      <c r="T153" s="120"/>
      <c r="U153" s="44"/>
      <c r="V153" s="774"/>
      <c r="W153" s="771">
        <f t="shared" si="25"/>
        <v>0</v>
      </c>
      <c r="X153" s="120"/>
      <c r="Y153" s="44"/>
      <c r="Z153" s="44"/>
      <c r="AA153" s="44"/>
      <c r="AB153" s="44"/>
      <c r="AC153" s="44"/>
      <c r="AD153" s="44"/>
      <c r="AE153" s="44"/>
      <c r="AF153" s="44"/>
      <c r="AG153" s="44"/>
    </row>
    <row r="154" spans="2:33" s="102" customFormat="1">
      <c r="B154" s="119" t="s">
        <v>81</v>
      </c>
      <c r="C154" s="74">
        <v>0.49</v>
      </c>
      <c r="D154" s="120"/>
      <c r="E154" s="44"/>
      <c r="F154" s="774"/>
      <c r="G154" s="771">
        <f t="shared" si="26"/>
        <v>0</v>
      </c>
      <c r="H154" s="124">
        <f>SUM(G150:G154)</f>
        <v>0.49</v>
      </c>
      <c r="I154" s="44"/>
      <c r="J154" s="119" t="s">
        <v>81</v>
      </c>
      <c r="K154" s="74">
        <v>0.25</v>
      </c>
      <c r="L154" s="120"/>
      <c r="M154" s="44"/>
      <c r="N154" s="774"/>
      <c r="O154" s="771">
        <f t="shared" si="27"/>
        <v>0</v>
      </c>
      <c r="P154" s="124">
        <f>SUM(O150:O154)</f>
        <v>0.25</v>
      </c>
      <c r="R154" s="119" t="s">
        <v>81</v>
      </c>
      <c r="S154" s="74">
        <v>0.45</v>
      </c>
      <c r="T154" s="120"/>
      <c r="U154" s="44"/>
      <c r="V154" s="774"/>
      <c r="W154" s="771">
        <f t="shared" si="25"/>
        <v>0</v>
      </c>
      <c r="X154" s="124">
        <f>SUM(W150:W154)</f>
        <v>0.45</v>
      </c>
      <c r="Y154" s="44"/>
      <c r="Z154" s="44"/>
      <c r="AA154" s="44"/>
      <c r="AB154" s="44"/>
      <c r="AC154" s="44"/>
      <c r="AD154" s="44"/>
      <c r="AE154" s="44"/>
      <c r="AF154" s="44"/>
      <c r="AG154" s="44"/>
    </row>
    <row r="155" spans="2:33" s="102" customFormat="1" ht="15" thickBot="1">
      <c r="B155" s="121" t="s">
        <v>82</v>
      </c>
      <c r="C155" s="122">
        <v>0.6</v>
      </c>
      <c r="D155" s="123"/>
      <c r="E155" s="44"/>
      <c r="F155" s="775">
        <v>1</v>
      </c>
      <c r="G155" s="772">
        <f>(F155/$F$144*C155)</f>
        <v>0.6</v>
      </c>
      <c r="H155" s="125">
        <f>G155</f>
        <v>0.6</v>
      </c>
      <c r="I155" s="44"/>
      <c r="J155" s="121" t="s">
        <v>82</v>
      </c>
      <c r="K155" s="122">
        <v>0.45</v>
      </c>
      <c r="L155" s="123"/>
      <c r="M155" s="44"/>
      <c r="N155" s="775">
        <v>1</v>
      </c>
      <c r="O155" s="772">
        <f t="shared" si="27"/>
        <v>0.45</v>
      </c>
      <c r="P155" s="125">
        <f>O155</f>
        <v>0.45</v>
      </c>
      <c r="R155" s="121" t="s">
        <v>82</v>
      </c>
      <c r="S155" s="122">
        <v>0.45</v>
      </c>
      <c r="T155" s="123"/>
      <c r="U155" s="44"/>
      <c r="V155" s="775">
        <v>1</v>
      </c>
      <c r="W155" s="772">
        <f t="shared" si="25"/>
        <v>0.45</v>
      </c>
      <c r="X155" s="125">
        <f>W155</f>
        <v>0.45</v>
      </c>
      <c r="Y155" s="44"/>
      <c r="Z155" s="44"/>
      <c r="AA155" s="44"/>
      <c r="AB155" s="44"/>
      <c r="AC155" s="44"/>
      <c r="AD155" s="44"/>
      <c r="AE155" s="44"/>
      <c r="AF155" s="44"/>
      <c r="AG155" s="44"/>
    </row>
    <row r="156" spans="2:33" s="102" customFormat="1" ht="15" thickBot="1"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</row>
    <row r="157" spans="2:33" s="102" customFormat="1" ht="15.6" thickBot="1">
      <c r="B157" s="44"/>
      <c r="C157" s="44"/>
      <c r="D157" s="44"/>
      <c r="E157" s="44"/>
      <c r="F157" s="44"/>
      <c r="G157" s="776" t="s">
        <v>71</v>
      </c>
      <c r="H157" s="777">
        <f>((H149*5)+H154+H155)/7</f>
        <v>0.47000000000000008</v>
      </c>
      <c r="I157" s="115"/>
      <c r="J157" s="44"/>
      <c r="K157" s="44"/>
      <c r="L157" s="44"/>
      <c r="M157" s="44"/>
      <c r="N157" s="44"/>
      <c r="O157" s="776" t="s">
        <v>71</v>
      </c>
      <c r="P157" s="777">
        <f>((P149*5)+P154+P155)/7</f>
        <v>0.27857142857142858</v>
      </c>
      <c r="R157" s="115"/>
      <c r="S157" s="115"/>
      <c r="T157" s="115"/>
      <c r="U157" s="115"/>
      <c r="V157" s="115"/>
      <c r="W157" s="776" t="s">
        <v>71</v>
      </c>
      <c r="X157" s="777">
        <f>((X149*5)+X154+X155)/7</f>
        <v>0.45000000000000007</v>
      </c>
      <c r="Y157" s="44"/>
      <c r="Z157" s="44"/>
      <c r="AA157" s="44"/>
      <c r="AB157" s="44"/>
      <c r="AC157" s="44"/>
      <c r="AD157" s="44"/>
      <c r="AE157" s="44"/>
      <c r="AF157" s="44"/>
      <c r="AG157" s="44"/>
    </row>
    <row r="158" spans="2:33" s="102" customFormat="1">
      <c r="B158" s="103"/>
      <c r="C158" s="105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</row>
    <row r="159" spans="2:33" s="102" customFormat="1"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</row>
    <row r="160" spans="2:33" s="102" customFormat="1"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</row>
    <row r="161" spans="2:33" s="102" customFormat="1"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</row>
    <row r="162" spans="2:33" s="102" customFormat="1"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</row>
    <row r="163" spans="2:33" s="102" customFormat="1"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</row>
    <row r="164" spans="2:33" s="102" customFormat="1"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</row>
    <row r="165" spans="2:33" s="102" customFormat="1"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</row>
    <row r="166" spans="2:33" s="102" customFormat="1"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</row>
    <row r="167" spans="2:33" s="102" customFormat="1"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</row>
    <row r="168" spans="2:33" s="102" customFormat="1"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</row>
    <row r="169" spans="2:33" s="102" customFormat="1"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</row>
    <row r="170" spans="2:33" s="102" customFormat="1"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</row>
    <row r="171" spans="2:33" s="102" customFormat="1"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</row>
    <row r="172" spans="2:33" s="102" customFormat="1"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</row>
    <row r="173" spans="2:33" s="102" customFormat="1"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</row>
    <row r="174" spans="2:33" s="102" customFormat="1"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</row>
    <row r="175" spans="2:33" s="102" customFormat="1"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</row>
    <row r="176" spans="2:33" s="102" customFormat="1"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</row>
    <row r="177" spans="2:33" s="102" customFormat="1"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</row>
    <row r="178" spans="2:33" s="102" customFormat="1"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</row>
    <row r="179" spans="2:33" s="102" customFormat="1"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</row>
    <row r="180" spans="2:33" s="102" customFormat="1"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</row>
    <row r="181" spans="2:33" s="102" customFormat="1"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</row>
    <row r="182" spans="2:33" s="102" customFormat="1"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</row>
    <row r="183" spans="2:33" s="102" customFormat="1"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</row>
    <row r="184" spans="2:33" s="102" customFormat="1"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</row>
    <row r="185" spans="2:33" s="102" customFormat="1"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</row>
    <row r="186" spans="2:33" s="102" customFormat="1"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</row>
    <row r="187" spans="2:33" s="102" customFormat="1"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</row>
    <row r="188" spans="2:33" s="102" customFormat="1"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</row>
    <row r="189" spans="2:33" s="102" customFormat="1"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</row>
    <row r="190" spans="2:33" s="102" customFormat="1"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</row>
    <row r="191" spans="2:33" s="102" customFormat="1"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</row>
    <row r="192" spans="2:33" s="102" customFormat="1">
      <c r="D192" s="107"/>
      <c r="E192" s="107"/>
      <c r="F192" s="107"/>
    </row>
    <row r="193" spans="4:6" s="102" customFormat="1">
      <c r="D193" s="107"/>
      <c r="E193" s="107"/>
      <c r="F193" s="107"/>
    </row>
    <row r="194" spans="4:6" s="102" customFormat="1">
      <c r="D194" s="107"/>
      <c r="E194" s="107"/>
      <c r="F194" s="107"/>
    </row>
    <row r="195" spans="4:6" s="102" customFormat="1">
      <c r="D195" s="107"/>
      <c r="E195" s="107"/>
      <c r="F195" s="107"/>
    </row>
    <row r="196" spans="4:6" s="102" customFormat="1">
      <c r="D196" s="107"/>
      <c r="E196" s="107"/>
      <c r="F196" s="107"/>
    </row>
    <row r="197" spans="4:6" s="102" customFormat="1">
      <c r="D197" s="107"/>
      <c r="E197" s="107"/>
      <c r="F197" s="107"/>
    </row>
    <row r="198" spans="4:6" s="102" customFormat="1">
      <c r="D198" s="107"/>
      <c r="E198" s="107"/>
      <c r="F198" s="107"/>
    </row>
    <row r="199" spans="4:6" s="102" customFormat="1">
      <c r="D199" s="107"/>
      <c r="E199" s="107"/>
      <c r="F199" s="107"/>
    </row>
    <row r="200" spans="4:6" s="102" customFormat="1">
      <c r="D200" s="107"/>
      <c r="E200" s="107"/>
      <c r="F200" s="107"/>
    </row>
    <row r="201" spans="4:6" s="102" customFormat="1">
      <c r="D201" s="107"/>
      <c r="E201" s="107"/>
      <c r="F201" s="107"/>
    </row>
    <row r="202" spans="4:6" s="102" customFormat="1">
      <c r="D202" s="107"/>
      <c r="E202" s="107"/>
      <c r="F202" s="107"/>
    </row>
    <row r="203" spans="4:6" s="102" customFormat="1">
      <c r="D203" s="107"/>
      <c r="E203" s="107"/>
      <c r="F203" s="107"/>
    </row>
    <row r="204" spans="4:6" s="102" customFormat="1">
      <c r="D204" s="107"/>
      <c r="E204" s="107"/>
      <c r="F204" s="107"/>
    </row>
    <row r="205" spans="4:6" s="102" customFormat="1">
      <c r="D205" s="107"/>
      <c r="E205" s="107"/>
      <c r="F205" s="107"/>
    </row>
    <row r="206" spans="4:6" s="102" customFormat="1">
      <c r="D206" s="107"/>
      <c r="E206" s="107"/>
      <c r="F206" s="107"/>
    </row>
    <row r="207" spans="4:6" s="102" customFormat="1">
      <c r="D207" s="107"/>
      <c r="E207" s="107"/>
      <c r="F207" s="107"/>
    </row>
    <row r="208" spans="4:6" s="102" customFormat="1">
      <c r="D208" s="107"/>
      <c r="E208" s="107"/>
      <c r="F208" s="107"/>
    </row>
    <row r="209" spans="4:6" s="102" customFormat="1">
      <c r="D209" s="107"/>
      <c r="E209" s="107"/>
      <c r="F209" s="107"/>
    </row>
    <row r="210" spans="4:6" s="102" customFormat="1">
      <c r="D210" s="107"/>
      <c r="E210" s="107"/>
      <c r="F210" s="107"/>
    </row>
    <row r="211" spans="4:6" s="102" customFormat="1">
      <c r="D211" s="107"/>
      <c r="E211" s="107"/>
      <c r="F211" s="107"/>
    </row>
    <row r="212" spans="4:6" s="102" customFormat="1">
      <c r="D212" s="107"/>
      <c r="E212" s="107"/>
      <c r="F212" s="107"/>
    </row>
    <row r="213" spans="4:6" s="102" customFormat="1">
      <c r="D213" s="107"/>
      <c r="E213" s="107"/>
      <c r="F213" s="107"/>
    </row>
    <row r="214" spans="4:6" s="102" customFormat="1">
      <c r="D214" s="107"/>
      <c r="E214" s="107"/>
      <c r="F214" s="107"/>
    </row>
    <row r="215" spans="4:6" s="102" customFormat="1">
      <c r="D215" s="107"/>
      <c r="E215" s="107"/>
      <c r="F215" s="107"/>
    </row>
    <row r="216" spans="4:6" s="102" customFormat="1">
      <c r="D216" s="107"/>
      <c r="E216" s="107"/>
      <c r="F216" s="107"/>
    </row>
    <row r="217" spans="4:6" s="102" customFormat="1">
      <c r="D217" s="107"/>
      <c r="E217" s="107"/>
      <c r="F217" s="107"/>
    </row>
    <row r="218" spans="4:6" s="102" customFormat="1">
      <c r="D218" s="107"/>
      <c r="E218" s="107"/>
      <c r="F218" s="107"/>
    </row>
    <row r="219" spans="4:6" s="102" customFormat="1">
      <c r="D219" s="107"/>
      <c r="E219" s="107"/>
      <c r="F219" s="107"/>
    </row>
    <row r="220" spans="4:6" s="102" customFormat="1">
      <c r="D220" s="107"/>
      <c r="E220" s="107"/>
      <c r="F220" s="107"/>
    </row>
    <row r="221" spans="4:6" s="102" customFormat="1">
      <c r="D221" s="107"/>
      <c r="E221" s="107"/>
      <c r="F221" s="107"/>
    </row>
    <row r="222" spans="4:6" s="102" customFormat="1">
      <c r="D222" s="107"/>
      <c r="E222" s="107"/>
      <c r="F222" s="107"/>
    </row>
    <row r="223" spans="4:6" s="102" customFormat="1">
      <c r="D223" s="107"/>
      <c r="E223" s="107"/>
      <c r="F223" s="10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8AEE0-2A7A-4E4D-B593-0DD03972EB12}">
  <sheetPr>
    <tabColor theme="9" tint="0.79998168889431442"/>
  </sheetPr>
  <dimension ref="B2:AG53"/>
  <sheetViews>
    <sheetView zoomScale="130" zoomScaleNormal="130" workbookViewId="0">
      <selection activeCell="C16" sqref="C16"/>
    </sheetView>
  </sheetViews>
  <sheetFormatPr defaultColWidth="10.77734375" defaultRowHeight="14.4"/>
  <cols>
    <col min="1" max="1" width="2.44140625" style="48" customWidth="1"/>
    <col min="2" max="2" width="13.77734375" style="48" bestFit="1" customWidth="1"/>
    <col min="3" max="3" width="12.109375" style="48" bestFit="1" customWidth="1"/>
    <col min="4" max="4" width="7.109375" style="66" bestFit="1" customWidth="1"/>
    <col min="5" max="5" width="10.77734375" style="66" bestFit="1" customWidth="1"/>
    <col min="6" max="6" width="14" style="66" bestFit="1" customWidth="1"/>
    <col min="7" max="7" width="16" style="48" bestFit="1" customWidth="1"/>
    <col min="8" max="8" width="10.77734375" style="48" bestFit="1" customWidth="1"/>
    <col min="9" max="9" width="12.6640625" style="48" customWidth="1"/>
    <col min="10" max="10" width="21.77734375" style="48" bestFit="1" customWidth="1"/>
    <col min="11" max="11" width="10.77734375" style="48" customWidth="1"/>
    <col min="12" max="12" width="13.6640625" style="48" bestFit="1" customWidth="1"/>
    <col min="13" max="13" width="20.109375" style="48" bestFit="1" customWidth="1"/>
    <col min="14" max="14" width="12.77734375" style="48" bestFit="1" customWidth="1"/>
    <col min="15" max="15" width="10.77734375" style="48" bestFit="1" customWidth="1"/>
    <col min="16" max="16" width="16" style="48" bestFit="1" customWidth="1"/>
    <col min="17" max="17" width="9.44140625" style="48" bestFit="1" customWidth="1"/>
    <col min="18" max="18" width="34.77734375" style="48" customWidth="1"/>
    <col min="19" max="19" width="10.77734375" style="48"/>
    <col min="20" max="20" width="24.109375" style="48" bestFit="1" customWidth="1"/>
    <col min="21" max="21" width="10.77734375" style="48" bestFit="1" customWidth="1"/>
    <col min="22" max="23" width="10.77734375" style="48"/>
    <col min="24" max="26" width="10.77734375" style="48" bestFit="1" customWidth="1"/>
    <col min="27" max="27" width="41.109375" style="48" customWidth="1"/>
    <col min="28" max="28" width="4.44140625" style="48" bestFit="1" customWidth="1"/>
    <col min="29" max="29" width="10.77734375" style="48"/>
    <col min="30" max="30" width="10.77734375" style="48" bestFit="1" customWidth="1"/>
    <col min="31" max="32" width="10.77734375" style="48"/>
    <col min="33" max="35" width="10.77734375" style="48" bestFit="1" customWidth="1"/>
    <col min="36" max="36" width="45.44140625" style="48" customWidth="1"/>
    <col min="37" max="16384" width="10.77734375" style="48"/>
  </cols>
  <sheetData>
    <row r="2" spans="2:33" ht="17.399999999999999">
      <c r="B2" s="131" t="s">
        <v>299</v>
      </c>
      <c r="C2" s="129"/>
      <c r="D2" s="130"/>
      <c r="E2" s="130"/>
      <c r="F2" s="130"/>
      <c r="G2" s="129"/>
    </row>
    <row r="3" spans="2:33" ht="15" thickBot="1">
      <c r="B3" s="27"/>
      <c r="C3" s="27"/>
      <c r="D3" s="27"/>
      <c r="E3" s="27"/>
      <c r="F3" s="27"/>
      <c r="H3" s="27"/>
      <c r="I3" s="27"/>
      <c r="J3" s="27"/>
      <c r="K3" s="27"/>
      <c r="L3" s="27"/>
      <c r="M3" s="27"/>
      <c r="N3" s="27"/>
    </row>
    <row r="4" spans="2:33">
      <c r="B4" s="132"/>
      <c r="C4" s="589" t="s">
        <v>11</v>
      </c>
      <c r="D4" s="590" t="s">
        <v>12</v>
      </c>
      <c r="E4" s="591" t="s">
        <v>13</v>
      </c>
      <c r="F4" s="592" t="s">
        <v>10</v>
      </c>
      <c r="G4" s="593" t="s">
        <v>14</v>
      </c>
      <c r="H4" s="67"/>
      <c r="K4" s="27"/>
      <c r="L4" s="27"/>
    </row>
    <row r="5" spans="2:33" ht="15" thickBot="1">
      <c r="B5" s="137" t="s">
        <v>299</v>
      </c>
      <c r="C5" s="633">
        <f>G17</f>
        <v>20.29059829059829</v>
      </c>
      <c r="D5" s="634">
        <f>G26</f>
        <v>10.145299145299145</v>
      </c>
      <c r="E5" s="635">
        <f>G35</f>
        <v>9.9658119658119642</v>
      </c>
      <c r="F5" s="835">
        <f>AVERAGE(C5:E5,G5)</f>
        <v>12.255074786324785</v>
      </c>
      <c r="G5" s="636">
        <f>G53</f>
        <v>8.6185897435897427</v>
      </c>
      <c r="J5" s="27"/>
    </row>
    <row r="6" spans="2:33">
      <c r="B6" s="27"/>
      <c r="C6" s="27"/>
      <c r="D6" s="71"/>
      <c r="E6" s="109"/>
      <c r="F6" s="71"/>
      <c r="H6" s="108"/>
      <c r="I6" s="101"/>
      <c r="J6" s="101"/>
      <c r="K6" s="38"/>
      <c r="L6" s="27"/>
      <c r="M6" s="73"/>
      <c r="N6" s="27"/>
    </row>
    <row r="7" spans="2:33">
      <c r="B7" s="27"/>
      <c r="C7" s="27"/>
      <c r="D7" s="71"/>
      <c r="E7" s="109"/>
      <c r="F7" s="71"/>
      <c r="H7" s="108"/>
      <c r="I7" s="101"/>
      <c r="J7" s="101"/>
      <c r="K7" s="38"/>
      <c r="L7" s="27"/>
      <c r="M7" s="73"/>
      <c r="N7" s="27"/>
    </row>
    <row r="8" spans="2:33" s="102" customFormat="1" ht="12" customHeight="1">
      <c r="B8" s="68" t="s">
        <v>299</v>
      </c>
      <c r="C8" s="68"/>
      <c r="D8" s="68"/>
      <c r="E8" s="68"/>
      <c r="F8" s="68"/>
      <c r="G8" s="47"/>
      <c r="H8" s="46"/>
      <c r="I8" s="46"/>
      <c r="J8" s="46"/>
      <c r="R8" s="46"/>
      <c r="S8" s="46"/>
      <c r="T8" s="46"/>
      <c r="U8" s="46"/>
      <c r="V8" s="114"/>
      <c r="W8" s="114"/>
      <c r="X8" s="114"/>
    </row>
    <row r="9" spans="2:33" s="102" customFormat="1">
      <c r="B9" s="44"/>
      <c r="C9" s="44"/>
      <c r="D9" s="44"/>
      <c r="E9" s="44"/>
      <c r="F9" s="44"/>
      <c r="G9" s="44"/>
      <c r="H9" s="44"/>
      <c r="I9" s="44"/>
      <c r="J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</row>
    <row r="10" spans="2:33">
      <c r="B10" s="584" t="s">
        <v>11</v>
      </c>
      <c r="C10" s="585"/>
      <c r="D10" s="585"/>
      <c r="E10" s="585"/>
      <c r="F10" s="585"/>
      <c r="G10" s="585"/>
    </row>
    <row r="11" spans="2:33" ht="15" thickBot="1">
      <c r="B11" s="571"/>
      <c r="D11" s="48"/>
      <c r="E11" s="48"/>
      <c r="F11" s="48"/>
    </row>
    <row r="12" spans="2:33" ht="15" thickBot="1">
      <c r="B12" s="607" t="s">
        <v>299</v>
      </c>
      <c r="C12" s="609" t="s">
        <v>309</v>
      </c>
      <c r="D12" s="608" t="s">
        <v>310</v>
      </c>
      <c r="E12" s="609" t="s">
        <v>311</v>
      </c>
      <c r="F12" s="609" t="s">
        <v>312</v>
      </c>
      <c r="G12" s="632" t="s">
        <v>313</v>
      </c>
    </row>
    <row r="13" spans="2:33">
      <c r="B13" s="572" t="s">
        <v>300</v>
      </c>
      <c r="C13" s="573">
        <v>256</v>
      </c>
      <c r="D13" s="574" t="s">
        <v>301</v>
      </c>
      <c r="E13" s="575">
        <f>C13*(2/18)</f>
        <v>28.444444444444443</v>
      </c>
      <c r="F13" s="573">
        <v>16</v>
      </c>
      <c r="G13" s="576">
        <f>E13*F13</f>
        <v>455.11111111111109</v>
      </c>
    </row>
    <row r="14" spans="2:33">
      <c r="B14" s="572" t="s">
        <v>302</v>
      </c>
      <c r="C14" s="573">
        <v>102</v>
      </c>
      <c r="D14" s="574" t="s">
        <v>303</v>
      </c>
      <c r="E14" s="575">
        <f>C14*(4/18)</f>
        <v>22.666666666666664</v>
      </c>
      <c r="F14" s="573">
        <v>24</v>
      </c>
      <c r="G14" s="576">
        <f t="shared" ref="G14:G15" si="0">E14*F14</f>
        <v>544</v>
      </c>
    </row>
    <row r="15" spans="2:33" ht="15" thickBot="1">
      <c r="B15" s="577" t="s">
        <v>133</v>
      </c>
      <c r="C15" s="578">
        <v>7</v>
      </c>
      <c r="D15" s="579" t="s">
        <v>304</v>
      </c>
      <c r="E15" s="580">
        <f>C15*(6/18)</f>
        <v>2.333333333333333</v>
      </c>
      <c r="F15" s="578">
        <v>24</v>
      </c>
      <c r="G15" s="581">
        <f t="shared" si="0"/>
        <v>55.999999999999993</v>
      </c>
    </row>
    <row r="16" spans="2:33">
      <c r="D16" s="48"/>
      <c r="E16" s="582"/>
      <c r="F16" s="628" t="s">
        <v>305</v>
      </c>
      <c r="G16" s="630">
        <f>SUM(G13:G15)</f>
        <v>1055.1111111111111</v>
      </c>
    </row>
    <row r="17" spans="2:7" ht="15" thickBot="1">
      <c r="D17" s="48"/>
      <c r="E17" s="583"/>
      <c r="F17" s="629" t="s">
        <v>306</v>
      </c>
      <c r="G17" s="631">
        <f>G16/52</f>
        <v>20.29059829059829</v>
      </c>
    </row>
    <row r="18" spans="2:7">
      <c r="D18" s="48"/>
      <c r="E18" s="48"/>
      <c r="F18" s="48"/>
    </row>
    <row r="19" spans="2:7">
      <c r="B19" s="594" t="s">
        <v>12</v>
      </c>
      <c r="C19" s="595"/>
      <c r="D19" s="595"/>
      <c r="E19" s="596"/>
      <c r="F19" s="595"/>
      <c r="G19" s="595"/>
    </row>
    <row r="20" spans="2:7" ht="15" thickBot="1">
      <c r="D20" s="48"/>
      <c r="E20" s="48"/>
      <c r="F20" s="48"/>
    </row>
    <row r="21" spans="2:7" ht="15" thickBot="1">
      <c r="B21" s="607" t="s">
        <v>299</v>
      </c>
      <c r="C21" s="609" t="s">
        <v>309</v>
      </c>
      <c r="D21" s="608" t="s">
        <v>310</v>
      </c>
      <c r="E21" s="609" t="s">
        <v>311</v>
      </c>
      <c r="F21" s="609" t="s">
        <v>312</v>
      </c>
      <c r="G21" s="632" t="s">
        <v>313</v>
      </c>
    </row>
    <row r="22" spans="2:7">
      <c r="B22" s="572" t="s">
        <v>300</v>
      </c>
      <c r="C22" s="573">
        <v>256</v>
      </c>
      <c r="D22" s="574" t="s">
        <v>307</v>
      </c>
      <c r="E22" s="575">
        <f>C22*(1/18)</f>
        <v>14.222222222222221</v>
      </c>
      <c r="F22" s="573">
        <v>16</v>
      </c>
      <c r="G22" s="576">
        <f>E22*F22</f>
        <v>227.55555555555554</v>
      </c>
    </row>
    <row r="23" spans="2:7">
      <c r="B23" s="572" t="s">
        <v>302</v>
      </c>
      <c r="C23" s="573">
        <v>102</v>
      </c>
      <c r="D23" s="574" t="s">
        <v>301</v>
      </c>
      <c r="E23" s="575">
        <f>C23*(2/18)</f>
        <v>11.333333333333332</v>
      </c>
      <c r="F23" s="573">
        <v>24</v>
      </c>
      <c r="G23" s="576">
        <f t="shared" ref="G23:G24" si="1">E23*F23</f>
        <v>272</v>
      </c>
    </row>
    <row r="24" spans="2:7" ht="15" thickBot="1">
      <c r="B24" s="577" t="s">
        <v>133</v>
      </c>
      <c r="C24" s="578">
        <v>7</v>
      </c>
      <c r="D24" s="579" t="s">
        <v>308</v>
      </c>
      <c r="E24" s="580">
        <f>C24*(3/18)</f>
        <v>1.1666666666666665</v>
      </c>
      <c r="F24" s="578">
        <v>24</v>
      </c>
      <c r="G24" s="581">
        <f t="shared" si="1"/>
        <v>27.999999999999996</v>
      </c>
    </row>
    <row r="25" spans="2:7">
      <c r="D25" s="48"/>
      <c r="E25" s="582"/>
      <c r="F25" s="628" t="s">
        <v>305</v>
      </c>
      <c r="G25" s="630">
        <f>SUM(G22:G24)</f>
        <v>527.55555555555554</v>
      </c>
    </row>
    <row r="26" spans="2:7" ht="15" thickBot="1">
      <c r="D26" s="48"/>
      <c r="E26" s="583"/>
      <c r="F26" s="629" t="s">
        <v>306</v>
      </c>
      <c r="G26" s="631">
        <f>G25/52</f>
        <v>10.145299145299145</v>
      </c>
    </row>
    <row r="27" spans="2:7">
      <c r="D27" s="48"/>
      <c r="E27" s="583"/>
      <c r="F27" s="602"/>
      <c r="G27" s="605"/>
    </row>
    <row r="28" spans="2:7">
      <c r="B28" s="599" t="s">
        <v>13</v>
      </c>
      <c r="C28" s="600"/>
      <c r="D28" s="600"/>
      <c r="E28" s="601"/>
      <c r="F28" s="600"/>
      <c r="G28" s="600"/>
    </row>
    <row r="29" spans="2:7" ht="15" thickBot="1">
      <c r="B29" s="571"/>
      <c r="D29" s="48"/>
      <c r="E29" s="583"/>
      <c r="F29" s="48"/>
    </row>
    <row r="30" spans="2:7" ht="15" thickBot="1">
      <c r="B30" s="607" t="s">
        <v>299</v>
      </c>
      <c r="C30" s="609" t="s">
        <v>309</v>
      </c>
      <c r="D30" s="608" t="s">
        <v>310</v>
      </c>
      <c r="E30" s="609" t="s">
        <v>311</v>
      </c>
      <c r="F30" s="609" t="s">
        <v>312</v>
      </c>
      <c r="G30" s="632" t="s">
        <v>313</v>
      </c>
    </row>
    <row r="31" spans="2:7">
      <c r="B31" s="572" t="s">
        <v>300</v>
      </c>
      <c r="C31" s="573">
        <v>256</v>
      </c>
      <c r="D31" s="574" t="s">
        <v>307</v>
      </c>
      <c r="E31" s="575">
        <f>C31*(1/18)</f>
        <v>14.222222222222221</v>
      </c>
      <c r="F31" s="573">
        <v>16</v>
      </c>
      <c r="G31" s="576">
        <f>E31*F31</f>
        <v>227.55555555555554</v>
      </c>
    </row>
    <row r="32" spans="2:7">
      <c r="B32" s="572" t="s">
        <v>302</v>
      </c>
      <c r="C32" s="573">
        <v>102</v>
      </c>
      <c r="D32" s="574" t="s">
        <v>301</v>
      </c>
      <c r="E32" s="575">
        <f>C32*(2/18)</f>
        <v>11.333333333333332</v>
      </c>
      <c r="F32" s="573">
        <v>24</v>
      </c>
      <c r="G32" s="576">
        <f t="shared" ref="G32:G33" si="2">E32*F32</f>
        <v>272</v>
      </c>
    </row>
    <row r="33" spans="2:13" ht="15" thickBot="1">
      <c r="B33" s="577" t="s">
        <v>133</v>
      </c>
      <c r="C33" s="578">
        <v>7</v>
      </c>
      <c r="D33" s="579" t="s">
        <v>301</v>
      </c>
      <c r="E33" s="580">
        <f>C33*(2/18)</f>
        <v>0.77777777777777768</v>
      </c>
      <c r="F33" s="578">
        <v>24</v>
      </c>
      <c r="G33" s="581">
        <f t="shared" si="2"/>
        <v>18.666666666666664</v>
      </c>
    </row>
    <row r="34" spans="2:13">
      <c r="D34" s="48"/>
      <c r="E34" s="582"/>
      <c r="F34" s="628" t="s">
        <v>305</v>
      </c>
      <c r="G34" s="630">
        <f>SUM(G31:G33)</f>
        <v>518.22222222222217</v>
      </c>
    </row>
    <row r="35" spans="2:13" ht="15" thickBot="1">
      <c r="D35" s="48"/>
      <c r="E35" s="583"/>
      <c r="F35" s="629" t="s">
        <v>306</v>
      </c>
      <c r="G35" s="631">
        <f>G34/52</f>
        <v>9.9658119658119642</v>
      </c>
    </row>
    <row r="36" spans="2:13">
      <c r="D36" s="48"/>
      <c r="E36" s="48"/>
      <c r="F36" s="48"/>
      <c r="K36" s="66"/>
      <c r="L36" s="66"/>
      <c r="M36" s="66"/>
    </row>
    <row r="37" spans="2:13">
      <c r="B37" s="606" t="s">
        <v>10</v>
      </c>
      <c r="C37" s="603"/>
      <c r="D37" s="603"/>
      <c r="E37" s="604"/>
      <c r="F37" s="603"/>
      <c r="G37" s="603"/>
    </row>
    <row r="38" spans="2:13" ht="15" thickBot="1">
      <c r="B38" s="571"/>
      <c r="D38" s="48"/>
      <c r="E38" s="583"/>
      <c r="F38" s="48"/>
    </row>
    <row r="39" spans="2:13" ht="15" thickBot="1">
      <c r="B39" s="612" t="s">
        <v>299</v>
      </c>
      <c r="C39" s="613" t="s">
        <v>309</v>
      </c>
      <c r="D39" s="614" t="s">
        <v>310</v>
      </c>
      <c r="E39" s="613" t="s">
        <v>311</v>
      </c>
      <c r="F39" s="613" t="s">
        <v>312</v>
      </c>
      <c r="G39" s="615" t="s">
        <v>313</v>
      </c>
    </row>
    <row r="40" spans="2:13">
      <c r="B40" s="616" t="s">
        <v>300</v>
      </c>
      <c r="C40" s="617">
        <v>256</v>
      </c>
      <c r="D40" s="618" t="s">
        <v>307</v>
      </c>
      <c r="E40" s="619"/>
      <c r="F40" s="617">
        <v>16</v>
      </c>
      <c r="G40" s="620">
        <f>E40*F40</f>
        <v>0</v>
      </c>
    </row>
    <row r="41" spans="2:13">
      <c r="B41" s="616" t="s">
        <v>302</v>
      </c>
      <c r="C41" s="617">
        <v>102</v>
      </c>
      <c r="D41" s="618" t="s">
        <v>301</v>
      </c>
      <c r="E41" s="619"/>
      <c r="F41" s="617">
        <v>24</v>
      </c>
      <c r="G41" s="620">
        <f t="shared" ref="G41:G42" si="3">E41*F41</f>
        <v>0</v>
      </c>
    </row>
    <row r="42" spans="2:13" ht="15" thickBot="1">
      <c r="B42" s="621" t="s">
        <v>133</v>
      </c>
      <c r="C42" s="622">
        <v>7</v>
      </c>
      <c r="D42" s="623" t="s">
        <v>301</v>
      </c>
      <c r="E42" s="624"/>
      <c r="F42" s="622">
        <v>24</v>
      </c>
      <c r="G42" s="625">
        <f t="shared" si="3"/>
        <v>0</v>
      </c>
    </row>
    <row r="43" spans="2:13" ht="15" thickBot="1">
      <c r="D43" s="48"/>
      <c r="E43" s="582"/>
      <c r="F43" s="626" t="s">
        <v>305</v>
      </c>
      <c r="G43" s="610">
        <f>SUM(G40:G42)</f>
        <v>0</v>
      </c>
    </row>
    <row r="44" spans="2:13" ht="15" thickBot="1">
      <c r="D44" s="48"/>
      <c r="E44" s="583"/>
      <c r="F44" s="627" t="s">
        <v>306</v>
      </c>
      <c r="G44" s="611">
        <f>G43/52</f>
        <v>0</v>
      </c>
    </row>
    <row r="46" spans="2:13">
      <c r="B46" s="128" t="s">
        <v>14</v>
      </c>
      <c r="C46" s="597"/>
      <c r="D46" s="597"/>
      <c r="E46" s="598"/>
      <c r="F46" s="597"/>
      <c r="G46" s="597"/>
    </row>
    <row r="47" spans="2:13" ht="15" thickBot="1">
      <c r="B47" s="571"/>
      <c r="D47" s="48"/>
      <c r="E47" s="583"/>
      <c r="F47" s="48"/>
    </row>
    <row r="48" spans="2:13" ht="15" thickBot="1">
      <c r="B48" s="607" t="s">
        <v>299</v>
      </c>
      <c r="C48" s="609" t="s">
        <v>309</v>
      </c>
      <c r="D48" s="608" t="s">
        <v>310</v>
      </c>
      <c r="E48" s="609" t="s">
        <v>311</v>
      </c>
      <c r="F48" s="609" t="s">
        <v>312</v>
      </c>
      <c r="G48" s="632" t="s">
        <v>313</v>
      </c>
    </row>
    <row r="49" spans="2:7">
      <c r="B49" s="572" t="s">
        <v>300</v>
      </c>
      <c r="C49" s="573">
        <v>256</v>
      </c>
      <c r="D49" s="574" t="s">
        <v>314</v>
      </c>
      <c r="E49" s="575">
        <f>C49*(1/24)</f>
        <v>10.666666666666666</v>
      </c>
      <c r="F49" s="573">
        <v>16</v>
      </c>
      <c r="G49" s="576">
        <f>E49*F49</f>
        <v>170.66666666666666</v>
      </c>
    </row>
    <row r="50" spans="2:7">
      <c r="B50" s="572" t="s">
        <v>302</v>
      </c>
      <c r="C50" s="573">
        <v>102</v>
      </c>
      <c r="D50" s="574" t="s">
        <v>315</v>
      </c>
      <c r="E50" s="575">
        <f>C50*(2.5/24)</f>
        <v>10.625</v>
      </c>
      <c r="F50" s="573">
        <v>24</v>
      </c>
      <c r="G50" s="576">
        <f>E50*F50</f>
        <v>255</v>
      </c>
    </row>
    <row r="51" spans="2:7" ht="15" thickBot="1">
      <c r="B51" s="577" t="s">
        <v>133</v>
      </c>
      <c r="C51" s="578">
        <v>9</v>
      </c>
      <c r="D51" s="579" t="s">
        <v>316</v>
      </c>
      <c r="E51" s="580">
        <f>C51*(2.5/24)</f>
        <v>0.9375</v>
      </c>
      <c r="F51" s="578">
        <v>24</v>
      </c>
      <c r="G51" s="581">
        <f>E51*F51</f>
        <v>22.5</v>
      </c>
    </row>
    <row r="52" spans="2:7">
      <c r="D52" s="48"/>
      <c r="E52" s="582"/>
      <c r="F52" s="628" t="s">
        <v>305</v>
      </c>
      <c r="G52" s="630">
        <f>SUM(G49:G51)</f>
        <v>448.16666666666663</v>
      </c>
    </row>
    <row r="53" spans="2:7" ht="15" thickBot="1">
      <c r="D53" s="48"/>
      <c r="E53" s="583"/>
      <c r="F53" s="629" t="s">
        <v>306</v>
      </c>
      <c r="G53" s="631">
        <f>G52/52</f>
        <v>8.6185897435897427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7183-EF0D-4D38-9A36-DA660B38F0F9}">
  <sheetPr>
    <tabColor theme="9" tint="0.79998168889431442"/>
  </sheetPr>
  <dimension ref="A1:K107"/>
  <sheetViews>
    <sheetView zoomScale="70" zoomScaleNormal="70" workbookViewId="0">
      <pane xSplit="4" ySplit="2" topLeftCell="E29" activePane="bottomRight" state="frozen"/>
      <selection pane="topRight" activeCell="D1" sqref="D1"/>
      <selection pane="bottomLeft" activeCell="A5" sqref="A5"/>
      <selection pane="bottomRight" activeCell="H42" sqref="H42"/>
    </sheetView>
  </sheetViews>
  <sheetFormatPr defaultColWidth="8.77734375" defaultRowHeight="17.399999999999999"/>
  <cols>
    <col min="1" max="1" width="8.77734375" style="146"/>
    <col min="2" max="2" width="60" style="146" bestFit="1" customWidth="1"/>
    <col min="3" max="3" width="20" style="146" bestFit="1" customWidth="1"/>
    <col min="4" max="4" width="25.77734375" style="146" bestFit="1" customWidth="1"/>
    <col min="5" max="5" width="1.6640625" style="1" customWidth="1"/>
    <col min="6" max="6" width="16.109375" style="146" bestFit="1" customWidth="1"/>
    <col min="7" max="7" width="19.6640625" style="146" bestFit="1" customWidth="1"/>
    <col min="8" max="9" width="28.6640625" style="146" bestFit="1" customWidth="1"/>
    <col min="10" max="10" width="18.77734375" style="167" bestFit="1" customWidth="1"/>
    <col min="11" max="11" width="8.109375" style="167" customWidth="1"/>
    <col min="12" max="16384" width="8.77734375" style="146"/>
  </cols>
  <sheetData>
    <row r="1" spans="1:11" ht="18" thickBot="1">
      <c r="A1" s="277"/>
      <c r="B1" s="277"/>
      <c r="C1" s="277"/>
      <c r="D1" s="277"/>
      <c r="E1" s="231"/>
      <c r="F1" s="277"/>
      <c r="G1" s="277"/>
      <c r="H1" s="277"/>
      <c r="I1" s="277"/>
      <c r="J1" s="283"/>
      <c r="K1" s="288"/>
    </row>
    <row r="2" spans="1:11" s="147" customFormat="1" ht="39" customHeight="1" thickBot="1">
      <c r="A2" s="278"/>
      <c r="B2" s="278"/>
      <c r="C2" s="278"/>
      <c r="D2" s="278"/>
      <c r="E2" s="231"/>
      <c r="F2" s="561" t="s">
        <v>287</v>
      </c>
      <c r="G2" s="562" t="s">
        <v>288</v>
      </c>
      <c r="H2" s="562" t="s">
        <v>289</v>
      </c>
      <c r="I2" s="562" t="s">
        <v>290</v>
      </c>
      <c r="J2" s="563" t="s">
        <v>108</v>
      </c>
      <c r="K2" s="288"/>
    </row>
    <row r="3" spans="1:11">
      <c r="A3" s="277"/>
      <c r="B3" s="277"/>
      <c r="C3" s="277"/>
      <c r="D3" s="232" t="s">
        <v>11</v>
      </c>
      <c r="E3" s="231"/>
      <c r="F3" s="539">
        <v>0.5</v>
      </c>
      <c r="G3" s="197">
        <v>0.5</v>
      </c>
      <c r="H3" s="197">
        <v>0.5</v>
      </c>
      <c r="I3" s="197">
        <v>0.5</v>
      </c>
      <c r="J3" s="210">
        <v>0.5</v>
      </c>
      <c r="K3" s="288"/>
    </row>
    <row r="4" spans="1:11">
      <c r="A4" s="277"/>
      <c r="B4" s="277"/>
      <c r="C4" s="277"/>
      <c r="D4" s="233" t="s">
        <v>12</v>
      </c>
      <c r="E4" s="231"/>
      <c r="F4" s="238">
        <v>0.15</v>
      </c>
      <c r="G4" s="205">
        <v>0.15</v>
      </c>
      <c r="H4" s="205">
        <v>0.15</v>
      </c>
      <c r="I4" s="205">
        <v>0.15</v>
      </c>
      <c r="J4" s="211">
        <v>0.15</v>
      </c>
      <c r="K4" s="288"/>
    </row>
    <row r="5" spans="1:11">
      <c r="A5" s="277"/>
      <c r="B5" s="277"/>
      <c r="C5" s="277"/>
      <c r="D5" s="234" t="s">
        <v>13</v>
      </c>
      <c r="E5" s="231"/>
      <c r="F5" s="238">
        <v>0.35</v>
      </c>
      <c r="G5" s="205">
        <v>0.35</v>
      </c>
      <c r="H5" s="205">
        <v>0.35</v>
      </c>
      <c r="I5" s="205">
        <v>0.35</v>
      </c>
      <c r="J5" s="211">
        <v>0.35</v>
      </c>
      <c r="K5" s="288"/>
    </row>
    <row r="6" spans="1:11">
      <c r="A6" s="277"/>
      <c r="B6" s="277"/>
      <c r="C6" s="277"/>
      <c r="D6" s="235" t="s">
        <v>10</v>
      </c>
      <c r="E6" s="231"/>
      <c r="F6" s="240">
        <v>0</v>
      </c>
      <c r="G6" s="198">
        <v>0</v>
      </c>
      <c r="H6" s="198">
        <v>0</v>
      </c>
      <c r="I6" s="198">
        <v>0</v>
      </c>
      <c r="J6" s="211">
        <v>0</v>
      </c>
      <c r="K6" s="288"/>
    </row>
    <row r="7" spans="1:11" ht="18" thickBot="1">
      <c r="A7" s="277"/>
      <c r="B7" s="277"/>
      <c r="C7" s="277"/>
      <c r="D7" s="236" t="s">
        <v>14</v>
      </c>
      <c r="E7" s="231"/>
      <c r="F7" s="241">
        <v>0</v>
      </c>
      <c r="G7" s="199">
        <v>0</v>
      </c>
      <c r="H7" s="199">
        <v>0</v>
      </c>
      <c r="I7" s="199">
        <v>0</v>
      </c>
      <c r="J7" s="212">
        <v>0</v>
      </c>
      <c r="K7" s="288"/>
    </row>
    <row r="8" spans="1:11" ht="18" thickBot="1">
      <c r="A8" s="277"/>
      <c r="B8" s="277"/>
      <c r="C8" s="277"/>
      <c r="D8" s="550" t="s">
        <v>246</v>
      </c>
      <c r="E8" s="231"/>
      <c r="F8" s="555">
        <f>SUM(F3:F7)</f>
        <v>1</v>
      </c>
      <c r="G8" s="556">
        <f t="shared" ref="G8:I8" si="0">SUM(G3:G7)</f>
        <v>1</v>
      </c>
      <c r="H8" s="556">
        <f t="shared" si="0"/>
        <v>1</v>
      </c>
      <c r="I8" s="556">
        <f t="shared" si="0"/>
        <v>1</v>
      </c>
      <c r="J8" s="557">
        <f t="shared" ref="J8" si="1">SUM(J3:J7)</f>
        <v>1</v>
      </c>
      <c r="K8" s="288"/>
    </row>
    <row r="9" spans="1:11" ht="18" thickBot="1">
      <c r="A9" s="277"/>
      <c r="B9" s="277"/>
      <c r="C9" s="277"/>
      <c r="D9" s="237" t="s">
        <v>45</v>
      </c>
      <c r="E9" s="231"/>
      <c r="F9" s="242">
        <f>IF(OR(OR(F3="",F4="",F5="",F6="",F7=""),SUM(F3:F7)&lt;&gt;1),"Cao-mix incompleet!",SUM(F3:F7))</f>
        <v>1</v>
      </c>
      <c r="G9" s="196">
        <f t="shared" ref="G9:I9" si="2">IF(OR(OR(G3="",G4="",G5="",G6="",G7=""),SUM(G3:G7)&lt;&gt;1),"Cao-mix incompleet!",SUM(G3:G7))</f>
        <v>1</v>
      </c>
      <c r="H9" s="196">
        <f t="shared" si="2"/>
        <v>1</v>
      </c>
      <c r="I9" s="196">
        <f t="shared" si="2"/>
        <v>1</v>
      </c>
      <c r="J9" s="148">
        <f t="shared" ref="J9" si="3">IF(OR(OR(J3="",J4="",J5="",J6="",J7=""),SUM(J3:J7)&lt;&gt;1),"Cao-mix incompleet!",SUM(J3:J7))</f>
        <v>1</v>
      </c>
      <c r="K9" s="288"/>
    </row>
    <row r="10" spans="1:11" ht="18" thickBot="1">
      <c r="A10" s="277"/>
      <c r="B10" s="277"/>
      <c r="C10" s="277"/>
      <c r="D10" s="277"/>
      <c r="E10" s="231"/>
      <c r="F10" s="277"/>
      <c r="G10" s="277"/>
      <c r="H10" s="277"/>
      <c r="I10" s="277"/>
      <c r="J10" s="277"/>
      <c r="K10" s="288"/>
    </row>
    <row r="11" spans="1:11">
      <c r="A11" s="277"/>
      <c r="B11" s="149"/>
      <c r="C11" s="150" t="s">
        <v>44</v>
      </c>
      <c r="D11" s="243"/>
      <c r="E11" s="231"/>
      <c r="F11" s="520">
        <v>0</v>
      </c>
      <c r="G11" s="540">
        <v>0</v>
      </c>
      <c r="H11" s="540">
        <v>0</v>
      </c>
      <c r="I11" s="540">
        <v>0</v>
      </c>
      <c r="J11" s="541">
        <v>0</v>
      </c>
      <c r="K11" s="288"/>
    </row>
    <row r="12" spans="1:11">
      <c r="A12" s="277"/>
      <c r="B12" s="250"/>
      <c r="C12" s="153" t="s">
        <v>17</v>
      </c>
      <c r="D12" s="244"/>
      <c r="E12" s="231"/>
      <c r="F12" s="521">
        <v>0</v>
      </c>
      <c r="G12" s="523">
        <v>0</v>
      </c>
      <c r="H12" s="523">
        <v>0</v>
      </c>
      <c r="I12" s="523">
        <v>0</v>
      </c>
      <c r="J12" s="542">
        <v>0</v>
      </c>
      <c r="K12" s="288"/>
    </row>
    <row r="13" spans="1:11">
      <c r="A13" s="277"/>
      <c r="B13" s="1029" t="s">
        <v>18</v>
      </c>
      <c r="C13" s="248" t="s">
        <v>19</v>
      </c>
      <c r="D13" s="249" t="s">
        <v>170</v>
      </c>
      <c r="E13" s="231"/>
      <c r="F13" s="239">
        <v>0</v>
      </c>
      <c r="G13" s="197">
        <v>0</v>
      </c>
      <c r="H13" s="197">
        <v>0</v>
      </c>
      <c r="I13" s="197">
        <v>0</v>
      </c>
      <c r="J13" s="211">
        <v>0</v>
      </c>
      <c r="K13" s="288"/>
    </row>
    <row r="14" spans="1:11">
      <c r="A14" s="277"/>
      <c r="B14" s="1030"/>
      <c r="C14" s="153" t="s">
        <v>21</v>
      </c>
      <c r="D14" s="244" t="s">
        <v>20</v>
      </c>
      <c r="E14" s="231"/>
      <c r="F14" s="240">
        <v>0</v>
      </c>
      <c r="G14" s="198">
        <v>0</v>
      </c>
      <c r="H14" s="198">
        <v>0</v>
      </c>
      <c r="I14" s="198">
        <v>0</v>
      </c>
      <c r="J14" s="211">
        <v>0</v>
      </c>
      <c r="K14" s="288"/>
    </row>
    <row r="15" spans="1:11">
      <c r="A15" s="277"/>
      <c r="B15" s="1029" t="s">
        <v>22</v>
      </c>
      <c r="C15" s="248" t="s">
        <v>24</v>
      </c>
      <c r="D15" s="249" t="s">
        <v>23</v>
      </c>
      <c r="E15" s="231"/>
      <c r="F15" s="240">
        <v>0</v>
      </c>
      <c r="G15" s="198">
        <v>0</v>
      </c>
      <c r="H15" s="198">
        <v>0</v>
      </c>
      <c r="I15" s="198">
        <v>0</v>
      </c>
      <c r="J15" s="211">
        <v>0.5</v>
      </c>
      <c r="K15" s="288"/>
    </row>
    <row r="16" spans="1:11">
      <c r="A16" s="277"/>
      <c r="B16" s="1030"/>
      <c r="C16" s="153" t="s">
        <v>26</v>
      </c>
      <c r="D16" s="244" t="s">
        <v>25</v>
      </c>
      <c r="E16" s="231"/>
      <c r="F16" s="240">
        <v>0</v>
      </c>
      <c r="G16" s="198">
        <v>0</v>
      </c>
      <c r="H16" s="198">
        <v>0</v>
      </c>
      <c r="I16" s="198">
        <v>0</v>
      </c>
      <c r="J16" s="211">
        <v>0.5</v>
      </c>
      <c r="K16" s="288"/>
    </row>
    <row r="17" spans="1:11">
      <c r="A17" s="277"/>
      <c r="B17" s="1029" t="s">
        <v>27</v>
      </c>
      <c r="C17" s="248" t="s">
        <v>29</v>
      </c>
      <c r="D17" s="249" t="s">
        <v>28</v>
      </c>
      <c r="E17" s="231"/>
      <c r="F17" s="240">
        <v>0.5</v>
      </c>
      <c r="G17" s="198">
        <v>0.5</v>
      </c>
      <c r="H17" s="198">
        <v>0.5</v>
      </c>
      <c r="I17" s="198">
        <v>0.5</v>
      </c>
      <c r="J17" s="211">
        <v>0</v>
      </c>
      <c r="K17" s="288"/>
    </row>
    <row r="18" spans="1:11">
      <c r="A18" s="277"/>
      <c r="B18" s="1030"/>
      <c r="C18" s="153" t="s">
        <v>31</v>
      </c>
      <c r="D18" s="244" t="s">
        <v>30</v>
      </c>
      <c r="E18" s="231"/>
      <c r="F18" s="240">
        <v>0.5</v>
      </c>
      <c r="G18" s="198">
        <v>0.5</v>
      </c>
      <c r="H18" s="198">
        <v>0.5</v>
      </c>
      <c r="I18" s="198">
        <v>0.5</v>
      </c>
      <c r="J18" s="211">
        <v>0</v>
      </c>
      <c r="K18" s="288"/>
    </row>
    <row r="19" spans="1:11">
      <c r="A19" s="277"/>
      <c r="B19" s="1029" t="s">
        <v>32</v>
      </c>
      <c r="C19" s="248" t="s">
        <v>34</v>
      </c>
      <c r="D19" s="249" t="s">
        <v>33</v>
      </c>
      <c r="E19" s="231"/>
      <c r="F19" s="240">
        <v>0</v>
      </c>
      <c r="G19" s="198">
        <v>0</v>
      </c>
      <c r="H19" s="198">
        <v>0</v>
      </c>
      <c r="I19" s="198">
        <v>0</v>
      </c>
      <c r="J19" s="211">
        <v>0</v>
      </c>
      <c r="K19" s="288"/>
    </row>
    <row r="20" spans="1:11">
      <c r="A20" s="277"/>
      <c r="B20" s="1030"/>
      <c r="C20" s="153" t="s">
        <v>36</v>
      </c>
      <c r="D20" s="244" t="s">
        <v>35</v>
      </c>
      <c r="E20" s="231"/>
      <c r="F20" s="240">
        <v>0</v>
      </c>
      <c r="G20" s="198">
        <v>0</v>
      </c>
      <c r="H20" s="198">
        <v>0</v>
      </c>
      <c r="I20" s="198">
        <v>0</v>
      </c>
      <c r="J20" s="211">
        <v>0</v>
      </c>
      <c r="K20" s="288"/>
    </row>
    <row r="21" spans="1:11">
      <c r="A21" s="277"/>
      <c r="B21" s="1029" t="s">
        <v>37</v>
      </c>
      <c r="C21" s="248" t="s">
        <v>36</v>
      </c>
      <c r="D21" s="249" t="s">
        <v>35</v>
      </c>
      <c r="E21" s="231"/>
      <c r="F21" s="240">
        <v>0</v>
      </c>
      <c r="G21" s="198">
        <v>0</v>
      </c>
      <c r="H21" s="198">
        <v>0</v>
      </c>
      <c r="I21" s="198">
        <v>0</v>
      </c>
      <c r="J21" s="211">
        <v>0</v>
      </c>
      <c r="K21" s="288"/>
    </row>
    <row r="22" spans="1:11">
      <c r="A22" s="277"/>
      <c r="B22" s="1030"/>
      <c r="C22" s="153" t="s">
        <v>39</v>
      </c>
      <c r="D22" s="244" t="s">
        <v>38</v>
      </c>
      <c r="E22" s="231"/>
      <c r="F22" s="240">
        <v>0</v>
      </c>
      <c r="G22" s="198">
        <v>0</v>
      </c>
      <c r="H22" s="198">
        <v>0</v>
      </c>
      <c r="I22" s="198">
        <v>0</v>
      </c>
      <c r="J22" s="211">
        <v>0</v>
      </c>
      <c r="K22" s="288"/>
    </row>
    <row r="23" spans="1:11">
      <c r="A23" s="277"/>
      <c r="B23" s="1041" t="s">
        <v>40</v>
      </c>
      <c r="C23" s="248" t="s">
        <v>39</v>
      </c>
      <c r="D23" s="249" t="s">
        <v>38</v>
      </c>
      <c r="E23" s="231"/>
      <c r="F23" s="240">
        <v>0</v>
      </c>
      <c r="G23" s="198">
        <v>0</v>
      </c>
      <c r="H23" s="198">
        <v>0</v>
      </c>
      <c r="I23" s="198">
        <v>0</v>
      </c>
      <c r="J23" s="211">
        <v>0</v>
      </c>
      <c r="K23" s="288"/>
    </row>
    <row r="24" spans="1:11">
      <c r="A24" s="277"/>
      <c r="B24" s="1030"/>
      <c r="C24" s="153" t="s">
        <v>43</v>
      </c>
      <c r="D24" s="244" t="s">
        <v>41</v>
      </c>
      <c r="E24" s="231"/>
      <c r="F24" s="240">
        <v>0</v>
      </c>
      <c r="G24" s="198">
        <v>0</v>
      </c>
      <c r="H24" s="198">
        <v>0</v>
      </c>
      <c r="I24" s="198">
        <v>0</v>
      </c>
      <c r="J24" s="211">
        <v>0</v>
      </c>
      <c r="K24" s="288"/>
    </row>
    <row r="25" spans="1:11">
      <c r="A25" s="277"/>
      <c r="B25" s="251" t="s">
        <v>98</v>
      </c>
      <c r="C25" s="248" t="s">
        <v>96</v>
      </c>
      <c r="D25" s="244" t="s">
        <v>42</v>
      </c>
      <c r="E25" s="231"/>
      <c r="F25" s="240">
        <v>0</v>
      </c>
      <c r="G25" s="198">
        <v>0</v>
      </c>
      <c r="H25" s="198">
        <v>0</v>
      </c>
      <c r="I25" s="198">
        <v>0</v>
      </c>
      <c r="J25" s="211">
        <v>0</v>
      </c>
      <c r="K25" s="288"/>
    </row>
    <row r="26" spans="1:11">
      <c r="A26" s="277"/>
      <c r="B26" s="251" t="s">
        <v>99</v>
      </c>
      <c r="C26" s="146" t="s">
        <v>97</v>
      </c>
      <c r="D26" s="174" t="s">
        <v>95</v>
      </c>
      <c r="E26" s="231"/>
      <c r="F26" s="241">
        <v>0</v>
      </c>
      <c r="G26" s="199">
        <v>0</v>
      </c>
      <c r="H26" s="199">
        <v>0</v>
      </c>
      <c r="I26" s="199">
        <v>0</v>
      </c>
      <c r="J26" s="212">
        <v>0</v>
      </c>
      <c r="K26" s="288"/>
    </row>
    <row r="27" spans="1:11" ht="18" thickBot="1">
      <c r="A27" s="277"/>
      <c r="B27" s="155" t="s">
        <v>100</v>
      </c>
      <c r="C27" s="156"/>
      <c r="D27" s="247"/>
      <c r="E27" s="231"/>
      <c r="F27" s="522">
        <v>0</v>
      </c>
      <c r="G27" s="524">
        <v>0</v>
      </c>
      <c r="H27" s="524">
        <v>0</v>
      </c>
      <c r="I27" s="524">
        <v>0</v>
      </c>
      <c r="J27" s="545">
        <v>0</v>
      </c>
      <c r="K27" s="288"/>
    </row>
    <row r="28" spans="1:11" ht="18" thickBot="1">
      <c r="A28" s="277"/>
      <c r="B28" s="286"/>
      <c r="C28" s="287"/>
      <c r="D28" s="237" t="s">
        <v>45</v>
      </c>
      <c r="E28" s="231"/>
      <c r="F28" s="242">
        <f>SUM(F13:F27)</f>
        <v>1</v>
      </c>
      <c r="G28" s="196">
        <f t="shared" ref="G28:I28" si="4">SUM(G13:G27)</f>
        <v>1</v>
      </c>
      <c r="H28" s="196">
        <f t="shared" si="4"/>
        <v>1</v>
      </c>
      <c r="I28" s="196">
        <f t="shared" si="4"/>
        <v>1</v>
      </c>
      <c r="J28" s="148">
        <f>SUM(J13:J27)</f>
        <v>1</v>
      </c>
      <c r="K28" s="288"/>
    </row>
    <row r="29" spans="1:11" ht="18" thickBot="1">
      <c r="A29" s="277"/>
      <c r="B29" s="277"/>
      <c r="C29" s="277"/>
      <c r="D29" s="277"/>
      <c r="E29" s="231"/>
      <c r="F29" s="277"/>
      <c r="G29" s="277"/>
      <c r="H29" s="277"/>
      <c r="I29" s="277"/>
      <c r="J29" s="283"/>
      <c r="K29" s="288"/>
    </row>
    <row r="30" spans="1:11" ht="24">
      <c r="A30" s="277"/>
      <c r="B30" s="159" t="s">
        <v>62</v>
      </c>
      <c r="C30" s="160"/>
      <c r="D30" s="252"/>
      <c r="E30" s="231"/>
      <c r="F30" s="253"/>
      <c r="G30" s="161"/>
      <c r="H30" s="161"/>
      <c r="I30" s="161"/>
      <c r="J30" s="779"/>
      <c r="K30" s="288"/>
    </row>
    <row r="31" spans="1:11" ht="24.6" thickBot="1">
      <c r="A31" s="277"/>
      <c r="B31" s="165"/>
      <c r="D31" s="174"/>
      <c r="E31" s="231"/>
      <c r="F31" s="151"/>
      <c r="J31" s="174"/>
      <c r="K31" s="288"/>
    </row>
    <row r="32" spans="1:11" ht="18" thickBot="1">
      <c r="A32" s="277"/>
      <c r="B32" s="151"/>
      <c r="C32" s="167"/>
      <c r="D32" s="174"/>
      <c r="E32" s="231"/>
      <c r="F32" s="647">
        <f>IF(
OR(F9&gt;1,F9&lt;1,F28&gt;1,F28&lt;1),"Check mixen",
F$3*SUMPRODUCT(F$11:F$27,GGZ_Salaris)+
F$4*SUMPRODUCT(F$11:F$27,GHZ_Salaris)+
F$5*SUMPRODUCT(F$11:F$27,SW_Salaris)+
F$6*SUMPRODUCT(F$11:F$27,VVT_Salaris)+
F$7*SUMPRODUCT(F$11:F$27,JZ_Salaris)
)</f>
        <v>4117.1154649999999</v>
      </c>
      <c r="G32" s="647">
        <f>IF(
OR(G9&gt;1,G9&lt;1,G28&gt;1,G28&lt;1),"Check mixen",
G$3*SUMPRODUCT(G$11:G$27,GGZ_Salaris)+
G$4*SUMPRODUCT(G$11:G$27,GHZ_Salaris)+
G$5*SUMPRODUCT(G$11:G$27,SW_Salaris)+
G$6*SUMPRODUCT(G$11:G$27,VVT_Salaris)+
G$7*SUMPRODUCT(G$11:G$27,JZ_Salaris)
)</f>
        <v>4117.1154649999999</v>
      </c>
      <c r="H32" s="647">
        <f>IF(
OR(H9&gt;1,H9&lt;1,H28&gt;1,H28&lt;1),"Check mixen",
H$3*SUMPRODUCT(H$11:H$27,GGZ_Salaris)+
H$4*SUMPRODUCT(H$11:H$27,GHZ_Salaris)+
H$5*SUMPRODUCT(H$11:H$27,SW_Salaris)+
H$6*SUMPRODUCT(H$11:H$27,VVT_Salaris)+
H$7*SUMPRODUCT(H$11:H$27,JZ_Salaris)
)</f>
        <v>4117.1154649999999</v>
      </c>
      <c r="I32" s="647">
        <f>IF(
OR(I9&gt;1,I9&lt;1,I28&gt;1,I28&lt;1),"Check mixen",
I$3*SUMPRODUCT(I$11:I$27,GGZ_Salaris)+
I$4*SUMPRODUCT(I$11:I$27,GHZ_Salaris)+
I$5*SUMPRODUCT(I$11:I$27,SW_Salaris)+
I$6*SUMPRODUCT(I$11:I$27,VVT_Salaris)+
I$7*SUMPRODUCT(I$11:I$27,JZ_Salaris)
)</f>
        <v>4117.1154649999999</v>
      </c>
      <c r="J32" s="780">
        <f t="shared" ref="J32" si="5">IF(OR(J9&gt;1,J9&lt;1,J28&gt;1,J28&lt;1),"Check mixen",J$3*SUMPRODUCT(J$11:J$27,GGZ_Salaris)+J$4*SUMPRODUCT(J$11:J$27,GHZ_Salaris)+J$5*SUMPRODUCT(J$11:J$27,SW_Salaris)+J$6*SUMPRODUCT(J$11:J$27,VVT_Salaris)+J$7*SUMPRODUCT(J$11:J$27,JZ_Salaris))</f>
        <v>3474.0904599999999</v>
      </c>
      <c r="K32" s="288"/>
    </row>
    <row r="33" spans="1:11" ht="18" thickBot="1">
      <c r="A33" s="277"/>
      <c r="B33" s="169"/>
      <c r="C33" s="167"/>
      <c r="D33" s="168"/>
      <c r="E33" s="231"/>
      <c r="F33" s="254"/>
      <c r="G33" s="204"/>
      <c r="H33" s="204"/>
      <c r="I33" s="204"/>
      <c r="J33" s="174"/>
      <c r="K33" s="288"/>
    </row>
    <row r="34" spans="1:11">
      <c r="A34" s="277"/>
      <c r="B34" s="151" t="s">
        <v>218</v>
      </c>
      <c r="D34" s="659">
        <v>12</v>
      </c>
      <c r="E34" s="231"/>
      <c r="F34" s="678">
        <f>IFERROR(F32*$D$34,"")</f>
        <v>49405.385580000002</v>
      </c>
      <c r="G34" s="679">
        <f t="shared" ref="G34:I34" si="6">IFERROR(G32*$D$34,"")</f>
        <v>49405.385580000002</v>
      </c>
      <c r="H34" s="679">
        <f t="shared" si="6"/>
        <v>49405.385580000002</v>
      </c>
      <c r="I34" s="679">
        <f t="shared" si="6"/>
        <v>49405.385580000002</v>
      </c>
      <c r="J34" s="680">
        <f t="shared" ref="J34" si="7">IFERROR(J32*$D$34,"")</f>
        <v>41689.085520000001</v>
      </c>
      <c r="K34" s="288"/>
    </row>
    <row r="35" spans="1:11" ht="18" thickBot="1">
      <c r="A35" s="277"/>
      <c r="B35" s="151" t="s">
        <v>219</v>
      </c>
      <c r="C35" s="167"/>
      <c r="D35" s="660">
        <v>0.93</v>
      </c>
      <c r="E35" s="231"/>
      <c r="F35" s="708">
        <f>IFERROR(F34*$D$35,"")</f>
        <v>45947.008589400008</v>
      </c>
      <c r="G35" s="709">
        <f t="shared" ref="G35:I35" si="8">IFERROR(G34*$D$35,"")</f>
        <v>45947.008589400008</v>
      </c>
      <c r="H35" s="709">
        <f t="shared" si="8"/>
        <v>45947.008589400008</v>
      </c>
      <c r="I35" s="709">
        <f t="shared" si="8"/>
        <v>45947.008589400008</v>
      </c>
      <c r="J35" s="710">
        <f t="shared" ref="J35" si="9">IFERROR(J34*$D$35,"")</f>
        <v>38770.849533600005</v>
      </c>
      <c r="K35" s="288"/>
    </row>
    <row r="36" spans="1:11">
      <c r="A36" s="277"/>
      <c r="B36" s="151" t="s">
        <v>228</v>
      </c>
      <c r="C36" s="167"/>
      <c r="D36" s="168"/>
      <c r="E36" s="231"/>
      <c r="F36" s="637" t="s">
        <v>223</v>
      </c>
      <c r="G36" s="638" t="s">
        <v>105</v>
      </c>
      <c r="H36" s="638" t="s">
        <v>291</v>
      </c>
      <c r="I36" s="638" t="s">
        <v>291</v>
      </c>
      <c r="J36" s="639" t="s">
        <v>108</v>
      </c>
      <c r="K36" s="288"/>
    </row>
    <row r="37" spans="1:11">
      <c r="A37" s="277"/>
      <c r="B37" s="151" t="s">
        <v>224</v>
      </c>
      <c r="C37" s="167"/>
      <c r="D37" s="168"/>
      <c r="E37" s="231"/>
      <c r="F37" s="681" cm="1">
        <f t="array" ref="F37" xml:space="preserve">
IF(F36=ORT!$J$4,0,
IF(F36=ORT!$J$5,MMULT(ORT!$C$5:$G$5,'Extra inzet'!F$3:F$7),
IF(F36=ORT!$J$6,MMULT(ORT!$C$6:$G$6,'Extra inzet'!F$3:F$7),
IF(F36=ORT!$J$7,MMULT(ORT!$C$7:$G$7,'Extra inzet'!F$3:F$7),
IF(F36=ORT!$J$8,MMULT(ORT!$C$8:$G$8,'Extra inzet'!F$3:F$7),
IF(F36=ORT!$J$9,MMULT(ORT!$C$9:$G$9,'Extra inzet'!F$3:F$7),
IF(F36=ORT!$J$10,MMULT(ORT!$C$10:$G$10,'Extra inzet'!F$3:F$7),
IF(F36=ORT!$J$11,MMULT(ORT!$C$11:$G$11,'Extra inzet'!F$3:F$7),
IF(F36=ORT!$J$12,MMULT(ORT!$C$12:$G$12,'Extra inzet'!F$3:F$7),
)))))))))</f>
        <v>0</v>
      </c>
      <c r="G37" s="682" cm="1">
        <f t="array" ref="G37" xml:space="preserve">
IF(G36=ORT!$J$4,0,
IF(G36=ORT!$J$5,MMULT(ORT!$C$5:$G$5,'Extra inzet'!G$3:G$7),
IF(G36=ORT!$J$6,MMULT(ORT!$C$6:$G$6,'Extra inzet'!G$3:G$7),
IF(G36=ORT!$J$7,MMULT(ORT!$C$7:$G$7,'Extra inzet'!G$3:G$7),
IF(G36=ORT!$J$8,MMULT(ORT!$C$8:$G$8,'Extra inzet'!G$3:G$7),
IF(G36=ORT!$J$9,MMULT(ORT!$C$9:$G$9,'Extra inzet'!G$3:G$7),
IF(G36=ORT!$J$10,MMULT(ORT!$C$10:$G$10,'Extra inzet'!G$3:G$7),
IF(G36=ORT!$J$11,MMULT(ORT!$C$11:$G$11,'Extra inzet'!G$3:G$7),
IF(G36=ORT!$J$12,MMULT(ORT!$C$12:$G$12,'Extra inzet'!G$3:G$7),
)))))))))</f>
        <v>0.40300000000000002</v>
      </c>
      <c r="H37" s="682" cm="1">
        <f t="array" ref="H37" xml:space="preserve">
IF(H36=ORT!$J$4,0,
IF(H36=ORT!$J$5,MMULT(ORT!$C$5:$G$5,'Extra inzet'!H$3:H$7),
IF(H36=ORT!$J$6,MMULT(ORT!$C$6:$G$6,'Extra inzet'!H$3:H$7),
IF(H36=ORT!$J$7,MMULT(ORT!$C$7:$G$7,'Extra inzet'!H$3:H$7),
IF(H36=ORT!$J$8,MMULT(ORT!$C$8:$G$8,'Extra inzet'!H$3:H$7),
IF(H36=ORT!$J$9,MMULT(ORT!$C$9:$G$9,'Extra inzet'!H$3:H$7),
IF(H36=ORT!$J$10,MMULT(ORT!$C$10:$G$10,'Extra inzet'!H$3:H$7),
IF(H36=ORT!$J$11,MMULT(ORT!$C$11:$G$11,'Extra inzet'!H$3:H$7),
IF(H36=ORT!$J$12,MMULT(ORT!$C$12:$G$12,'Extra inzet'!H$3:H$7),
)))))))))</f>
        <v>0.37673809523809532</v>
      </c>
      <c r="I37" s="682" cm="1">
        <f t="array" ref="I37" xml:space="preserve">
IF(I36=ORT!$J$4,0,
IF(I36=ORT!$J$5,MMULT(ORT!$C$5:$G$5,'Extra inzet'!I$3:I$7),
IF(I36=ORT!$J$6,MMULT(ORT!$C$6:$G$6,'Extra inzet'!I$3:I$7),
IF(I36=ORT!$J$7,MMULT(ORT!$C$7:$G$7,'Extra inzet'!I$3:I$7),
IF(I36=ORT!$J$8,MMULT(ORT!$C$8:$G$8,'Extra inzet'!I$3:I$7),
IF(I36=ORT!$J$9,MMULT(ORT!$C$9:$G$9,'Extra inzet'!I$3:I$7),
IF(I36=ORT!$J$10,MMULT(ORT!$C$10:$G$10,'Extra inzet'!I$3:I$7),
IF(I36=ORT!$J$11,MMULT(ORT!$C$11:$G$11,'Extra inzet'!I$3:I$7),
IF(I36=ORT!$J$12,MMULT(ORT!$C$12:$G$12,'Extra inzet'!I$3:I$7),
)))))))))</f>
        <v>0.37673809523809532</v>
      </c>
      <c r="J37" s="683" cm="1">
        <f t="array" ref="J37" xml:space="preserve">
IF(J36=ORT!$J$4,0,
IF(J36=ORT!$J$5,MMULT(ORT!$C$5:$G$5,'Extra inzet'!J$3:J$7),
IF(J36=ORT!$J$6,MMULT(ORT!$C$6:$G$6,'Extra inzet'!J$3:J$7),
IF(J36=ORT!$J$7,MMULT(ORT!$C$7:$G$7,'Extra inzet'!J$3:J$7),
IF(J36=ORT!$J$8,MMULT(ORT!$C$8:$G$8,'Extra inzet'!J$3:J$7),
IF(J36=ORT!$J$9,MMULT(ORT!$C$9:$G$9,'Extra inzet'!J$3:J$7),
IF(J36=ORT!$J$10,MMULT(ORT!$C$10:$G$10,'Extra inzet'!J$3:J$7),
IF(J36=ORT!$J$11,MMULT(ORT!$C$11:$G$11,'Extra inzet'!J$3:J$7),
IF(J36=ORT!$J$12,MMULT(ORT!$C$12:$G$12,'Extra inzet'!J$3:J$7),
)))))))))</f>
        <v>0.38770535714285714</v>
      </c>
      <c r="K37" s="288"/>
    </row>
    <row r="38" spans="1:11">
      <c r="A38" s="277"/>
      <c r="B38" s="170" t="s">
        <v>226</v>
      </c>
      <c r="C38" s="167"/>
      <c r="D38" s="168"/>
      <c r="E38" s="231"/>
      <c r="F38" s="707">
        <f>IFERROR(F$35*F37,"")</f>
        <v>0</v>
      </c>
      <c r="G38" s="705">
        <f t="shared" ref="G38:I38" si="10">IFERROR(G$35*G37,"")</f>
        <v>18516.644461528205</v>
      </c>
      <c r="H38" s="705">
        <f t="shared" si="10"/>
        <v>17309.988497858965</v>
      </c>
      <c r="I38" s="705">
        <f t="shared" si="10"/>
        <v>17309.988497858965</v>
      </c>
      <c r="J38" s="706">
        <f t="shared" ref="J38" si="11">IFERROR(J$35*J37,"")</f>
        <v>15031.666065156367</v>
      </c>
      <c r="K38" s="288"/>
    </row>
    <row r="39" spans="1:11">
      <c r="A39" s="277"/>
      <c r="B39" s="151" t="s">
        <v>229</v>
      </c>
      <c r="C39" s="167"/>
      <c r="D39" s="168"/>
      <c r="E39" s="231"/>
      <c r="F39" s="684">
        <f t="shared" ref="F39:I39" si="12">SUMPRODUCT(F$3:F$7,Vakantietoeslag)</f>
        <v>0.08</v>
      </c>
      <c r="G39" s="685">
        <f t="shared" si="12"/>
        <v>0.08</v>
      </c>
      <c r="H39" s="685">
        <f t="shared" si="12"/>
        <v>0.08</v>
      </c>
      <c r="I39" s="685">
        <f t="shared" si="12"/>
        <v>0.08</v>
      </c>
      <c r="J39" s="686">
        <f t="shared" ref="J39" si="13">SUMPRODUCT(J$3:J$7,Vakantietoeslag)</f>
        <v>0.08</v>
      </c>
      <c r="K39" s="288"/>
    </row>
    <row r="40" spans="1:11">
      <c r="A40" s="277"/>
      <c r="B40" s="170" t="s">
        <v>227</v>
      </c>
      <c r="C40" s="167"/>
      <c r="D40" s="168"/>
      <c r="E40" s="231"/>
      <c r="F40" s="707">
        <f>IFERROR(F$35*F39,"")</f>
        <v>3675.7606871520006</v>
      </c>
      <c r="G40" s="705">
        <f t="shared" ref="G40:I40" si="14">IFERROR(G$35*G39,"")</f>
        <v>3675.7606871520006</v>
      </c>
      <c r="H40" s="705">
        <f t="shared" si="14"/>
        <v>3675.7606871520006</v>
      </c>
      <c r="I40" s="705">
        <f t="shared" si="14"/>
        <v>3675.7606871520006</v>
      </c>
      <c r="J40" s="706">
        <f t="shared" ref="J40" si="15">IFERROR(J$35*J39,"")</f>
        <v>3101.6679626880004</v>
      </c>
      <c r="K40" s="288"/>
    </row>
    <row r="41" spans="1:11">
      <c r="A41" s="277"/>
      <c r="B41" s="151" t="s">
        <v>230</v>
      </c>
      <c r="C41" s="167"/>
      <c r="D41" s="168"/>
      <c r="E41" s="231"/>
      <c r="F41" s="684">
        <f t="shared" ref="F41:I41" si="16">SUMPRODUCT(F$3:F$7,Eindejaarsuitkering)</f>
        <v>8.5869000000000001E-2</v>
      </c>
      <c r="G41" s="685">
        <f t="shared" si="16"/>
        <v>8.5869000000000001E-2</v>
      </c>
      <c r="H41" s="685">
        <f t="shared" si="16"/>
        <v>8.5869000000000001E-2</v>
      </c>
      <c r="I41" s="685">
        <f t="shared" si="16"/>
        <v>8.5869000000000001E-2</v>
      </c>
      <c r="J41" s="686">
        <f t="shared" ref="J41" si="17">SUMPRODUCT(J$3:J$7,Eindejaarsuitkering)</f>
        <v>8.5869000000000001E-2</v>
      </c>
      <c r="K41" s="288"/>
    </row>
    <row r="42" spans="1:11" ht="18" thickBot="1">
      <c r="A42" s="277"/>
      <c r="B42" s="170" t="s">
        <v>231</v>
      </c>
      <c r="C42" s="167"/>
      <c r="D42" s="168"/>
      <c r="E42" s="231"/>
      <c r="F42" s="707">
        <f>IFERROR(F$35*F41,"")</f>
        <v>3945.4236805631895</v>
      </c>
      <c r="G42" s="705">
        <f t="shared" ref="G42:I42" si="18">IFERROR(G$35*G41,"")</f>
        <v>3945.4236805631895</v>
      </c>
      <c r="H42" s="705">
        <f t="shared" si="18"/>
        <v>3945.4236805631895</v>
      </c>
      <c r="I42" s="705">
        <f t="shared" si="18"/>
        <v>3945.4236805631895</v>
      </c>
      <c r="J42" s="706">
        <f t="shared" ref="J42" si="19">IFERROR(J$35*J41,"")</f>
        <v>3329.2140786006989</v>
      </c>
      <c r="K42" s="288"/>
    </row>
    <row r="43" spans="1:11" ht="18" thickBot="1">
      <c r="A43" s="277"/>
      <c r="B43" s="170" t="s">
        <v>115</v>
      </c>
      <c r="C43" s="167"/>
      <c r="D43" s="657">
        <v>500</v>
      </c>
      <c r="E43" s="231"/>
      <c r="F43" s="832">
        <f>IFERROR($D$43*F$3,"")</f>
        <v>250</v>
      </c>
      <c r="G43" s="833">
        <f t="shared" ref="G43:I43" si="20">IFERROR($D$43*G$3,"")</f>
        <v>250</v>
      </c>
      <c r="H43" s="833">
        <f t="shared" si="20"/>
        <v>250</v>
      </c>
      <c r="I43" s="833">
        <f t="shared" si="20"/>
        <v>250</v>
      </c>
      <c r="J43" s="834">
        <f t="shared" ref="J43" si="21">IFERROR($D$43*J$3,"")</f>
        <v>250</v>
      </c>
      <c r="K43" s="288"/>
    </row>
    <row r="44" spans="1:11" ht="18" thickBot="1">
      <c r="A44" s="277"/>
      <c r="B44" s="170" t="s">
        <v>375</v>
      </c>
      <c r="C44" s="167"/>
      <c r="D44" s="657">
        <v>120</v>
      </c>
      <c r="E44" s="231"/>
      <c r="F44" s="928">
        <f>IFERROR($D$44*F$5,"")</f>
        <v>42</v>
      </c>
      <c r="G44" s="818">
        <f t="shared" ref="G44:J44" si="22">IFERROR($D$44*G$5,"")</f>
        <v>42</v>
      </c>
      <c r="H44" s="818">
        <f t="shared" si="22"/>
        <v>42</v>
      </c>
      <c r="I44" s="818">
        <f t="shared" si="22"/>
        <v>42</v>
      </c>
      <c r="J44" s="819">
        <f t="shared" si="22"/>
        <v>42</v>
      </c>
      <c r="K44" s="288"/>
    </row>
    <row r="45" spans="1:11" ht="18" thickBot="1">
      <c r="A45" s="277"/>
      <c r="B45" s="170" t="s">
        <v>376</v>
      </c>
      <c r="C45" s="167"/>
      <c r="D45" s="932">
        <v>1.4999999999999999E-2</v>
      </c>
      <c r="E45" s="231"/>
      <c r="F45" s="928">
        <f>IFERROR($D$45*F$5*F35,"")</f>
        <v>241.22179509435003</v>
      </c>
      <c r="G45" s="818">
        <f t="shared" ref="G45:J45" si="23">IFERROR($D$45*G$5*G35,"")</f>
        <v>241.22179509435003</v>
      </c>
      <c r="H45" s="818">
        <f t="shared" si="23"/>
        <v>241.22179509435003</v>
      </c>
      <c r="I45" s="818">
        <f t="shared" si="23"/>
        <v>241.22179509435003</v>
      </c>
      <c r="J45" s="819">
        <f t="shared" si="23"/>
        <v>203.54696005139999</v>
      </c>
      <c r="K45" s="288"/>
    </row>
    <row r="46" spans="1:11" ht="21.6" thickBot="1">
      <c r="A46" s="277"/>
      <c r="B46" s="560" t="s">
        <v>83</v>
      </c>
      <c r="C46" s="171"/>
      <c r="D46" s="192"/>
      <c r="E46" s="231"/>
      <c r="F46" s="711">
        <f>IFERROR(SUM(F35,F38,F40,F42,F43,F44,F45),"")</f>
        <v>54101.414752209552</v>
      </c>
      <c r="G46" s="712">
        <f t="shared" ref="G46:J46" si="24">IFERROR(SUM(G35,G38,G40,G42,G43,G44,G45),"")</f>
        <v>72618.059213737753</v>
      </c>
      <c r="H46" s="712">
        <f t="shared" si="24"/>
        <v>71411.403250068513</v>
      </c>
      <c r="I46" s="712">
        <f t="shared" si="24"/>
        <v>71411.403250068513</v>
      </c>
      <c r="J46" s="713">
        <f t="shared" si="24"/>
        <v>60728.944600096467</v>
      </c>
      <c r="K46" s="288"/>
    </row>
    <row r="47" spans="1:11" ht="18" thickBot="1">
      <c r="A47" s="277"/>
      <c r="B47" s="283"/>
      <c r="C47" s="283"/>
      <c r="D47" s="283"/>
      <c r="E47" s="231"/>
      <c r="F47" s="277"/>
      <c r="G47" s="277"/>
      <c r="H47" s="277"/>
      <c r="I47" s="277"/>
      <c r="J47" s="283"/>
      <c r="K47" s="288"/>
    </row>
    <row r="48" spans="1:11" ht="24">
      <c r="A48" s="277"/>
      <c r="B48" s="159" t="s">
        <v>84</v>
      </c>
      <c r="C48" s="160"/>
      <c r="D48" s="252"/>
      <c r="E48" s="231"/>
      <c r="F48" s="255"/>
      <c r="G48" s="160"/>
      <c r="H48" s="160"/>
      <c r="I48" s="160"/>
      <c r="J48" s="252"/>
      <c r="K48" s="288"/>
    </row>
    <row r="49" spans="1:11" ht="24.6" thickBot="1">
      <c r="A49" s="277"/>
      <c r="B49" s="165"/>
      <c r="D49" s="174"/>
      <c r="E49" s="231"/>
      <c r="F49" s="151"/>
      <c r="J49" s="174"/>
      <c r="K49" s="288"/>
    </row>
    <row r="50" spans="1:11" ht="18" thickBot="1">
      <c r="A50" s="277"/>
      <c r="B50" s="151" t="s">
        <v>265</v>
      </c>
      <c r="C50" s="167"/>
      <c r="D50" s="215">
        <f>Sociale_lasten_Alg</f>
        <v>0.20099333331479999</v>
      </c>
      <c r="E50" s="231"/>
      <c r="F50" s="672">
        <f>Sociale_lasten_Alg+F$6*'Sociale lasten'!$C$12</f>
        <v>0.20099333331479999</v>
      </c>
      <c r="G50" s="672">
        <f>Sociale_lasten_Alg+G$6*'Sociale lasten'!$C$12</f>
        <v>0.20099333331479999</v>
      </c>
      <c r="H50" s="672">
        <f>Sociale_lasten_Alg+H$6*'Sociale lasten'!$C$12</f>
        <v>0.20099333331479999</v>
      </c>
      <c r="I50" s="672">
        <f>Sociale_lasten_Alg+I$6*'Sociale lasten'!$C$12</f>
        <v>0.20099333331479999</v>
      </c>
      <c r="J50" s="673">
        <f>Sociale_lasten_Alg+J$6*'Sociale lasten'!$C$12</f>
        <v>0.20099333331479999</v>
      </c>
      <c r="K50" s="288"/>
    </row>
    <row r="51" spans="1:11" ht="18" thickBot="1">
      <c r="A51" s="277"/>
      <c r="B51" s="151"/>
      <c r="D51" s="174"/>
      <c r="E51" s="231"/>
      <c r="F51" s="256"/>
      <c r="G51" s="214"/>
      <c r="H51" s="214"/>
      <c r="I51" s="214"/>
      <c r="J51" s="781"/>
      <c r="K51" s="288"/>
    </row>
    <row r="52" spans="1:11" ht="18" thickBot="1">
      <c r="A52" s="277"/>
      <c r="B52" s="151" t="s">
        <v>264</v>
      </c>
      <c r="D52" s="787">
        <v>71628</v>
      </c>
      <c r="E52" s="231"/>
      <c r="F52" s="274"/>
      <c r="G52" s="525"/>
      <c r="H52" s="525"/>
      <c r="I52" s="525"/>
      <c r="J52" s="782"/>
      <c r="K52" s="288"/>
    </row>
    <row r="53" spans="1:11">
      <c r="A53" s="277"/>
      <c r="B53" s="690" t="s">
        <v>92</v>
      </c>
      <c r="C53" s="248"/>
      <c r="D53" s="786"/>
      <c r="E53" s="231"/>
      <c r="F53" s="691">
        <f>IFERROR(IF(F46&gt;$D$52,$D$52*F50/F46,F50),"")</f>
        <v>0.20099333331479999</v>
      </c>
      <c r="G53" s="692">
        <f t="shared" ref="G53:I53" si="25">IFERROR(IF(G46&gt;$D$52,$D$52*G50/G46,G50),"")</f>
        <v>0.1982530328481836</v>
      </c>
      <c r="H53" s="692">
        <f t="shared" si="25"/>
        <v>0.20099333331479999</v>
      </c>
      <c r="I53" s="692">
        <f t="shared" si="25"/>
        <v>0.20099333331479999</v>
      </c>
      <c r="J53" s="693">
        <f t="shared" ref="J53" si="26">IFERROR(IF(J46&gt;$D$52,$D$52*J50/J46,J50),"")</f>
        <v>0.20099333331479999</v>
      </c>
      <c r="K53" s="288"/>
    </row>
    <row r="54" spans="1:11" ht="18" thickBot="1">
      <c r="A54" s="277"/>
      <c r="B54" s="151"/>
      <c r="C54" s="687" t="s">
        <v>118</v>
      </c>
      <c r="D54" s="689" t="s">
        <v>94</v>
      </c>
      <c r="E54" s="231"/>
      <c r="F54" s="256"/>
      <c r="G54" s="214"/>
      <c r="H54" s="214"/>
      <c r="I54" s="214"/>
      <c r="J54" s="781"/>
      <c r="K54" s="288"/>
    </row>
    <row r="55" spans="1:11" ht="18" thickBot="1">
      <c r="A55" s="277"/>
      <c r="B55" s="151" t="s">
        <v>57</v>
      </c>
      <c r="C55" s="655">
        <v>0.129</v>
      </c>
      <c r="D55" s="658">
        <v>0.13500000000000001</v>
      </c>
      <c r="E55" s="231"/>
      <c r="F55" s="677">
        <f t="shared" ref="F55:I55" si="27">IFERROR(SUM(F$3*OP_Premie_GGZ_GHZ_SW_VVT,F$4*OP_Premie_GGZ_GHZ_SW_VVT,F$5*OP_Premie_GGZ_GHZ_SW_VVT,F$6*OP_Premie_GGZ_GHZ_SW_VVT,F$7*OP_Premie_JZ),"")</f>
        <v>0.129</v>
      </c>
      <c r="G55" s="675">
        <f t="shared" si="27"/>
        <v>0.129</v>
      </c>
      <c r="H55" s="675">
        <f t="shared" si="27"/>
        <v>0.129</v>
      </c>
      <c r="I55" s="675">
        <f t="shared" si="27"/>
        <v>0.129</v>
      </c>
      <c r="J55" s="676">
        <f t="shared" ref="J55" si="28">IFERROR(SUM(J$3*OP_Premie_GGZ_GHZ_SW_VVT,J$4*OP_Premie_GGZ_GHZ_SW_VVT,J$5*OP_Premie_GGZ_GHZ_SW_VVT,J$6*OP_Premie_GGZ_GHZ_SW_VVT,J$7*OP_Premie_JZ),"")</f>
        <v>0.129</v>
      </c>
      <c r="K55" s="288"/>
    </row>
    <row r="56" spans="1:11" ht="18" thickBot="1">
      <c r="A56" s="277"/>
      <c r="B56" s="151" t="s">
        <v>58</v>
      </c>
      <c r="D56" s="654">
        <v>15816</v>
      </c>
      <c r="E56" s="231"/>
      <c r="F56" s="275">
        <f>IFERROR(F55*(F46-aow_franchise_GGZ_GHZ_SW_VVT_JZ),"")</f>
        <v>4938.8185030350323</v>
      </c>
      <c r="G56" s="714">
        <f>IFERROR(G55*(G46-aow_franchise_GGZ_GHZ_SW_VVT_JZ),"")</f>
        <v>7327.4656385721701</v>
      </c>
      <c r="H56" s="714">
        <f>IFERROR(H55*(H46-aow_franchise_GGZ_GHZ_SW_VVT_JZ),"")</f>
        <v>7171.8070192588384</v>
      </c>
      <c r="I56" s="714">
        <f>IFERROR(I55*(I46-aow_franchise_GGZ_GHZ_SW_VVT_JZ),"")</f>
        <v>7171.8070192588384</v>
      </c>
      <c r="J56" s="715">
        <f>IFERROR(J55*(J46-aow_franchise_GGZ_GHZ_SW_VVT_JZ),"")</f>
        <v>5793.7698534124447</v>
      </c>
      <c r="K56" s="288"/>
    </row>
    <row r="57" spans="1:11" ht="18" thickBot="1">
      <c r="A57" s="277"/>
      <c r="B57" s="151"/>
      <c r="C57" s="687" t="s">
        <v>273</v>
      </c>
      <c r="D57" s="688" t="s">
        <v>274</v>
      </c>
      <c r="E57" s="231"/>
      <c r="F57" s="271"/>
      <c r="G57" s="468"/>
      <c r="H57" s="468"/>
      <c r="I57" s="468"/>
      <c r="J57" s="469"/>
      <c r="K57" s="288"/>
    </row>
    <row r="58" spans="1:11" ht="18" thickBot="1">
      <c r="A58" s="277"/>
      <c r="B58" s="151" t="s">
        <v>59</v>
      </c>
      <c r="C58" s="656">
        <v>2.5000000000000001E-3</v>
      </c>
      <c r="D58" s="658">
        <v>5.0000000000000001E-3</v>
      </c>
      <c r="E58" s="231"/>
      <c r="F58" s="674">
        <f t="shared" ref="F58:I58" si="29">IFERROR(SUM(F$3*AP_Premie_GGZ_GHZ_VVT,F$4*AP_Premie_GGZ_GHZ_VVT,F$5*AP_Premie_SW_JZ,F$6*AP_Premie_GGZ_GHZ_VVT,F$7*AP_Premie_SW_JZ),"")</f>
        <v>3.375E-3</v>
      </c>
      <c r="G58" s="675">
        <f t="shared" si="29"/>
        <v>3.375E-3</v>
      </c>
      <c r="H58" s="675">
        <f t="shared" si="29"/>
        <v>3.375E-3</v>
      </c>
      <c r="I58" s="675">
        <f t="shared" si="29"/>
        <v>3.375E-3</v>
      </c>
      <c r="J58" s="676">
        <f t="shared" ref="J58" si="30">IFERROR(SUM(J$3*AP_Premie_GGZ_GHZ_VVT,J$4*AP_Premie_GGZ_GHZ_VVT,J$5*AP_Premie_SW_JZ,J$6*AP_Premie_GGZ_GHZ_VVT,J$7*AP_Premie_SW_JZ),"")</f>
        <v>3.375E-3</v>
      </c>
      <c r="K58" s="288"/>
    </row>
    <row r="59" spans="1:11" ht="18" thickBot="1">
      <c r="A59" s="277"/>
      <c r="B59" s="151" t="s">
        <v>60</v>
      </c>
      <c r="D59" s="654">
        <v>26819</v>
      </c>
      <c r="E59" s="231"/>
      <c r="F59" s="275">
        <f>IFERROR(F58*(F46-AP_franchise_GGZ_GHZ_SW_VVT_JZ),"")</f>
        <v>92.078149788707236</v>
      </c>
      <c r="G59" s="714">
        <f>IFERROR(G58*(G46-AP_franchise_GGZ_GHZ_SW_VVT_JZ),"")</f>
        <v>154.5718248463649</v>
      </c>
      <c r="H59" s="714">
        <f>IFERROR(H58*(H46-AP_franchise_GGZ_GHZ_SW_VVT_JZ),"")</f>
        <v>150.49936096898122</v>
      </c>
      <c r="I59" s="714">
        <f>IFERROR(I58*(I46-AP_franchise_GGZ_GHZ_SW_VVT_JZ),"")</f>
        <v>150.49936096898122</v>
      </c>
      <c r="J59" s="715">
        <f>IFERROR(J58*(J46-AP_franchise_GGZ_GHZ_SW_VVT_JZ),"")</f>
        <v>114.44606302532557</v>
      </c>
      <c r="K59" s="288"/>
    </row>
    <row r="60" spans="1:11">
      <c r="A60" s="277"/>
      <c r="B60" s="151"/>
      <c r="C60" s="176"/>
      <c r="D60" s="258"/>
      <c r="E60" s="231"/>
      <c r="F60" s="257"/>
      <c r="G60" s="206"/>
      <c r="H60" s="206"/>
      <c r="I60" s="206"/>
      <c r="J60" s="783"/>
      <c r="K60" s="288"/>
    </row>
    <row r="61" spans="1:11">
      <c r="A61" s="277"/>
      <c r="B61" s="170" t="s">
        <v>47</v>
      </c>
      <c r="C61" s="167"/>
      <c r="D61" s="168"/>
      <c r="E61" s="231"/>
      <c r="F61" s="674">
        <f>IFERROR(SUM(F56,F59)/F46,"")</f>
        <v>9.2990112659082969E-2</v>
      </c>
      <c r="G61" s="675">
        <f>IFERROR(SUM(G56,G59)/G46,"")</f>
        <v>0.10303273792262264</v>
      </c>
      <c r="H61" s="675">
        <f>IFERROR(SUM(H56,H59)/H46,"")</f>
        <v>0.10253693453672323</v>
      </c>
      <c r="I61" s="675">
        <f>IFERROR(SUM(I56,I59)/I46,"")</f>
        <v>0.10253693453672323</v>
      </c>
      <c r="J61" s="676">
        <f>IFERROR(SUM(J56,J59)/J46,"")</f>
        <v>9.7288302231229376E-2</v>
      </c>
      <c r="K61" s="288"/>
    </row>
    <row r="62" spans="1:11">
      <c r="A62" s="277"/>
      <c r="B62" s="151"/>
      <c r="D62" s="174"/>
      <c r="E62" s="231"/>
      <c r="F62" s="274"/>
      <c r="G62" s="220"/>
      <c r="H62" s="220"/>
      <c r="I62" s="220"/>
      <c r="J62" s="221"/>
      <c r="K62" s="288"/>
    </row>
    <row r="63" spans="1:11" ht="21">
      <c r="A63" s="277"/>
      <c r="B63" s="694" t="s">
        <v>232</v>
      </c>
      <c r="C63" s="248"/>
      <c r="D63" s="249"/>
      <c r="E63" s="231"/>
      <c r="F63" s="719">
        <f>IFERROR(SUM(F53,F61),"")</f>
        <v>0.29398344597388293</v>
      </c>
      <c r="G63" s="720">
        <f>IFERROR(SUM(G53,G61),"")</f>
        <v>0.30128577077080626</v>
      </c>
      <c r="H63" s="720">
        <f>IFERROR(SUM(H53,H61),"")</f>
        <v>0.30353026785152321</v>
      </c>
      <c r="I63" s="720">
        <f>IFERROR(SUM(I53,I61),"")</f>
        <v>0.30353026785152321</v>
      </c>
      <c r="J63" s="721">
        <f>IFERROR(SUM(J53,J61),"")</f>
        <v>0.29828163554602938</v>
      </c>
      <c r="K63" s="288"/>
    </row>
    <row r="64" spans="1:11" ht="21.6" thickBot="1">
      <c r="A64" s="277"/>
      <c r="B64" s="155" t="s">
        <v>233</v>
      </c>
      <c r="C64" s="175"/>
      <c r="D64" s="259"/>
      <c r="E64" s="231"/>
      <c r="F64" s="702">
        <f>IFERROR(F46*F63,"")</f>
        <v>15904.920340916829</v>
      </c>
      <c r="G64" s="703">
        <f>IFERROR(G46*G63,"")</f>
        <v>21878.787942091029</v>
      </c>
      <c r="H64" s="703">
        <f>IFERROR(H46*H63,"")</f>
        <v>21675.52235614643</v>
      </c>
      <c r="I64" s="703">
        <f>IFERROR(I46*I63,"")</f>
        <v>21675.52235614643</v>
      </c>
      <c r="J64" s="704">
        <f>IFERROR(J46*J63,"")</f>
        <v>18114.328920300984</v>
      </c>
      <c r="K64" s="288"/>
    </row>
    <row r="65" spans="1:11" ht="15" customHeight="1" thickBot="1">
      <c r="A65" s="277"/>
      <c r="B65" s="277"/>
      <c r="C65" s="277"/>
      <c r="D65" s="277"/>
      <c r="E65" s="231"/>
      <c r="F65" s="284"/>
      <c r="G65" s="284"/>
      <c r="H65" s="284"/>
      <c r="I65" s="284"/>
      <c r="J65" s="284"/>
      <c r="K65" s="288"/>
    </row>
    <row r="66" spans="1:11" ht="21.6" thickBot="1">
      <c r="A66" s="277"/>
      <c r="B66" s="695" t="s">
        <v>85</v>
      </c>
      <c r="C66" s="433"/>
      <c r="D66" s="243"/>
      <c r="E66" s="231"/>
      <c r="F66" s="722">
        <f>IFERROR(SUM(F46,F64),"")</f>
        <v>70006.335093126385</v>
      </c>
      <c r="G66" s="723">
        <f>SUM(G46,G64)</f>
        <v>94496.847155828786</v>
      </c>
      <c r="H66" s="723">
        <f>SUM(H46,H64)</f>
        <v>93086.925606214936</v>
      </c>
      <c r="I66" s="723">
        <f>SUM(I46,I64)</f>
        <v>93086.925606214936</v>
      </c>
      <c r="J66" s="724">
        <f>SUM(J46,J64)</f>
        <v>78843.273520397459</v>
      </c>
      <c r="K66" s="288"/>
    </row>
    <row r="67" spans="1:11" ht="15" customHeight="1" thickBot="1">
      <c r="A67" s="277"/>
      <c r="B67" s="151" t="s">
        <v>236</v>
      </c>
      <c r="D67" s="652">
        <v>0.21</v>
      </c>
      <c r="E67" s="231"/>
      <c r="F67" s="681">
        <f>$D$67         *
SUMPRODUCT(F$3:F$7,PNIL)</f>
        <v>2.1713999999999997E-2</v>
      </c>
      <c r="G67" s="696">
        <f>$D$67         *
SUMPRODUCT(G$3:G$7,PNIL)</f>
        <v>2.1713999999999997E-2</v>
      </c>
      <c r="H67" s="696">
        <f>$D$67         *
SUMPRODUCT(H$3:H$7,PNIL)</f>
        <v>2.1713999999999997E-2</v>
      </c>
      <c r="I67" s="696">
        <f>$D$67         *
SUMPRODUCT(I$3:I$7,PNIL)</f>
        <v>2.1713999999999997E-2</v>
      </c>
      <c r="J67" s="697">
        <f>$D$67         *
SUMPRODUCT(J$3:J$7,PNIL)</f>
        <v>2.1713999999999997E-2</v>
      </c>
      <c r="K67" s="288"/>
    </row>
    <row r="68" spans="1:11" ht="15" customHeight="1">
      <c r="A68" s="277"/>
      <c r="B68" s="151" t="s">
        <v>237</v>
      </c>
      <c r="D68" s="174"/>
      <c r="E68" s="231"/>
      <c r="F68" s="716">
        <f>F66*F67</f>
        <v>1520.1175602121461</v>
      </c>
      <c r="G68" s="717">
        <f t="shared" ref="G68:I68" si="31">G66*G67</f>
        <v>2051.9045391416662</v>
      </c>
      <c r="H68" s="717">
        <f t="shared" si="31"/>
        <v>2021.2895026133508</v>
      </c>
      <c r="I68" s="717">
        <f t="shared" si="31"/>
        <v>2021.2895026133508</v>
      </c>
      <c r="J68" s="718">
        <f t="shared" ref="J68" si="32">J66*J67</f>
        <v>1712.0028412219101</v>
      </c>
      <c r="K68" s="288"/>
    </row>
    <row r="69" spans="1:11" ht="15" customHeight="1">
      <c r="A69" s="277"/>
      <c r="B69" s="698" t="s">
        <v>238</v>
      </c>
      <c r="C69" s="248"/>
      <c r="D69" s="249"/>
      <c r="E69" s="231"/>
      <c r="F69" s="699">
        <f>SUM(F66,F68)</f>
        <v>71526.452653338536</v>
      </c>
      <c r="G69" s="700">
        <f t="shared" ref="G69:I69" si="33">SUM(G66,G68)</f>
        <v>96548.751694970459</v>
      </c>
      <c r="H69" s="700">
        <f t="shared" si="33"/>
        <v>95108.215108828284</v>
      </c>
      <c r="I69" s="700">
        <f t="shared" si="33"/>
        <v>95108.215108828284</v>
      </c>
      <c r="J69" s="701">
        <f t="shared" ref="J69" si="34">SUM(J66,J68)</f>
        <v>80555.27636161937</v>
      </c>
      <c r="K69" s="288"/>
    </row>
    <row r="70" spans="1:11" s="1" customFormat="1" ht="18" thickBot="1">
      <c r="A70" s="277"/>
      <c r="B70" s="151"/>
      <c r="C70" s="146"/>
      <c r="D70" s="174"/>
      <c r="E70" s="231"/>
      <c r="F70" s="256"/>
      <c r="G70" s="214"/>
      <c r="H70" s="214"/>
      <c r="I70" s="214"/>
      <c r="J70" s="781"/>
      <c r="K70" s="288"/>
    </row>
    <row r="71" spans="1:11" s="1" customFormat="1" ht="18" thickBot="1">
      <c r="A71" s="277"/>
      <c r="B71" s="151"/>
      <c r="C71" s="146"/>
      <c r="D71" s="653" t="s">
        <v>351</v>
      </c>
      <c r="E71" s="231"/>
      <c r="F71" s="754" t="s">
        <v>350</v>
      </c>
      <c r="G71" s="641" t="s">
        <v>14</v>
      </c>
      <c r="H71" s="641" t="s">
        <v>350</v>
      </c>
      <c r="I71" s="641" t="s">
        <v>350</v>
      </c>
      <c r="J71" s="925" t="s">
        <v>350</v>
      </c>
      <c r="K71" s="288"/>
    </row>
    <row r="72" spans="1:11" s="1" customFormat="1" ht="18" thickBot="1">
      <c r="A72" s="277"/>
      <c r="B72" s="170" t="s">
        <v>275</v>
      </c>
      <c r="C72" s="146"/>
      <c r="D72" s="653" t="s">
        <v>321</v>
      </c>
      <c r="E72" s="231"/>
      <c r="F72" s="492">
        <f t="shared" ref="F72:J72" si="35">IF(F71="Wmo",SUMPRODUCT(F$3:F$7,Overhead_Wmo),IF(F71="Jeugd",SUMPRODUCT(F$3:F$7,Jeugd_Overhead),""))</f>
        <v>0.34060000000000001</v>
      </c>
      <c r="G72" s="493">
        <f>IF(G71="Wmo",SUMPRODUCT(G$3:G$7,Overhead_Wmo),IF(G71="Jeugd",SUMPRODUCT(G$3:G$7,Jeugd_Overhead),""))</f>
        <v>0.34994999999999998</v>
      </c>
      <c r="H72" s="493">
        <f t="shared" si="35"/>
        <v>0.34060000000000001</v>
      </c>
      <c r="I72" s="493">
        <f t="shared" si="35"/>
        <v>0.34060000000000001</v>
      </c>
      <c r="J72" s="926">
        <f t="shared" si="35"/>
        <v>0.34060000000000001</v>
      </c>
      <c r="K72" s="288"/>
    </row>
    <row r="73" spans="1:11" s="1" customFormat="1">
      <c r="A73" s="277"/>
      <c r="B73" s="170" t="s">
        <v>239</v>
      </c>
      <c r="C73" s="146"/>
      <c r="D73" s="174"/>
      <c r="E73" s="231"/>
      <c r="F73" s="275">
        <f>F69*F72</f>
        <v>24361.909773727108</v>
      </c>
      <c r="G73" s="201">
        <f t="shared" ref="G73:J73" si="36">G69*G72</f>
        <v>33787.235655654913</v>
      </c>
      <c r="H73" s="201">
        <f t="shared" si="36"/>
        <v>32393.858066066914</v>
      </c>
      <c r="I73" s="201">
        <f t="shared" si="36"/>
        <v>32393.858066066914</v>
      </c>
      <c r="J73" s="927">
        <f t="shared" si="36"/>
        <v>27437.127128767559</v>
      </c>
      <c r="K73" s="288"/>
    </row>
    <row r="74" spans="1:11" ht="18" thickBot="1">
      <c r="A74" s="277"/>
      <c r="B74" s="151"/>
      <c r="D74" s="174"/>
      <c r="E74" s="231"/>
      <c r="F74" s="276"/>
      <c r="G74" s="207"/>
      <c r="H74" s="207"/>
      <c r="I74" s="207"/>
      <c r="J74" s="295"/>
      <c r="K74" s="288"/>
    </row>
    <row r="75" spans="1:11" ht="18" thickBot="1">
      <c r="A75" s="277"/>
      <c r="B75" s="170" t="s">
        <v>87</v>
      </c>
      <c r="D75" s="652">
        <v>0.02</v>
      </c>
      <c r="E75" s="231"/>
      <c r="F75" s="275">
        <f>$D$75*
SUM(F69,F73)</f>
        <v>1917.7672485413129</v>
      </c>
      <c r="G75" s="201">
        <f t="shared" ref="G75:J75" si="37">$D$75*
SUM(G69,G73)</f>
        <v>2606.7197470125075</v>
      </c>
      <c r="H75" s="201">
        <f t="shared" si="37"/>
        <v>2550.0414634979038</v>
      </c>
      <c r="I75" s="201">
        <f t="shared" si="37"/>
        <v>2550.0414634979038</v>
      </c>
      <c r="J75" s="218">
        <f t="shared" si="37"/>
        <v>2159.8480698077387</v>
      </c>
      <c r="K75" s="288"/>
    </row>
    <row r="76" spans="1:11" ht="18" thickBot="1">
      <c r="A76" s="277"/>
      <c r="B76" s="170" t="s">
        <v>240</v>
      </c>
      <c r="D76" s="657">
        <v>5500</v>
      </c>
      <c r="E76" s="231"/>
      <c r="F76" s="669">
        <f>$D$76*F27</f>
        <v>0</v>
      </c>
      <c r="G76" s="670">
        <f>$D$76*G27</f>
        <v>0</v>
      </c>
      <c r="H76" s="670">
        <f>$D$76*H27</f>
        <v>0</v>
      </c>
      <c r="I76" s="670">
        <f>$D$76*I27</f>
        <v>0</v>
      </c>
      <c r="J76" s="671">
        <f>$D$76*J27</f>
        <v>0</v>
      </c>
      <c r="K76" s="288"/>
    </row>
    <row r="77" spans="1:11" s="181" customFormat="1" ht="21.6" thickBot="1">
      <c r="A77" s="76"/>
      <c r="B77" s="178" t="s">
        <v>241</v>
      </c>
      <c r="C77" s="180"/>
      <c r="D77" s="260"/>
      <c r="E77" s="231"/>
      <c r="F77" s="650">
        <f>SUM(F69,F73,F75,F76)</f>
        <v>97806.12967560695</v>
      </c>
      <c r="G77" s="642">
        <f t="shared" ref="G77:J77" si="38">SUM(G69,G73,G75,G76)</f>
        <v>132942.70709763787</v>
      </c>
      <c r="H77" s="642">
        <f t="shared" si="38"/>
        <v>130052.1146383931</v>
      </c>
      <c r="I77" s="642">
        <f t="shared" si="38"/>
        <v>130052.1146383931</v>
      </c>
      <c r="J77" s="643">
        <f t="shared" si="38"/>
        <v>110152.25156019467</v>
      </c>
      <c r="K77" s="289"/>
    </row>
    <row r="78" spans="1:11" ht="18" thickBot="1">
      <c r="A78" s="277"/>
      <c r="B78" s="277"/>
      <c r="C78" s="277"/>
      <c r="D78" s="277"/>
      <c r="E78" s="231"/>
      <c r="F78" s="277"/>
      <c r="G78" s="277"/>
      <c r="H78" s="277"/>
      <c r="I78" s="277"/>
      <c r="J78" s="283"/>
      <c r="K78" s="288"/>
    </row>
    <row r="79" spans="1:11" ht="24">
      <c r="A79" s="277"/>
      <c r="B79" s="159" t="s">
        <v>242</v>
      </c>
      <c r="C79" s="160"/>
      <c r="D79" s="252"/>
      <c r="E79" s="231"/>
      <c r="F79" s="255"/>
      <c r="G79" s="160"/>
      <c r="H79" s="160"/>
      <c r="I79" s="160"/>
      <c r="J79" s="173"/>
      <c r="K79" s="288"/>
    </row>
    <row r="80" spans="1:11" ht="18" thickBot="1">
      <c r="A80" s="277"/>
      <c r="B80" s="151"/>
      <c r="D80" s="174"/>
      <c r="E80" s="231"/>
      <c r="F80" s="151"/>
      <c r="J80" s="168"/>
      <c r="K80" s="288"/>
    </row>
    <row r="81" spans="1:11" ht="18" thickBot="1">
      <c r="A81" s="277"/>
      <c r="B81" s="152" t="s">
        <v>243</v>
      </c>
      <c r="C81" s="184"/>
      <c r="D81" s="467">
        <v>1878</v>
      </c>
      <c r="E81" s="231"/>
      <c r="F81" s="661">
        <f>$D$81</f>
        <v>1878</v>
      </c>
      <c r="G81" s="662">
        <f t="shared" ref="G81:I81" si="39">$D$81</f>
        <v>1878</v>
      </c>
      <c r="H81" s="662">
        <f t="shared" si="39"/>
        <v>1878</v>
      </c>
      <c r="I81" s="662">
        <f t="shared" si="39"/>
        <v>1878</v>
      </c>
      <c r="J81" s="664">
        <f t="shared" ref="J81" si="40">$D$81</f>
        <v>1878</v>
      </c>
      <c r="K81" s="288"/>
    </row>
    <row r="82" spans="1:11">
      <c r="A82" s="277"/>
      <c r="B82" s="190" t="s">
        <v>63</v>
      </c>
      <c r="D82" s="174"/>
      <c r="E82" s="231"/>
      <c r="F82" s="759"/>
      <c r="G82" s="640">
        <f t="shared" ref="G82:I82" si="41">SUMPRODUCT(G$3:G$7,Verlof)</f>
        <v>255.07999999999998</v>
      </c>
      <c r="H82" s="640">
        <f t="shared" si="41"/>
        <v>255.07999999999998</v>
      </c>
      <c r="I82" s="640">
        <f t="shared" si="41"/>
        <v>255.07999999999998</v>
      </c>
      <c r="J82" s="761">
        <f t="shared" ref="J82" si="42">SUMPRODUCT(J$3:J$7,Verlof)</f>
        <v>255.07999999999998</v>
      </c>
      <c r="K82" s="288"/>
    </row>
    <row r="83" spans="1:11" ht="15" customHeight="1">
      <c r="A83" s="277"/>
      <c r="B83" s="151" t="s">
        <v>244</v>
      </c>
      <c r="D83" s="174"/>
      <c r="E83" s="231"/>
      <c r="F83" s="759"/>
      <c r="G83" s="640">
        <f>G$81     *
SUMPRODUCT(G3:G7,Ziekteverzuim)</f>
        <v>69.40149000000001</v>
      </c>
      <c r="H83" s="640">
        <f>H$81     *
SUMPRODUCT(H3:H7,Ziekteverzuim)</f>
        <v>69.40149000000001</v>
      </c>
      <c r="I83" s="640">
        <f>I$81     *
SUMPRODUCT(I3:I7,Ziekteverzuim)</f>
        <v>69.40149000000001</v>
      </c>
      <c r="J83" s="761">
        <f>J$81     *
SUMPRODUCT(J3:J7,Ziekteverzuim)</f>
        <v>69.40149000000001</v>
      </c>
      <c r="K83" s="288"/>
    </row>
    <row r="84" spans="1:11" s="182" customFormat="1" ht="19.5" customHeight="1">
      <c r="A84" s="77"/>
      <c r="B84" s="185" t="s">
        <v>64</v>
      </c>
      <c r="C84" s="179"/>
      <c r="D84" s="261"/>
      <c r="E84" s="231"/>
      <c r="F84" s="762">
        <f>F$81-SUM(F82:F83)</f>
        <v>1878</v>
      </c>
      <c r="G84" s="725">
        <f t="shared" ref="G84:I84" si="43">G$81-SUM(G82:G83)</f>
        <v>1553.5185099999999</v>
      </c>
      <c r="H84" s="725">
        <f t="shared" si="43"/>
        <v>1553.5185099999999</v>
      </c>
      <c r="I84" s="725">
        <f t="shared" si="43"/>
        <v>1553.5185099999999</v>
      </c>
      <c r="J84" s="763">
        <f t="shared" ref="J84" si="44">J$81-SUM(J82:J83)</f>
        <v>1553.5185099999999</v>
      </c>
      <c r="K84" s="290"/>
    </row>
    <row r="85" spans="1:11" ht="15" customHeight="1">
      <c r="A85" s="277"/>
      <c r="B85" s="186" t="s">
        <v>65</v>
      </c>
      <c r="C85" s="187"/>
      <c r="D85" s="188"/>
      <c r="E85" s="231"/>
      <c r="F85" s="1086"/>
      <c r="G85" s="1055">
        <v>100</v>
      </c>
      <c r="H85" s="1055">
        <v>130</v>
      </c>
      <c r="I85" s="1055">
        <v>130</v>
      </c>
      <c r="J85" s="1085">
        <v>100</v>
      </c>
      <c r="K85" s="288"/>
    </row>
    <row r="86" spans="1:11" ht="15" customHeight="1">
      <c r="A86" s="277"/>
      <c r="B86" s="186" t="s">
        <v>66</v>
      </c>
      <c r="C86" s="187"/>
      <c r="D86" s="188"/>
      <c r="E86" s="231"/>
      <c r="F86" s="1086"/>
      <c r="G86" s="1055"/>
      <c r="H86" s="1055"/>
      <c r="I86" s="1055"/>
      <c r="J86" s="1085"/>
      <c r="K86" s="288"/>
    </row>
    <row r="87" spans="1:11" ht="15" customHeight="1">
      <c r="A87" s="277"/>
      <c r="B87" s="186" t="s">
        <v>67</v>
      </c>
      <c r="C87" s="187"/>
      <c r="D87" s="188"/>
      <c r="E87" s="231"/>
      <c r="F87" s="1086"/>
      <c r="G87" s="1055"/>
      <c r="H87" s="1055"/>
      <c r="I87" s="1055"/>
      <c r="J87" s="1085"/>
      <c r="K87" s="288"/>
    </row>
    <row r="88" spans="1:11" s="182" customFormat="1" ht="22.5" customHeight="1">
      <c r="A88" s="77"/>
      <c r="B88" s="189" t="s">
        <v>245</v>
      </c>
      <c r="C88" s="179"/>
      <c r="D88" s="261"/>
      <c r="E88" s="231"/>
      <c r="F88" s="762">
        <f>F84-F85</f>
        <v>1878</v>
      </c>
      <c r="G88" s="725">
        <f t="shared" ref="G88:I88" si="45">G84-G85</f>
        <v>1453.5185099999999</v>
      </c>
      <c r="H88" s="725">
        <f t="shared" si="45"/>
        <v>1423.5185099999999</v>
      </c>
      <c r="I88" s="725">
        <f t="shared" si="45"/>
        <v>1423.5185099999999</v>
      </c>
      <c r="J88" s="763">
        <f t="shared" ref="J88" si="46">J84-J85</f>
        <v>1453.5185099999999</v>
      </c>
      <c r="K88" s="290"/>
    </row>
    <row r="89" spans="1:11" s="182" customFormat="1" ht="22.5" customHeight="1">
      <c r="A89" s="77"/>
      <c r="B89" s="527" t="s">
        <v>269</v>
      </c>
      <c r="D89" s="526"/>
      <c r="E89" s="231"/>
      <c r="F89" s="754" t="s">
        <v>271</v>
      </c>
      <c r="G89" s="641" t="s">
        <v>271</v>
      </c>
      <c r="H89" s="641" t="s">
        <v>286</v>
      </c>
      <c r="I89" s="641" t="s">
        <v>286</v>
      </c>
      <c r="J89" s="738" t="s">
        <v>271</v>
      </c>
      <c r="K89" s="290"/>
    </row>
    <row r="90" spans="1:11" ht="21.45" customHeight="1">
      <c r="A90" s="277"/>
      <c r="B90" s="190" t="s">
        <v>68</v>
      </c>
      <c r="D90" s="174"/>
      <c r="E90" s="231"/>
      <c r="F90" s="764">
        <f>IF(F89="","",IF(F89="Ja",Parameters!$C$11,IF(F89="Nee",0)))</f>
        <v>0</v>
      </c>
      <c r="G90" s="665">
        <f>IF(G89="","",IF(G89="Ja",Parameters!$C$11,IF(G89="Nee",0)))</f>
        <v>0</v>
      </c>
      <c r="H90" s="665">
        <f>IF(H89="","",IF(H89="Ja",Parameters!$C$11,IF(H89="Nee",0)))</f>
        <v>37.666666666666664</v>
      </c>
      <c r="I90" s="665">
        <f>IF(I89="","",IF(I89="Ja",Parameters!$C$11,IF(I89="Nee",0)))</f>
        <v>37.666666666666664</v>
      </c>
      <c r="J90" s="668">
        <f>IF(J89="","",IF(J89="Ja",Parameters!$C$11,IF(J89="Nee",0)))</f>
        <v>0</v>
      </c>
      <c r="K90" s="288"/>
    </row>
    <row r="91" spans="1:11" ht="22.95" customHeight="1">
      <c r="A91" s="277"/>
      <c r="B91" s="527" t="s">
        <v>270</v>
      </c>
      <c r="D91" s="174"/>
      <c r="E91" s="231"/>
      <c r="F91" s="754"/>
      <c r="G91" s="641" t="s">
        <v>278</v>
      </c>
      <c r="H91" s="641" t="s">
        <v>278</v>
      </c>
      <c r="I91" s="641" t="s">
        <v>278</v>
      </c>
      <c r="J91" s="738" t="s">
        <v>278</v>
      </c>
      <c r="K91" s="288"/>
    </row>
    <row r="92" spans="1:11" ht="18" thickBot="1">
      <c r="A92" s="277"/>
      <c r="B92" s="151" t="s">
        <v>69</v>
      </c>
      <c r="D92" s="174"/>
      <c r="E92" s="231"/>
      <c r="F92" s="666" t="str">
        <f>IF(F91="","",IF(F91=Parameters!$B$18,Parameters!$C$18,IF(F91=Parameters!$B$19,Parameters!$C$19,IF(F91=Parameters!$B$20,Parameters!$C$20,IF(F91=Parameters!$B$21,Parameters!$C$21,IF(F91=Parameters!$B$22,Parameters!$C$22))))))</f>
        <v/>
      </c>
      <c r="G92" s="665">
        <f>IF(G91="","",IF(G91=Parameters!$B$18,Parameters!$C$18,IF(G91=Parameters!$B$19,Parameters!$C$19,IF(G91=Parameters!$B$20,Parameters!$C$20,IF(G91=Parameters!$B$21,Parameters!$C$21,IF(G91=Parameters!$B$22,Parameters!$C$22))))))</f>
        <v>75</v>
      </c>
      <c r="H92" s="665">
        <f>IF(H91="","",IF(H91=Parameters!$B$18,Parameters!$C$18,IF(H91=Parameters!$B$19,Parameters!$C$19,IF(H91=Parameters!$B$20,Parameters!$C$20,IF(H91=Parameters!$B$21,Parameters!$C$21,IF(H91=Parameters!$B$22,Parameters!$C$22))))))</f>
        <v>75</v>
      </c>
      <c r="I92" s="665">
        <f>IF(I91="","",IF(I91=Parameters!$B$18,Parameters!$C$18,IF(I91=Parameters!$B$19,Parameters!$C$19,IF(I91=Parameters!$B$20,Parameters!$C$20,IF(I91=Parameters!$B$21,Parameters!$C$21,IF(I91=Parameters!$B$22,Parameters!$C$22))))))</f>
        <v>75</v>
      </c>
      <c r="J92" s="668">
        <f>IF(J91="","",IF(J91=Parameters!$B$18,Parameters!$C$18,IF(J91=Parameters!$B$19,Parameters!$C$19,IF(J91=Parameters!$B$20,Parameters!$C$20,IF(J91=Parameters!$B$21,Parameters!$C$21,IF(J91=Parameters!$B$22,Parameters!$C$22))))))</f>
        <v>75</v>
      </c>
      <c r="K92" s="288"/>
    </row>
    <row r="93" spans="1:11" s="183" customFormat="1" ht="21.6" thickBot="1">
      <c r="A93" s="279"/>
      <c r="B93" s="222" t="s">
        <v>70</v>
      </c>
      <c r="C93" s="223"/>
      <c r="D93" s="262"/>
      <c r="E93" s="231"/>
      <c r="F93" s="644">
        <f t="shared" ref="F93" si="47">F88-SUM(F90:F92)</f>
        <v>1878</v>
      </c>
      <c r="G93" s="312">
        <f t="shared" ref="G93:I93" si="48">G88-SUM(G90:G92)</f>
        <v>1378.5185099999999</v>
      </c>
      <c r="H93" s="312">
        <f t="shared" si="48"/>
        <v>1310.8518433333331</v>
      </c>
      <c r="I93" s="312">
        <f t="shared" si="48"/>
        <v>1310.8518433333331</v>
      </c>
      <c r="J93" s="646">
        <f t="shared" ref="J93" si="49">J88-SUM(J90:J92)</f>
        <v>1378.5185099999999</v>
      </c>
      <c r="K93" s="291"/>
    </row>
    <row r="94" spans="1:11" ht="18" customHeight="1" thickBot="1">
      <c r="A94" s="277"/>
      <c r="B94" s="191" t="s">
        <v>246</v>
      </c>
      <c r="C94" s="175"/>
      <c r="D94" s="259"/>
      <c r="E94" s="231"/>
      <c r="F94" s="731">
        <f t="shared" ref="F94:I94" si="50">F93/F81</f>
        <v>1</v>
      </c>
      <c r="G94" s="732">
        <f t="shared" si="50"/>
        <v>0.73403541533546324</v>
      </c>
      <c r="H94" s="732">
        <f t="shared" si="50"/>
        <v>0.69800417642882484</v>
      </c>
      <c r="I94" s="732">
        <f t="shared" si="50"/>
        <v>0.69800417642882484</v>
      </c>
      <c r="J94" s="732">
        <f t="shared" ref="J94" si="51">J93/J81</f>
        <v>0.73403541533546324</v>
      </c>
      <c r="K94" s="288"/>
    </row>
    <row r="95" spans="1:11" ht="18" thickBot="1">
      <c r="A95" s="277"/>
      <c r="B95" s="277"/>
      <c r="C95" s="277"/>
      <c r="D95" s="277"/>
      <c r="E95" s="231"/>
      <c r="F95" s="277"/>
      <c r="G95" s="277"/>
      <c r="H95" s="277"/>
      <c r="I95" s="277"/>
      <c r="J95" s="283"/>
      <c r="K95" s="288"/>
    </row>
    <row r="96" spans="1:11" s="158" customFormat="1" ht="27" thickBot="1">
      <c r="A96" s="280"/>
      <c r="B96" s="193" t="s">
        <v>247</v>
      </c>
      <c r="C96" s="194"/>
      <c r="D96" s="273"/>
      <c r="E96" s="231"/>
      <c r="F96" s="272">
        <f>F77/F93</f>
        <v>52.0799412543168</v>
      </c>
      <c r="G96" s="203">
        <f t="shared" ref="G96:I96" si="52">G77/G93</f>
        <v>96.438826271282991</v>
      </c>
      <c r="H96" s="203">
        <f t="shared" si="52"/>
        <v>99.211909644713742</v>
      </c>
      <c r="I96" s="203">
        <f t="shared" si="52"/>
        <v>99.211909644713742</v>
      </c>
      <c r="J96" s="195">
        <f t="shared" ref="J96" si="53">J77/J93</f>
        <v>79.906254983978911</v>
      </c>
      <c r="K96" s="292"/>
    </row>
    <row r="97" spans="1:11" ht="18" thickBot="1">
      <c r="A97" s="277"/>
      <c r="B97" s="277"/>
      <c r="C97" s="277"/>
      <c r="D97" s="277"/>
      <c r="E97" s="231"/>
      <c r="F97" s="277"/>
      <c r="G97" s="277"/>
      <c r="H97" s="277"/>
      <c r="I97" s="277"/>
      <c r="J97" s="283"/>
      <c r="K97" s="288"/>
    </row>
    <row r="98" spans="1:11" s="157" customFormat="1" ht="24.6" thickBot="1">
      <c r="A98" s="281"/>
      <c r="B98" s="1031" t="s">
        <v>90</v>
      </c>
      <c r="C98" s="1032"/>
      <c r="D98" s="1033"/>
      <c r="E98" s="231"/>
      <c r="F98" s="263">
        <f>F96</f>
        <v>52.0799412543168</v>
      </c>
      <c r="G98" s="263">
        <f t="shared" ref="G98:J98" si="54">G96</f>
        <v>96.438826271282991</v>
      </c>
      <c r="H98" s="263">
        <f t="shared" si="54"/>
        <v>99.211909644713742</v>
      </c>
      <c r="I98" s="263">
        <f t="shared" si="54"/>
        <v>99.211909644713742</v>
      </c>
      <c r="J98" s="263">
        <f t="shared" si="54"/>
        <v>79.906254983978911</v>
      </c>
      <c r="K98" s="293"/>
    </row>
    <row r="99" spans="1:11" ht="18" thickBot="1">
      <c r="A99" s="277"/>
      <c r="B99" s="1034" t="s">
        <v>248</v>
      </c>
      <c r="C99" s="1035"/>
      <c r="D99" s="1036"/>
      <c r="E99" s="231"/>
      <c r="F99" s="264">
        <f>MROUND(F98,0.6)</f>
        <v>52.199999999999996</v>
      </c>
      <c r="G99" s="265">
        <f t="shared" ref="G99:I99" si="55">MROUND(G98,0.6)</f>
        <v>96.6</v>
      </c>
      <c r="H99" s="265">
        <f t="shared" si="55"/>
        <v>99</v>
      </c>
      <c r="I99" s="265">
        <f t="shared" si="55"/>
        <v>99</v>
      </c>
      <c r="J99" s="266">
        <f t="shared" ref="J99" si="56">MROUND(J98,0.6)</f>
        <v>79.8</v>
      </c>
      <c r="K99" s="288"/>
    </row>
    <row r="100" spans="1:11" ht="21.6" thickBot="1">
      <c r="A100" s="277"/>
      <c r="B100" s="1037" t="s">
        <v>91</v>
      </c>
      <c r="C100" s="1038"/>
      <c r="D100" s="1039"/>
      <c r="E100" s="231"/>
      <c r="F100" s="267" t="s">
        <v>110</v>
      </c>
      <c r="G100" s="268" t="s">
        <v>110</v>
      </c>
      <c r="H100" s="268" t="s">
        <v>110</v>
      </c>
      <c r="I100" s="268" t="s">
        <v>110</v>
      </c>
      <c r="J100" s="269" t="s">
        <v>110</v>
      </c>
      <c r="K100" s="288"/>
    </row>
    <row r="101" spans="1:11" s="228" customFormat="1" ht="34.950000000000003" customHeight="1" thickBot="1">
      <c r="A101" s="282"/>
      <c r="B101" s="1040" t="s">
        <v>117</v>
      </c>
      <c r="C101" s="1040"/>
      <c r="D101" s="1040"/>
      <c r="E101" s="270"/>
      <c r="F101" s="229">
        <v>1</v>
      </c>
      <c r="G101" s="229">
        <v>2</v>
      </c>
      <c r="H101" s="229">
        <v>3</v>
      </c>
      <c r="I101" s="229">
        <v>4</v>
      </c>
      <c r="J101" s="229">
        <v>5</v>
      </c>
      <c r="K101" s="294"/>
    </row>
    <row r="103" spans="1:11" ht="18" thickBot="1"/>
    <row r="104" spans="1:11" ht="24.6" thickBot="1">
      <c r="D104" s="568" t="s">
        <v>288</v>
      </c>
      <c r="E104" s="301"/>
      <c r="F104" s="567">
        <f>SUM((4*F98),G98)</f>
        <v>304.75859128855018</v>
      </c>
    </row>
    <row r="105" spans="1:11" ht="24.6" thickBot="1">
      <c r="D105" s="568" t="s">
        <v>292</v>
      </c>
      <c r="E105" s="231"/>
      <c r="F105" s="567">
        <f>H98</f>
        <v>99.211909644713742</v>
      </c>
    </row>
    <row r="106" spans="1:11" ht="24.6" thickBot="1">
      <c r="D106" s="568" t="s">
        <v>293</v>
      </c>
      <c r="E106" s="231"/>
      <c r="F106" s="567">
        <f>I98</f>
        <v>99.211909644713742</v>
      </c>
    </row>
    <row r="107" spans="1:11" ht="24.6" thickBot="1">
      <c r="D107" s="568" t="s">
        <v>294</v>
      </c>
      <c r="E107" s="270"/>
      <c r="F107" s="567">
        <f>J98</f>
        <v>79.906254983978911</v>
      </c>
    </row>
  </sheetData>
  <mergeCells count="15">
    <mergeCell ref="J85:J87"/>
    <mergeCell ref="F85:F87"/>
    <mergeCell ref="G85:G87"/>
    <mergeCell ref="H85:H87"/>
    <mergeCell ref="I85:I87"/>
    <mergeCell ref="B98:D98"/>
    <mergeCell ref="B99:D99"/>
    <mergeCell ref="B100:D100"/>
    <mergeCell ref="B101:D101"/>
    <mergeCell ref="B13:B14"/>
    <mergeCell ref="B15:B16"/>
    <mergeCell ref="B17:B18"/>
    <mergeCell ref="B19:B20"/>
    <mergeCell ref="B21:B22"/>
    <mergeCell ref="B23:B24"/>
  </mergeCells>
  <conditionalFormatting sqref="D50">
    <cfRule type="cellIs" dxfId="11" priority="4" operator="equal">
      <formula>"Check mixen"</formula>
    </cfRule>
  </conditionalFormatting>
  <conditionalFormatting sqref="F3:J7">
    <cfRule type="cellIs" dxfId="10" priority="6" operator="greaterThan">
      <formula>0</formula>
    </cfRule>
    <cfRule type="cellIs" dxfId="9" priority="7" operator="equal">
      <formula>0</formula>
    </cfRule>
  </conditionalFormatting>
  <conditionalFormatting sqref="F8:J8">
    <cfRule type="cellIs" dxfId="8" priority="5" operator="equal">
      <formula>1</formula>
    </cfRule>
  </conditionalFormatting>
  <conditionalFormatting sqref="F9:J9 F28:J28">
    <cfRule type="cellIs" dxfId="7" priority="10" operator="greaterThan">
      <formula>1</formula>
    </cfRule>
    <cfRule type="cellIs" dxfId="6" priority="15" operator="lessThan">
      <formula>1</formula>
    </cfRule>
    <cfRule type="cellIs" dxfId="5" priority="16" operator="equal">
      <formula>1</formula>
    </cfRule>
  </conditionalFormatting>
  <conditionalFormatting sqref="F11:J27">
    <cfRule type="cellIs" dxfId="4" priority="9" operator="equal">
      <formula>0</formula>
    </cfRule>
    <cfRule type="cellIs" dxfId="3" priority="12" operator="greaterThan">
      <formula>0</formula>
    </cfRule>
  </conditionalFormatting>
  <conditionalFormatting sqref="F32:J32">
    <cfRule type="cellIs" dxfId="2" priority="1" operator="equal">
      <formula>"Check mixen"</formula>
    </cfRule>
  </conditionalFormatting>
  <conditionalFormatting sqref="G60:J60">
    <cfRule type="cellIs" dxfId="1" priority="2" operator="equal">
      <formula>0</formula>
    </cfRule>
    <cfRule type="cellIs" dxfId="0" priority="3" operator="greaterThan">
      <formula>0</formula>
    </cfRule>
  </conditionalFormatting>
  <dataValidations count="3">
    <dataValidation type="custom" allowBlank="1" showInputMessage="1" showErrorMessage="1" errorTitle="Cao-mix lege cel of &gt; 100%!" error="Cao-mix heeft een lege cel of is meer dan 100%! Vul eerst de cao-mix correct in (inclusief 0%)!" sqref="F11:J27" xr:uid="{BDFA8DF5-0C15-4547-8C74-39FF82641DB0}">
      <formula1>F$9&lt;&gt;"Cao-mix incompleet!"</formula1>
    </dataValidation>
    <dataValidation type="list" allowBlank="1" showInputMessage="1" showErrorMessage="1" sqref="F89:J89" xr:uid="{0DBBB0A0-2834-4486-BA41-64E86B5D495B}">
      <formula1>"Ja,Nee"</formula1>
    </dataValidation>
    <dataValidation type="list" allowBlank="1" showInputMessage="1" showErrorMessage="1" sqref="F71:DA71" xr:uid="{9BEE71A9-F1CE-4146-8F90-2B1D4ACDB059}">
      <formula1>"Wmo,Jeugd"</formula1>
    </dataValidation>
  </dataValidation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3FC67D5-5553-497D-81AC-50721BAC7D9D}">
          <x14:formula1>
            <xm:f>ORT!$J$4:$J$12</xm:f>
          </x14:formula1>
          <xm:sqref>F36:J36</xm:sqref>
        </x14:dataValidation>
        <x14:dataValidation type="list" allowBlank="1" showInputMessage="1" showErrorMessage="1" xr:uid="{B9E36B3A-D54E-48C8-AB0D-F5F7B941B3C5}">
          <x14:formula1>
            <xm:f>Parameters!$B$18:$B$22</xm:f>
          </x14:formula1>
          <xm:sqref>F91:J91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1DCE6-37F3-4B3A-B2FC-6302F074B408}">
  <sheetPr>
    <tabColor theme="5"/>
  </sheetPr>
  <dimension ref="A1:DA139"/>
  <sheetViews>
    <sheetView zoomScale="70" zoomScaleNormal="70" workbookViewId="0">
      <pane xSplit="4" ySplit="2" topLeftCell="E94" activePane="bottomRight" state="frozen"/>
      <selection activeCell="D34" sqref="D34"/>
      <selection pane="topRight" activeCell="D34" sqref="D34"/>
      <selection pane="bottomLeft" activeCell="D34" sqref="D34"/>
      <selection pane="bottomRight" activeCell="F110" sqref="F110"/>
    </sheetView>
  </sheetViews>
  <sheetFormatPr defaultColWidth="8.77734375" defaultRowHeight="17.399999999999999"/>
  <cols>
    <col min="1" max="1" width="8.77734375" style="146"/>
    <col min="2" max="2" width="60" style="146" bestFit="1" customWidth="1"/>
    <col min="3" max="3" width="20" style="146" bestFit="1" customWidth="1"/>
    <col min="4" max="4" width="21.77734375" style="146" bestFit="1" customWidth="1"/>
    <col min="5" max="5" width="1.6640625" style="1" customWidth="1"/>
    <col min="6" max="8" width="22.77734375" style="146" bestFit="1" customWidth="1"/>
    <col min="9" max="10" width="22.77734375" style="146" hidden="1" customWidth="1"/>
    <col min="11" max="51" width="24.109375" style="146" hidden="1" customWidth="1"/>
    <col min="52" max="98" width="24.109375" style="167" hidden="1" customWidth="1"/>
    <col min="99" max="99" width="27.6640625" style="167" hidden="1" customWidth="1"/>
    <col min="100" max="103" width="24.109375" style="167" hidden="1" customWidth="1"/>
    <col min="104" max="104" width="24.109375" style="167" bestFit="1" customWidth="1"/>
    <col min="105" max="105" width="8.109375" style="167" customWidth="1"/>
    <col min="106" max="16384" width="8.77734375" style="146"/>
  </cols>
  <sheetData>
    <row r="1" spans="1:105" ht="18" thickBot="1">
      <c r="A1" s="277"/>
      <c r="B1" s="277"/>
      <c r="C1" s="277"/>
      <c r="D1" s="277"/>
      <c r="E1" s="231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277"/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3"/>
      <c r="BT1" s="283"/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3"/>
      <c r="CO1" s="283"/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8"/>
    </row>
    <row r="2" spans="1:105" s="147" customFormat="1" ht="39" customHeight="1" thickBot="1">
      <c r="A2" s="278"/>
      <c r="B2" s="278"/>
      <c r="C2" s="278"/>
      <c r="D2" s="278"/>
      <c r="E2" s="231"/>
      <c r="F2" s="957" t="s">
        <v>397</v>
      </c>
      <c r="G2" s="957"/>
      <c r="H2" s="977"/>
      <c r="I2" s="977"/>
      <c r="J2" s="977"/>
      <c r="K2" s="465"/>
      <c r="L2" s="465"/>
      <c r="M2" s="465"/>
      <c r="N2" s="465" t="s">
        <v>362</v>
      </c>
      <c r="O2" s="465" t="s">
        <v>363</v>
      </c>
      <c r="P2" s="465" t="s">
        <v>364</v>
      </c>
      <c r="Q2" s="465" t="s">
        <v>365</v>
      </c>
      <c r="R2" s="465" t="s">
        <v>366</v>
      </c>
      <c r="S2" s="465" t="s">
        <v>367</v>
      </c>
      <c r="T2" s="465" t="s">
        <v>368</v>
      </c>
      <c r="U2" s="465" t="s">
        <v>369</v>
      </c>
      <c r="V2" s="465" t="s">
        <v>373</v>
      </c>
      <c r="W2" s="465" t="s">
        <v>372</v>
      </c>
      <c r="X2" s="465" t="s">
        <v>371</v>
      </c>
      <c r="Y2" s="465" t="s">
        <v>370</v>
      </c>
      <c r="Z2" s="465" t="s">
        <v>139</v>
      </c>
      <c r="AA2" s="465" t="s">
        <v>140</v>
      </c>
      <c r="AB2" s="465" t="s">
        <v>141</v>
      </c>
      <c r="AC2" s="465" t="s">
        <v>142</v>
      </c>
      <c r="AD2" s="465" t="s">
        <v>143</v>
      </c>
      <c r="AE2" s="465" t="s">
        <v>144</v>
      </c>
      <c r="AF2" s="465" t="s">
        <v>145</v>
      </c>
      <c r="AG2" s="465" t="s">
        <v>146</v>
      </c>
      <c r="AH2" s="465" t="s">
        <v>147</v>
      </c>
      <c r="AI2" s="465" t="s">
        <v>148</v>
      </c>
      <c r="AJ2" s="465" t="s">
        <v>149</v>
      </c>
      <c r="AK2" s="465" t="s">
        <v>150</v>
      </c>
      <c r="AL2" s="465" t="s">
        <v>151</v>
      </c>
      <c r="AM2" s="465" t="s">
        <v>152</v>
      </c>
      <c r="AN2" s="465" t="s">
        <v>153</v>
      </c>
      <c r="AO2" s="465" t="s">
        <v>154</v>
      </c>
      <c r="AP2" s="465" t="s">
        <v>155</v>
      </c>
      <c r="AQ2" s="465" t="s">
        <v>156</v>
      </c>
      <c r="AR2" s="465" t="s">
        <v>157</v>
      </c>
      <c r="AS2" s="465" t="s">
        <v>158</v>
      </c>
      <c r="AT2" s="465" t="s">
        <v>159</v>
      </c>
      <c r="AU2" s="465" t="s">
        <v>160</v>
      </c>
      <c r="AV2" s="465" t="s">
        <v>161</v>
      </c>
      <c r="AW2" s="465" t="s">
        <v>162</v>
      </c>
      <c r="AX2" s="465" t="s">
        <v>163</v>
      </c>
      <c r="AY2" s="465" t="s">
        <v>164</v>
      </c>
      <c r="AZ2" s="465" t="s">
        <v>165</v>
      </c>
      <c r="BA2" s="465" t="s">
        <v>166</v>
      </c>
      <c r="BB2" s="465" t="s">
        <v>167</v>
      </c>
      <c r="BC2" s="465" t="s">
        <v>168</v>
      </c>
      <c r="BD2" s="465" t="s">
        <v>169</v>
      </c>
      <c r="BE2" s="465" t="s">
        <v>171</v>
      </c>
      <c r="BF2" s="465" t="s">
        <v>172</v>
      </c>
      <c r="BG2" s="465" t="s">
        <v>173</v>
      </c>
      <c r="BH2" s="465" t="s">
        <v>174</v>
      </c>
      <c r="BI2" s="465" t="s">
        <v>175</v>
      </c>
      <c r="BJ2" s="465" t="s">
        <v>176</v>
      </c>
      <c r="BK2" s="465" t="s">
        <v>177</v>
      </c>
      <c r="BL2" s="465" t="s">
        <v>178</v>
      </c>
      <c r="BM2" s="465" t="s">
        <v>179</v>
      </c>
      <c r="BN2" s="465" t="s">
        <v>180</v>
      </c>
      <c r="BO2" s="465" t="s">
        <v>181</v>
      </c>
      <c r="BP2" s="465" t="s">
        <v>182</v>
      </c>
      <c r="BQ2" s="465" t="s">
        <v>183</v>
      </c>
      <c r="BR2" s="465" t="s">
        <v>184</v>
      </c>
      <c r="BS2" s="465" t="s">
        <v>185</v>
      </c>
      <c r="BT2" s="465" t="s">
        <v>186</v>
      </c>
      <c r="BU2" s="465" t="s">
        <v>187</v>
      </c>
      <c r="BV2" s="465" t="s">
        <v>188</v>
      </c>
      <c r="BW2" s="465" t="s">
        <v>189</v>
      </c>
      <c r="BX2" s="465" t="s">
        <v>190</v>
      </c>
      <c r="BY2" s="465" t="s">
        <v>191</v>
      </c>
      <c r="BZ2" s="465" t="s">
        <v>192</v>
      </c>
      <c r="CA2" s="465" t="s">
        <v>193</v>
      </c>
      <c r="CB2" s="465" t="s">
        <v>194</v>
      </c>
      <c r="CC2" s="465" t="s">
        <v>195</v>
      </c>
      <c r="CD2" s="465" t="s">
        <v>196</v>
      </c>
      <c r="CE2" s="465" t="s">
        <v>197</v>
      </c>
      <c r="CF2" s="465" t="s">
        <v>198</v>
      </c>
      <c r="CG2" s="465" t="s">
        <v>199</v>
      </c>
      <c r="CH2" s="465" t="s">
        <v>200</v>
      </c>
      <c r="CI2" s="465" t="s">
        <v>201</v>
      </c>
      <c r="CJ2" s="465" t="s">
        <v>202</v>
      </c>
      <c r="CK2" s="465" t="s">
        <v>203</v>
      </c>
      <c r="CL2" s="465" t="s">
        <v>204</v>
      </c>
      <c r="CM2" s="465" t="s">
        <v>205</v>
      </c>
      <c r="CN2" s="465" t="s">
        <v>206</v>
      </c>
      <c r="CO2" s="465" t="s">
        <v>207</v>
      </c>
      <c r="CP2" s="465" t="s">
        <v>208</v>
      </c>
      <c r="CQ2" s="465" t="s">
        <v>209</v>
      </c>
      <c r="CR2" s="465" t="s">
        <v>210</v>
      </c>
      <c r="CS2" s="465" t="s">
        <v>211</v>
      </c>
      <c r="CT2" s="465" t="s">
        <v>212</v>
      </c>
      <c r="CU2" s="465" t="s">
        <v>213</v>
      </c>
      <c r="CV2" s="465" t="s">
        <v>214</v>
      </c>
      <c r="CW2" s="465" t="s">
        <v>215</v>
      </c>
      <c r="CX2" s="465" t="s">
        <v>216</v>
      </c>
      <c r="CY2" s="465" t="s">
        <v>217</v>
      </c>
      <c r="CZ2" s="466"/>
      <c r="DA2" s="288"/>
    </row>
    <row r="3" spans="1:105">
      <c r="A3" s="277"/>
      <c r="B3" s="277"/>
      <c r="C3" s="277"/>
      <c r="D3" s="232" t="s">
        <v>11</v>
      </c>
      <c r="E3" s="231"/>
      <c r="F3" s="958">
        <v>0</v>
      </c>
      <c r="G3" s="958"/>
      <c r="H3" s="958"/>
      <c r="I3" s="958"/>
      <c r="J3" s="958"/>
      <c r="K3" s="539"/>
      <c r="L3" s="539"/>
      <c r="M3" s="197"/>
      <c r="N3" s="197"/>
      <c r="O3" s="197"/>
      <c r="P3" s="197"/>
      <c r="Q3" s="551"/>
      <c r="R3" s="551"/>
      <c r="S3" s="197"/>
      <c r="T3" s="551"/>
      <c r="U3" s="551"/>
      <c r="V3" s="197"/>
      <c r="W3" s="197"/>
      <c r="X3" s="197"/>
      <c r="Y3" s="197"/>
      <c r="Z3" s="197"/>
      <c r="AA3" s="197"/>
      <c r="AB3" s="208"/>
      <c r="AC3" s="208"/>
      <c r="AD3" s="208"/>
      <c r="AE3" s="197"/>
      <c r="AF3" s="197"/>
      <c r="AG3" s="208"/>
      <c r="AH3" s="197"/>
      <c r="AI3" s="197"/>
      <c r="AJ3" s="197"/>
      <c r="AK3" s="208"/>
      <c r="AL3" s="197"/>
      <c r="AM3" s="197"/>
      <c r="AN3" s="197"/>
      <c r="AO3" s="197"/>
      <c r="AP3" s="197"/>
      <c r="AQ3" s="551"/>
      <c r="AR3" s="551"/>
      <c r="AS3" s="551"/>
      <c r="AT3" s="551"/>
      <c r="AU3" s="551"/>
      <c r="AV3" s="551"/>
      <c r="AW3" s="551"/>
      <c r="AX3" s="551"/>
      <c r="AY3" s="551"/>
      <c r="AZ3" s="551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197"/>
      <c r="CP3" s="197"/>
      <c r="CQ3" s="197"/>
      <c r="CR3" s="197"/>
      <c r="CS3" s="209"/>
      <c r="CT3" s="197"/>
      <c r="CU3" s="197"/>
      <c r="CV3" s="197"/>
      <c r="CW3" s="197"/>
      <c r="CX3" s="197"/>
      <c r="CY3" s="197"/>
      <c r="CZ3" s="210"/>
      <c r="DA3" s="288"/>
    </row>
    <row r="4" spans="1:105">
      <c r="A4" s="277"/>
      <c r="B4" s="277"/>
      <c r="C4" s="277"/>
      <c r="D4" s="233" t="s">
        <v>12</v>
      </c>
      <c r="E4" s="231"/>
      <c r="F4" s="959">
        <v>0</v>
      </c>
      <c r="G4" s="959"/>
      <c r="H4" s="959"/>
      <c r="I4" s="959"/>
      <c r="J4" s="959"/>
      <c r="K4" s="238"/>
      <c r="L4" s="238"/>
      <c r="M4" s="198"/>
      <c r="N4" s="198"/>
      <c r="O4" s="198"/>
      <c r="P4" s="198"/>
      <c r="Q4" s="552"/>
      <c r="R4" s="552"/>
      <c r="S4" s="198"/>
      <c r="T4" s="552"/>
      <c r="U4" s="552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552"/>
      <c r="AR4" s="552"/>
      <c r="AS4" s="552"/>
      <c r="AT4" s="552"/>
      <c r="AU4" s="552"/>
      <c r="AV4" s="552"/>
      <c r="AW4" s="552"/>
      <c r="AX4" s="552"/>
      <c r="AY4" s="552"/>
      <c r="AZ4" s="552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211"/>
      <c r="DA4" s="288"/>
    </row>
    <row r="5" spans="1:105">
      <c r="A5" s="277"/>
      <c r="B5" s="277"/>
      <c r="C5" s="277"/>
      <c r="D5" s="234" t="s">
        <v>13</v>
      </c>
      <c r="E5" s="231"/>
      <c r="F5" s="959">
        <v>1</v>
      </c>
      <c r="G5" s="959"/>
      <c r="H5" s="959"/>
      <c r="I5" s="959"/>
      <c r="J5" s="959"/>
      <c r="K5" s="238"/>
      <c r="L5" s="238"/>
      <c r="M5" s="198"/>
      <c r="N5" s="198"/>
      <c r="O5" s="198"/>
      <c r="P5" s="198"/>
      <c r="Q5" s="552"/>
      <c r="R5" s="552"/>
      <c r="S5" s="198"/>
      <c r="T5" s="552"/>
      <c r="U5" s="552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198"/>
      <c r="AQ5" s="552"/>
      <c r="AR5" s="552"/>
      <c r="AS5" s="552"/>
      <c r="AT5" s="552"/>
      <c r="AU5" s="552"/>
      <c r="AV5" s="552"/>
      <c r="AW5" s="552"/>
      <c r="AX5" s="552"/>
      <c r="AY5" s="552"/>
      <c r="AZ5" s="552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211"/>
      <c r="DA5" s="288"/>
    </row>
    <row r="6" spans="1:105">
      <c r="A6" s="277"/>
      <c r="B6" s="277"/>
      <c r="C6" s="277"/>
      <c r="D6" s="235" t="s">
        <v>10</v>
      </c>
      <c r="E6" s="231"/>
      <c r="F6" s="960">
        <v>0</v>
      </c>
      <c r="G6" s="960"/>
      <c r="H6" s="960"/>
      <c r="I6" s="960"/>
      <c r="J6" s="960"/>
      <c r="K6" s="240"/>
      <c r="L6" s="240"/>
      <c r="M6" s="198"/>
      <c r="N6" s="198"/>
      <c r="O6" s="198"/>
      <c r="P6" s="198"/>
      <c r="Q6" s="552"/>
      <c r="R6" s="552"/>
      <c r="S6" s="198"/>
      <c r="T6" s="552"/>
      <c r="U6" s="552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198"/>
      <c r="AQ6" s="552"/>
      <c r="AR6" s="552"/>
      <c r="AS6" s="552"/>
      <c r="AT6" s="552"/>
      <c r="AU6" s="552"/>
      <c r="AV6" s="552"/>
      <c r="AW6" s="552"/>
      <c r="AX6" s="552"/>
      <c r="AY6" s="552"/>
      <c r="AZ6" s="552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211"/>
      <c r="DA6" s="288"/>
    </row>
    <row r="7" spans="1:105" ht="18" thickBot="1">
      <c r="A7" s="277"/>
      <c r="B7" s="277"/>
      <c r="C7" s="277"/>
      <c r="D7" s="236" t="s">
        <v>14</v>
      </c>
      <c r="E7" s="231"/>
      <c r="F7" s="960">
        <v>0</v>
      </c>
      <c r="G7" s="960"/>
      <c r="H7" s="960"/>
      <c r="I7" s="960"/>
      <c r="J7" s="960"/>
      <c r="K7" s="199"/>
      <c r="L7" s="199"/>
      <c r="M7" s="199"/>
      <c r="N7" s="199"/>
      <c r="O7" s="199"/>
      <c r="P7" s="199"/>
      <c r="Q7" s="553"/>
      <c r="R7" s="553"/>
      <c r="S7" s="199"/>
      <c r="T7" s="553"/>
      <c r="U7" s="553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  <c r="AO7" s="199"/>
      <c r="AP7" s="199"/>
      <c r="AQ7" s="553"/>
      <c r="AR7" s="553"/>
      <c r="AS7" s="553"/>
      <c r="AT7" s="553"/>
      <c r="AU7" s="553"/>
      <c r="AV7" s="553"/>
      <c r="AW7" s="553"/>
      <c r="AX7" s="553"/>
      <c r="AY7" s="553"/>
      <c r="AZ7" s="553"/>
      <c r="BA7" s="199"/>
      <c r="BB7" s="199"/>
      <c r="BC7" s="199"/>
      <c r="BD7" s="199"/>
      <c r="BE7" s="199"/>
      <c r="BF7" s="199"/>
      <c r="BG7" s="199"/>
      <c r="BH7" s="199"/>
      <c r="BI7" s="199"/>
      <c r="BJ7" s="199"/>
      <c r="BK7" s="199"/>
      <c r="BL7" s="199"/>
      <c r="BM7" s="199"/>
      <c r="BN7" s="199"/>
      <c r="BO7" s="199"/>
      <c r="BP7" s="199"/>
      <c r="BQ7" s="199"/>
      <c r="BR7" s="199"/>
      <c r="BS7" s="199"/>
      <c r="BT7" s="199"/>
      <c r="BU7" s="199"/>
      <c r="BV7" s="199"/>
      <c r="BW7" s="199"/>
      <c r="BX7" s="199"/>
      <c r="BY7" s="199"/>
      <c r="BZ7" s="199"/>
      <c r="CA7" s="199"/>
      <c r="CB7" s="199"/>
      <c r="CC7" s="199"/>
      <c r="CD7" s="199"/>
      <c r="CE7" s="199"/>
      <c r="CF7" s="199"/>
      <c r="CG7" s="199"/>
      <c r="CH7" s="199"/>
      <c r="CI7" s="199"/>
      <c r="CJ7" s="199"/>
      <c r="CK7" s="199"/>
      <c r="CL7" s="199"/>
      <c r="CM7" s="199"/>
      <c r="CN7" s="199"/>
      <c r="CO7" s="199"/>
      <c r="CP7" s="199"/>
      <c r="CQ7" s="199"/>
      <c r="CR7" s="199"/>
      <c r="CS7" s="199"/>
      <c r="CT7" s="199"/>
      <c r="CU7" s="199"/>
      <c r="CV7" s="199"/>
      <c r="CW7" s="199"/>
      <c r="CX7" s="199"/>
      <c r="CY7" s="199"/>
      <c r="CZ7" s="212"/>
      <c r="DA7" s="288"/>
    </row>
    <row r="8" spans="1:105" ht="18" thickBot="1">
      <c r="A8" s="277"/>
      <c r="B8" s="277"/>
      <c r="C8" s="277"/>
      <c r="D8" s="550" t="s">
        <v>246</v>
      </c>
      <c r="E8" s="231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56"/>
      <c r="U8" s="556"/>
      <c r="V8" s="556"/>
      <c r="W8" s="556"/>
      <c r="X8" s="556"/>
      <c r="Y8" s="556"/>
      <c r="Z8" s="556"/>
      <c r="AA8" s="556"/>
      <c r="AB8" s="556"/>
      <c r="AC8" s="556"/>
      <c r="AD8" s="556"/>
      <c r="AE8" s="556"/>
      <c r="AF8" s="556"/>
      <c r="AG8" s="556"/>
      <c r="AH8" s="556"/>
      <c r="AI8" s="556"/>
      <c r="AJ8" s="556"/>
      <c r="AK8" s="556"/>
      <c r="AL8" s="556"/>
      <c r="AM8" s="556"/>
      <c r="AN8" s="556"/>
      <c r="AO8" s="556"/>
      <c r="AP8" s="556"/>
      <c r="AQ8" s="556"/>
      <c r="AR8" s="556"/>
      <c r="AS8" s="556"/>
      <c r="AT8" s="556"/>
      <c r="AU8" s="556"/>
      <c r="AV8" s="556"/>
      <c r="AW8" s="556"/>
      <c r="AX8" s="556"/>
      <c r="AY8" s="556"/>
      <c r="AZ8" s="556"/>
      <c r="BA8" s="556"/>
      <c r="BB8" s="556"/>
      <c r="BC8" s="556"/>
      <c r="BD8" s="556"/>
      <c r="BE8" s="556"/>
      <c r="BF8" s="556"/>
      <c r="BG8" s="556"/>
      <c r="BH8" s="556"/>
      <c r="BI8" s="556"/>
      <c r="BJ8" s="556"/>
      <c r="BK8" s="556"/>
      <c r="BL8" s="556"/>
      <c r="BM8" s="556"/>
      <c r="BN8" s="556"/>
      <c r="BO8" s="556"/>
      <c r="BP8" s="556"/>
      <c r="BQ8" s="556"/>
      <c r="BR8" s="556"/>
      <c r="BS8" s="556"/>
      <c r="BT8" s="556"/>
      <c r="BU8" s="556"/>
      <c r="BV8" s="556"/>
      <c r="BW8" s="556"/>
      <c r="BX8" s="556"/>
      <c r="BY8" s="556"/>
      <c r="BZ8" s="556"/>
      <c r="CA8" s="556"/>
      <c r="CB8" s="556"/>
      <c r="CC8" s="556"/>
      <c r="CD8" s="556"/>
      <c r="CE8" s="556"/>
      <c r="CF8" s="556"/>
      <c r="CG8" s="556"/>
      <c r="CH8" s="556"/>
      <c r="CI8" s="556"/>
      <c r="CJ8" s="556"/>
      <c r="CK8" s="556"/>
      <c r="CL8" s="556"/>
      <c r="CM8" s="556"/>
      <c r="CN8" s="556"/>
      <c r="CO8" s="556"/>
      <c r="CP8" s="556"/>
      <c r="CQ8" s="556"/>
      <c r="CR8" s="556"/>
      <c r="CS8" s="556"/>
      <c r="CT8" s="556"/>
      <c r="CU8" s="556"/>
      <c r="CV8" s="556"/>
      <c r="CW8" s="556"/>
      <c r="CX8" s="556"/>
      <c r="CY8" s="556"/>
      <c r="CZ8" s="557"/>
      <c r="DA8" s="288"/>
    </row>
    <row r="9" spans="1:105" ht="18" thickBot="1">
      <c r="A9" s="277"/>
      <c r="B9" s="277"/>
      <c r="C9" s="277"/>
      <c r="D9" s="237" t="s">
        <v>45</v>
      </c>
      <c r="E9" s="231"/>
      <c r="F9" s="242">
        <f t="shared" ref="F9" si="0">IF(OR(OR(F3="",F4="",F5="",F6="",F7=""),SUM(F3:F7)&lt;&gt;1),"Cao-mix incompleet!",SUM(F3:F7))</f>
        <v>1</v>
      </c>
      <c r="G9" s="242"/>
      <c r="H9" s="242"/>
      <c r="I9" s="242"/>
      <c r="J9" s="242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48"/>
      <c r="DA9" s="288"/>
    </row>
    <row r="10" spans="1:105" ht="18" thickBot="1">
      <c r="A10" s="277"/>
      <c r="B10" s="277"/>
      <c r="C10" s="277"/>
      <c r="D10" s="277"/>
      <c r="E10" s="231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7"/>
      <c r="W10" s="277"/>
      <c r="X10" s="277"/>
      <c r="Y10" s="277"/>
      <c r="Z10" s="277"/>
      <c r="AA10" s="277"/>
      <c r="AB10" s="277"/>
      <c r="AC10" s="277"/>
      <c r="AD10" s="277"/>
      <c r="AE10" s="277"/>
      <c r="AF10" s="277"/>
      <c r="AG10" s="277"/>
      <c r="AH10" s="277"/>
      <c r="AI10" s="277"/>
      <c r="AJ10" s="277"/>
      <c r="AK10" s="277"/>
      <c r="AL10" s="277"/>
      <c r="AM10" s="277"/>
      <c r="AN10" s="277"/>
      <c r="AO10" s="277"/>
      <c r="AP10" s="277"/>
      <c r="AQ10" s="277"/>
      <c r="AR10" s="277"/>
      <c r="AS10" s="277"/>
      <c r="AT10" s="277"/>
      <c r="AU10" s="277"/>
      <c r="AV10" s="277"/>
      <c r="AW10" s="277"/>
      <c r="AX10" s="277"/>
      <c r="AY10" s="277"/>
      <c r="AZ10" s="277"/>
      <c r="BA10" s="277"/>
      <c r="BB10" s="277"/>
      <c r="BC10" s="277"/>
      <c r="BD10" s="277"/>
      <c r="BE10" s="277"/>
      <c r="BF10" s="277"/>
      <c r="BG10" s="277"/>
      <c r="BH10" s="277"/>
      <c r="BI10" s="277"/>
      <c r="BJ10" s="277"/>
      <c r="BK10" s="277"/>
      <c r="BL10" s="277"/>
      <c r="BM10" s="277"/>
      <c r="BN10" s="277"/>
      <c r="BO10" s="277"/>
      <c r="BP10" s="277"/>
      <c r="BQ10" s="277"/>
      <c r="BR10" s="277"/>
      <c r="BS10" s="277"/>
      <c r="BT10" s="277"/>
      <c r="BU10" s="277"/>
      <c r="BV10" s="277"/>
      <c r="BW10" s="277"/>
      <c r="BX10" s="277"/>
      <c r="BY10" s="277"/>
      <c r="BZ10" s="277"/>
      <c r="CA10" s="277"/>
      <c r="CB10" s="277"/>
      <c r="CC10" s="277"/>
      <c r="CD10" s="277"/>
      <c r="CE10" s="277"/>
      <c r="CF10" s="277"/>
      <c r="CG10" s="277"/>
      <c r="CH10" s="277"/>
      <c r="CI10" s="277"/>
      <c r="CJ10" s="277"/>
      <c r="CK10" s="277"/>
      <c r="CL10" s="277"/>
      <c r="CM10" s="277"/>
      <c r="CN10" s="277"/>
      <c r="CO10" s="277"/>
      <c r="CP10" s="277"/>
      <c r="CQ10" s="277"/>
      <c r="CR10" s="277"/>
      <c r="CS10" s="277"/>
      <c r="CT10" s="277"/>
      <c r="CU10" s="277"/>
      <c r="CV10" s="277"/>
      <c r="CW10" s="277"/>
      <c r="CX10" s="277"/>
      <c r="CY10" s="277"/>
      <c r="CZ10" s="277"/>
      <c r="DA10" s="288"/>
    </row>
    <row r="11" spans="1:105">
      <c r="A11" s="277"/>
      <c r="B11" s="149"/>
      <c r="C11" s="150" t="s">
        <v>44</v>
      </c>
      <c r="D11" s="243"/>
      <c r="E11" s="231"/>
      <c r="F11" s="961">
        <v>0</v>
      </c>
      <c r="G11" s="961"/>
      <c r="H11" s="961"/>
      <c r="I11" s="961"/>
      <c r="J11" s="961"/>
      <c r="K11" s="540"/>
      <c r="L11" s="540"/>
      <c r="M11" s="540"/>
      <c r="N11" s="540"/>
      <c r="O11" s="540"/>
      <c r="P11" s="540"/>
      <c r="Q11" s="784"/>
      <c r="R11" s="784"/>
      <c r="S11" s="540"/>
      <c r="T11" s="784"/>
      <c r="U11" s="784"/>
      <c r="V11" s="540"/>
      <c r="W11" s="540"/>
      <c r="X11" s="540"/>
      <c r="Y11" s="540"/>
      <c r="Z11" s="540"/>
      <c r="AA11" s="540"/>
      <c r="AB11" s="540"/>
      <c r="AC11" s="540"/>
      <c r="AD11" s="540"/>
      <c r="AE11" s="540"/>
      <c r="AF11" s="540"/>
      <c r="AG11" s="540"/>
      <c r="AH11" s="540"/>
      <c r="AI11" s="540"/>
      <c r="AJ11" s="540"/>
      <c r="AK11" s="540"/>
      <c r="AL11" s="540"/>
      <c r="AM11" s="540"/>
      <c r="AN11" s="540"/>
      <c r="AO11" s="540"/>
      <c r="AP11" s="540"/>
      <c r="AQ11" s="540"/>
      <c r="AR11" s="540"/>
      <c r="AS11" s="540"/>
      <c r="AT11" s="540"/>
      <c r="AU11" s="540"/>
      <c r="AV11" s="540"/>
      <c r="AW11" s="540"/>
      <c r="AX11" s="540"/>
      <c r="AY11" s="540"/>
      <c r="AZ11" s="540"/>
      <c r="BA11" s="540"/>
      <c r="BB11" s="540"/>
      <c r="BC11" s="540"/>
      <c r="BD11" s="540"/>
      <c r="BE11" s="540"/>
      <c r="BF11" s="540"/>
      <c r="BG11" s="540"/>
      <c r="BH11" s="540"/>
      <c r="BI11" s="540"/>
      <c r="BJ11" s="540"/>
      <c r="BK11" s="540"/>
      <c r="BL11" s="540"/>
      <c r="BM11" s="540"/>
      <c r="BN11" s="540"/>
      <c r="BO11" s="540"/>
      <c r="BP11" s="540"/>
      <c r="BQ11" s="540"/>
      <c r="BR11" s="540"/>
      <c r="BS11" s="540"/>
      <c r="BT11" s="540"/>
      <c r="BU11" s="540"/>
      <c r="BV11" s="540"/>
      <c r="BW11" s="540"/>
      <c r="BX11" s="540"/>
      <c r="BY11" s="540"/>
      <c r="BZ11" s="540"/>
      <c r="CA11" s="540"/>
      <c r="CB11" s="540"/>
      <c r="CC11" s="540"/>
      <c r="CD11" s="540"/>
      <c r="CE11" s="540"/>
      <c r="CF11" s="540"/>
      <c r="CG11" s="540"/>
      <c r="CH11" s="540"/>
      <c r="CI11" s="540"/>
      <c r="CJ11" s="540"/>
      <c r="CK11" s="540"/>
      <c r="CL11" s="540"/>
      <c r="CM11" s="540"/>
      <c r="CN11" s="540"/>
      <c r="CO11" s="540"/>
      <c r="CP11" s="540"/>
      <c r="CQ11" s="540"/>
      <c r="CR11" s="540"/>
      <c r="CS11" s="540"/>
      <c r="CT11" s="540"/>
      <c r="CU11" s="540"/>
      <c r="CV11" s="540"/>
      <c r="CW11" s="540"/>
      <c r="CX11" s="540"/>
      <c r="CY11" s="540"/>
      <c r="CZ11" s="541"/>
      <c r="DA11" s="288"/>
    </row>
    <row r="12" spans="1:105">
      <c r="A12" s="277"/>
      <c r="B12" s="250"/>
      <c r="C12" s="153" t="s">
        <v>17</v>
      </c>
      <c r="D12" s="244"/>
      <c r="E12" s="231"/>
      <c r="F12" s="962">
        <v>0</v>
      </c>
      <c r="G12" s="962"/>
      <c r="H12" s="962"/>
      <c r="I12" s="962"/>
      <c r="J12" s="962"/>
      <c r="K12" s="523"/>
      <c r="L12" s="523"/>
      <c r="M12" s="523"/>
      <c r="N12" s="523"/>
      <c r="O12" s="523"/>
      <c r="P12" s="523"/>
      <c r="Q12" s="785"/>
      <c r="R12" s="785"/>
      <c r="S12" s="523"/>
      <c r="T12" s="785"/>
      <c r="U12" s="785"/>
      <c r="V12" s="523"/>
      <c r="W12" s="523"/>
      <c r="X12" s="523"/>
      <c r="Y12" s="523"/>
      <c r="Z12" s="523"/>
      <c r="AA12" s="523"/>
      <c r="AB12" s="523"/>
      <c r="AC12" s="523"/>
      <c r="AD12" s="523"/>
      <c r="AE12" s="523"/>
      <c r="AF12" s="523"/>
      <c r="AG12" s="523"/>
      <c r="AH12" s="523"/>
      <c r="AI12" s="523"/>
      <c r="AJ12" s="523"/>
      <c r="AK12" s="523"/>
      <c r="AL12" s="523"/>
      <c r="AM12" s="523"/>
      <c r="AN12" s="523"/>
      <c r="AO12" s="523"/>
      <c r="AP12" s="523"/>
      <c r="AQ12" s="523"/>
      <c r="AR12" s="523"/>
      <c r="AS12" s="523"/>
      <c r="AT12" s="523"/>
      <c r="AU12" s="523"/>
      <c r="AV12" s="523"/>
      <c r="AW12" s="523"/>
      <c r="AX12" s="523"/>
      <c r="AY12" s="523"/>
      <c r="AZ12" s="523"/>
      <c r="BA12" s="523"/>
      <c r="BB12" s="523"/>
      <c r="BC12" s="523"/>
      <c r="BD12" s="523"/>
      <c r="BE12" s="523"/>
      <c r="BF12" s="523"/>
      <c r="BG12" s="523"/>
      <c r="BH12" s="523"/>
      <c r="BI12" s="523"/>
      <c r="BJ12" s="523"/>
      <c r="BK12" s="523"/>
      <c r="BL12" s="523"/>
      <c r="BM12" s="523"/>
      <c r="BN12" s="523"/>
      <c r="BO12" s="523"/>
      <c r="BP12" s="523"/>
      <c r="BQ12" s="523"/>
      <c r="BR12" s="523"/>
      <c r="BS12" s="523"/>
      <c r="BT12" s="523"/>
      <c r="BU12" s="523"/>
      <c r="BV12" s="523"/>
      <c r="BW12" s="523"/>
      <c r="BX12" s="523"/>
      <c r="BY12" s="523"/>
      <c r="BZ12" s="523"/>
      <c r="CA12" s="523"/>
      <c r="CB12" s="523"/>
      <c r="CC12" s="523"/>
      <c r="CD12" s="523"/>
      <c r="CE12" s="523"/>
      <c r="CF12" s="523"/>
      <c r="CG12" s="523"/>
      <c r="CH12" s="523"/>
      <c r="CI12" s="523"/>
      <c r="CJ12" s="523"/>
      <c r="CK12" s="523"/>
      <c r="CL12" s="523"/>
      <c r="CM12" s="523"/>
      <c r="CN12" s="523"/>
      <c r="CO12" s="523"/>
      <c r="CP12" s="523"/>
      <c r="CQ12" s="523"/>
      <c r="CR12" s="523"/>
      <c r="CS12" s="523"/>
      <c r="CT12" s="523"/>
      <c r="CU12" s="523"/>
      <c r="CV12" s="523"/>
      <c r="CW12" s="523"/>
      <c r="CX12" s="523"/>
      <c r="CY12" s="523"/>
      <c r="CZ12" s="542"/>
      <c r="DA12" s="288"/>
    </row>
    <row r="13" spans="1:105">
      <c r="A13" s="277"/>
      <c r="B13" s="1029" t="s">
        <v>18</v>
      </c>
      <c r="C13" s="248" t="s">
        <v>19</v>
      </c>
      <c r="D13" s="249" t="s">
        <v>170</v>
      </c>
      <c r="E13" s="231"/>
      <c r="F13" s="963">
        <v>0</v>
      </c>
      <c r="G13" s="963"/>
      <c r="H13" s="963"/>
      <c r="I13" s="963"/>
      <c r="J13" s="963"/>
      <c r="K13" s="197"/>
      <c r="L13" s="197"/>
      <c r="M13" s="197"/>
      <c r="N13" s="197"/>
      <c r="O13" s="197"/>
      <c r="P13" s="197"/>
      <c r="Q13" s="551"/>
      <c r="R13" s="551"/>
      <c r="S13" s="197"/>
      <c r="T13" s="551"/>
      <c r="U13" s="551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  <c r="BG13" s="197"/>
      <c r="BH13" s="197"/>
      <c r="BI13" s="197"/>
      <c r="BJ13" s="197"/>
      <c r="BK13" s="197"/>
      <c r="BL13" s="197"/>
      <c r="BM13" s="197"/>
      <c r="BN13" s="197"/>
      <c r="BO13" s="197"/>
      <c r="BP13" s="197"/>
      <c r="BQ13" s="197"/>
      <c r="BR13" s="197"/>
      <c r="BS13" s="197"/>
      <c r="BT13" s="197"/>
      <c r="BU13" s="197"/>
      <c r="BV13" s="197"/>
      <c r="BW13" s="197"/>
      <c r="BX13" s="197"/>
      <c r="BY13" s="197"/>
      <c r="BZ13" s="197"/>
      <c r="CA13" s="197"/>
      <c r="CB13" s="197"/>
      <c r="CC13" s="197"/>
      <c r="CD13" s="197"/>
      <c r="CE13" s="197"/>
      <c r="CF13" s="197"/>
      <c r="CG13" s="197"/>
      <c r="CH13" s="197"/>
      <c r="CI13" s="197"/>
      <c r="CJ13" s="197"/>
      <c r="CK13" s="197"/>
      <c r="CL13" s="197"/>
      <c r="CM13" s="197"/>
      <c r="CN13" s="197"/>
      <c r="CO13" s="197"/>
      <c r="CP13" s="197"/>
      <c r="CQ13" s="197"/>
      <c r="CR13" s="197"/>
      <c r="CS13" s="197"/>
      <c r="CT13" s="197"/>
      <c r="CU13" s="197"/>
      <c r="CV13" s="197"/>
      <c r="CW13" s="197"/>
      <c r="CX13" s="197"/>
      <c r="CY13" s="197"/>
      <c r="CZ13" s="211"/>
      <c r="DA13" s="288"/>
    </row>
    <row r="14" spans="1:105">
      <c r="A14" s="277"/>
      <c r="B14" s="1030"/>
      <c r="C14" s="153" t="s">
        <v>21</v>
      </c>
      <c r="D14" s="244" t="s">
        <v>20</v>
      </c>
      <c r="E14" s="231"/>
      <c r="F14" s="964">
        <v>0</v>
      </c>
      <c r="G14" s="964"/>
      <c r="H14" s="964"/>
      <c r="I14" s="964"/>
      <c r="J14" s="964"/>
      <c r="K14" s="198"/>
      <c r="L14" s="198"/>
      <c r="M14" s="198"/>
      <c r="N14" s="198"/>
      <c r="O14" s="198"/>
      <c r="P14" s="198"/>
      <c r="Q14" s="552"/>
      <c r="R14" s="552"/>
      <c r="S14" s="198"/>
      <c r="T14" s="552"/>
      <c r="U14" s="552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8"/>
      <c r="BH14" s="198"/>
      <c r="BI14" s="198"/>
      <c r="BJ14" s="198"/>
      <c r="BK14" s="198"/>
      <c r="BL14" s="198"/>
      <c r="BM14" s="198"/>
      <c r="BN14" s="198"/>
      <c r="BO14" s="198"/>
      <c r="BP14" s="198"/>
      <c r="BQ14" s="198"/>
      <c r="BR14" s="198"/>
      <c r="BS14" s="198"/>
      <c r="BT14" s="198"/>
      <c r="BU14" s="198"/>
      <c r="BV14" s="198"/>
      <c r="BW14" s="198"/>
      <c r="BX14" s="198"/>
      <c r="BY14" s="198"/>
      <c r="BZ14" s="198"/>
      <c r="CA14" s="198"/>
      <c r="CB14" s="198"/>
      <c r="CC14" s="198"/>
      <c r="CD14" s="198"/>
      <c r="CE14" s="198"/>
      <c r="CF14" s="198"/>
      <c r="CG14" s="198"/>
      <c r="CH14" s="198"/>
      <c r="CI14" s="198"/>
      <c r="CJ14" s="198"/>
      <c r="CK14" s="198"/>
      <c r="CL14" s="198"/>
      <c r="CM14" s="198"/>
      <c r="CN14" s="198"/>
      <c r="CO14" s="198"/>
      <c r="CP14" s="198"/>
      <c r="CQ14" s="198"/>
      <c r="CR14" s="198"/>
      <c r="CS14" s="198"/>
      <c r="CT14" s="198"/>
      <c r="CU14" s="198"/>
      <c r="CV14" s="198"/>
      <c r="CW14" s="198"/>
      <c r="CX14" s="198"/>
      <c r="CY14" s="198"/>
      <c r="CZ14" s="211"/>
      <c r="DA14" s="288"/>
    </row>
    <row r="15" spans="1:105">
      <c r="A15" s="277"/>
      <c r="B15" s="1029" t="s">
        <v>22</v>
      </c>
      <c r="C15" s="248" t="s">
        <v>24</v>
      </c>
      <c r="D15" s="249" t="s">
        <v>23</v>
      </c>
      <c r="E15" s="231"/>
      <c r="F15" s="964">
        <v>0</v>
      </c>
      <c r="G15" s="964"/>
      <c r="H15" s="964"/>
      <c r="I15" s="964"/>
      <c r="J15" s="964"/>
      <c r="K15" s="198"/>
      <c r="L15" s="198"/>
      <c r="M15" s="198"/>
      <c r="N15" s="198"/>
      <c r="O15" s="198"/>
      <c r="P15" s="198"/>
      <c r="Q15" s="552"/>
      <c r="R15" s="552"/>
      <c r="S15" s="198"/>
      <c r="T15" s="552"/>
      <c r="U15" s="552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8"/>
      <c r="BF15" s="198"/>
      <c r="BG15" s="198"/>
      <c r="BH15" s="198"/>
      <c r="BI15" s="198"/>
      <c r="BJ15" s="198"/>
      <c r="BK15" s="198"/>
      <c r="BL15" s="198"/>
      <c r="BM15" s="198"/>
      <c r="BN15" s="198"/>
      <c r="BO15" s="198"/>
      <c r="BP15" s="198"/>
      <c r="BQ15" s="198"/>
      <c r="BR15" s="198"/>
      <c r="BS15" s="198"/>
      <c r="BT15" s="198"/>
      <c r="BU15" s="198"/>
      <c r="BV15" s="198"/>
      <c r="BW15" s="198"/>
      <c r="BX15" s="198"/>
      <c r="BY15" s="198"/>
      <c r="BZ15" s="198"/>
      <c r="CA15" s="198"/>
      <c r="CB15" s="198"/>
      <c r="CC15" s="198"/>
      <c r="CD15" s="198"/>
      <c r="CE15" s="198"/>
      <c r="CF15" s="198"/>
      <c r="CG15" s="198"/>
      <c r="CH15" s="198"/>
      <c r="CI15" s="198"/>
      <c r="CJ15" s="198"/>
      <c r="CK15" s="198"/>
      <c r="CL15" s="198"/>
      <c r="CM15" s="198"/>
      <c r="CN15" s="198"/>
      <c r="CO15" s="198"/>
      <c r="CP15" s="198"/>
      <c r="CQ15" s="198"/>
      <c r="CR15" s="198"/>
      <c r="CS15" s="198"/>
      <c r="CT15" s="198"/>
      <c r="CU15" s="198"/>
      <c r="CV15" s="198"/>
      <c r="CW15" s="198"/>
      <c r="CX15" s="198"/>
      <c r="CY15" s="198"/>
      <c r="CZ15" s="211"/>
      <c r="DA15" s="288"/>
    </row>
    <row r="16" spans="1:105">
      <c r="A16" s="277"/>
      <c r="B16" s="1030"/>
      <c r="C16" s="153" t="s">
        <v>26</v>
      </c>
      <c r="D16" s="244" t="s">
        <v>25</v>
      </c>
      <c r="E16" s="231"/>
      <c r="F16" s="964">
        <v>0</v>
      </c>
      <c r="G16" s="964"/>
      <c r="H16" s="964"/>
      <c r="I16" s="964"/>
      <c r="J16" s="964"/>
      <c r="K16" s="198"/>
      <c r="L16" s="198"/>
      <c r="M16" s="198"/>
      <c r="N16" s="198"/>
      <c r="O16" s="198"/>
      <c r="P16" s="198"/>
      <c r="Q16" s="552"/>
      <c r="R16" s="552"/>
      <c r="S16" s="198"/>
      <c r="T16" s="552"/>
      <c r="U16" s="552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205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8"/>
      <c r="CA16" s="198"/>
      <c r="CB16" s="198"/>
      <c r="CC16" s="198"/>
      <c r="CD16" s="198"/>
      <c r="CE16" s="198"/>
      <c r="CF16" s="198"/>
      <c r="CG16" s="198"/>
      <c r="CH16" s="198"/>
      <c r="CI16" s="198"/>
      <c r="CJ16" s="198"/>
      <c r="CK16" s="198"/>
      <c r="CL16" s="198"/>
      <c r="CM16" s="198"/>
      <c r="CN16" s="198"/>
      <c r="CO16" s="198"/>
      <c r="CP16" s="198"/>
      <c r="CQ16" s="198"/>
      <c r="CR16" s="198"/>
      <c r="CS16" s="198"/>
      <c r="CT16" s="198"/>
      <c r="CU16" s="198"/>
      <c r="CV16" s="198"/>
      <c r="CW16" s="198"/>
      <c r="CX16" s="198"/>
      <c r="CY16" s="198"/>
      <c r="CZ16" s="211"/>
      <c r="DA16" s="288"/>
    </row>
    <row r="17" spans="1:105">
      <c r="A17" s="277"/>
      <c r="B17" s="811" t="s">
        <v>27</v>
      </c>
      <c r="C17" s="248" t="s">
        <v>29</v>
      </c>
      <c r="D17" s="249" t="s">
        <v>28</v>
      </c>
      <c r="E17" s="231"/>
      <c r="F17" s="964">
        <v>0</v>
      </c>
      <c r="G17" s="964"/>
      <c r="H17" s="964"/>
      <c r="I17" s="964"/>
      <c r="J17" s="964"/>
      <c r="K17" s="198"/>
      <c r="L17" s="198"/>
      <c r="M17" s="198"/>
      <c r="N17" s="198"/>
      <c r="O17" s="198"/>
      <c r="P17" s="198"/>
      <c r="Q17" s="552"/>
      <c r="R17" s="552"/>
      <c r="S17" s="198"/>
      <c r="T17" s="552"/>
      <c r="U17" s="552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8"/>
      <c r="BA17" s="198"/>
      <c r="BB17" s="198"/>
      <c r="BC17" s="198"/>
      <c r="BD17" s="198"/>
      <c r="BE17" s="198"/>
      <c r="BF17" s="198"/>
      <c r="BG17" s="198"/>
      <c r="BH17" s="198"/>
      <c r="BI17" s="198"/>
      <c r="BJ17" s="198"/>
      <c r="BK17" s="198"/>
      <c r="BL17" s="198"/>
      <c r="BM17" s="198"/>
      <c r="BN17" s="198"/>
      <c r="BO17" s="198"/>
      <c r="BP17" s="198"/>
      <c r="BQ17" s="198"/>
      <c r="BR17" s="198"/>
      <c r="BS17" s="198"/>
      <c r="BT17" s="198"/>
      <c r="BU17" s="198"/>
      <c r="BV17" s="198"/>
      <c r="BW17" s="198"/>
      <c r="BX17" s="198"/>
      <c r="BY17" s="198"/>
      <c r="BZ17" s="198"/>
      <c r="CA17" s="198"/>
      <c r="CB17" s="198"/>
      <c r="CC17" s="198"/>
      <c r="CD17" s="198"/>
      <c r="CE17" s="198"/>
      <c r="CF17" s="198"/>
      <c r="CG17" s="198"/>
      <c r="CH17" s="198"/>
      <c r="CI17" s="198"/>
      <c r="CJ17" s="198"/>
      <c r="CK17" s="198"/>
      <c r="CL17" s="198"/>
      <c r="CM17" s="198"/>
      <c r="CN17" s="198"/>
      <c r="CO17" s="198"/>
      <c r="CP17" s="198"/>
      <c r="CQ17" s="198"/>
      <c r="CR17" s="198"/>
      <c r="CS17" s="198"/>
      <c r="CT17" s="198"/>
      <c r="CU17" s="198"/>
      <c r="CV17" s="198"/>
      <c r="CW17" s="198"/>
      <c r="CX17" s="198"/>
      <c r="CY17" s="198"/>
      <c r="CZ17" s="211"/>
      <c r="DA17" s="288"/>
    </row>
    <row r="18" spans="1:105">
      <c r="A18" s="277"/>
      <c r="B18" s="812" t="s">
        <v>345</v>
      </c>
      <c r="C18" s="153" t="s">
        <v>31</v>
      </c>
      <c r="D18" s="244" t="s">
        <v>30</v>
      </c>
      <c r="E18" s="231"/>
      <c r="F18" s="964">
        <v>0</v>
      </c>
      <c r="G18" s="964"/>
      <c r="H18" s="964"/>
      <c r="I18" s="964"/>
      <c r="J18" s="964"/>
      <c r="K18" s="198"/>
      <c r="L18" s="198"/>
      <c r="M18" s="198"/>
      <c r="N18" s="198"/>
      <c r="O18" s="198"/>
      <c r="P18" s="198"/>
      <c r="Q18" s="552"/>
      <c r="R18" s="552"/>
      <c r="S18" s="198"/>
      <c r="T18" s="552"/>
      <c r="U18" s="552"/>
      <c r="V18" s="198"/>
      <c r="W18" s="198"/>
      <c r="X18" s="198"/>
      <c r="Y18" s="198"/>
      <c r="Z18" s="198"/>
      <c r="AA18" s="198"/>
      <c r="AB18" s="205"/>
      <c r="AC18" s="205"/>
      <c r="AD18" s="205"/>
      <c r="AE18" s="198"/>
      <c r="AF18" s="198"/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198"/>
      <c r="AU18" s="198"/>
      <c r="AV18" s="198"/>
      <c r="AW18" s="198"/>
      <c r="AX18" s="198"/>
      <c r="AY18" s="198"/>
      <c r="AZ18" s="198"/>
      <c r="BA18" s="198"/>
      <c r="BB18" s="198"/>
      <c r="BC18" s="198"/>
      <c r="BD18" s="198"/>
      <c r="BE18" s="198"/>
      <c r="BF18" s="198"/>
      <c r="BG18" s="198"/>
      <c r="BH18" s="198"/>
      <c r="BI18" s="198"/>
      <c r="BJ18" s="198"/>
      <c r="BK18" s="198"/>
      <c r="BL18" s="198"/>
      <c r="BM18" s="198"/>
      <c r="BN18" s="198"/>
      <c r="BO18" s="198"/>
      <c r="BP18" s="198"/>
      <c r="BQ18" s="198"/>
      <c r="BR18" s="198"/>
      <c r="BS18" s="198"/>
      <c r="BT18" s="198"/>
      <c r="BU18" s="198"/>
      <c r="BV18" s="198"/>
      <c r="BW18" s="198"/>
      <c r="BX18" s="198"/>
      <c r="BY18" s="198"/>
      <c r="BZ18" s="198"/>
      <c r="CA18" s="198"/>
      <c r="CB18" s="198"/>
      <c r="CC18" s="198"/>
      <c r="CD18" s="198"/>
      <c r="CE18" s="198"/>
      <c r="CF18" s="198"/>
      <c r="CG18" s="198"/>
      <c r="CH18" s="198"/>
      <c r="CI18" s="198"/>
      <c r="CJ18" s="198"/>
      <c r="CK18" s="198"/>
      <c r="CL18" s="198"/>
      <c r="CM18" s="198"/>
      <c r="CN18" s="198"/>
      <c r="CO18" s="198"/>
      <c r="CP18" s="198"/>
      <c r="CQ18" s="198"/>
      <c r="CR18" s="198"/>
      <c r="CS18" s="198"/>
      <c r="CT18" s="198"/>
      <c r="CU18" s="198"/>
      <c r="CV18" s="198"/>
      <c r="CW18" s="198"/>
      <c r="CX18" s="198"/>
      <c r="CY18" s="198"/>
      <c r="CZ18" s="211"/>
      <c r="DA18" s="288"/>
    </row>
    <row r="19" spans="1:105">
      <c r="A19" s="277"/>
      <c r="B19" s="1029" t="s">
        <v>32</v>
      </c>
      <c r="C19" s="248" t="s">
        <v>34</v>
      </c>
      <c r="D19" s="249" t="s">
        <v>33</v>
      </c>
      <c r="E19" s="231"/>
      <c r="F19" s="964">
        <v>1</v>
      </c>
      <c r="G19" s="964"/>
      <c r="H19" s="964"/>
      <c r="I19" s="964"/>
      <c r="J19" s="964"/>
      <c r="K19" s="198"/>
      <c r="L19" s="198"/>
      <c r="M19" s="198"/>
      <c r="N19" s="198"/>
      <c r="O19" s="198"/>
      <c r="P19" s="198"/>
      <c r="Q19" s="552"/>
      <c r="R19" s="552"/>
      <c r="S19" s="198"/>
      <c r="T19" s="552"/>
      <c r="U19" s="552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8"/>
      <c r="CA19" s="198"/>
      <c r="CB19" s="198"/>
      <c r="CC19" s="198"/>
      <c r="CD19" s="198"/>
      <c r="CE19" s="198"/>
      <c r="CF19" s="198"/>
      <c r="CG19" s="198"/>
      <c r="CH19" s="198"/>
      <c r="CI19" s="198"/>
      <c r="CJ19" s="198"/>
      <c r="CK19" s="198"/>
      <c r="CL19" s="198"/>
      <c r="CM19" s="198"/>
      <c r="CN19" s="198"/>
      <c r="CO19" s="198"/>
      <c r="CP19" s="198"/>
      <c r="CQ19" s="198"/>
      <c r="CR19" s="198"/>
      <c r="CS19" s="198"/>
      <c r="CT19" s="198"/>
      <c r="CU19" s="198"/>
      <c r="CV19" s="198"/>
      <c r="CW19" s="198"/>
      <c r="CX19" s="198"/>
      <c r="CY19" s="198"/>
      <c r="CZ19" s="211"/>
      <c r="DA19" s="288"/>
    </row>
    <row r="20" spans="1:105">
      <c r="A20" s="277"/>
      <c r="B20" s="1030"/>
      <c r="C20" s="153" t="s">
        <v>36</v>
      </c>
      <c r="D20" s="244" t="s">
        <v>35</v>
      </c>
      <c r="E20" s="231"/>
      <c r="F20" s="964">
        <v>0</v>
      </c>
      <c r="G20" s="964"/>
      <c r="H20" s="964"/>
      <c r="I20" s="964"/>
      <c r="J20" s="964"/>
      <c r="K20" s="198"/>
      <c r="L20" s="198"/>
      <c r="M20" s="198"/>
      <c r="N20" s="198"/>
      <c r="O20" s="198"/>
      <c r="P20" s="198"/>
      <c r="Q20" s="552"/>
      <c r="R20" s="552"/>
      <c r="S20" s="198"/>
      <c r="T20" s="552"/>
      <c r="U20" s="552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  <c r="BI20" s="198"/>
      <c r="BJ20" s="198"/>
      <c r="BK20" s="198"/>
      <c r="BL20" s="198"/>
      <c r="BM20" s="198"/>
      <c r="BN20" s="198"/>
      <c r="BO20" s="198"/>
      <c r="BP20" s="198"/>
      <c r="BQ20" s="198"/>
      <c r="BR20" s="198"/>
      <c r="BS20" s="198"/>
      <c r="BT20" s="198"/>
      <c r="BU20" s="198"/>
      <c r="BV20" s="198"/>
      <c r="BW20" s="198"/>
      <c r="BX20" s="198"/>
      <c r="BY20" s="198"/>
      <c r="BZ20" s="198"/>
      <c r="CA20" s="198"/>
      <c r="CB20" s="198"/>
      <c r="CC20" s="198"/>
      <c r="CD20" s="198"/>
      <c r="CE20" s="198"/>
      <c r="CF20" s="198"/>
      <c r="CG20" s="198"/>
      <c r="CH20" s="198"/>
      <c r="CI20" s="198"/>
      <c r="CJ20" s="198"/>
      <c r="CK20" s="198"/>
      <c r="CL20" s="198"/>
      <c r="CM20" s="198"/>
      <c r="CN20" s="198"/>
      <c r="CO20" s="198"/>
      <c r="CP20" s="198"/>
      <c r="CQ20" s="198"/>
      <c r="CR20" s="198"/>
      <c r="CS20" s="198"/>
      <c r="CT20" s="198"/>
      <c r="CU20" s="198"/>
      <c r="CV20" s="198"/>
      <c r="CW20" s="198"/>
      <c r="CX20" s="198"/>
      <c r="CY20" s="198"/>
      <c r="CZ20" s="211"/>
      <c r="DA20" s="288"/>
    </row>
    <row r="21" spans="1:105">
      <c r="A21" s="277"/>
      <c r="B21" s="1029" t="s">
        <v>37</v>
      </c>
      <c r="C21" s="248" t="s">
        <v>36</v>
      </c>
      <c r="D21" s="249" t="s">
        <v>35</v>
      </c>
      <c r="E21" s="231"/>
      <c r="F21" s="964">
        <v>0</v>
      </c>
      <c r="G21" s="964"/>
      <c r="H21" s="964"/>
      <c r="I21" s="964"/>
      <c r="J21" s="964"/>
      <c r="K21" s="198"/>
      <c r="L21" s="198"/>
      <c r="M21" s="198"/>
      <c r="N21" s="198"/>
      <c r="O21" s="198"/>
      <c r="P21" s="198"/>
      <c r="Q21" s="552"/>
      <c r="R21" s="552"/>
      <c r="S21" s="198"/>
      <c r="T21" s="552"/>
      <c r="U21" s="552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  <c r="BI21" s="198"/>
      <c r="BJ21" s="198"/>
      <c r="BK21" s="198"/>
      <c r="BL21" s="198"/>
      <c r="BM21" s="198"/>
      <c r="BN21" s="198"/>
      <c r="BO21" s="198"/>
      <c r="BP21" s="198"/>
      <c r="BQ21" s="198"/>
      <c r="BR21" s="198"/>
      <c r="BS21" s="198"/>
      <c r="BT21" s="198"/>
      <c r="BU21" s="198"/>
      <c r="BV21" s="198"/>
      <c r="BW21" s="198"/>
      <c r="BX21" s="198"/>
      <c r="BY21" s="198"/>
      <c r="BZ21" s="198"/>
      <c r="CA21" s="198"/>
      <c r="CB21" s="198"/>
      <c r="CC21" s="198"/>
      <c r="CD21" s="198"/>
      <c r="CE21" s="198"/>
      <c r="CF21" s="198"/>
      <c r="CG21" s="198"/>
      <c r="CH21" s="198"/>
      <c r="CI21" s="198"/>
      <c r="CJ21" s="198"/>
      <c r="CK21" s="198"/>
      <c r="CL21" s="198"/>
      <c r="CM21" s="198"/>
      <c r="CN21" s="198"/>
      <c r="CO21" s="198"/>
      <c r="CP21" s="198"/>
      <c r="CQ21" s="198"/>
      <c r="CR21" s="198"/>
      <c r="CS21" s="198"/>
      <c r="CT21" s="198"/>
      <c r="CU21" s="198"/>
      <c r="CV21" s="198"/>
      <c r="CW21" s="198"/>
      <c r="CX21" s="198"/>
      <c r="CY21" s="198"/>
      <c r="CZ21" s="211"/>
      <c r="DA21" s="288"/>
    </row>
    <row r="22" spans="1:105">
      <c r="A22" s="277"/>
      <c r="B22" s="1030"/>
      <c r="C22" s="153" t="s">
        <v>39</v>
      </c>
      <c r="D22" s="244" t="s">
        <v>38</v>
      </c>
      <c r="E22" s="231"/>
      <c r="F22" s="964">
        <v>0</v>
      </c>
      <c r="G22" s="964"/>
      <c r="H22" s="964"/>
      <c r="I22" s="964"/>
      <c r="J22" s="964"/>
      <c r="K22" s="198"/>
      <c r="L22" s="198"/>
      <c r="M22" s="198"/>
      <c r="N22" s="198"/>
      <c r="O22" s="198"/>
      <c r="P22" s="198"/>
      <c r="Q22" s="552"/>
      <c r="R22" s="552"/>
      <c r="S22" s="198"/>
      <c r="T22" s="552"/>
      <c r="U22" s="552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8"/>
      <c r="CA22" s="198"/>
      <c r="CB22" s="198"/>
      <c r="CC22" s="198"/>
      <c r="CD22" s="198"/>
      <c r="CE22" s="198"/>
      <c r="CF22" s="198"/>
      <c r="CG22" s="198"/>
      <c r="CH22" s="198"/>
      <c r="CI22" s="198"/>
      <c r="CJ22" s="198"/>
      <c r="CK22" s="198"/>
      <c r="CL22" s="198"/>
      <c r="CM22" s="198"/>
      <c r="CN22" s="198"/>
      <c r="CO22" s="198"/>
      <c r="CP22" s="198"/>
      <c r="CQ22" s="198"/>
      <c r="CR22" s="198"/>
      <c r="CS22" s="198"/>
      <c r="CT22" s="198"/>
      <c r="CU22" s="198"/>
      <c r="CV22" s="198"/>
      <c r="CW22" s="198"/>
      <c r="CX22" s="198"/>
      <c r="CY22" s="198"/>
      <c r="CZ22" s="211"/>
      <c r="DA22" s="288"/>
    </row>
    <row r="23" spans="1:105">
      <c r="A23" s="277"/>
      <c r="B23" s="1041" t="s">
        <v>40</v>
      </c>
      <c r="C23" s="248" t="s">
        <v>39</v>
      </c>
      <c r="D23" s="249" t="s">
        <v>38</v>
      </c>
      <c r="E23" s="231"/>
      <c r="F23" s="964">
        <v>0</v>
      </c>
      <c r="G23" s="964"/>
      <c r="H23" s="964"/>
      <c r="I23" s="964"/>
      <c r="J23" s="964"/>
      <c r="K23" s="198"/>
      <c r="L23" s="198"/>
      <c r="M23" s="198"/>
      <c r="N23" s="198"/>
      <c r="O23" s="198"/>
      <c r="P23" s="198"/>
      <c r="Q23" s="552"/>
      <c r="R23" s="552"/>
      <c r="S23" s="198"/>
      <c r="T23" s="552"/>
      <c r="U23" s="552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  <c r="BH23" s="198"/>
      <c r="BI23" s="198"/>
      <c r="BJ23" s="198"/>
      <c r="BK23" s="198"/>
      <c r="BL23" s="198"/>
      <c r="BM23" s="198"/>
      <c r="BN23" s="198"/>
      <c r="BO23" s="198"/>
      <c r="BP23" s="198"/>
      <c r="BQ23" s="198"/>
      <c r="BR23" s="198"/>
      <c r="BS23" s="198"/>
      <c r="BT23" s="198"/>
      <c r="BU23" s="198"/>
      <c r="BV23" s="198"/>
      <c r="BW23" s="198"/>
      <c r="BX23" s="198"/>
      <c r="BY23" s="198"/>
      <c r="BZ23" s="198"/>
      <c r="CA23" s="198"/>
      <c r="CB23" s="198"/>
      <c r="CC23" s="198"/>
      <c r="CD23" s="198"/>
      <c r="CE23" s="198"/>
      <c r="CF23" s="198"/>
      <c r="CG23" s="198"/>
      <c r="CH23" s="198"/>
      <c r="CI23" s="198"/>
      <c r="CJ23" s="198"/>
      <c r="CK23" s="198"/>
      <c r="CL23" s="198"/>
      <c r="CM23" s="198"/>
      <c r="CN23" s="198"/>
      <c r="CO23" s="198"/>
      <c r="CP23" s="198"/>
      <c r="CQ23" s="198"/>
      <c r="CR23" s="198"/>
      <c r="CS23" s="198"/>
      <c r="CT23" s="198"/>
      <c r="CU23" s="198"/>
      <c r="CV23" s="198"/>
      <c r="CW23" s="198"/>
      <c r="CX23" s="198"/>
      <c r="CY23" s="198"/>
      <c r="CZ23" s="211"/>
      <c r="DA23" s="288"/>
    </row>
    <row r="24" spans="1:105">
      <c r="A24" s="277"/>
      <c r="B24" s="1030"/>
      <c r="C24" s="153" t="s">
        <v>43</v>
      </c>
      <c r="D24" s="244" t="s">
        <v>41</v>
      </c>
      <c r="E24" s="231"/>
      <c r="F24" s="964">
        <v>0</v>
      </c>
      <c r="G24" s="964"/>
      <c r="H24" s="964"/>
      <c r="I24" s="964"/>
      <c r="J24" s="964"/>
      <c r="K24" s="198"/>
      <c r="L24" s="198"/>
      <c r="M24" s="198"/>
      <c r="N24" s="198"/>
      <c r="O24" s="198"/>
      <c r="P24" s="198"/>
      <c r="Q24" s="552"/>
      <c r="R24" s="552"/>
      <c r="S24" s="198"/>
      <c r="T24" s="552"/>
      <c r="U24" s="552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8"/>
      <c r="BI24" s="198"/>
      <c r="BJ24" s="198"/>
      <c r="BK24" s="198"/>
      <c r="BL24" s="198"/>
      <c r="BM24" s="198"/>
      <c r="BN24" s="198"/>
      <c r="BO24" s="198"/>
      <c r="BP24" s="198"/>
      <c r="BQ24" s="198"/>
      <c r="BR24" s="198"/>
      <c r="BS24" s="198"/>
      <c r="BT24" s="198"/>
      <c r="BU24" s="198"/>
      <c r="BV24" s="198"/>
      <c r="BW24" s="198"/>
      <c r="BX24" s="198"/>
      <c r="BY24" s="198"/>
      <c r="BZ24" s="198"/>
      <c r="CA24" s="198"/>
      <c r="CB24" s="198"/>
      <c r="CC24" s="198"/>
      <c r="CD24" s="198"/>
      <c r="CE24" s="198"/>
      <c r="CF24" s="198"/>
      <c r="CG24" s="198"/>
      <c r="CH24" s="198"/>
      <c r="CI24" s="198"/>
      <c r="CJ24" s="198"/>
      <c r="CK24" s="198"/>
      <c r="CL24" s="198"/>
      <c r="CM24" s="198"/>
      <c r="CN24" s="198"/>
      <c r="CO24" s="198"/>
      <c r="CP24" s="198"/>
      <c r="CQ24" s="198"/>
      <c r="CR24" s="198"/>
      <c r="CS24" s="198"/>
      <c r="CT24" s="198"/>
      <c r="CU24" s="198"/>
      <c r="CV24" s="198"/>
      <c r="CW24" s="198"/>
      <c r="CX24" s="198"/>
      <c r="CY24" s="198"/>
      <c r="CZ24" s="211"/>
      <c r="DA24" s="288"/>
    </row>
    <row r="25" spans="1:105">
      <c r="A25" s="277"/>
      <c r="B25" s="251" t="s">
        <v>98</v>
      </c>
      <c r="C25" s="248" t="s">
        <v>96</v>
      </c>
      <c r="D25" s="244" t="s">
        <v>42</v>
      </c>
      <c r="E25" s="231"/>
      <c r="F25" s="964">
        <v>0</v>
      </c>
      <c r="G25" s="964"/>
      <c r="H25" s="964"/>
      <c r="I25" s="964"/>
      <c r="J25" s="964"/>
      <c r="K25" s="198"/>
      <c r="L25" s="198"/>
      <c r="M25" s="198"/>
      <c r="N25" s="198"/>
      <c r="O25" s="198"/>
      <c r="P25" s="198"/>
      <c r="Q25" s="552"/>
      <c r="R25" s="552"/>
      <c r="S25" s="198"/>
      <c r="T25" s="552"/>
      <c r="U25" s="552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  <c r="BB25" s="198"/>
      <c r="BC25" s="198"/>
      <c r="BD25" s="198"/>
      <c r="BE25" s="198"/>
      <c r="BF25" s="198"/>
      <c r="BG25" s="198"/>
      <c r="BH25" s="198"/>
      <c r="BI25" s="198"/>
      <c r="BJ25" s="198"/>
      <c r="BK25" s="198"/>
      <c r="BL25" s="198"/>
      <c r="BM25" s="198"/>
      <c r="BN25" s="198"/>
      <c r="BO25" s="198"/>
      <c r="BP25" s="198"/>
      <c r="BQ25" s="198"/>
      <c r="BR25" s="198"/>
      <c r="BS25" s="198"/>
      <c r="BT25" s="198"/>
      <c r="BU25" s="198"/>
      <c r="BV25" s="198"/>
      <c r="BW25" s="198"/>
      <c r="BX25" s="198"/>
      <c r="BY25" s="198"/>
      <c r="BZ25" s="198"/>
      <c r="CA25" s="198"/>
      <c r="CB25" s="198"/>
      <c r="CC25" s="198"/>
      <c r="CD25" s="198"/>
      <c r="CE25" s="198"/>
      <c r="CF25" s="198"/>
      <c r="CG25" s="198"/>
      <c r="CH25" s="198"/>
      <c r="CI25" s="198"/>
      <c r="CJ25" s="198"/>
      <c r="CK25" s="198"/>
      <c r="CL25" s="198"/>
      <c r="CM25" s="198"/>
      <c r="CN25" s="198"/>
      <c r="CO25" s="198"/>
      <c r="CP25" s="198"/>
      <c r="CQ25" s="198"/>
      <c r="CR25" s="198"/>
      <c r="CS25" s="198"/>
      <c r="CT25" s="198"/>
      <c r="CU25" s="198"/>
      <c r="CV25" s="198"/>
      <c r="CW25" s="198"/>
      <c r="CX25" s="198"/>
      <c r="CY25" s="198"/>
      <c r="CZ25" s="211"/>
      <c r="DA25" s="288"/>
    </row>
    <row r="26" spans="1:105">
      <c r="A26" s="277"/>
      <c r="B26" s="251" t="s">
        <v>99</v>
      </c>
      <c r="C26" s="146" t="s">
        <v>97</v>
      </c>
      <c r="D26" s="174" t="s">
        <v>95</v>
      </c>
      <c r="E26" s="231"/>
      <c r="F26" s="965">
        <v>0</v>
      </c>
      <c r="G26" s="965"/>
      <c r="H26" s="965"/>
      <c r="I26" s="965"/>
      <c r="J26" s="965"/>
      <c r="K26" s="199"/>
      <c r="L26" s="199"/>
      <c r="M26" s="199"/>
      <c r="N26" s="199"/>
      <c r="O26" s="199"/>
      <c r="P26" s="199"/>
      <c r="Q26" s="553"/>
      <c r="R26" s="553"/>
      <c r="S26" s="199"/>
      <c r="T26" s="553"/>
      <c r="U26" s="553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199"/>
      <c r="AL26" s="199"/>
      <c r="AM26" s="199"/>
      <c r="AN26" s="199"/>
      <c r="AO26" s="199"/>
      <c r="AP26" s="199"/>
      <c r="AQ26" s="199"/>
      <c r="AR26" s="199"/>
      <c r="AS26" s="199"/>
      <c r="AT26" s="199"/>
      <c r="AU26" s="199"/>
      <c r="AV26" s="199"/>
      <c r="AW26" s="199"/>
      <c r="AX26" s="199"/>
      <c r="AY26" s="199"/>
      <c r="AZ26" s="199"/>
      <c r="BA26" s="199"/>
      <c r="BB26" s="199"/>
      <c r="BC26" s="199"/>
      <c r="BD26" s="199"/>
      <c r="BE26" s="199"/>
      <c r="BF26" s="199"/>
      <c r="BG26" s="199"/>
      <c r="BH26" s="199"/>
      <c r="BI26" s="199"/>
      <c r="BJ26" s="199"/>
      <c r="BK26" s="199"/>
      <c r="BL26" s="199"/>
      <c r="BM26" s="199"/>
      <c r="BN26" s="199"/>
      <c r="BO26" s="199"/>
      <c r="BP26" s="199"/>
      <c r="BQ26" s="199"/>
      <c r="BR26" s="199"/>
      <c r="BS26" s="199"/>
      <c r="BT26" s="199"/>
      <c r="BU26" s="199"/>
      <c r="BV26" s="199"/>
      <c r="BW26" s="199"/>
      <c r="BX26" s="199"/>
      <c r="BY26" s="199"/>
      <c r="BZ26" s="199"/>
      <c r="CA26" s="199"/>
      <c r="CB26" s="199"/>
      <c r="CC26" s="199"/>
      <c r="CD26" s="199"/>
      <c r="CE26" s="199"/>
      <c r="CF26" s="199"/>
      <c r="CG26" s="199"/>
      <c r="CH26" s="199"/>
      <c r="CI26" s="199"/>
      <c r="CJ26" s="199"/>
      <c r="CK26" s="199"/>
      <c r="CL26" s="199"/>
      <c r="CM26" s="199"/>
      <c r="CN26" s="199"/>
      <c r="CO26" s="199"/>
      <c r="CP26" s="199"/>
      <c r="CQ26" s="199"/>
      <c r="CR26" s="199"/>
      <c r="CS26" s="199"/>
      <c r="CT26" s="199"/>
      <c r="CU26" s="199"/>
      <c r="CV26" s="199"/>
      <c r="CW26" s="199"/>
      <c r="CX26" s="199"/>
      <c r="CY26" s="199"/>
      <c r="CZ26" s="212"/>
      <c r="DA26" s="288"/>
    </row>
    <row r="27" spans="1:105" ht="18" thickBot="1">
      <c r="A27" s="277"/>
      <c r="B27" s="155" t="s">
        <v>100</v>
      </c>
      <c r="C27" s="156"/>
      <c r="D27" s="247"/>
      <c r="E27" s="231"/>
      <c r="F27" s="966">
        <v>0</v>
      </c>
      <c r="G27" s="966"/>
      <c r="H27" s="966"/>
      <c r="I27" s="966"/>
      <c r="J27" s="966"/>
      <c r="K27" s="524"/>
      <c r="L27" s="524"/>
      <c r="M27" s="524"/>
      <c r="N27" s="524"/>
      <c r="O27" s="524"/>
      <c r="P27" s="524"/>
      <c r="Q27" s="554"/>
      <c r="R27" s="554"/>
      <c r="S27" s="524"/>
      <c r="T27" s="554"/>
      <c r="U27" s="554"/>
      <c r="V27" s="524"/>
      <c r="W27" s="524"/>
      <c r="X27" s="524"/>
      <c r="Y27" s="524"/>
      <c r="Z27" s="524"/>
      <c r="AA27" s="524"/>
      <c r="AB27" s="524"/>
      <c r="AC27" s="524"/>
      <c r="AD27" s="524"/>
      <c r="AE27" s="524"/>
      <c r="AF27" s="524"/>
      <c r="AG27" s="543"/>
      <c r="AH27" s="543"/>
      <c r="AI27" s="544"/>
      <c r="AJ27" s="544"/>
      <c r="AK27" s="544"/>
      <c r="AL27" s="524"/>
      <c r="AM27" s="524"/>
      <c r="AN27" s="524"/>
      <c r="AO27" s="524"/>
      <c r="AP27" s="524"/>
      <c r="AQ27" s="524"/>
      <c r="AR27" s="524"/>
      <c r="AS27" s="524"/>
      <c r="AT27" s="524"/>
      <c r="AU27" s="524"/>
      <c r="AV27" s="524"/>
      <c r="AW27" s="524"/>
      <c r="AX27" s="524"/>
      <c r="AY27" s="524"/>
      <c r="AZ27" s="524"/>
      <c r="BA27" s="524"/>
      <c r="BB27" s="524"/>
      <c r="BC27" s="524"/>
      <c r="BD27" s="524"/>
      <c r="BE27" s="524"/>
      <c r="BF27" s="524"/>
      <c r="BG27" s="524"/>
      <c r="BH27" s="524"/>
      <c r="BI27" s="524"/>
      <c r="BJ27" s="524"/>
      <c r="BK27" s="524"/>
      <c r="BL27" s="524"/>
      <c r="BM27" s="524"/>
      <c r="BN27" s="524"/>
      <c r="BO27" s="524"/>
      <c r="BP27" s="524"/>
      <c r="BQ27" s="524"/>
      <c r="BR27" s="524"/>
      <c r="BS27" s="524"/>
      <c r="BT27" s="524"/>
      <c r="BU27" s="524"/>
      <c r="BV27" s="524"/>
      <c r="BW27" s="524"/>
      <c r="BX27" s="524"/>
      <c r="BY27" s="524"/>
      <c r="BZ27" s="524"/>
      <c r="CA27" s="524"/>
      <c r="CB27" s="524"/>
      <c r="CC27" s="524"/>
      <c r="CD27" s="524"/>
      <c r="CE27" s="524"/>
      <c r="CF27" s="524"/>
      <c r="CG27" s="524"/>
      <c r="CH27" s="524"/>
      <c r="CI27" s="524"/>
      <c r="CJ27" s="524"/>
      <c r="CK27" s="524"/>
      <c r="CL27" s="524"/>
      <c r="CM27" s="524"/>
      <c r="CN27" s="524"/>
      <c r="CO27" s="524"/>
      <c r="CP27" s="524"/>
      <c r="CQ27" s="524"/>
      <c r="CR27" s="524"/>
      <c r="CS27" s="524"/>
      <c r="CT27" s="524"/>
      <c r="CU27" s="524"/>
      <c r="CV27" s="524"/>
      <c r="CW27" s="524"/>
      <c r="CX27" s="524"/>
      <c r="CY27" s="524"/>
      <c r="CZ27" s="545"/>
      <c r="DA27" s="288"/>
    </row>
    <row r="28" spans="1:105" ht="18" thickBot="1">
      <c r="A28" s="277"/>
      <c r="B28" s="286"/>
      <c r="C28" s="287"/>
      <c r="D28" s="237" t="s">
        <v>45</v>
      </c>
      <c r="E28" s="231"/>
      <c r="F28" s="242">
        <f>SUM(F13:F27)</f>
        <v>1</v>
      </c>
      <c r="G28" s="242"/>
      <c r="H28" s="242"/>
      <c r="I28" s="242"/>
      <c r="J28" s="242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6"/>
      <c r="CA28" s="196"/>
      <c r="CB28" s="196"/>
      <c r="CC28" s="196"/>
      <c r="CD28" s="196"/>
      <c r="CE28" s="196"/>
      <c r="CF28" s="196"/>
      <c r="CG28" s="196"/>
      <c r="CH28" s="196"/>
      <c r="CI28" s="196"/>
      <c r="CJ28" s="196"/>
      <c r="CK28" s="196"/>
      <c r="CL28" s="196"/>
      <c r="CM28" s="196"/>
      <c r="CN28" s="196"/>
      <c r="CO28" s="196"/>
      <c r="CP28" s="196"/>
      <c r="CQ28" s="196"/>
      <c r="CR28" s="196"/>
      <c r="CS28" s="196"/>
      <c r="CT28" s="196"/>
      <c r="CU28" s="196"/>
      <c r="CV28" s="196"/>
      <c r="CW28" s="196"/>
      <c r="CX28" s="196"/>
      <c r="CY28" s="196"/>
      <c r="CZ28" s="148"/>
      <c r="DA28" s="288"/>
    </row>
    <row r="29" spans="1:105" ht="18" thickBot="1">
      <c r="A29" s="277"/>
      <c r="B29" s="277"/>
      <c r="C29" s="277"/>
      <c r="D29" s="277"/>
      <c r="E29" s="231"/>
      <c r="F29" s="277"/>
      <c r="G29" s="277"/>
      <c r="H29" s="277"/>
      <c r="I29" s="277"/>
      <c r="J29" s="277"/>
      <c r="K29" s="277"/>
      <c r="L29" s="277"/>
      <c r="M29" s="277"/>
      <c r="N29" s="277"/>
      <c r="O29" s="277"/>
      <c r="P29" s="277"/>
      <c r="Q29" s="277"/>
      <c r="R29" s="277"/>
      <c r="S29" s="277"/>
      <c r="T29" s="277"/>
      <c r="U29" s="277"/>
      <c r="V29" s="277"/>
      <c r="W29" s="277"/>
      <c r="X29" s="277"/>
      <c r="Y29" s="277"/>
      <c r="Z29" s="277"/>
      <c r="AA29" s="277"/>
      <c r="AB29" s="277"/>
      <c r="AC29" s="277"/>
      <c r="AD29" s="277"/>
      <c r="AE29" s="277"/>
      <c r="AF29" s="277"/>
      <c r="AG29" s="285"/>
      <c r="AH29" s="277"/>
      <c r="AI29" s="277"/>
      <c r="AJ29" s="277"/>
      <c r="AK29" s="277"/>
      <c r="AL29" s="277"/>
      <c r="AM29" s="277"/>
      <c r="AN29" s="277"/>
      <c r="AO29" s="277"/>
      <c r="AP29" s="277"/>
      <c r="AQ29" s="277"/>
      <c r="AR29" s="277"/>
      <c r="AS29" s="277"/>
      <c r="AT29" s="277"/>
      <c r="AU29" s="277"/>
      <c r="AV29" s="277"/>
      <c r="AW29" s="277"/>
      <c r="AX29" s="277"/>
      <c r="AY29" s="277"/>
      <c r="AZ29" s="283"/>
      <c r="BA29" s="283"/>
      <c r="BB29" s="283"/>
      <c r="BC29" s="283"/>
      <c r="BD29" s="283"/>
      <c r="BE29" s="283"/>
      <c r="BF29" s="283"/>
      <c r="BG29" s="283"/>
      <c r="BH29" s="283"/>
      <c r="BI29" s="283"/>
      <c r="BJ29" s="283"/>
      <c r="BK29" s="283"/>
      <c r="BL29" s="283"/>
      <c r="BM29" s="283"/>
      <c r="BN29" s="283"/>
      <c r="BO29" s="283"/>
      <c r="BP29" s="283"/>
      <c r="BQ29" s="283"/>
      <c r="BR29" s="283"/>
      <c r="BS29" s="283"/>
      <c r="BT29" s="283"/>
      <c r="BU29" s="283"/>
      <c r="BV29" s="283"/>
      <c r="BW29" s="283"/>
      <c r="BX29" s="283"/>
      <c r="BY29" s="283"/>
      <c r="BZ29" s="283"/>
      <c r="CA29" s="283"/>
      <c r="CB29" s="283"/>
      <c r="CC29" s="283"/>
      <c r="CD29" s="283"/>
      <c r="CE29" s="283"/>
      <c r="CF29" s="283"/>
      <c r="CG29" s="283"/>
      <c r="CH29" s="283"/>
      <c r="CI29" s="283"/>
      <c r="CJ29" s="283"/>
      <c r="CK29" s="283"/>
      <c r="CL29" s="283"/>
      <c r="CM29" s="283"/>
      <c r="CN29" s="283"/>
      <c r="CO29" s="283"/>
      <c r="CP29" s="283"/>
      <c r="CQ29" s="283"/>
      <c r="CR29" s="283"/>
      <c r="CS29" s="283"/>
      <c r="CT29" s="283"/>
      <c r="CU29" s="283"/>
      <c r="CV29" s="283"/>
      <c r="CW29" s="283"/>
      <c r="CX29" s="283"/>
      <c r="CY29" s="283"/>
      <c r="CZ29" s="283"/>
      <c r="DA29" s="288"/>
    </row>
    <row r="30" spans="1:105" ht="24">
      <c r="A30" s="277"/>
      <c r="B30" s="159" t="s">
        <v>62</v>
      </c>
      <c r="C30" s="160"/>
      <c r="D30" s="252"/>
      <c r="E30" s="23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2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4"/>
      <c r="DA30" s="288"/>
    </row>
    <row r="31" spans="1:105" ht="24.6" thickBot="1">
      <c r="A31" s="277"/>
      <c r="B31" s="165"/>
      <c r="D31" s="174"/>
      <c r="E31" s="231"/>
      <c r="AG31" s="166"/>
      <c r="CZ31" s="168"/>
      <c r="DA31" s="288"/>
    </row>
    <row r="32" spans="1:105" ht="18" thickBot="1">
      <c r="A32" s="277"/>
      <c r="B32" s="151"/>
      <c r="C32" s="167"/>
      <c r="D32" s="174"/>
      <c r="E32" s="231"/>
      <c r="F32" s="647">
        <f>IF(
OR(F9&gt;1,F9&lt;1,F28&gt;1,F28&lt;1),"Check mixen",
F$3*SUMPRODUCT(F$11:F$27,GGZ_Salaris)+
F$4*SUMPRODUCT(F$11:F$27,GHZ_Salaris)+
F$5*SUMPRODUCT(F$11:F$27,SW_Salaris)+
F$6*SUMPRODUCT(F$11:F$27,VVT_Salaris)+
F$7*SUMPRODUCT(F$11:F$27,JZ_Salaris)
)</f>
        <v>4926.6722</v>
      </c>
      <c r="G32" s="647"/>
      <c r="H32" s="647"/>
      <c r="I32" s="647"/>
      <c r="J32" s="647"/>
      <c r="K32" s="648"/>
      <c r="L32" s="648"/>
      <c r="M32" s="648"/>
      <c r="N32" s="648"/>
      <c r="O32" s="648"/>
      <c r="P32" s="648"/>
      <c r="Q32" s="648"/>
      <c r="R32" s="648"/>
      <c r="S32" s="648"/>
      <c r="T32" s="648"/>
      <c r="U32" s="648"/>
      <c r="V32" s="648"/>
      <c r="W32" s="648"/>
      <c r="X32" s="648"/>
      <c r="Y32" s="648"/>
      <c r="Z32" s="648"/>
      <c r="AA32" s="648"/>
      <c r="AB32" s="648"/>
      <c r="AC32" s="648"/>
      <c r="AD32" s="648"/>
      <c r="AE32" s="648"/>
      <c r="AF32" s="648"/>
      <c r="AG32" s="648"/>
      <c r="AH32" s="648"/>
      <c r="AI32" s="648"/>
      <c r="AJ32" s="648"/>
      <c r="AK32" s="648"/>
      <c r="AL32" s="648"/>
      <c r="AM32" s="648"/>
      <c r="AN32" s="648"/>
      <c r="AO32" s="648"/>
      <c r="AP32" s="648"/>
      <c r="AQ32" s="648"/>
      <c r="AR32" s="648"/>
      <c r="AS32" s="648"/>
      <c r="AT32" s="648"/>
      <c r="AU32" s="648"/>
      <c r="AV32" s="648"/>
      <c r="AW32" s="648"/>
      <c r="AX32" s="648"/>
      <c r="AY32" s="648"/>
      <c r="AZ32" s="648"/>
      <c r="BA32" s="648"/>
      <c r="BB32" s="648"/>
      <c r="BC32" s="648"/>
      <c r="BD32" s="648"/>
      <c r="BE32" s="648"/>
      <c r="BF32" s="648"/>
      <c r="BG32" s="648"/>
      <c r="BH32" s="648"/>
      <c r="BI32" s="648"/>
      <c r="BJ32" s="648"/>
      <c r="BK32" s="648"/>
      <c r="BL32" s="648"/>
      <c r="BM32" s="648"/>
      <c r="BN32" s="648"/>
      <c r="BO32" s="648"/>
      <c r="BP32" s="648"/>
      <c r="BQ32" s="648"/>
      <c r="BR32" s="648"/>
      <c r="BS32" s="648"/>
      <c r="BT32" s="648"/>
      <c r="BU32" s="648"/>
      <c r="BV32" s="648"/>
      <c r="BW32" s="648"/>
      <c r="BX32" s="648"/>
      <c r="BY32" s="648"/>
      <c r="BZ32" s="648"/>
      <c r="CA32" s="648"/>
      <c r="CB32" s="648"/>
      <c r="CC32" s="648"/>
      <c r="CD32" s="648"/>
      <c r="CE32" s="648"/>
      <c r="CF32" s="648"/>
      <c r="CG32" s="648"/>
      <c r="CH32" s="648"/>
      <c r="CI32" s="648"/>
      <c r="CJ32" s="648"/>
      <c r="CK32" s="648"/>
      <c r="CL32" s="648"/>
      <c r="CM32" s="648"/>
      <c r="CN32" s="648"/>
      <c r="CO32" s="648"/>
      <c r="CP32" s="648"/>
      <c r="CQ32" s="648"/>
      <c r="CR32" s="648"/>
      <c r="CS32" s="648"/>
      <c r="CT32" s="648"/>
      <c r="CU32" s="648"/>
      <c r="CV32" s="648"/>
      <c r="CW32" s="648"/>
      <c r="CX32" s="648"/>
      <c r="CY32" s="648"/>
      <c r="CZ32" s="649"/>
      <c r="DA32" s="288"/>
    </row>
    <row r="33" spans="1:105" ht="18" thickBot="1">
      <c r="A33" s="277"/>
      <c r="B33" s="169"/>
      <c r="C33" s="167"/>
      <c r="D33" s="168"/>
      <c r="E33" s="231"/>
      <c r="F33" s="254"/>
      <c r="G33" s="254"/>
      <c r="H33" s="254"/>
      <c r="I33" s="254"/>
      <c r="J33" s="25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0"/>
      <c r="BA33" s="200"/>
      <c r="BB33" s="200"/>
      <c r="BC33" s="200"/>
      <c r="BD33" s="200"/>
      <c r="BE33" s="200"/>
      <c r="BF33" s="200"/>
      <c r="BG33" s="200"/>
      <c r="BH33" s="200"/>
      <c r="BI33" s="200"/>
      <c r="BJ33" s="200"/>
      <c r="BK33" s="200"/>
      <c r="BL33" s="200"/>
      <c r="BM33" s="200"/>
      <c r="BN33" s="200"/>
      <c r="BO33" s="200"/>
      <c r="BP33" s="200"/>
      <c r="BQ33" s="200"/>
      <c r="BR33" s="200"/>
      <c r="BS33" s="200"/>
      <c r="BT33" s="200"/>
      <c r="BU33" s="200"/>
      <c r="BV33" s="200"/>
      <c r="BW33" s="200"/>
      <c r="BX33" s="200"/>
      <c r="BY33" s="200"/>
      <c r="BZ33" s="200"/>
      <c r="CA33" s="200"/>
      <c r="CB33" s="200"/>
      <c r="CC33" s="200"/>
      <c r="CD33" s="200"/>
      <c r="CE33" s="200"/>
      <c r="CF33" s="200"/>
      <c r="CG33" s="200"/>
      <c r="CH33" s="200"/>
      <c r="CI33" s="200"/>
      <c r="CJ33" s="200"/>
      <c r="CK33" s="200"/>
      <c r="CL33" s="200"/>
      <c r="CM33" s="200"/>
      <c r="CN33" s="200"/>
      <c r="CO33" s="200"/>
      <c r="CP33" s="200"/>
      <c r="CQ33" s="200"/>
      <c r="CR33" s="200"/>
      <c r="CS33" s="200"/>
      <c r="CT33" s="200"/>
      <c r="CU33" s="200"/>
      <c r="CV33" s="200"/>
      <c r="CW33" s="200"/>
      <c r="CX33" s="200"/>
      <c r="CY33" s="200"/>
      <c r="CZ33" s="168"/>
      <c r="DA33" s="288"/>
    </row>
    <row r="34" spans="1:105">
      <c r="A34" s="277"/>
      <c r="B34" s="151" t="s">
        <v>218</v>
      </c>
      <c r="D34" s="659">
        <v>12</v>
      </c>
      <c r="E34" s="231"/>
      <c r="F34" s="678">
        <f>IFERROR(F32*$D$34,"")</f>
        <v>59120.066399999996</v>
      </c>
      <c r="G34" s="678"/>
      <c r="H34" s="678"/>
      <c r="I34" s="678"/>
      <c r="J34" s="678"/>
      <c r="K34" s="679"/>
      <c r="L34" s="679"/>
      <c r="M34" s="679"/>
      <c r="N34" s="679"/>
      <c r="O34" s="679"/>
      <c r="P34" s="679"/>
      <c r="Q34" s="679"/>
      <c r="R34" s="679"/>
      <c r="S34" s="679"/>
      <c r="T34" s="679"/>
      <c r="U34" s="679"/>
      <c r="V34" s="679"/>
      <c r="W34" s="679"/>
      <c r="X34" s="679"/>
      <c r="Y34" s="679"/>
      <c r="Z34" s="679"/>
      <c r="AA34" s="679"/>
      <c r="AB34" s="679"/>
      <c r="AC34" s="679"/>
      <c r="AD34" s="679"/>
      <c r="AE34" s="679"/>
      <c r="AF34" s="679"/>
      <c r="AG34" s="679"/>
      <c r="AH34" s="679"/>
      <c r="AI34" s="679"/>
      <c r="AJ34" s="679"/>
      <c r="AK34" s="679"/>
      <c r="AL34" s="679"/>
      <c r="AM34" s="679"/>
      <c r="AN34" s="679"/>
      <c r="AO34" s="679"/>
      <c r="AP34" s="679"/>
      <c r="AQ34" s="679"/>
      <c r="AR34" s="679"/>
      <c r="AS34" s="679"/>
      <c r="AT34" s="679"/>
      <c r="AU34" s="679"/>
      <c r="AV34" s="679"/>
      <c r="AW34" s="679"/>
      <c r="AX34" s="679"/>
      <c r="AY34" s="679"/>
      <c r="AZ34" s="679"/>
      <c r="BA34" s="679"/>
      <c r="BB34" s="679"/>
      <c r="BC34" s="679"/>
      <c r="BD34" s="679"/>
      <c r="BE34" s="679"/>
      <c r="BF34" s="679"/>
      <c r="BG34" s="679"/>
      <c r="BH34" s="679"/>
      <c r="BI34" s="679"/>
      <c r="BJ34" s="679"/>
      <c r="BK34" s="679"/>
      <c r="BL34" s="679"/>
      <c r="BM34" s="679"/>
      <c r="BN34" s="679"/>
      <c r="BO34" s="679"/>
      <c r="BP34" s="679"/>
      <c r="BQ34" s="679"/>
      <c r="BR34" s="679"/>
      <c r="BS34" s="679"/>
      <c r="BT34" s="679"/>
      <c r="BU34" s="679"/>
      <c r="BV34" s="679"/>
      <c r="BW34" s="679"/>
      <c r="BX34" s="679"/>
      <c r="BY34" s="679"/>
      <c r="BZ34" s="679"/>
      <c r="CA34" s="679"/>
      <c r="CB34" s="679"/>
      <c r="CC34" s="679"/>
      <c r="CD34" s="679"/>
      <c r="CE34" s="679"/>
      <c r="CF34" s="679"/>
      <c r="CG34" s="679"/>
      <c r="CH34" s="679"/>
      <c r="CI34" s="679"/>
      <c r="CJ34" s="679"/>
      <c r="CK34" s="679"/>
      <c r="CL34" s="679"/>
      <c r="CM34" s="679"/>
      <c r="CN34" s="679"/>
      <c r="CO34" s="679"/>
      <c r="CP34" s="679"/>
      <c r="CQ34" s="679"/>
      <c r="CR34" s="679"/>
      <c r="CS34" s="679"/>
      <c r="CT34" s="679"/>
      <c r="CU34" s="679"/>
      <c r="CV34" s="679"/>
      <c r="CW34" s="679"/>
      <c r="CX34" s="679"/>
      <c r="CY34" s="679"/>
      <c r="CZ34" s="680"/>
      <c r="DA34" s="288"/>
    </row>
    <row r="35" spans="1:105" ht="18" thickBot="1">
      <c r="A35" s="277"/>
      <c r="B35" s="151" t="s">
        <v>219</v>
      </c>
      <c r="C35" s="167"/>
      <c r="D35" s="967">
        <v>0.93</v>
      </c>
      <c r="E35" s="231"/>
      <c r="F35" s="708">
        <f>IFERROR(F34*$D$35,"")</f>
        <v>54981.661752</v>
      </c>
      <c r="G35" s="708"/>
      <c r="H35" s="708"/>
      <c r="I35" s="708"/>
      <c r="J35" s="708"/>
      <c r="K35" s="709"/>
      <c r="L35" s="709"/>
      <c r="M35" s="709"/>
      <c r="N35" s="709"/>
      <c r="O35" s="709"/>
      <c r="P35" s="709"/>
      <c r="Q35" s="709"/>
      <c r="R35" s="709"/>
      <c r="S35" s="709"/>
      <c r="T35" s="709"/>
      <c r="U35" s="709"/>
      <c r="V35" s="709"/>
      <c r="W35" s="709"/>
      <c r="X35" s="709"/>
      <c r="Y35" s="709"/>
      <c r="Z35" s="709"/>
      <c r="AA35" s="709"/>
      <c r="AB35" s="709"/>
      <c r="AC35" s="709"/>
      <c r="AD35" s="709"/>
      <c r="AE35" s="709"/>
      <c r="AF35" s="709"/>
      <c r="AG35" s="709"/>
      <c r="AH35" s="709"/>
      <c r="AI35" s="709"/>
      <c r="AJ35" s="709"/>
      <c r="AK35" s="709"/>
      <c r="AL35" s="709"/>
      <c r="AM35" s="709"/>
      <c r="AN35" s="709"/>
      <c r="AO35" s="709"/>
      <c r="AP35" s="709"/>
      <c r="AQ35" s="709"/>
      <c r="AR35" s="709"/>
      <c r="AS35" s="709"/>
      <c r="AT35" s="709"/>
      <c r="AU35" s="709"/>
      <c r="AV35" s="709"/>
      <c r="AW35" s="709"/>
      <c r="AX35" s="709"/>
      <c r="AY35" s="709"/>
      <c r="AZ35" s="709"/>
      <c r="BA35" s="709"/>
      <c r="BB35" s="709"/>
      <c r="BC35" s="709"/>
      <c r="BD35" s="709"/>
      <c r="BE35" s="709"/>
      <c r="BF35" s="709"/>
      <c r="BG35" s="709"/>
      <c r="BH35" s="709"/>
      <c r="BI35" s="709"/>
      <c r="BJ35" s="709"/>
      <c r="BK35" s="709"/>
      <c r="BL35" s="709"/>
      <c r="BM35" s="709"/>
      <c r="BN35" s="709"/>
      <c r="BO35" s="709"/>
      <c r="BP35" s="709"/>
      <c r="BQ35" s="709"/>
      <c r="BR35" s="709"/>
      <c r="BS35" s="709"/>
      <c r="BT35" s="709"/>
      <c r="BU35" s="709"/>
      <c r="BV35" s="709"/>
      <c r="BW35" s="709"/>
      <c r="BX35" s="709"/>
      <c r="BY35" s="709"/>
      <c r="BZ35" s="709"/>
      <c r="CA35" s="709"/>
      <c r="CB35" s="709"/>
      <c r="CC35" s="709"/>
      <c r="CD35" s="709"/>
      <c r="CE35" s="709"/>
      <c r="CF35" s="709"/>
      <c r="CG35" s="709"/>
      <c r="CH35" s="709"/>
      <c r="CI35" s="709"/>
      <c r="CJ35" s="709"/>
      <c r="CK35" s="709"/>
      <c r="CL35" s="709"/>
      <c r="CM35" s="709"/>
      <c r="CN35" s="709"/>
      <c r="CO35" s="709"/>
      <c r="CP35" s="709"/>
      <c r="CQ35" s="709"/>
      <c r="CR35" s="709"/>
      <c r="CS35" s="709"/>
      <c r="CT35" s="709"/>
      <c r="CU35" s="709"/>
      <c r="CV35" s="709"/>
      <c r="CW35" s="709"/>
      <c r="CX35" s="709"/>
      <c r="CY35" s="709"/>
      <c r="CZ35" s="710"/>
      <c r="DA35" s="288"/>
    </row>
    <row r="36" spans="1:105">
      <c r="A36" s="277"/>
      <c r="B36" s="151" t="s">
        <v>228</v>
      </c>
      <c r="C36" s="167"/>
      <c r="D36" s="168"/>
      <c r="E36" s="231"/>
      <c r="F36" s="637" t="s">
        <v>223</v>
      </c>
      <c r="G36" s="637"/>
      <c r="H36" s="637"/>
      <c r="I36" s="637"/>
      <c r="J36" s="637"/>
      <c r="K36" s="637"/>
      <c r="L36" s="637"/>
      <c r="M36" s="638"/>
      <c r="N36" s="638"/>
      <c r="O36" s="638"/>
      <c r="P36" s="638"/>
      <c r="Q36" s="638"/>
      <c r="R36" s="638"/>
      <c r="S36" s="638"/>
      <c r="T36" s="638"/>
      <c r="U36" s="638"/>
      <c r="V36" s="638"/>
      <c r="W36" s="638"/>
      <c r="X36" s="638"/>
      <c r="Y36" s="638"/>
      <c r="Z36" s="638"/>
      <c r="AA36" s="638"/>
      <c r="AB36" s="638"/>
      <c r="AC36" s="638"/>
      <c r="AD36" s="638"/>
      <c r="AE36" s="638"/>
      <c r="AF36" s="638"/>
      <c r="AG36" s="638"/>
      <c r="AH36" s="638"/>
      <c r="AI36" s="638"/>
      <c r="AJ36" s="638"/>
      <c r="AK36" s="638"/>
      <c r="AL36" s="638"/>
      <c r="AM36" s="638"/>
      <c r="AN36" s="638"/>
      <c r="AO36" s="638"/>
      <c r="AP36" s="638"/>
      <c r="AQ36" s="638"/>
      <c r="AR36" s="638"/>
      <c r="AS36" s="638"/>
      <c r="AT36" s="638"/>
      <c r="AU36" s="638"/>
      <c r="AV36" s="638"/>
      <c r="AW36" s="638"/>
      <c r="AX36" s="638"/>
      <c r="AY36" s="638"/>
      <c r="AZ36" s="638"/>
      <c r="BA36" s="638"/>
      <c r="BB36" s="638"/>
      <c r="BC36" s="638"/>
      <c r="BD36" s="638"/>
      <c r="BE36" s="638"/>
      <c r="BF36" s="638"/>
      <c r="BG36" s="638"/>
      <c r="BH36" s="638"/>
      <c r="BI36" s="638"/>
      <c r="BJ36" s="638"/>
      <c r="BK36" s="638"/>
      <c r="BL36" s="638"/>
      <c r="BM36" s="638"/>
      <c r="BN36" s="638"/>
      <c r="BO36" s="638"/>
      <c r="BP36" s="638"/>
      <c r="BQ36" s="638"/>
      <c r="BR36" s="638"/>
      <c r="BS36" s="638"/>
      <c r="BT36" s="638"/>
      <c r="BU36" s="638"/>
      <c r="BV36" s="638"/>
      <c r="BW36" s="638"/>
      <c r="BX36" s="638"/>
      <c r="BY36" s="638"/>
      <c r="BZ36" s="638"/>
      <c r="CA36" s="638"/>
      <c r="CB36" s="638"/>
      <c r="CC36" s="638"/>
      <c r="CD36" s="638"/>
      <c r="CE36" s="638"/>
      <c r="CF36" s="638"/>
      <c r="CG36" s="638"/>
      <c r="CH36" s="638"/>
      <c r="CI36" s="638"/>
      <c r="CJ36" s="638"/>
      <c r="CK36" s="638"/>
      <c r="CL36" s="638"/>
      <c r="CM36" s="638"/>
      <c r="CN36" s="638"/>
      <c r="CO36" s="638"/>
      <c r="CP36" s="638"/>
      <c r="CQ36" s="638"/>
      <c r="CR36" s="638"/>
      <c r="CS36" s="638"/>
      <c r="CT36" s="638"/>
      <c r="CU36" s="638"/>
      <c r="CV36" s="638"/>
      <c r="CW36" s="638"/>
      <c r="CX36" s="638"/>
      <c r="CY36" s="638"/>
      <c r="CZ36" s="639"/>
      <c r="DA36" s="288"/>
    </row>
    <row r="37" spans="1:105">
      <c r="A37" s="277"/>
      <c r="B37" s="151" t="s">
        <v>224</v>
      </c>
      <c r="C37" s="167"/>
      <c r="D37" s="168"/>
      <c r="E37" s="231"/>
      <c r="F37" s="681" cm="1">
        <f t="array" ref="F37" xml:space="preserve">
IF(F36=ORT!$J$4,0,
IF(F36=ORT!$J$5,MMULT(ORT!$C$5:$G$5,'Producten &amp; tarieven'!F$3:F$7),
IF(F36=ORT!$J$6,MMULT(ORT!$C$6:$G$6,'Producten &amp; tarieven'!F$3:F$7),
IF(F36=ORT!$J$7,MMULT(ORT!$C$7:$G$7,'Producten &amp; tarieven'!F$3:F$7),
IF(F36=ORT!$J$8,MMULT(ORT!$C$8:$G$8,'Producten &amp; tarieven'!F$3:F$7),
IF(F36=ORT!$J$9,MMULT(ORT!$C$9:$G$9,'Producten &amp; tarieven'!F$3:F$7),
IF(F36=ORT!$J$10,MMULT(ORT!$C$10:$G$10,'Producten &amp; tarieven'!F$3:F$7),
IF(F36=ORT!$J$11,MMULT(ORT!$C$11:$G$11,'Producten &amp; tarieven'!F$3:F$7),
IF(F36=ORT!$J$12,MMULT(ORT!$C$12:$G$12,'Producten &amp; tarieven'!F$3:F$7),
)))))))))</f>
        <v>0</v>
      </c>
      <c r="G37" s="681"/>
      <c r="H37" s="681"/>
      <c r="I37" s="681"/>
      <c r="J37" s="681"/>
      <c r="K37" s="682"/>
      <c r="L37" s="682"/>
      <c r="M37" s="682"/>
      <c r="N37" s="682"/>
      <c r="O37" s="682"/>
      <c r="P37" s="682"/>
      <c r="Q37" s="682"/>
      <c r="R37" s="682"/>
      <c r="S37" s="682"/>
      <c r="T37" s="682"/>
      <c r="U37" s="682"/>
      <c r="V37" s="682"/>
      <c r="W37" s="682"/>
      <c r="X37" s="682"/>
      <c r="Y37" s="682"/>
      <c r="Z37" s="682"/>
      <c r="AA37" s="682"/>
      <c r="AB37" s="682"/>
      <c r="AC37" s="682"/>
      <c r="AD37" s="682"/>
      <c r="AE37" s="682"/>
      <c r="AF37" s="682"/>
      <c r="AG37" s="682"/>
      <c r="AH37" s="682"/>
      <c r="AI37" s="682"/>
      <c r="AJ37" s="682"/>
      <c r="AK37" s="682"/>
      <c r="AL37" s="682"/>
      <c r="AM37" s="682"/>
      <c r="AN37" s="682"/>
      <c r="AO37" s="682"/>
      <c r="AP37" s="682"/>
      <c r="AQ37" s="682"/>
      <c r="AR37" s="682"/>
      <c r="AS37" s="682"/>
      <c r="AT37" s="682"/>
      <c r="AU37" s="682"/>
      <c r="AV37" s="682"/>
      <c r="AW37" s="682"/>
      <c r="AX37" s="682"/>
      <c r="AY37" s="682"/>
      <c r="AZ37" s="682"/>
      <c r="BA37" s="682"/>
      <c r="BB37" s="682"/>
      <c r="BC37" s="682"/>
      <c r="BD37" s="682"/>
      <c r="BE37" s="682"/>
      <c r="BF37" s="682"/>
      <c r="BG37" s="682"/>
      <c r="BH37" s="682"/>
      <c r="BI37" s="682"/>
      <c r="BJ37" s="682"/>
      <c r="BK37" s="682"/>
      <c r="BL37" s="682"/>
      <c r="BM37" s="682"/>
      <c r="BN37" s="682"/>
      <c r="BO37" s="682"/>
      <c r="BP37" s="682"/>
      <c r="BQ37" s="682"/>
      <c r="BR37" s="682"/>
      <c r="BS37" s="682"/>
      <c r="BT37" s="682"/>
      <c r="BU37" s="682"/>
      <c r="BV37" s="682"/>
      <c r="BW37" s="682"/>
      <c r="BX37" s="682"/>
      <c r="BY37" s="682"/>
      <c r="BZ37" s="682"/>
      <c r="CA37" s="682"/>
      <c r="CB37" s="682"/>
      <c r="CC37" s="682"/>
      <c r="CD37" s="682"/>
      <c r="CE37" s="682"/>
      <c r="CF37" s="682"/>
      <c r="CG37" s="682"/>
      <c r="CH37" s="682"/>
      <c r="CI37" s="682"/>
      <c r="CJ37" s="682"/>
      <c r="CK37" s="682"/>
      <c r="CL37" s="682"/>
      <c r="CM37" s="682"/>
      <c r="CN37" s="682"/>
      <c r="CO37" s="682"/>
      <c r="CP37" s="682"/>
      <c r="CQ37" s="682"/>
      <c r="CR37" s="682"/>
      <c r="CS37" s="682"/>
      <c r="CT37" s="682"/>
      <c r="CU37" s="682"/>
      <c r="CV37" s="682"/>
      <c r="CW37" s="682"/>
      <c r="CX37" s="682"/>
      <c r="CY37" s="682"/>
      <c r="CZ37" s="683"/>
      <c r="DA37" s="288"/>
    </row>
    <row r="38" spans="1:105" ht="18" thickBot="1">
      <c r="A38" s="277"/>
      <c r="B38" s="170" t="s">
        <v>226</v>
      </c>
      <c r="C38" s="167"/>
      <c r="D38" s="168"/>
      <c r="E38" s="231"/>
      <c r="F38" s="707">
        <f>IFERROR(F$35*F37,"")</f>
        <v>0</v>
      </c>
      <c r="G38" s="707"/>
      <c r="H38" s="707"/>
      <c r="I38" s="707"/>
      <c r="J38" s="707"/>
      <c r="K38" s="705"/>
      <c r="L38" s="705"/>
      <c r="M38" s="705"/>
      <c r="N38" s="705"/>
      <c r="O38" s="705"/>
      <c r="P38" s="705"/>
      <c r="Q38" s="705"/>
      <c r="R38" s="705"/>
      <c r="S38" s="705"/>
      <c r="T38" s="705"/>
      <c r="U38" s="705"/>
      <c r="V38" s="705"/>
      <c r="W38" s="705"/>
      <c r="X38" s="705"/>
      <c r="Y38" s="705"/>
      <c r="Z38" s="705"/>
      <c r="AA38" s="705"/>
      <c r="AB38" s="705"/>
      <c r="AC38" s="705"/>
      <c r="AD38" s="705"/>
      <c r="AE38" s="705"/>
      <c r="AF38" s="705"/>
      <c r="AG38" s="705"/>
      <c r="AH38" s="705"/>
      <c r="AI38" s="705"/>
      <c r="AJ38" s="705"/>
      <c r="AK38" s="705"/>
      <c r="AL38" s="705"/>
      <c r="AM38" s="705"/>
      <c r="AN38" s="705"/>
      <c r="AO38" s="705"/>
      <c r="AP38" s="705"/>
      <c r="AQ38" s="705"/>
      <c r="AR38" s="705"/>
      <c r="AS38" s="705"/>
      <c r="AT38" s="705"/>
      <c r="AU38" s="705"/>
      <c r="AV38" s="705"/>
      <c r="AW38" s="705"/>
      <c r="AX38" s="705"/>
      <c r="AY38" s="705"/>
      <c r="AZ38" s="705"/>
      <c r="BA38" s="705"/>
      <c r="BB38" s="705"/>
      <c r="BC38" s="705"/>
      <c r="BD38" s="705"/>
      <c r="BE38" s="705"/>
      <c r="BF38" s="705"/>
      <c r="BG38" s="705"/>
      <c r="BH38" s="705"/>
      <c r="BI38" s="705"/>
      <c r="BJ38" s="705"/>
      <c r="BK38" s="705"/>
      <c r="BL38" s="705"/>
      <c r="BM38" s="705"/>
      <c r="BN38" s="705"/>
      <c r="BO38" s="705"/>
      <c r="BP38" s="705"/>
      <c r="BQ38" s="705"/>
      <c r="BR38" s="705"/>
      <c r="BS38" s="705"/>
      <c r="BT38" s="705"/>
      <c r="BU38" s="705"/>
      <c r="BV38" s="705"/>
      <c r="BW38" s="705"/>
      <c r="BX38" s="705"/>
      <c r="BY38" s="705"/>
      <c r="BZ38" s="705"/>
      <c r="CA38" s="705"/>
      <c r="CB38" s="705"/>
      <c r="CC38" s="705"/>
      <c r="CD38" s="705"/>
      <c r="CE38" s="705"/>
      <c r="CF38" s="705"/>
      <c r="CG38" s="705"/>
      <c r="CH38" s="705"/>
      <c r="CI38" s="705"/>
      <c r="CJ38" s="705"/>
      <c r="CK38" s="705"/>
      <c r="CL38" s="705"/>
      <c r="CM38" s="705"/>
      <c r="CN38" s="705"/>
      <c r="CO38" s="705"/>
      <c r="CP38" s="705"/>
      <c r="CQ38" s="705"/>
      <c r="CR38" s="705"/>
      <c r="CS38" s="705"/>
      <c r="CT38" s="705"/>
      <c r="CU38" s="705"/>
      <c r="CV38" s="705"/>
      <c r="CW38" s="705"/>
      <c r="CX38" s="705"/>
      <c r="CY38" s="705"/>
      <c r="CZ38" s="706"/>
      <c r="DA38" s="288"/>
    </row>
    <row r="39" spans="1:105" ht="18" thickBot="1">
      <c r="A39" s="277"/>
      <c r="B39" s="151" t="s">
        <v>229</v>
      </c>
      <c r="C39" s="813" t="s">
        <v>346</v>
      </c>
      <c r="D39" s="653" t="s">
        <v>321</v>
      </c>
      <c r="E39" s="231"/>
      <c r="F39" s="684">
        <f>SUMPRODUCT(F$3:F$7,Vakantietoeslag)</f>
        <v>0.08</v>
      </c>
      <c r="G39" s="684"/>
      <c r="H39" s="684"/>
      <c r="I39" s="684"/>
      <c r="J39" s="684"/>
      <c r="K39" s="685"/>
      <c r="L39" s="685"/>
      <c r="M39" s="685"/>
      <c r="N39" s="685"/>
      <c r="O39" s="685"/>
      <c r="P39" s="685"/>
      <c r="Q39" s="685"/>
      <c r="R39" s="685"/>
      <c r="S39" s="685"/>
      <c r="T39" s="685"/>
      <c r="U39" s="685"/>
      <c r="V39" s="685"/>
      <c r="W39" s="685"/>
      <c r="X39" s="685"/>
      <c r="Y39" s="685"/>
      <c r="Z39" s="685"/>
      <c r="AA39" s="685"/>
      <c r="AB39" s="685"/>
      <c r="AC39" s="685"/>
      <c r="AD39" s="685"/>
      <c r="AE39" s="685"/>
      <c r="AF39" s="685"/>
      <c r="AG39" s="685"/>
      <c r="AH39" s="685"/>
      <c r="AI39" s="685"/>
      <c r="AJ39" s="685"/>
      <c r="AK39" s="685"/>
      <c r="AL39" s="685"/>
      <c r="AM39" s="685"/>
      <c r="AN39" s="685"/>
      <c r="AO39" s="685"/>
      <c r="AP39" s="685"/>
      <c r="AQ39" s="685"/>
      <c r="AR39" s="685"/>
      <c r="AS39" s="685"/>
      <c r="AT39" s="685"/>
      <c r="AU39" s="685"/>
      <c r="AV39" s="685"/>
      <c r="AW39" s="685"/>
      <c r="AX39" s="685"/>
      <c r="AY39" s="685"/>
      <c r="AZ39" s="685"/>
      <c r="BA39" s="685"/>
      <c r="BB39" s="685"/>
      <c r="BC39" s="685"/>
      <c r="BD39" s="685"/>
      <c r="BE39" s="685"/>
      <c r="BF39" s="685"/>
      <c r="BG39" s="685"/>
      <c r="BH39" s="685"/>
      <c r="BI39" s="685"/>
      <c r="BJ39" s="685"/>
      <c r="BK39" s="685"/>
      <c r="BL39" s="685"/>
      <c r="BM39" s="685"/>
      <c r="BN39" s="685"/>
      <c r="BO39" s="685"/>
      <c r="BP39" s="685"/>
      <c r="BQ39" s="685"/>
      <c r="BR39" s="685"/>
      <c r="BS39" s="685"/>
      <c r="BT39" s="685"/>
      <c r="BU39" s="685"/>
      <c r="BV39" s="685"/>
      <c r="BW39" s="685"/>
      <c r="BX39" s="685"/>
      <c r="BY39" s="685"/>
      <c r="BZ39" s="685"/>
      <c r="CA39" s="685"/>
      <c r="CB39" s="685"/>
      <c r="CC39" s="685"/>
      <c r="CD39" s="685"/>
      <c r="CE39" s="685"/>
      <c r="CF39" s="685"/>
      <c r="CG39" s="685"/>
      <c r="CH39" s="685"/>
      <c r="CI39" s="685"/>
      <c r="CJ39" s="685"/>
      <c r="CK39" s="685"/>
      <c r="CL39" s="685"/>
      <c r="CM39" s="685"/>
      <c r="CN39" s="685"/>
      <c r="CO39" s="685"/>
      <c r="CP39" s="685"/>
      <c r="CQ39" s="685"/>
      <c r="CR39" s="685"/>
      <c r="CS39" s="685"/>
      <c r="CT39" s="685"/>
      <c r="CU39" s="685"/>
      <c r="CV39" s="685"/>
      <c r="CW39" s="685"/>
      <c r="CX39" s="685"/>
      <c r="CY39" s="685"/>
      <c r="CZ39" s="686"/>
      <c r="DA39" s="288"/>
    </row>
    <row r="40" spans="1:105" ht="18" thickBot="1">
      <c r="A40" s="277"/>
      <c r="B40" s="170" t="s">
        <v>227</v>
      </c>
      <c r="C40" s="167"/>
      <c r="D40" s="168"/>
      <c r="E40" s="231"/>
      <c r="F40" s="707">
        <f>IFERROR(F$35*F39,"")</f>
        <v>4398.5329401600002</v>
      </c>
      <c r="G40" s="707"/>
      <c r="H40" s="707"/>
      <c r="I40" s="707"/>
      <c r="J40" s="707"/>
      <c r="K40" s="705"/>
      <c r="L40" s="705"/>
      <c r="M40" s="705"/>
      <c r="N40" s="705"/>
      <c r="O40" s="705"/>
      <c r="P40" s="705"/>
      <c r="Q40" s="705"/>
      <c r="R40" s="705"/>
      <c r="S40" s="705"/>
      <c r="T40" s="705"/>
      <c r="U40" s="705"/>
      <c r="V40" s="705"/>
      <c r="W40" s="705"/>
      <c r="X40" s="705"/>
      <c r="Y40" s="705"/>
      <c r="Z40" s="705"/>
      <c r="AA40" s="705"/>
      <c r="AB40" s="705"/>
      <c r="AC40" s="705"/>
      <c r="AD40" s="705"/>
      <c r="AE40" s="705"/>
      <c r="AF40" s="705"/>
      <c r="AG40" s="705"/>
      <c r="AH40" s="705"/>
      <c r="AI40" s="705"/>
      <c r="AJ40" s="705"/>
      <c r="AK40" s="705"/>
      <c r="AL40" s="705"/>
      <c r="AM40" s="705"/>
      <c r="AN40" s="705"/>
      <c r="AO40" s="705"/>
      <c r="AP40" s="705"/>
      <c r="AQ40" s="705"/>
      <c r="AR40" s="705"/>
      <c r="AS40" s="705"/>
      <c r="AT40" s="705"/>
      <c r="AU40" s="705"/>
      <c r="AV40" s="705"/>
      <c r="AW40" s="705"/>
      <c r="AX40" s="705"/>
      <c r="AY40" s="705"/>
      <c r="AZ40" s="705"/>
      <c r="BA40" s="705"/>
      <c r="BB40" s="705"/>
      <c r="BC40" s="705"/>
      <c r="BD40" s="705"/>
      <c r="BE40" s="705"/>
      <c r="BF40" s="705"/>
      <c r="BG40" s="705"/>
      <c r="BH40" s="705"/>
      <c r="BI40" s="705"/>
      <c r="BJ40" s="705"/>
      <c r="BK40" s="705"/>
      <c r="BL40" s="705"/>
      <c r="BM40" s="705"/>
      <c r="BN40" s="705"/>
      <c r="BO40" s="705"/>
      <c r="BP40" s="705"/>
      <c r="BQ40" s="705"/>
      <c r="BR40" s="705"/>
      <c r="BS40" s="705"/>
      <c r="BT40" s="705"/>
      <c r="BU40" s="705"/>
      <c r="BV40" s="705"/>
      <c r="BW40" s="705"/>
      <c r="BX40" s="705"/>
      <c r="BY40" s="705"/>
      <c r="BZ40" s="705"/>
      <c r="CA40" s="705"/>
      <c r="CB40" s="705"/>
      <c r="CC40" s="705"/>
      <c r="CD40" s="705"/>
      <c r="CE40" s="705"/>
      <c r="CF40" s="705"/>
      <c r="CG40" s="705"/>
      <c r="CH40" s="705"/>
      <c r="CI40" s="705"/>
      <c r="CJ40" s="705"/>
      <c r="CK40" s="705"/>
      <c r="CL40" s="705"/>
      <c r="CM40" s="705"/>
      <c r="CN40" s="705"/>
      <c r="CO40" s="705"/>
      <c r="CP40" s="705"/>
      <c r="CQ40" s="705"/>
      <c r="CR40" s="705"/>
      <c r="CS40" s="705"/>
      <c r="CT40" s="705"/>
      <c r="CU40" s="705"/>
      <c r="CV40" s="705"/>
      <c r="CW40" s="705"/>
      <c r="CX40" s="705"/>
      <c r="CY40" s="705"/>
      <c r="CZ40" s="706"/>
      <c r="DA40" s="288"/>
    </row>
    <row r="41" spans="1:105" ht="18" thickBot="1">
      <c r="A41" s="277"/>
      <c r="B41" s="151" t="s">
        <v>230</v>
      </c>
      <c r="C41" s="813" t="s">
        <v>346</v>
      </c>
      <c r="D41" s="653" t="s">
        <v>321</v>
      </c>
      <c r="E41" s="231"/>
      <c r="F41" s="684">
        <f>SUMPRODUCT(F$3:F$7,Eindejaarsuitkering)</f>
        <v>9.0639999999999998E-2</v>
      </c>
      <c r="G41" s="684"/>
      <c r="H41" s="684"/>
      <c r="I41" s="684"/>
      <c r="J41" s="684"/>
      <c r="K41" s="685"/>
      <c r="L41" s="685"/>
      <c r="M41" s="685"/>
      <c r="N41" s="685"/>
      <c r="O41" s="685"/>
      <c r="P41" s="685"/>
      <c r="Q41" s="685"/>
      <c r="R41" s="685"/>
      <c r="S41" s="685"/>
      <c r="T41" s="685"/>
      <c r="U41" s="685"/>
      <c r="V41" s="685"/>
      <c r="W41" s="685"/>
      <c r="X41" s="685"/>
      <c r="Y41" s="685"/>
      <c r="Z41" s="685"/>
      <c r="AA41" s="685"/>
      <c r="AB41" s="685"/>
      <c r="AC41" s="685"/>
      <c r="AD41" s="685"/>
      <c r="AE41" s="685"/>
      <c r="AF41" s="685"/>
      <c r="AG41" s="685"/>
      <c r="AH41" s="685"/>
      <c r="AI41" s="685"/>
      <c r="AJ41" s="685"/>
      <c r="AK41" s="685"/>
      <c r="AL41" s="685"/>
      <c r="AM41" s="685"/>
      <c r="AN41" s="685"/>
      <c r="AO41" s="685"/>
      <c r="AP41" s="685"/>
      <c r="AQ41" s="685"/>
      <c r="AR41" s="685"/>
      <c r="AS41" s="685"/>
      <c r="AT41" s="685"/>
      <c r="AU41" s="685"/>
      <c r="AV41" s="685"/>
      <c r="AW41" s="685"/>
      <c r="AX41" s="685"/>
      <c r="AY41" s="685"/>
      <c r="AZ41" s="685"/>
      <c r="BA41" s="685"/>
      <c r="BB41" s="685"/>
      <c r="BC41" s="685"/>
      <c r="BD41" s="685"/>
      <c r="BE41" s="685"/>
      <c r="BF41" s="685"/>
      <c r="BG41" s="685"/>
      <c r="BH41" s="685"/>
      <c r="BI41" s="685"/>
      <c r="BJ41" s="685"/>
      <c r="BK41" s="685"/>
      <c r="BL41" s="685"/>
      <c r="BM41" s="685"/>
      <c r="BN41" s="685"/>
      <c r="BO41" s="685"/>
      <c r="BP41" s="685"/>
      <c r="BQ41" s="685"/>
      <c r="BR41" s="685"/>
      <c r="BS41" s="685"/>
      <c r="BT41" s="685"/>
      <c r="BU41" s="685"/>
      <c r="BV41" s="685"/>
      <c r="BW41" s="685"/>
      <c r="BX41" s="685"/>
      <c r="BY41" s="685"/>
      <c r="BZ41" s="685"/>
      <c r="CA41" s="685"/>
      <c r="CB41" s="685"/>
      <c r="CC41" s="685"/>
      <c r="CD41" s="685"/>
      <c r="CE41" s="685"/>
      <c r="CF41" s="685"/>
      <c r="CG41" s="685"/>
      <c r="CH41" s="685"/>
      <c r="CI41" s="685"/>
      <c r="CJ41" s="685"/>
      <c r="CK41" s="685"/>
      <c r="CL41" s="685"/>
      <c r="CM41" s="685"/>
      <c r="CN41" s="685"/>
      <c r="CO41" s="685"/>
      <c r="CP41" s="685"/>
      <c r="CQ41" s="685"/>
      <c r="CR41" s="685"/>
      <c r="CS41" s="685"/>
      <c r="CT41" s="685"/>
      <c r="CU41" s="685"/>
      <c r="CV41" s="685"/>
      <c r="CW41" s="685"/>
      <c r="CX41" s="685"/>
      <c r="CY41" s="685"/>
      <c r="CZ41" s="686"/>
      <c r="DA41" s="288"/>
    </row>
    <row r="42" spans="1:105" ht="18" thickBot="1">
      <c r="A42" s="277"/>
      <c r="B42" s="170" t="s">
        <v>231</v>
      </c>
      <c r="C42" s="167"/>
      <c r="D42" s="168"/>
      <c r="E42" s="231"/>
      <c r="F42" s="707">
        <f>IFERROR(F$35*F41,"")</f>
        <v>4983.5378212012802</v>
      </c>
      <c r="G42" s="707"/>
      <c r="H42" s="707"/>
      <c r="I42" s="707"/>
      <c r="J42" s="707"/>
      <c r="K42" s="705"/>
      <c r="L42" s="705"/>
      <c r="M42" s="705"/>
      <c r="N42" s="705"/>
      <c r="O42" s="705"/>
      <c r="P42" s="705"/>
      <c r="Q42" s="705"/>
      <c r="R42" s="705"/>
      <c r="S42" s="705"/>
      <c r="T42" s="705"/>
      <c r="U42" s="705"/>
      <c r="V42" s="705"/>
      <c r="W42" s="705"/>
      <c r="X42" s="705"/>
      <c r="Y42" s="705"/>
      <c r="Z42" s="705"/>
      <c r="AA42" s="705"/>
      <c r="AB42" s="705"/>
      <c r="AC42" s="705"/>
      <c r="AD42" s="705"/>
      <c r="AE42" s="705"/>
      <c r="AF42" s="705"/>
      <c r="AG42" s="705"/>
      <c r="AH42" s="705"/>
      <c r="AI42" s="705"/>
      <c r="AJ42" s="705"/>
      <c r="AK42" s="705"/>
      <c r="AL42" s="705"/>
      <c r="AM42" s="705"/>
      <c r="AN42" s="705"/>
      <c r="AO42" s="705"/>
      <c r="AP42" s="705"/>
      <c r="AQ42" s="705"/>
      <c r="AR42" s="705"/>
      <c r="AS42" s="705"/>
      <c r="AT42" s="705"/>
      <c r="AU42" s="705"/>
      <c r="AV42" s="705"/>
      <c r="AW42" s="705"/>
      <c r="AX42" s="705"/>
      <c r="AY42" s="705"/>
      <c r="AZ42" s="705"/>
      <c r="BA42" s="705"/>
      <c r="BB42" s="705"/>
      <c r="BC42" s="705"/>
      <c r="BD42" s="705"/>
      <c r="BE42" s="705"/>
      <c r="BF42" s="705"/>
      <c r="BG42" s="705"/>
      <c r="BH42" s="705"/>
      <c r="BI42" s="705"/>
      <c r="BJ42" s="705"/>
      <c r="BK42" s="705"/>
      <c r="BL42" s="705"/>
      <c r="BM42" s="705"/>
      <c r="BN42" s="705"/>
      <c r="BO42" s="705"/>
      <c r="BP42" s="705"/>
      <c r="BQ42" s="705"/>
      <c r="BR42" s="705"/>
      <c r="BS42" s="705"/>
      <c r="BT42" s="705"/>
      <c r="BU42" s="705"/>
      <c r="BV42" s="705"/>
      <c r="BW42" s="705"/>
      <c r="BX42" s="705"/>
      <c r="BY42" s="705"/>
      <c r="BZ42" s="705"/>
      <c r="CA42" s="705"/>
      <c r="CB42" s="705"/>
      <c r="CC42" s="705"/>
      <c r="CD42" s="705"/>
      <c r="CE42" s="705"/>
      <c r="CF42" s="705"/>
      <c r="CG42" s="705"/>
      <c r="CH42" s="705"/>
      <c r="CI42" s="705"/>
      <c r="CJ42" s="705"/>
      <c r="CK42" s="705"/>
      <c r="CL42" s="705"/>
      <c r="CM42" s="705"/>
      <c r="CN42" s="705"/>
      <c r="CO42" s="705"/>
      <c r="CP42" s="705"/>
      <c r="CQ42" s="705"/>
      <c r="CR42" s="705"/>
      <c r="CS42" s="705"/>
      <c r="CT42" s="705"/>
      <c r="CU42" s="705"/>
      <c r="CV42" s="705"/>
      <c r="CW42" s="705"/>
      <c r="CX42" s="705"/>
      <c r="CY42" s="705"/>
      <c r="CZ42" s="706"/>
      <c r="DA42" s="288"/>
    </row>
    <row r="43" spans="1:105" ht="18" thickBot="1">
      <c r="A43" s="277"/>
      <c r="B43" s="170" t="s">
        <v>115</v>
      </c>
      <c r="C43" s="167"/>
      <c r="D43" s="657">
        <v>500</v>
      </c>
      <c r="E43" s="231"/>
      <c r="F43" s="814">
        <f>IFERROR($D$43*F$3,"")</f>
        <v>0</v>
      </c>
      <c r="G43" s="814"/>
      <c r="H43" s="814"/>
      <c r="I43" s="814"/>
      <c r="J43" s="814"/>
      <c r="K43" s="815"/>
      <c r="L43" s="815"/>
      <c r="M43" s="815"/>
      <c r="N43" s="815"/>
      <c r="O43" s="815"/>
      <c r="P43" s="815"/>
      <c r="Q43" s="815"/>
      <c r="R43" s="815"/>
      <c r="S43" s="815"/>
      <c r="T43" s="815"/>
      <c r="U43" s="815"/>
      <c r="V43" s="815"/>
      <c r="W43" s="815"/>
      <c r="X43" s="815"/>
      <c r="Y43" s="815"/>
      <c r="Z43" s="815"/>
      <c r="AA43" s="815"/>
      <c r="AB43" s="815"/>
      <c r="AC43" s="815"/>
      <c r="AD43" s="815"/>
      <c r="AE43" s="815"/>
      <c r="AF43" s="815"/>
      <c r="AG43" s="815"/>
      <c r="AH43" s="815"/>
      <c r="AI43" s="815"/>
      <c r="AJ43" s="815"/>
      <c r="AK43" s="815"/>
      <c r="AL43" s="815"/>
      <c r="AM43" s="815"/>
      <c r="AN43" s="815"/>
      <c r="AO43" s="815"/>
      <c r="AP43" s="815"/>
      <c r="AQ43" s="815"/>
      <c r="AR43" s="815"/>
      <c r="AS43" s="815"/>
      <c r="AT43" s="815"/>
      <c r="AU43" s="815"/>
      <c r="AV43" s="815"/>
      <c r="AW43" s="815"/>
      <c r="AX43" s="815"/>
      <c r="AY43" s="815"/>
      <c r="AZ43" s="815"/>
      <c r="BA43" s="815"/>
      <c r="BB43" s="815"/>
      <c r="BC43" s="815"/>
      <c r="BD43" s="815"/>
      <c r="BE43" s="815"/>
      <c r="BF43" s="815"/>
      <c r="BG43" s="815"/>
      <c r="BH43" s="815"/>
      <c r="BI43" s="815"/>
      <c r="BJ43" s="815"/>
      <c r="BK43" s="815"/>
      <c r="BL43" s="815"/>
      <c r="BM43" s="815"/>
      <c r="BN43" s="815"/>
      <c r="BO43" s="815"/>
      <c r="BP43" s="815"/>
      <c r="BQ43" s="815"/>
      <c r="BR43" s="815"/>
      <c r="BS43" s="815"/>
      <c r="BT43" s="815"/>
      <c r="BU43" s="815"/>
      <c r="BV43" s="815"/>
      <c r="BW43" s="815"/>
      <c r="BX43" s="815"/>
      <c r="BY43" s="815"/>
      <c r="BZ43" s="815"/>
      <c r="CA43" s="815"/>
      <c r="CB43" s="815"/>
      <c r="CC43" s="815"/>
      <c r="CD43" s="815"/>
      <c r="CE43" s="815"/>
      <c r="CF43" s="815"/>
      <c r="CG43" s="815"/>
      <c r="CH43" s="815"/>
      <c r="CI43" s="815"/>
      <c r="CJ43" s="815"/>
      <c r="CK43" s="815"/>
      <c r="CL43" s="815"/>
      <c r="CM43" s="815"/>
      <c r="CN43" s="815"/>
      <c r="CO43" s="815"/>
      <c r="CP43" s="815"/>
      <c r="CQ43" s="815"/>
      <c r="CR43" s="815"/>
      <c r="CS43" s="815"/>
      <c r="CT43" s="815"/>
      <c r="CU43" s="815"/>
      <c r="CV43" s="815"/>
      <c r="CW43" s="815"/>
      <c r="CX43" s="815"/>
      <c r="CY43" s="815"/>
      <c r="CZ43" s="816"/>
      <c r="DA43" s="288"/>
    </row>
    <row r="44" spans="1:105" ht="18" thickBot="1">
      <c r="A44" s="277"/>
      <c r="B44" s="170" t="s">
        <v>375</v>
      </c>
      <c r="C44" s="167"/>
      <c r="D44" s="657">
        <v>120</v>
      </c>
      <c r="E44" s="231"/>
      <c r="F44" s="928">
        <f>IFERROR($D$44*F$5,"")</f>
        <v>120</v>
      </c>
      <c r="G44" s="928"/>
      <c r="H44" s="928"/>
      <c r="I44" s="928"/>
      <c r="J44" s="928"/>
      <c r="K44" s="929"/>
      <c r="L44" s="929"/>
      <c r="M44" s="929"/>
      <c r="N44" s="929"/>
      <c r="O44" s="929"/>
      <c r="P44" s="929"/>
      <c r="Q44" s="929"/>
      <c r="R44" s="929"/>
      <c r="S44" s="929"/>
      <c r="T44" s="929"/>
      <c r="U44" s="929"/>
      <c r="V44" s="929"/>
      <c r="W44" s="929"/>
      <c r="X44" s="929"/>
      <c r="Y44" s="929"/>
      <c r="Z44" s="929"/>
      <c r="AA44" s="929"/>
      <c r="AB44" s="929"/>
      <c r="AC44" s="929"/>
      <c r="AD44" s="929"/>
      <c r="AE44" s="929"/>
      <c r="AF44" s="929"/>
      <c r="AG44" s="929"/>
      <c r="AH44" s="929"/>
      <c r="AI44" s="929"/>
      <c r="AJ44" s="929"/>
      <c r="AK44" s="929"/>
      <c r="AL44" s="929"/>
      <c r="AM44" s="929"/>
      <c r="AN44" s="929"/>
      <c r="AO44" s="929"/>
      <c r="AP44" s="929"/>
      <c r="AQ44" s="929"/>
      <c r="AR44" s="929"/>
      <c r="AS44" s="929"/>
      <c r="AT44" s="929"/>
      <c r="AU44" s="929"/>
      <c r="AV44" s="929"/>
      <c r="AW44" s="929"/>
      <c r="AX44" s="929"/>
      <c r="AY44" s="929"/>
      <c r="AZ44" s="929"/>
      <c r="BA44" s="929"/>
      <c r="BB44" s="929"/>
      <c r="BC44" s="929"/>
      <c r="BD44" s="929"/>
      <c r="BE44" s="929"/>
      <c r="BF44" s="929"/>
      <c r="BG44" s="929"/>
      <c r="BH44" s="929"/>
      <c r="BI44" s="929"/>
      <c r="BJ44" s="929"/>
      <c r="BK44" s="929"/>
      <c r="BL44" s="929"/>
      <c r="BM44" s="929"/>
      <c r="BN44" s="929"/>
      <c r="BO44" s="929"/>
      <c r="BP44" s="929"/>
      <c r="BQ44" s="929"/>
      <c r="BR44" s="929"/>
      <c r="BS44" s="929"/>
      <c r="BT44" s="929"/>
      <c r="BU44" s="929"/>
      <c r="BV44" s="929"/>
      <c r="BW44" s="929"/>
      <c r="BX44" s="929"/>
      <c r="BY44" s="929"/>
      <c r="BZ44" s="929"/>
      <c r="CA44" s="929"/>
      <c r="CB44" s="929"/>
      <c r="CC44" s="929"/>
      <c r="CD44" s="929"/>
      <c r="CE44" s="929"/>
      <c r="CF44" s="929"/>
      <c r="CG44" s="929"/>
      <c r="CH44" s="929"/>
      <c r="CI44" s="929"/>
      <c r="CJ44" s="929"/>
      <c r="CK44" s="929"/>
      <c r="CL44" s="929"/>
      <c r="CM44" s="929"/>
      <c r="CN44" s="929"/>
      <c r="CO44" s="929"/>
      <c r="CP44" s="929"/>
      <c r="CQ44" s="929"/>
      <c r="CR44" s="929"/>
      <c r="CS44" s="929"/>
      <c r="CT44" s="929"/>
      <c r="CU44" s="929"/>
      <c r="CV44" s="929"/>
      <c r="CW44" s="929"/>
      <c r="CX44" s="929"/>
      <c r="CY44" s="929"/>
      <c r="CZ44" s="930"/>
      <c r="DA44" s="288"/>
    </row>
    <row r="45" spans="1:105" ht="18" thickBot="1">
      <c r="A45" s="277"/>
      <c r="B45" s="170" t="s">
        <v>376</v>
      </c>
      <c r="C45" s="167"/>
      <c r="D45" s="932">
        <v>1.4999999999999999E-2</v>
      </c>
      <c r="E45" s="231"/>
      <c r="F45" s="928">
        <f>IFERROR($D$45*F$5*F35,"")</f>
        <v>824.72492627999998</v>
      </c>
      <c r="G45" s="928"/>
      <c r="H45" s="928"/>
      <c r="I45" s="928"/>
      <c r="J45" s="928"/>
      <c r="K45" s="929"/>
      <c r="L45" s="929"/>
      <c r="M45" s="929"/>
      <c r="N45" s="929"/>
      <c r="O45" s="929"/>
      <c r="P45" s="929"/>
      <c r="Q45" s="929"/>
      <c r="R45" s="929"/>
      <c r="S45" s="929"/>
      <c r="T45" s="929"/>
      <c r="U45" s="929"/>
      <c r="V45" s="929"/>
      <c r="W45" s="929"/>
      <c r="X45" s="929"/>
      <c r="Y45" s="929"/>
      <c r="Z45" s="929"/>
      <c r="AA45" s="929"/>
      <c r="AB45" s="929"/>
      <c r="AC45" s="929"/>
      <c r="AD45" s="929"/>
      <c r="AE45" s="929"/>
      <c r="AF45" s="929"/>
      <c r="AG45" s="929"/>
      <c r="AH45" s="929"/>
      <c r="AI45" s="929"/>
      <c r="AJ45" s="929"/>
      <c r="AK45" s="929"/>
      <c r="AL45" s="929"/>
      <c r="AM45" s="929"/>
      <c r="AN45" s="929"/>
      <c r="AO45" s="929"/>
      <c r="AP45" s="929"/>
      <c r="AQ45" s="929"/>
      <c r="AR45" s="929"/>
      <c r="AS45" s="929"/>
      <c r="AT45" s="929"/>
      <c r="AU45" s="929"/>
      <c r="AV45" s="929"/>
      <c r="AW45" s="929"/>
      <c r="AX45" s="929"/>
      <c r="AY45" s="929"/>
      <c r="AZ45" s="929"/>
      <c r="BA45" s="929"/>
      <c r="BB45" s="929"/>
      <c r="BC45" s="929"/>
      <c r="BD45" s="929"/>
      <c r="BE45" s="929"/>
      <c r="BF45" s="929"/>
      <c r="BG45" s="929"/>
      <c r="BH45" s="929"/>
      <c r="BI45" s="929"/>
      <c r="BJ45" s="929"/>
      <c r="BK45" s="929"/>
      <c r="BL45" s="929"/>
      <c r="BM45" s="929"/>
      <c r="BN45" s="929"/>
      <c r="BO45" s="929"/>
      <c r="BP45" s="929"/>
      <c r="BQ45" s="929"/>
      <c r="BR45" s="929"/>
      <c r="BS45" s="929"/>
      <c r="BT45" s="929"/>
      <c r="BU45" s="929"/>
      <c r="BV45" s="929"/>
      <c r="BW45" s="929"/>
      <c r="BX45" s="929"/>
      <c r="BY45" s="929"/>
      <c r="BZ45" s="929"/>
      <c r="CA45" s="929"/>
      <c r="CB45" s="929"/>
      <c r="CC45" s="929"/>
      <c r="CD45" s="929"/>
      <c r="CE45" s="929"/>
      <c r="CF45" s="929"/>
      <c r="CG45" s="929"/>
      <c r="CH45" s="929"/>
      <c r="CI45" s="929"/>
      <c r="CJ45" s="929"/>
      <c r="CK45" s="929"/>
      <c r="CL45" s="929"/>
      <c r="CM45" s="929"/>
      <c r="CN45" s="929"/>
      <c r="CO45" s="929"/>
      <c r="CP45" s="929"/>
      <c r="CQ45" s="929"/>
      <c r="CR45" s="929"/>
      <c r="CS45" s="929"/>
      <c r="CT45" s="929"/>
      <c r="CU45" s="929"/>
      <c r="CV45" s="929"/>
      <c r="CW45" s="929"/>
      <c r="CX45" s="929"/>
      <c r="CY45" s="929"/>
      <c r="CZ45" s="930"/>
      <c r="DA45" s="288"/>
    </row>
    <row r="46" spans="1:105" ht="21.6" thickBot="1">
      <c r="A46" s="277"/>
      <c r="B46" s="560" t="s">
        <v>83</v>
      </c>
      <c r="C46" s="171"/>
      <c r="D46" s="192"/>
      <c r="E46" s="231"/>
      <c r="F46" s="711">
        <f>IFERROR(SUM(F35,F38,F40,F42,F43,F44,F45),"")</f>
        <v>65308.457439641286</v>
      </c>
      <c r="G46" s="711"/>
      <c r="H46" s="711"/>
      <c r="I46" s="711"/>
      <c r="J46" s="711"/>
      <c r="K46" s="712"/>
      <c r="L46" s="712"/>
      <c r="M46" s="712"/>
      <c r="N46" s="712"/>
      <c r="O46" s="712"/>
      <c r="P46" s="712"/>
      <c r="Q46" s="712"/>
      <c r="R46" s="712"/>
      <c r="S46" s="712"/>
      <c r="T46" s="712"/>
      <c r="U46" s="712"/>
      <c r="V46" s="712"/>
      <c r="W46" s="712"/>
      <c r="X46" s="712"/>
      <c r="Y46" s="712"/>
      <c r="Z46" s="712"/>
      <c r="AA46" s="712"/>
      <c r="AB46" s="712"/>
      <c r="AC46" s="712"/>
      <c r="AD46" s="712"/>
      <c r="AE46" s="712"/>
      <c r="AF46" s="712"/>
      <c r="AG46" s="712"/>
      <c r="AH46" s="712"/>
      <c r="AI46" s="712"/>
      <c r="AJ46" s="712"/>
      <c r="AK46" s="712"/>
      <c r="AL46" s="712"/>
      <c r="AM46" s="712"/>
      <c r="AN46" s="712"/>
      <c r="AO46" s="712"/>
      <c r="AP46" s="712"/>
      <c r="AQ46" s="712"/>
      <c r="AR46" s="712"/>
      <c r="AS46" s="712"/>
      <c r="AT46" s="712"/>
      <c r="AU46" s="712"/>
      <c r="AV46" s="712"/>
      <c r="AW46" s="712"/>
      <c r="AX46" s="712"/>
      <c r="AY46" s="712"/>
      <c r="AZ46" s="712"/>
      <c r="BA46" s="712"/>
      <c r="BB46" s="712"/>
      <c r="BC46" s="712"/>
      <c r="BD46" s="712"/>
      <c r="BE46" s="712"/>
      <c r="BF46" s="712"/>
      <c r="BG46" s="712"/>
      <c r="BH46" s="712"/>
      <c r="BI46" s="712"/>
      <c r="BJ46" s="712"/>
      <c r="BK46" s="712"/>
      <c r="BL46" s="712"/>
      <c r="BM46" s="712"/>
      <c r="BN46" s="712"/>
      <c r="BO46" s="712"/>
      <c r="BP46" s="712"/>
      <c r="BQ46" s="712"/>
      <c r="BR46" s="712"/>
      <c r="BS46" s="712"/>
      <c r="BT46" s="712"/>
      <c r="BU46" s="712"/>
      <c r="BV46" s="712"/>
      <c r="BW46" s="712"/>
      <c r="BX46" s="712"/>
      <c r="BY46" s="712"/>
      <c r="BZ46" s="712"/>
      <c r="CA46" s="712"/>
      <c r="CB46" s="712"/>
      <c r="CC46" s="712"/>
      <c r="CD46" s="712"/>
      <c r="CE46" s="712"/>
      <c r="CF46" s="712"/>
      <c r="CG46" s="712"/>
      <c r="CH46" s="712"/>
      <c r="CI46" s="712"/>
      <c r="CJ46" s="712"/>
      <c r="CK46" s="712"/>
      <c r="CL46" s="712"/>
      <c r="CM46" s="712"/>
      <c r="CN46" s="712"/>
      <c r="CO46" s="712"/>
      <c r="CP46" s="712"/>
      <c r="CQ46" s="712"/>
      <c r="CR46" s="712"/>
      <c r="CS46" s="712"/>
      <c r="CT46" s="712"/>
      <c r="CU46" s="712"/>
      <c r="CV46" s="712"/>
      <c r="CW46" s="712"/>
      <c r="CX46" s="712"/>
      <c r="CY46" s="712"/>
      <c r="CZ46" s="713"/>
      <c r="DA46" s="288"/>
    </row>
    <row r="47" spans="1:105" ht="18" thickBot="1">
      <c r="A47" s="277"/>
      <c r="B47" s="283"/>
      <c r="C47" s="283"/>
      <c r="D47" s="283"/>
      <c r="E47" s="231"/>
      <c r="F47" s="277"/>
      <c r="G47" s="277"/>
      <c r="H47" s="277"/>
      <c r="I47" s="277"/>
      <c r="J47" s="277"/>
      <c r="K47" s="277"/>
      <c r="L47" s="277"/>
      <c r="M47" s="277"/>
      <c r="N47" s="277"/>
      <c r="O47" s="277"/>
      <c r="P47" s="277"/>
      <c r="Q47" s="277"/>
      <c r="R47" s="277"/>
      <c r="S47" s="277"/>
      <c r="T47" s="277"/>
      <c r="U47" s="277"/>
      <c r="V47" s="277"/>
      <c r="W47" s="277"/>
      <c r="X47" s="277"/>
      <c r="Y47" s="277"/>
      <c r="Z47" s="277"/>
      <c r="AA47" s="277"/>
      <c r="AB47" s="283"/>
      <c r="AC47" s="283"/>
      <c r="AD47" s="283"/>
      <c r="AE47" s="277"/>
      <c r="AF47" s="277"/>
      <c r="AG47" s="277"/>
      <c r="AH47" s="277"/>
      <c r="AI47" s="277"/>
      <c r="AJ47" s="277"/>
      <c r="AK47" s="277"/>
      <c r="AL47" s="277"/>
      <c r="AM47" s="277"/>
      <c r="AN47" s="277"/>
      <c r="AO47" s="277"/>
      <c r="AP47" s="277"/>
      <c r="AQ47" s="277"/>
      <c r="AR47" s="277"/>
      <c r="AS47" s="277"/>
      <c r="AT47" s="277"/>
      <c r="AU47" s="277"/>
      <c r="AV47" s="277"/>
      <c r="AW47" s="277"/>
      <c r="AX47" s="277"/>
      <c r="AY47" s="277"/>
      <c r="AZ47" s="283"/>
      <c r="BA47" s="283"/>
      <c r="BB47" s="283"/>
      <c r="BC47" s="283"/>
      <c r="BD47" s="283"/>
      <c r="BE47" s="283"/>
      <c r="BF47" s="283"/>
      <c r="BG47" s="283"/>
      <c r="BH47" s="283"/>
      <c r="BI47" s="283"/>
      <c r="BJ47" s="283"/>
      <c r="BK47" s="283"/>
      <c r="BL47" s="283"/>
      <c r="BM47" s="283"/>
      <c r="BN47" s="283"/>
      <c r="BO47" s="283"/>
      <c r="BP47" s="283"/>
      <c r="BQ47" s="283"/>
      <c r="BR47" s="283"/>
      <c r="BS47" s="283"/>
      <c r="BT47" s="283"/>
      <c r="BU47" s="283"/>
      <c r="BV47" s="283"/>
      <c r="BW47" s="283"/>
      <c r="BX47" s="283"/>
      <c r="BY47" s="283"/>
      <c r="BZ47" s="283"/>
      <c r="CA47" s="283"/>
      <c r="CB47" s="283"/>
      <c r="CC47" s="283"/>
      <c r="CD47" s="283"/>
      <c r="CE47" s="283"/>
      <c r="CF47" s="283"/>
      <c r="CG47" s="283"/>
      <c r="CH47" s="283"/>
      <c r="CI47" s="283"/>
      <c r="CJ47" s="283"/>
      <c r="CK47" s="283"/>
      <c r="CL47" s="283"/>
      <c r="CM47" s="283"/>
      <c r="CN47" s="283"/>
      <c r="CO47" s="283"/>
      <c r="CP47" s="283"/>
      <c r="CQ47" s="283"/>
      <c r="CR47" s="283"/>
      <c r="CS47" s="283"/>
      <c r="CT47" s="283"/>
      <c r="CU47" s="283"/>
      <c r="CV47" s="283"/>
      <c r="CW47" s="283"/>
      <c r="CX47" s="283"/>
      <c r="CY47" s="283"/>
      <c r="CZ47" s="283"/>
      <c r="DA47" s="288"/>
    </row>
    <row r="48" spans="1:105" ht="24">
      <c r="A48" s="277"/>
      <c r="B48" s="159" t="s">
        <v>381</v>
      </c>
      <c r="C48" s="160"/>
      <c r="D48" s="252"/>
      <c r="E48" s="231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72"/>
      <c r="AC48" s="172"/>
      <c r="AD48" s="172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/>
      <c r="AV48" s="160"/>
      <c r="AW48" s="160"/>
      <c r="AX48" s="160"/>
      <c r="AY48" s="160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172"/>
      <c r="BN48" s="172"/>
      <c r="BO48" s="172"/>
      <c r="BP48" s="172"/>
      <c r="BQ48" s="172"/>
      <c r="BR48" s="172"/>
      <c r="BS48" s="172"/>
      <c r="BT48" s="172"/>
      <c r="BU48" s="172"/>
      <c r="BV48" s="172"/>
      <c r="BW48" s="172"/>
      <c r="BX48" s="172"/>
      <c r="BY48" s="172"/>
      <c r="BZ48" s="172"/>
      <c r="CA48" s="172"/>
      <c r="CB48" s="172"/>
      <c r="CC48" s="172"/>
      <c r="CD48" s="172"/>
      <c r="CE48" s="172"/>
      <c r="CF48" s="172"/>
      <c r="CG48" s="172"/>
      <c r="CH48" s="172"/>
      <c r="CI48" s="172"/>
      <c r="CJ48" s="172"/>
      <c r="CK48" s="172"/>
      <c r="CL48" s="172"/>
      <c r="CM48" s="172"/>
      <c r="CN48" s="172"/>
      <c r="CO48" s="172"/>
      <c r="CP48" s="172"/>
      <c r="CQ48" s="172"/>
      <c r="CR48" s="172"/>
      <c r="CS48" s="172"/>
      <c r="CT48" s="172"/>
      <c r="CU48" s="172"/>
      <c r="CV48" s="172"/>
      <c r="CW48" s="172"/>
      <c r="CX48" s="172"/>
      <c r="CY48" s="172"/>
      <c r="CZ48" s="173"/>
      <c r="DA48" s="288"/>
    </row>
    <row r="49" spans="1:105" ht="24.6" thickBot="1">
      <c r="A49" s="277"/>
      <c r="B49" s="165"/>
      <c r="D49" s="174"/>
      <c r="E49" s="231"/>
      <c r="AB49" s="167"/>
      <c r="AC49" s="167"/>
      <c r="AD49" s="167"/>
      <c r="CZ49" s="168"/>
      <c r="DA49" s="288"/>
    </row>
    <row r="50" spans="1:105" ht="18" thickBot="1">
      <c r="A50" s="277"/>
      <c r="B50" s="151" t="s">
        <v>265</v>
      </c>
      <c r="C50" s="167"/>
      <c r="D50" s="215">
        <f>Sociale_lasten_Alg</f>
        <v>0.20099333331479999</v>
      </c>
      <c r="E50" s="231"/>
      <c r="F50" s="672">
        <f>Sociale_lasten_Alg+F$6*'Sociale lasten'!$C$12</f>
        <v>0.20099333331479999</v>
      </c>
      <c r="G50" s="672"/>
      <c r="H50" s="672"/>
      <c r="I50" s="672"/>
      <c r="J50" s="672"/>
      <c r="K50" s="672"/>
      <c r="L50" s="672"/>
      <c r="M50" s="672"/>
      <c r="N50" s="672"/>
      <c r="O50" s="672"/>
      <c r="P50" s="672"/>
      <c r="Q50" s="672"/>
      <c r="R50" s="672"/>
      <c r="S50" s="672"/>
      <c r="T50" s="672"/>
      <c r="U50" s="672"/>
      <c r="V50" s="672"/>
      <c r="W50" s="672"/>
      <c r="X50" s="672"/>
      <c r="Y50" s="672"/>
      <c r="Z50" s="672"/>
      <c r="AA50" s="672"/>
      <c r="AB50" s="672"/>
      <c r="AC50" s="672"/>
      <c r="AD50" s="672"/>
      <c r="AE50" s="672"/>
      <c r="AF50" s="672"/>
      <c r="AG50" s="672"/>
      <c r="AH50" s="672"/>
      <c r="AI50" s="672"/>
      <c r="AJ50" s="672"/>
      <c r="AK50" s="672"/>
      <c r="AL50" s="672"/>
      <c r="AM50" s="672"/>
      <c r="AN50" s="672"/>
      <c r="AO50" s="672"/>
      <c r="AP50" s="672"/>
      <c r="AQ50" s="672"/>
      <c r="AR50" s="672"/>
      <c r="AS50" s="672"/>
      <c r="AT50" s="672"/>
      <c r="AU50" s="672"/>
      <c r="AV50" s="672"/>
      <c r="AW50" s="672"/>
      <c r="AX50" s="672"/>
      <c r="AY50" s="672"/>
      <c r="AZ50" s="672"/>
      <c r="BA50" s="672"/>
      <c r="BB50" s="672"/>
      <c r="BC50" s="672"/>
      <c r="BD50" s="672"/>
      <c r="BE50" s="672"/>
      <c r="BF50" s="672"/>
      <c r="BG50" s="672"/>
      <c r="BH50" s="672"/>
      <c r="BI50" s="672"/>
      <c r="BJ50" s="672"/>
      <c r="BK50" s="672"/>
      <c r="BL50" s="672"/>
      <c r="BM50" s="672"/>
      <c r="BN50" s="672"/>
      <c r="BO50" s="672"/>
      <c r="BP50" s="672"/>
      <c r="BQ50" s="672"/>
      <c r="BR50" s="672"/>
      <c r="BS50" s="672"/>
      <c r="BT50" s="672"/>
      <c r="BU50" s="672"/>
      <c r="BV50" s="672"/>
      <c r="BW50" s="672"/>
      <c r="BX50" s="672"/>
      <c r="BY50" s="672"/>
      <c r="BZ50" s="672"/>
      <c r="CA50" s="672"/>
      <c r="CB50" s="672"/>
      <c r="CC50" s="672"/>
      <c r="CD50" s="672"/>
      <c r="CE50" s="672"/>
      <c r="CF50" s="672"/>
      <c r="CG50" s="672"/>
      <c r="CH50" s="672"/>
      <c r="CI50" s="672"/>
      <c r="CJ50" s="672"/>
      <c r="CK50" s="672"/>
      <c r="CL50" s="672"/>
      <c r="CM50" s="672"/>
      <c r="CN50" s="672"/>
      <c r="CO50" s="672"/>
      <c r="CP50" s="672"/>
      <c r="CQ50" s="672"/>
      <c r="CR50" s="672"/>
      <c r="CS50" s="672"/>
      <c r="CT50" s="672"/>
      <c r="CU50" s="672"/>
      <c r="CV50" s="672"/>
      <c r="CW50" s="672"/>
      <c r="CX50" s="672"/>
      <c r="CY50" s="672"/>
      <c r="CZ50" s="673"/>
      <c r="DA50" s="288"/>
    </row>
    <row r="51" spans="1:105" ht="18" thickBot="1">
      <c r="A51" s="277"/>
      <c r="B51" s="151"/>
      <c r="D51" s="174"/>
      <c r="E51" s="231"/>
      <c r="F51" s="256"/>
      <c r="G51" s="256"/>
      <c r="H51" s="256"/>
      <c r="I51" s="256"/>
      <c r="J51" s="256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216"/>
      <c r="AC51" s="216"/>
      <c r="AD51" s="216"/>
      <c r="AE51" s="214"/>
      <c r="AF51" s="214"/>
      <c r="AG51" s="214"/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6"/>
      <c r="BA51" s="216"/>
      <c r="BB51" s="216"/>
      <c r="BC51" s="216"/>
      <c r="BD51" s="216"/>
      <c r="BE51" s="216"/>
      <c r="BF51" s="216"/>
      <c r="BG51" s="216"/>
      <c r="BH51" s="216"/>
      <c r="BI51" s="216"/>
      <c r="BJ51" s="216"/>
      <c r="BK51" s="216"/>
      <c r="BL51" s="216"/>
      <c r="BM51" s="216"/>
      <c r="BN51" s="216"/>
      <c r="BO51" s="216"/>
      <c r="BP51" s="216"/>
      <c r="BQ51" s="216"/>
      <c r="BR51" s="216"/>
      <c r="BS51" s="216"/>
      <c r="BT51" s="216"/>
      <c r="BU51" s="216"/>
      <c r="BV51" s="216"/>
      <c r="BW51" s="216"/>
      <c r="BX51" s="216"/>
      <c r="BY51" s="216"/>
      <c r="BZ51" s="216"/>
      <c r="CA51" s="216"/>
      <c r="CB51" s="216"/>
      <c r="CC51" s="216"/>
      <c r="CD51" s="216"/>
      <c r="CE51" s="216"/>
      <c r="CF51" s="216"/>
      <c r="CG51" s="216"/>
      <c r="CH51" s="216"/>
      <c r="CI51" s="216"/>
      <c r="CJ51" s="216"/>
      <c r="CK51" s="216"/>
      <c r="CL51" s="216"/>
      <c r="CM51" s="216"/>
      <c r="CN51" s="216"/>
      <c r="CO51" s="216"/>
      <c r="CP51" s="216"/>
      <c r="CQ51" s="216"/>
      <c r="CR51" s="216"/>
      <c r="CS51" s="216"/>
      <c r="CT51" s="216"/>
      <c r="CU51" s="216"/>
      <c r="CV51" s="216"/>
      <c r="CW51" s="216"/>
      <c r="CX51" s="216"/>
      <c r="CY51" s="216"/>
      <c r="CZ51" s="217"/>
      <c r="DA51" s="288"/>
    </row>
    <row r="52" spans="1:105" ht="18" thickBot="1">
      <c r="A52" s="277"/>
      <c r="B52" s="151" t="s">
        <v>380</v>
      </c>
      <c r="D52" s="787">
        <v>75864</v>
      </c>
      <c r="E52" s="231"/>
      <c r="F52" s="274"/>
      <c r="G52" s="274"/>
      <c r="H52" s="274"/>
      <c r="I52" s="274"/>
      <c r="J52" s="274"/>
      <c r="K52" s="525"/>
      <c r="L52" s="525"/>
      <c r="M52" s="525"/>
      <c r="N52" s="525"/>
      <c r="O52" s="525"/>
      <c r="P52" s="525"/>
      <c r="Q52" s="525"/>
      <c r="R52" s="525"/>
      <c r="S52" s="525"/>
      <c r="T52" s="525"/>
      <c r="U52" s="525"/>
      <c r="V52" s="525"/>
      <c r="W52" s="525"/>
      <c r="X52" s="525"/>
      <c r="Y52" s="525"/>
      <c r="Z52" s="525"/>
      <c r="AA52" s="525"/>
      <c r="AB52" s="525"/>
      <c r="AC52" s="525"/>
      <c r="AD52" s="525"/>
      <c r="AE52" s="525"/>
      <c r="AF52" s="525"/>
      <c r="AG52" s="525"/>
      <c r="AH52" s="525"/>
      <c r="AI52" s="525"/>
      <c r="AJ52" s="525"/>
      <c r="AK52" s="525"/>
      <c r="AL52" s="525"/>
      <c r="AM52" s="525"/>
      <c r="AN52" s="525"/>
      <c r="AO52" s="525"/>
      <c r="AP52" s="525"/>
      <c r="AQ52" s="525"/>
      <c r="AR52" s="525"/>
      <c r="AS52" s="525"/>
      <c r="AT52" s="525"/>
      <c r="AU52" s="525"/>
      <c r="AV52" s="525"/>
      <c r="AW52" s="525"/>
      <c r="AX52" s="525"/>
      <c r="AY52" s="525"/>
      <c r="AZ52" s="525"/>
      <c r="BA52" s="525"/>
      <c r="BB52" s="525"/>
      <c r="BC52" s="525"/>
      <c r="BD52" s="525"/>
      <c r="BE52" s="525"/>
      <c r="BF52" s="525"/>
      <c r="BG52" s="525"/>
      <c r="BH52" s="525"/>
      <c r="BI52" s="525"/>
      <c r="BJ52" s="525"/>
      <c r="BK52" s="525"/>
      <c r="BL52" s="525"/>
      <c r="BM52" s="525"/>
      <c r="BN52" s="525"/>
      <c r="BO52" s="525"/>
      <c r="BP52" s="525"/>
      <c r="BQ52" s="525"/>
      <c r="BR52" s="525"/>
      <c r="BS52" s="525"/>
      <c r="BT52" s="525"/>
      <c r="BU52" s="525"/>
      <c r="BV52" s="525"/>
      <c r="BW52" s="525"/>
      <c r="BX52" s="146"/>
      <c r="BY52" s="220"/>
      <c r="BZ52" s="525"/>
      <c r="CA52" s="525"/>
      <c r="CB52" s="525"/>
      <c r="CC52" s="525"/>
      <c r="CD52" s="525"/>
      <c r="CE52" s="146"/>
      <c r="CF52" s="220"/>
      <c r="CG52" s="525"/>
      <c r="CH52" s="525"/>
      <c r="CI52" s="525"/>
      <c r="CJ52" s="525"/>
      <c r="CK52" s="525"/>
      <c r="CL52" s="525"/>
      <c r="CM52" s="525"/>
      <c r="CN52" s="525"/>
      <c r="CO52" s="525"/>
      <c r="CP52" s="525"/>
      <c r="CQ52" s="525"/>
      <c r="CR52" s="525"/>
      <c r="CS52" s="525"/>
      <c r="CT52" s="525"/>
      <c r="CU52" s="525"/>
      <c r="CV52" s="525"/>
      <c r="CW52" s="525"/>
      <c r="CX52" s="525"/>
      <c r="CY52" s="525"/>
      <c r="CZ52" s="221"/>
      <c r="DA52" s="288"/>
    </row>
    <row r="53" spans="1:105">
      <c r="A53" s="277"/>
      <c r="B53" s="690" t="s">
        <v>92</v>
      </c>
      <c r="C53" s="248"/>
      <c r="D53" s="786"/>
      <c r="E53" s="231"/>
      <c r="F53" s="691">
        <f>IFERROR(IF(F46&gt;$D$52,$D$52*F50/F46,F50),"")</f>
        <v>0.20099333331479999</v>
      </c>
      <c r="G53" s="691"/>
      <c r="H53" s="691"/>
      <c r="I53" s="691"/>
      <c r="J53" s="691"/>
      <c r="K53" s="692"/>
      <c r="L53" s="692"/>
      <c r="M53" s="692"/>
      <c r="N53" s="692"/>
      <c r="O53" s="692"/>
      <c r="P53" s="692"/>
      <c r="Q53" s="692"/>
      <c r="R53" s="692"/>
      <c r="S53" s="692"/>
      <c r="T53" s="692"/>
      <c r="U53" s="692"/>
      <c r="V53" s="692"/>
      <c r="W53" s="692"/>
      <c r="X53" s="692"/>
      <c r="Y53" s="692"/>
      <c r="Z53" s="692"/>
      <c r="AA53" s="692"/>
      <c r="AB53" s="692"/>
      <c r="AC53" s="692"/>
      <c r="AD53" s="692"/>
      <c r="AE53" s="692"/>
      <c r="AF53" s="692"/>
      <c r="AG53" s="692"/>
      <c r="AH53" s="692"/>
      <c r="AI53" s="692"/>
      <c r="AJ53" s="692"/>
      <c r="AK53" s="692"/>
      <c r="AL53" s="692"/>
      <c r="AM53" s="692"/>
      <c r="AN53" s="692"/>
      <c r="AO53" s="692"/>
      <c r="AP53" s="692"/>
      <c r="AQ53" s="692"/>
      <c r="AR53" s="692"/>
      <c r="AS53" s="692"/>
      <c r="AT53" s="692"/>
      <c r="AU53" s="692"/>
      <c r="AV53" s="692"/>
      <c r="AW53" s="692"/>
      <c r="AX53" s="692"/>
      <c r="AY53" s="692"/>
      <c r="AZ53" s="692"/>
      <c r="BA53" s="692"/>
      <c r="BB53" s="692"/>
      <c r="BC53" s="692"/>
      <c r="BD53" s="692"/>
      <c r="BE53" s="692"/>
      <c r="BF53" s="692"/>
      <c r="BG53" s="692"/>
      <c r="BH53" s="692"/>
      <c r="BI53" s="692"/>
      <c r="BJ53" s="692"/>
      <c r="BK53" s="692"/>
      <c r="BL53" s="692"/>
      <c r="BM53" s="692"/>
      <c r="BN53" s="692"/>
      <c r="BO53" s="692"/>
      <c r="BP53" s="692"/>
      <c r="BQ53" s="692"/>
      <c r="BR53" s="692"/>
      <c r="BS53" s="692"/>
      <c r="BT53" s="692"/>
      <c r="BU53" s="692"/>
      <c r="BV53" s="692"/>
      <c r="BW53" s="692"/>
      <c r="BX53" s="692"/>
      <c r="BY53" s="692"/>
      <c r="BZ53" s="692"/>
      <c r="CA53" s="692"/>
      <c r="CB53" s="692"/>
      <c r="CC53" s="692"/>
      <c r="CD53" s="692"/>
      <c r="CE53" s="692"/>
      <c r="CF53" s="692"/>
      <c r="CG53" s="692"/>
      <c r="CH53" s="692"/>
      <c r="CI53" s="692"/>
      <c r="CJ53" s="692"/>
      <c r="CK53" s="692"/>
      <c r="CL53" s="692"/>
      <c r="CM53" s="692"/>
      <c r="CN53" s="692"/>
      <c r="CO53" s="692"/>
      <c r="CP53" s="692"/>
      <c r="CQ53" s="692"/>
      <c r="CR53" s="692"/>
      <c r="CS53" s="692"/>
      <c r="CT53" s="692"/>
      <c r="CU53" s="692"/>
      <c r="CV53" s="692"/>
      <c r="CW53" s="692"/>
      <c r="CX53" s="692"/>
      <c r="CY53" s="692"/>
      <c r="CZ53" s="693"/>
      <c r="DA53" s="288"/>
    </row>
    <row r="54" spans="1:105" ht="18" thickBot="1">
      <c r="A54" s="277"/>
      <c r="B54" s="151"/>
      <c r="C54" s="687" t="s">
        <v>118</v>
      </c>
      <c r="D54" s="689" t="s">
        <v>94</v>
      </c>
      <c r="E54" s="231"/>
      <c r="F54" s="256"/>
      <c r="G54" s="256"/>
      <c r="H54" s="256"/>
      <c r="I54" s="256"/>
      <c r="J54" s="256"/>
      <c r="K54" s="214"/>
      <c r="L54" s="214"/>
      <c r="M54" s="214"/>
      <c r="N54" s="214"/>
      <c r="O54" s="214"/>
      <c r="P54" s="214"/>
      <c r="Q54" s="214"/>
      <c r="R54" s="214"/>
      <c r="S54" s="214"/>
      <c r="T54" s="214"/>
      <c r="U54" s="214"/>
      <c r="V54" s="214"/>
      <c r="W54" s="214"/>
      <c r="X54" s="214"/>
      <c r="Y54" s="214"/>
      <c r="Z54" s="214"/>
      <c r="AA54" s="214"/>
      <c r="AB54" s="216"/>
      <c r="AC54" s="216"/>
      <c r="AD54" s="216"/>
      <c r="AE54" s="214"/>
      <c r="AF54" s="214"/>
      <c r="AG54" s="214"/>
      <c r="AH54" s="214"/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6"/>
      <c r="BA54" s="216"/>
      <c r="BB54" s="216"/>
      <c r="BC54" s="216"/>
      <c r="BD54" s="216"/>
      <c r="BE54" s="216"/>
      <c r="BF54" s="216"/>
      <c r="BG54" s="216"/>
      <c r="BH54" s="216"/>
      <c r="BI54" s="216"/>
      <c r="BJ54" s="216"/>
      <c r="BK54" s="216"/>
      <c r="BL54" s="216"/>
      <c r="BM54" s="216"/>
      <c r="BN54" s="216"/>
      <c r="BO54" s="216"/>
      <c r="BP54" s="216"/>
      <c r="BQ54" s="216"/>
      <c r="BR54" s="216"/>
      <c r="BS54" s="216"/>
      <c r="BT54" s="216"/>
      <c r="BU54" s="216"/>
      <c r="BV54" s="216"/>
      <c r="BW54" s="216"/>
      <c r="BX54" s="216"/>
      <c r="BY54" s="216"/>
      <c r="BZ54" s="216"/>
      <c r="CA54" s="216"/>
      <c r="CB54" s="216"/>
      <c r="CC54" s="216"/>
      <c r="CD54" s="216"/>
      <c r="CE54" s="216"/>
      <c r="CF54" s="216"/>
      <c r="CG54" s="216"/>
      <c r="CH54" s="216"/>
      <c r="CI54" s="216"/>
      <c r="CJ54" s="216"/>
      <c r="CK54" s="216"/>
      <c r="CL54" s="216"/>
      <c r="CM54" s="216"/>
      <c r="CN54" s="216"/>
      <c r="CO54" s="216"/>
      <c r="CP54" s="216"/>
      <c r="CQ54" s="216"/>
      <c r="CR54" s="216"/>
      <c r="CS54" s="216"/>
      <c r="CT54" s="216"/>
      <c r="CU54" s="216"/>
      <c r="CV54" s="216"/>
      <c r="CW54" s="216"/>
      <c r="CX54" s="216"/>
      <c r="CY54" s="216"/>
      <c r="CZ54" s="217"/>
      <c r="DA54" s="288"/>
    </row>
    <row r="55" spans="1:105" ht="18" thickBot="1">
      <c r="A55" s="277"/>
      <c r="B55" s="151" t="s">
        <v>57</v>
      </c>
      <c r="C55" s="655">
        <v>0.129</v>
      </c>
      <c r="D55" s="658">
        <v>0.13500000000000001</v>
      </c>
      <c r="E55" s="231"/>
      <c r="F55" s="677">
        <f>IFERROR(SUM(F$3*OP_Premie_GGZ_GHZ_SW_VVT,F$4*OP_Premie_GGZ_GHZ_SW_VVT,F$5*OP_Premie_GGZ_GHZ_SW_VVT,F$6*OP_Premie_GGZ_GHZ_SW_VVT,F$7*OP_Premie_JZ),"")</f>
        <v>0.129</v>
      </c>
      <c r="G55" s="677"/>
      <c r="H55" s="677"/>
      <c r="I55" s="677"/>
      <c r="J55" s="677"/>
      <c r="K55" s="675"/>
      <c r="L55" s="675"/>
      <c r="M55" s="675"/>
      <c r="N55" s="675"/>
      <c r="O55" s="675"/>
      <c r="P55" s="675"/>
      <c r="Q55" s="675"/>
      <c r="R55" s="675"/>
      <c r="S55" s="675"/>
      <c r="T55" s="675"/>
      <c r="U55" s="675"/>
      <c r="V55" s="675"/>
      <c r="W55" s="675"/>
      <c r="X55" s="675"/>
      <c r="Y55" s="675"/>
      <c r="Z55" s="675"/>
      <c r="AA55" s="675"/>
      <c r="AB55" s="675"/>
      <c r="AC55" s="675"/>
      <c r="AD55" s="675"/>
      <c r="AE55" s="675"/>
      <c r="AF55" s="675"/>
      <c r="AG55" s="675"/>
      <c r="AH55" s="675"/>
      <c r="AI55" s="675"/>
      <c r="AJ55" s="675"/>
      <c r="AK55" s="675"/>
      <c r="AL55" s="675"/>
      <c r="AM55" s="675"/>
      <c r="AN55" s="675"/>
      <c r="AO55" s="675"/>
      <c r="AP55" s="675"/>
      <c r="AQ55" s="675"/>
      <c r="AR55" s="675"/>
      <c r="AS55" s="675"/>
      <c r="AT55" s="675"/>
      <c r="AU55" s="675"/>
      <c r="AV55" s="675"/>
      <c r="AW55" s="675"/>
      <c r="AX55" s="675"/>
      <c r="AY55" s="675"/>
      <c r="AZ55" s="675"/>
      <c r="BA55" s="675"/>
      <c r="BB55" s="675"/>
      <c r="BC55" s="675"/>
      <c r="BD55" s="675"/>
      <c r="BE55" s="675"/>
      <c r="BF55" s="675"/>
      <c r="BG55" s="675"/>
      <c r="BH55" s="675"/>
      <c r="BI55" s="675"/>
      <c r="BJ55" s="675"/>
      <c r="BK55" s="675"/>
      <c r="BL55" s="675"/>
      <c r="BM55" s="675"/>
      <c r="BN55" s="675"/>
      <c r="BO55" s="675"/>
      <c r="BP55" s="675"/>
      <c r="BQ55" s="675"/>
      <c r="BR55" s="675"/>
      <c r="BS55" s="675"/>
      <c r="BT55" s="675"/>
      <c r="BU55" s="675"/>
      <c r="BV55" s="675"/>
      <c r="BW55" s="675"/>
      <c r="BX55" s="675"/>
      <c r="BY55" s="675"/>
      <c r="BZ55" s="675"/>
      <c r="CA55" s="675"/>
      <c r="CB55" s="675"/>
      <c r="CC55" s="675"/>
      <c r="CD55" s="675"/>
      <c r="CE55" s="675"/>
      <c r="CF55" s="675"/>
      <c r="CG55" s="675"/>
      <c r="CH55" s="675"/>
      <c r="CI55" s="675"/>
      <c r="CJ55" s="675"/>
      <c r="CK55" s="675"/>
      <c r="CL55" s="675"/>
      <c r="CM55" s="675"/>
      <c r="CN55" s="675"/>
      <c r="CO55" s="675"/>
      <c r="CP55" s="675"/>
      <c r="CQ55" s="675"/>
      <c r="CR55" s="675"/>
      <c r="CS55" s="675"/>
      <c r="CT55" s="675"/>
      <c r="CU55" s="675"/>
      <c r="CV55" s="675"/>
      <c r="CW55" s="675"/>
      <c r="CX55" s="675"/>
      <c r="CY55" s="675"/>
      <c r="CZ55" s="676"/>
      <c r="DA55" s="288"/>
    </row>
    <row r="56" spans="1:105" ht="18" thickBot="1">
      <c r="A56" s="277"/>
      <c r="B56" s="151" t="s">
        <v>58</v>
      </c>
      <c r="D56" s="654">
        <v>16655</v>
      </c>
      <c r="E56" s="231"/>
      <c r="F56" s="275">
        <f>IFERROR(IF(F46&gt;$D57,F55*($D57-aow_franchise_GGZ_GHZ_SW_VVT_JZ),F55*(F46-aow_franchise_GGZ_GHZ_SW_VVT_JZ)),"")</f>
        <v>6276.2960097137266</v>
      </c>
      <c r="G56" s="275"/>
      <c r="H56" s="275"/>
      <c r="I56" s="275"/>
      <c r="J56" s="275"/>
      <c r="K56" s="714"/>
      <c r="L56" s="714"/>
      <c r="M56" s="714"/>
      <c r="N56" s="714"/>
      <c r="O56" s="714"/>
      <c r="P56" s="714"/>
      <c r="Q56" s="714"/>
      <c r="R56" s="714"/>
      <c r="S56" s="714"/>
      <c r="T56" s="714"/>
      <c r="U56" s="714"/>
      <c r="V56" s="714"/>
      <c r="W56" s="714"/>
      <c r="X56" s="714"/>
      <c r="Y56" s="714"/>
      <c r="Z56" s="714"/>
      <c r="AA56" s="714"/>
      <c r="AB56" s="714"/>
      <c r="AC56" s="714"/>
      <c r="AD56" s="714"/>
      <c r="AE56" s="714"/>
      <c r="AF56" s="714"/>
      <c r="AG56" s="714"/>
      <c r="AH56" s="714"/>
      <c r="AI56" s="714"/>
      <c r="AJ56" s="714"/>
      <c r="AK56" s="714"/>
      <c r="AL56" s="714"/>
      <c r="AM56" s="714"/>
      <c r="AN56" s="714"/>
      <c r="AO56" s="714"/>
      <c r="AP56" s="714"/>
      <c r="AQ56" s="714"/>
      <c r="AR56" s="714"/>
      <c r="AS56" s="714"/>
      <c r="AT56" s="714"/>
      <c r="AU56" s="714"/>
      <c r="AV56" s="714"/>
      <c r="AW56" s="714"/>
      <c r="AX56" s="714"/>
      <c r="AY56" s="714"/>
      <c r="AZ56" s="714"/>
      <c r="BA56" s="714"/>
      <c r="BB56" s="714"/>
      <c r="BC56" s="714"/>
      <c r="BD56" s="714"/>
      <c r="BE56" s="714"/>
      <c r="BF56" s="714"/>
      <c r="BG56" s="714"/>
      <c r="BH56" s="714"/>
      <c r="BI56" s="714"/>
      <c r="BJ56" s="714"/>
      <c r="BK56" s="714"/>
      <c r="BL56" s="714"/>
      <c r="BM56" s="714"/>
      <c r="BN56" s="714"/>
      <c r="BO56" s="714"/>
      <c r="BP56" s="714"/>
      <c r="BQ56" s="714"/>
      <c r="BR56" s="714"/>
      <c r="BS56" s="714"/>
      <c r="BT56" s="714"/>
      <c r="BU56" s="714"/>
      <c r="BV56" s="714"/>
      <c r="BW56" s="714"/>
      <c r="BX56" s="714"/>
      <c r="BY56" s="714"/>
      <c r="BZ56" s="714"/>
      <c r="CA56" s="714"/>
      <c r="CB56" s="714"/>
      <c r="CC56" s="714"/>
      <c r="CD56" s="714"/>
      <c r="CE56" s="714"/>
      <c r="CF56" s="714"/>
      <c r="CG56" s="714"/>
      <c r="CH56" s="714"/>
      <c r="CI56" s="714"/>
      <c r="CJ56" s="714"/>
      <c r="CK56" s="714"/>
      <c r="CL56" s="714"/>
      <c r="CM56" s="714"/>
      <c r="CN56" s="714"/>
      <c r="CO56" s="714"/>
      <c r="CP56" s="714"/>
      <c r="CQ56" s="714"/>
      <c r="CR56" s="714"/>
      <c r="CS56" s="714"/>
      <c r="CT56" s="714"/>
      <c r="CU56" s="714"/>
      <c r="CV56" s="714"/>
      <c r="CW56" s="714"/>
      <c r="CX56" s="714"/>
      <c r="CY56" s="714"/>
      <c r="CZ56" s="715"/>
      <c r="DA56" s="288"/>
    </row>
    <row r="57" spans="1:105" ht="18" thickBot="1">
      <c r="A57" s="277"/>
      <c r="B57" s="820" t="s">
        <v>348</v>
      </c>
      <c r="D57" s="787">
        <v>137800</v>
      </c>
      <c r="E57" s="231"/>
      <c r="F57" s="275"/>
      <c r="G57" s="275"/>
      <c r="H57" s="275"/>
      <c r="I57" s="275"/>
      <c r="J57" s="275"/>
      <c r="K57" s="714"/>
      <c r="L57" s="714"/>
      <c r="M57" s="714"/>
      <c r="N57" s="714"/>
      <c r="O57" s="714"/>
      <c r="P57" s="714"/>
      <c r="Q57" s="714"/>
      <c r="R57" s="714"/>
      <c r="S57" s="714"/>
      <c r="T57" s="714"/>
      <c r="U57" s="714"/>
      <c r="V57" s="714"/>
      <c r="W57" s="714"/>
      <c r="X57" s="714"/>
      <c r="Y57" s="714"/>
      <c r="Z57" s="714"/>
      <c r="AA57" s="714"/>
      <c r="AB57" s="714"/>
      <c r="AC57" s="714"/>
      <c r="AD57" s="714"/>
      <c r="AE57" s="714"/>
      <c r="AF57" s="714"/>
      <c r="AG57" s="714"/>
      <c r="AH57" s="714"/>
      <c r="AI57" s="714"/>
      <c r="AJ57" s="714"/>
      <c r="AK57" s="714"/>
      <c r="AL57" s="714"/>
      <c r="AM57" s="714"/>
      <c r="AN57" s="714"/>
      <c r="AO57" s="714"/>
      <c r="AP57" s="714"/>
      <c r="AQ57" s="714"/>
      <c r="AR57" s="714"/>
      <c r="AS57" s="714"/>
      <c r="AT57" s="714"/>
      <c r="AU57" s="714"/>
      <c r="AV57" s="714"/>
      <c r="AW57" s="714"/>
      <c r="AX57" s="714"/>
      <c r="AY57" s="714"/>
      <c r="AZ57" s="714"/>
      <c r="BA57" s="714"/>
      <c r="BB57" s="714"/>
      <c r="BC57" s="714"/>
      <c r="BD57" s="714"/>
      <c r="BE57" s="714"/>
      <c r="BF57" s="714"/>
      <c r="BG57" s="714"/>
      <c r="BH57" s="714"/>
      <c r="BI57" s="714"/>
      <c r="BJ57" s="714"/>
      <c r="BK57" s="714"/>
      <c r="BL57" s="714"/>
      <c r="BM57" s="714"/>
      <c r="BN57" s="714"/>
      <c r="BO57" s="714"/>
      <c r="BP57" s="714"/>
      <c r="BQ57" s="714"/>
      <c r="BR57" s="714"/>
      <c r="BS57" s="714"/>
      <c r="BT57" s="714"/>
      <c r="BU57" s="714"/>
      <c r="BV57" s="714"/>
      <c r="BW57" s="714"/>
      <c r="BX57" s="714"/>
      <c r="BY57" s="714"/>
      <c r="BZ57" s="714"/>
      <c r="CA57" s="714"/>
      <c r="CB57" s="714"/>
      <c r="CC57" s="714"/>
      <c r="CD57" s="714"/>
      <c r="CE57" s="714"/>
      <c r="CF57" s="714"/>
      <c r="CG57" s="714"/>
      <c r="CH57" s="714"/>
      <c r="CI57" s="714"/>
      <c r="CJ57" s="714"/>
      <c r="CK57" s="714"/>
      <c r="CL57" s="714"/>
      <c r="CM57" s="714"/>
      <c r="CN57" s="714"/>
      <c r="CO57" s="714"/>
      <c r="CP57" s="714"/>
      <c r="CQ57" s="714"/>
      <c r="CR57" s="714"/>
      <c r="CS57" s="714"/>
      <c r="CT57" s="714"/>
      <c r="CU57" s="714"/>
      <c r="CV57" s="714"/>
      <c r="CW57" s="714"/>
      <c r="CX57" s="714"/>
      <c r="CY57" s="714"/>
      <c r="CZ57" s="715"/>
      <c r="DA57" s="288"/>
    </row>
    <row r="58" spans="1:105" ht="18" thickBot="1">
      <c r="A58" s="277"/>
      <c r="B58" s="151"/>
      <c r="C58" s="687" t="s">
        <v>273</v>
      </c>
      <c r="D58" s="688" t="s">
        <v>347</v>
      </c>
      <c r="E58" s="231"/>
      <c r="F58" s="271"/>
      <c r="G58" s="271"/>
      <c r="H58" s="271"/>
      <c r="I58" s="271"/>
      <c r="J58" s="271"/>
      <c r="K58" s="468"/>
      <c r="L58" s="468"/>
      <c r="M58" s="468"/>
      <c r="N58" s="468"/>
      <c r="O58" s="468"/>
      <c r="P58" s="468"/>
      <c r="Q58" s="468"/>
      <c r="R58" s="468"/>
      <c r="S58" s="468"/>
      <c r="T58" s="468"/>
      <c r="U58" s="468"/>
      <c r="V58" s="468"/>
      <c r="W58" s="468"/>
      <c r="X58" s="468"/>
      <c r="Y58" s="468"/>
      <c r="Z58" s="468"/>
      <c r="AA58" s="468"/>
      <c r="AB58" s="468"/>
      <c r="AC58" s="468"/>
      <c r="AD58" s="468"/>
      <c r="AE58" s="468"/>
      <c r="AF58" s="468"/>
      <c r="AG58" s="468"/>
      <c r="AH58" s="468"/>
      <c r="AI58" s="468"/>
      <c r="AJ58" s="468"/>
      <c r="AK58" s="468"/>
      <c r="AL58" s="468"/>
      <c r="AM58" s="468"/>
      <c r="AN58" s="468"/>
      <c r="AO58" s="468"/>
      <c r="AP58" s="468"/>
      <c r="AQ58" s="468"/>
      <c r="AR58" s="468"/>
      <c r="AS58" s="468"/>
      <c r="AT58" s="468"/>
      <c r="AU58" s="468"/>
      <c r="AV58" s="468"/>
      <c r="AW58" s="468"/>
      <c r="AX58" s="468"/>
      <c r="AY58" s="468"/>
      <c r="AZ58" s="468"/>
      <c r="BA58" s="468"/>
      <c r="BB58" s="468"/>
      <c r="BC58" s="468"/>
      <c r="BD58" s="468"/>
      <c r="BE58" s="468"/>
      <c r="BF58" s="468"/>
      <c r="BG58" s="468"/>
      <c r="BH58" s="468"/>
      <c r="BI58" s="468"/>
      <c r="BJ58" s="468"/>
      <c r="BK58" s="468"/>
      <c r="BL58" s="468"/>
      <c r="BM58" s="468"/>
      <c r="BN58" s="468"/>
      <c r="BO58" s="468"/>
      <c r="BP58" s="468"/>
      <c r="BQ58" s="468"/>
      <c r="BR58" s="468"/>
      <c r="BS58" s="468"/>
      <c r="BT58" s="468"/>
      <c r="BU58" s="468"/>
      <c r="BV58" s="468"/>
      <c r="BW58" s="468"/>
      <c r="BX58" s="468"/>
      <c r="BY58" s="468"/>
      <c r="BZ58" s="468"/>
      <c r="CA58" s="468"/>
      <c r="CB58" s="468"/>
      <c r="CC58" s="468"/>
      <c r="CD58" s="468"/>
      <c r="CE58" s="468"/>
      <c r="CF58" s="468"/>
      <c r="CG58" s="468"/>
      <c r="CH58" s="468"/>
      <c r="CI58" s="468"/>
      <c r="CJ58" s="468"/>
      <c r="CK58" s="468"/>
      <c r="CL58" s="468"/>
      <c r="CM58" s="468"/>
      <c r="CN58" s="468"/>
      <c r="CO58" s="468"/>
      <c r="CP58" s="468"/>
      <c r="CQ58" s="468"/>
      <c r="CR58" s="468"/>
      <c r="CS58" s="468"/>
      <c r="CT58" s="468"/>
      <c r="CU58" s="468"/>
      <c r="CV58" s="468"/>
      <c r="CW58" s="468"/>
      <c r="CX58" s="468"/>
      <c r="CY58" s="468"/>
      <c r="CZ58" s="469"/>
      <c r="DA58" s="288"/>
    </row>
    <row r="59" spans="1:105" ht="18" thickBot="1">
      <c r="A59" s="277"/>
      <c r="B59" s="151" t="s">
        <v>59</v>
      </c>
      <c r="C59" s="656">
        <v>2.5000000000000001E-3</v>
      </c>
      <c r="D59" s="658">
        <v>5.0000000000000001E-3</v>
      </c>
      <c r="E59" s="231"/>
      <c r="F59" s="674">
        <f>IFERROR(SUM(F$3*AP_Premie_GGZ_GHZ_VVT,F$4*AP_Premie_GGZ_GHZ_VVT,F$5*AP_Premie_SW_JZ,F$6*AP_Premie_GGZ_GHZ_VVT,F$7*AP_Premie_SW_JZ),"")</f>
        <v>5.0000000000000001E-3</v>
      </c>
      <c r="G59" s="674"/>
      <c r="H59" s="674"/>
      <c r="I59" s="674"/>
      <c r="J59" s="674"/>
      <c r="K59" s="675"/>
      <c r="L59" s="675"/>
      <c r="M59" s="675"/>
      <c r="N59" s="675"/>
      <c r="O59" s="675"/>
      <c r="P59" s="675"/>
      <c r="Q59" s="675"/>
      <c r="R59" s="675"/>
      <c r="S59" s="675"/>
      <c r="T59" s="675"/>
      <c r="U59" s="675"/>
      <c r="V59" s="675"/>
      <c r="W59" s="675"/>
      <c r="X59" s="675"/>
      <c r="Y59" s="675"/>
      <c r="Z59" s="675"/>
      <c r="AA59" s="675"/>
      <c r="AB59" s="675"/>
      <c r="AC59" s="675"/>
      <c r="AD59" s="675"/>
      <c r="AE59" s="675"/>
      <c r="AF59" s="675"/>
      <c r="AG59" s="675"/>
      <c r="AH59" s="675"/>
      <c r="AI59" s="675"/>
      <c r="AJ59" s="675"/>
      <c r="AK59" s="675"/>
      <c r="AL59" s="675"/>
      <c r="AM59" s="675"/>
      <c r="AN59" s="675"/>
      <c r="AO59" s="675"/>
      <c r="AP59" s="675"/>
      <c r="AQ59" s="675"/>
      <c r="AR59" s="675"/>
      <c r="AS59" s="675"/>
      <c r="AT59" s="675"/>
      <c r="AU59" s="675"/>
      <c r="AV59" s="675"/>
      <c r="AW59" s="675"/>
      <c r="AX59" s="675"/>
      <c r="AY59" s="675"/>
      <c r="AZ59" s="675"/>
      <c r="BA59" s="675"/>
      <c r="BB59" s="675"/>
      <c r="BC59" s="675"/>
      <c r="BD59" s="675"/>
      <c r="BE59" s="675"/>
      <c r="BF59" s="675"/>
      <c r="BG59" s="675"/>
      <c r="BH59" s="675"/>
      <c r="BI59" s="675"/>
      <c r="BJ59" s="675"/>
      <c r="BK59" s="675"/>
      <c r="BL59" s="675"/>
      <c r="BM59" s="675"/>
      <c r="BN59" s="675"/>
      <c r="BO59" s="675"/>
      <c r="BP59" s="675"/>
      <c r="BQ59" s="675"/>
      <c r="BR59" s="675"/>
      <c r="BS59" s="675"/>
      <c r="BT59" s="675"/>
      <c r="BU59" s="675"/>
      <c r="BV59" s="675"/>
      <c r="BW59" s="675"/>
      <c r="BX59" s="675"/>
      <c r="BY59" s="675"/>
      <c r="BZ59" s="675"/>
      <c r="CA59" s="675"/>
      <c r="CB59" s="675"/>
      <c r="CC59" s="675"/>
      <c r="CD59" s="675"/>
      <c r="CE59" s="675"/>
      <c r="CF59" s="675"/>
      <c r="CG59" s="675"/>
      <c r="CH59" s="675"/>
      <c r="CI59" s="675"/>
      <c r="CJ59" s="675"/>
      <c r="CK59" s="675"/>
      <c r="CL59" s="675"/>
      <c r="CM59" s="675"/>
      <c r="CN59" s="675"/>
      <c r="CO59" s="675"/>
      <c r="CP59" s="675"/>
      <c r="CQ59" s="675"/>
      <c r="CR59" s="675"/>
      <c r="CS59" s="675"/>
      <c r="CT59" s="675"/>
      <c r="CU59" s="675"/>
      <c r="CV59" s="675"/>
      <c r="CW59" s="675"/>
      <c r="CX59" s="675"/>
      <c r="CY59" s="675"/>
      <c r="CZ59" s="676"/>
      <c r="DA59" s="288"/>
    </row>
    <row r="60" spans="1:105" ht="18" thickBot="1">
      <c r="A60" s="277"/>
      <c r="B60" s="151" t="s">
        <v>379</v>
      </c>
      <c r="D60" s="654">
        <v>28405</v>
      </c>
      <c r="E60" s="231"/>
      <c r="F60" s="275">
        <f>IFERROR(F59*(F46-AP_franchise_GGZ_GHZ_SW_VVT_JZ),"")</f>
        <v>184.51728719820645</v>
      </c>
      <c r="G60" s="275"/>
      <c r="H60" s="275"/>
      <c r="I60" s="275"/>
      <c r="J60" s="275"/>
      <c r="K60" s="714"/>
      <c r="L60" s="714"/>
      <c r="M60" s="714"/>
      <c r="N60" s="714"/>
      <c r="O60" s="714"/>
      <c r="P60" s="714"/>
      <c r="Q60" s="714"/>
      <c r="R60" s="714"/>
      <c r="S60" s="714"/>
      <c r="T60" s="714"/>
      <c r="U60" s="714"/>
      <c r="V60" s="714"/>
      <c r="W60" s="714"/>
      <c r="X60" s="714"/>
      <c r="Y60" s="714"/>
      <c r="Z60" s="714"/>
      <c r="AA60" s="714"/>
      <c r="AB60" s="714"/>
      <c r="AC60" s="714"/>
      <c r="AD60" s="714"/>
      <c r="AE60" s="714"/>
      <c r="AF60" s="714"/>
      <c r="AG60" s="714"/>
      <c r="AH60" s="714"/>
      <c r="AI60" s="714"/>
      <c r="AJ60" s="714"/>
      <c r="AK60" s="714"/>
      <c r="AL60" s="714"/>
      <c r="AM60" s="714"/>
      <c r="AN60" s="714"/>
      <c r="AO60" s="714"/>
      <c r="AP60" s="714"/>
      <c r="AQ60" s="714"/>
      <c r="AR60" s="714"/>
      <c r="AS60" s="714"/>
      <c r="AT60" s="714"/>
      <c r="AU60" s="714"/>
      <c r="AV60" s="714"/>
      <c r="AW60" s="714"/>
      <c r="AX60" s="714"/>
      <c r="AY60" s="714"/>
      <c r="AZ60" s="714"/>
      <c r="BA60" s="714"/>
      <c r="BB60" s="714"/>
      <c r="BC60" s="714"/>
      <c r="BD60" s="714"/>
      <c r="BE60" s="714"/>
      <c r="BF60" s="714"/>
      <c r="BG60" s="714"/>
      <c r="BH60" s="714"/>
      <c r="BI60" s="714"/>
      <c r="BJ60" s="714"/>
      <c r="BK60" s="714"/>
      <c r="BL60" s="714"/>
      <c r="BM60" s="714"/>
      <c r="BN60" s="714"/>
      <c r="BO60" s="714"/>
      <c r="BP60" s="714"/>
      <c r="BQ60" s="714"/>
      <c r="BR60" s="714"/>
      <c r="BS60" s="714"/>
      <c r="BT60" s="714"/>
      <c r="BU60" s="714"/>
      <c r="BV60" s="714"/>
      <c r="BW60" s="714"/>
      <c r="BX60" s="714"/>
      <c r="BY60" s="714"/>
      <c r="BZ60" s="714"/>
      <c r="CA60" s="714"/>
      <c r="CB60" s="714"/>
      <c r="CC60" s="714"/>
      <c r="CD60" s="714"/>
      <c r="CE60" s="714"/>
      <c r="CF60" s="714"/>
      <c r="CG60" s="714"/>
      <c r="CH60" s="714"/>
      <c r="CI60" s="714"/>
      <c r="CJ60" s="714"/>
      <c r="CK60" s="714"/>
      <c r="CL60" s="714"/>
      <c r="CM60" s="714"/>
      <c r="CN60" s="714"/>
      <c r="CO60" s="714"/>
      <c r="CP60" s="714"/>
      <c r="CQ60" s="714"/>
      <c r="CR60" s="714"/>
      <c r="CS60" s="714"/>
      <c r="CT60" s="714"/>
      <c r="CU60" s="714"/>
      <c r="CV60" s="714"/>
      <c r="CW60" s="714"/>
      <c r="CX60" s="714"/>
      <c r="CY60" s="714"/>
      <c r="CZ60" s="715"/>
      <c r="DA60" s="288"/>
    </row>
    <row r="61" spans="1:105">
      <c r="A61" s="277"/>
      <c r="B61" s="151"/>
      <c r="C61" s="176"/>
      <c r="D61" s="258"/>
      <c r="E61" s="231"/>
      <c r="F61" s="256"/>
      <c r="G61" s="256"/>
      <c r="H61" s="256"/>
      <c r="I61" s="256"/>
      <c r="J61" s="256"/>
      <c r="K61" s="822"/>
      <c r="L61" s="822"/>
      <c r="M61" s="822"/>
      <c r="N61" s="822"/>
      <c r="O61" s="822"/>
      <c r="P61" s="822"/>
      <c r="Q61" s="822"/>
      <c r="R61" s="822"/>
      <c r="S61" s="822"/>
      <c r="T61" s="822"/>
      <c r="U61" s="822"/>
      <c r="V61" s="822"/>
      <c r="W61" s="822"/>
      <c r="X61" s="822"/>
      <c r="Y61" s="822"/>
      <c r="Z61" s="822"/>
      <c r="AA61" s="822"/>
      <c r="AB61" s="822"/>
      <c r="AC61" s="822"/>
      <c r="AD61" s="822"/>
      <c r="AE61" s="822"/>
      <c r="AF61" s="822"/>
      <c r="AG61" s="822"/>
      <c r="AH61" s="822"/>
      <c r="AI61" s="822"/>
      <c r="AJ61" s="822"/>
      <c r="AK61" s="822"/>
      <c r="AL61" s="822"/>
      <c r="AM61" s="822"/>
      <c r="AN61" s="822"/>
      <c r="AO61" s="822"/>
      <c r="AP61" s="822"/>
      <c r="AQ61" s="822"/>
      <c r="AR61" s="822"/>
      <c r="AS61" s="822"/>
      <c r="AT61" s="822"/>
      <c r="AU61" s="822"/>
      <c r="AV61" s="822"/>
      <c r="AW61" s="822"/>
      <c r="AX61" s="822"/>
      <c r="AY61" s="822"/>
      <c r="AZ61" s="822"/>
      <c r="BA61" s="822"/>
      <c r="BB61" s="822"/>
      <c r="BC61" s="822"/>
      <c r="BD61" s="822"/>
      <c r="BE61" s="822"/>
      <c r="BF61" s="822"/>
      <c r="BG61" s="822"/>
      <c r="BH61" s="822"/>
      <c r="BI61" s="822"/>
      <c r="BJ61" s="822"/>
      <c r="BK61" s="822"/>
      <c r="BL61" s="822"/>
      <c r="BM61" s="822"/>
      <c r="BN61" s="822"/>
      <c r="BO61" s="822"/>
      <c r="BP61" s="822"/>
      <c r="BQ61" s="822"/>
      <c r="BR61" s="822"/>
      <c r="BS61" s="822"/>
      <c r="BT61" s="822"/>
      <c r="BU61" s="822"/>
      <c r="BV61" s="822"/>
      <c r="BW61" s="822"/>
      <c r="BX61" s="822"/>
      <c r="BY61" s="822"/>
      <c r="BZ61" s="822"/>
      <c r="CA61" s="822"/>
      <c r="CB61" s="822"/>
      <c r="CC61" s="822"/>
      <c r="CD61" s="822"/>
      <c r="CE61" s="822"/>
      <c r="CF61" s="822"/>
      <c r="CG61" s="822"/>
      <c r="CH61" s="822"/>
      <c r="CI61" s="822"/>
      <c r="CJ61" s="822"/>
      <c r="CK61" s="822"/>
      <c r="CL61" s="822"/>
      <c r="CM61" s="822"/>
      <c r="CN61" s="822"/>
      <c r="CO61" s="822"/>
      <c r="CP61" s="822"/>
      <c r="CQ61" s="822"/>
      <c r="CR61" s="822"/>
      <c r="CS61" s="822"/>
      <c r="CT61" s="822"/>
      <c r="CU61" s="822"/>
      <c r="CV61" s="822"/>
      <c r="CW61" s="822"/>
      <c r="CX61" s="822"/>
      <c r="CY61" s="822"/>
      <c r="CZ61" s="824"/>
      <c r="DA61" s="288"/>
    </row>
    <row r="62" spans="1:105">
      <c r="A62" s="277"/>
      <c r="B62" s="690" t="s">
        <v>47</v>
      </c>
      <c r="C62" s="248"/>
      <c r="D62" s="821"/>
      <c r="E62" s="231"/>
      <c r="F62" s="823">
        <f>IFERROR(SUM(F56,F60)/F46,"")</f>
        <v>9.8927666495309277E-2</v>
      </c>
      <c r="G62" s="823"/>
      <c r="H62" s="823"/>
      <c r="I62" s="823"/>
      <c r="J62" s="823"/>
      <c r="K62" s="825"/>
      <c r="L62" s="825"/>
      <c r="M62" s="825"/>
      <c r="N62" s="825"/>
      <c r="O62" s="825"/>
      <c r="P62" s="825"/>
      <c r="Q62" s="825"/>
      <c r="R62" s="825"/>
      <c r="S62" s="825"/>
      <c r="T62" s="825"/>
      <c r="U62" s="825"/>
      <c r="V62" s="825"/>
      <c r="W62" s="825"/>
      <c r="X62" s="825"/>
      <c r="Y62" s="825"/>
      <c r="Z62" s="825"/>
      <c r="AA62" s="825"/>
      <c r="AB62" s="825"/>
      <c r="AC62" s="825"/>
      <c r="AD62" s="825"/>
      <c r="AE62" s="825"/>
      <c r="AF62" s="825"/>
      <c r="AG62" s="825"/>
      <c r="AH62" s="825"/>
      <c r="AI62" s="825"/>
      <c r="AJ62" s="825"/>
      <c r="AK62" s="825"/>
      <c r="AL62" s="825"/>
      <c r="AM62" s="825"/>
      <c r="AN62" s="825"/>
      <c r="AO62" s="825"/>
      <c r="AP62" s="825"/>
      <c r="AQ62" s="825"/>
      <c r="AR62" s="825"/>
      <c r="AS62" s="825"/>
      <c r="AT62" s="825"/>
      <c r="AU62" s="825"/>
      <c r="AV62" s="825"/>
      <c r="AW62" s="825"/>
      <c r="AX62" s="825"/>
      <c r="AY62" s="825"/>
      <c r="AZ62" s="825"/>
      <c r="BA62" s="825"/>
      <c r="BB62" s="825"/>
      <c r="BC62" s="825"/>
      <c r="BD62" s="825"/>
      <c r="BE62" s="825"/>
      <c r="BF62" s="825"/>
      <c r="BG62" s="825"/>
      <c r="BH62" s="825"/>
      <c r="BI62" s="825"/>
      <c r="BJ62" s="825"/>
      <c r="BK62" s="825"/>
      <c r="BL62" s="825"/>
      <c r="BM62" s="825"/>
      <c r="BN62" s="825"/>
      <c r="BO62" s="825"/>
      <c r="BP62" s="825"/>
      <c r="BQ62" s="825"/>
      <c r="BR62" s="825"/>
      <c r="BS62" s="825"/>
      <c r="BT62" s="825"/>
      <c r="BU62" s="825"/>
      <c r="BV62" s="825"/>
      <c r="BW62" s="825"/>
      <c r="BX62" s="825"/>
      <c r="BY62" s="825"/>
      <c r="BZ62" s="825"/>
      <c r="CA62" s="825"/>
      <c r="CB62" s="825"/>
      <c r="CC62" s="825"/>
      <c r="CD62" s="825"/>
      <c r="CE62" s="825"/>
      <c r="CF62" s="825"/>
      <c r="CG62" s="825"/>
      <c r="CH62" s="825"/>
      <c r="CI62" s="825"/>
      <c r="CJ62" s="825"/>
      <c r="CK62" s="825"/>
      <c r="CL62" s="825"/>
      <c r="CM62" s="825"/>
      <c r="CN62" s="825"/>
      <c r="CO62" s="825"/>
      <c r="CP62" s="825"/>
      <c r="CQ62" s="825"/>
      <c r="CR62" s="825"/>
      <c r="CS62" s="825"/>
      <c r="CT62" s="825"/>
      <c r="CU62" s="825"/>
      <c r="CV62" s="825"/>
      <c r="CW62" s="825"/>
      <c r="CX62" s="825"/>
      <c r="CY62" s="825"/>
      <c r="CZ62" s="826"/>
      <c r="DA62" s="288"/>
    </row>
    <row r="63" spans="1:105">
      <c r="A63" s="277"/>
      <c r="B63" s="151"/>
      <c r="D63" s="174"/>
      <c r="E63" s="231"/>
      <c r="F63" s="274"/>
      <c r="G63" s="274"/>
      <c r="H63" s="274"/>
      <c r="I63" s="274"/>
      <c r="J63" s="27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4"/>
      <c r="BN63" s="204"/>
      <c r="BO63" s="204"/>
      <c r="BP63" s="204"/>
      <c r="BQ63" s="204"/>
      <c r="BR63" s="204"/>
      <c r="BS63" s="204"/>
      <c r="BT63" s="204"/>
      <c r="BU63" s="204"/>
      <c r="BV63" s="204"/>
      <c r="BW63" s="204"/>
      <c r="BX63" s="204"/>
      <c r="BY63" s="204"/>
      <c r="BZ63" s="204"/>
      <c r="CA63" s="204"/>
      <c r="CB63" s="204"/>
      <c r="CC63" s="204"/>
      <c r="CD63" s="204"/>
      <c r="CE63" s="204"/>
      <c r="CF63" s="204"/>
      <c r="CG63" s="204"/>
      <c r="CH63" s="204"/>
      <c r="CI63" s="204"/>
      <c r="CJ63" s="204"/>
      <c r="CK63" s="204"/>
      <c r="CL63" s="204"/>
      <c r="CM63" s="204"/>
      <c r="CN63" s="204"/>
      <c r="CO63" s="204"/>
      <c r="CP63" s="204"/>
      <c r="CQ63" s="204"/>
      <c r="CR63" s="204"/>
      <c r="CS63" s="204"/>
      <c r="CT63" s="204"/>
      <c r="CU63" s="204"/>
      <c r="CV63" s="204"/>
      <c r="CW63" s="204"/>
      <c r="CX63" s="204"/>
      <c r="CY63" s="204"/>
      <c r="CZ63" s="174"/>
      <c r="DA63" s="288"/>
    </row>
    <row r="64" spans="1:105" ht="21">
      <c r="A64" s="277"/>
      <c r="B64" s="694" t="s">
        <v>232</v>
      </c>
      <c r="C64" s="248"/>
      <c r="D64" s="249"/>
      <c r="E64" s="231"/>
      <c r="F64" s="719">
        <f>IFERROR(SUM(F53,F62),"")</f>
        <v>0.29992099981010928</v>
      </c>
      <c r="G64" s="719"/>
      <c r="H64" s="719"/>
      <c r="I64" s="719"/>
      <c r="J64" s="719"/>
      <c r="K64" s="720"/>
      <c r="L64" s="720"/>
      <c r="M64" s="720"/>
      <c r="N64" s="720"/>
      <c r="O64" s="720"/>
      <c r="P64" s="720"/>
      <c r="Q64" s="720"/>
      <c r="R64" s="720"/>
      <c r="S64" s="720"/>
      <c r="T64" s="720"/>
      <c r="U64" s="720"/>
      <c r="V64" s="720"/>
      <c r="W64" s="720"/>
      <c r="X64" s="720"/>
      <c r="Y64" s="720"/>
      <c r="Z64" s="720"/>
      <c r="AA64" s="720"/>
      <c r="AB64" s="720"/>
      <c r="AC64" s="720"/>
      <c r="AD64" s="720"/>
      <c r="AE64" s="720"/>
      <c r="AF64" s="720"/>
      <c r="AG64" s="720"/>
      <c r="AH64" s="720"/>
      <c r="AI64" s="720"/>
      <c r="AJ64" s="720"/>
      <c r="AK64" s="720"/>
      <c r="AL64" s="720"/>
      <c r="AM64" s="720"/>
      <c r="AN64" s="720"/>
      <c r="AO64" s="720"/>
      <c r="AP64" s="720"/>
      <c r="AQ64" s="720"/>
      <c r="AR64" s="720"/>
      <c r="AS64" s="720"/>
      <c r="AT64" s="720"/>
      <c r="AU64" s="720"/>
      <c r="AV64" s="720"/>
      <c r="AW64" s="720"/>
      <c r="AX64" s="720"/>
      <c r="AY64" s="720"/>
      <c r="AZ64" s="720"/>
      <c r="BA64" s="720"/>
      <c r="BB64" s="720"/>
      <c r="BC64" s="720"/>
      <c r="BD64" s="720"/>
      <c r="BE64" s="720"/>
      <c r="BF64" s="720"/>
      <c r="BG64" s="720"/>
      <c r="BH64" s="720"/>
      <c r="BI64" s="720"/>
      <c r="BJ64" s="720"/>
      <c r="BK64" s="720"/>
      <c r="BL64" s="720"/>
      <c r="BM64" s="720"/>
      <c r="BN64" s="720"/>
      <c r="BO64" s="720"/>
      <c r="BP64" s="720"/>
      <c r="BQ64" s="720"/>
      <c r="BR64" s="720"/>
      <c r="BS64" s="720"/>
      <c r="BT64" s="720"/>
      <c r="BU64" s="720"/>
      <c r="BV64" s="720"/>
      <c r="BW64" s="720"/>
      <c r="BX64" s="720"/>
      <c r="BY64" s="720"/>
      <c r="BZ64" s="720"/>
      <c r="CA64" s="720"/>
      <c r="CB64" s="720"/>
      <c r="CC64" s="720"/>
      <c r="CD64" s="720"/>
      <c r="CE64" s="720"/>
      <c r="CF64" s="720"/>
      <c r="CG64" s="720"/>
      <c r="CH64" s="720"/>
      <c r="CI64" s="720"/>
      <c r="CJ64" s="720"/>
      <c r="CK64" s="720"/>
      <c r="CL64" s="720"/>
      <c r="CM64" s="720"/>
      <c r="CN64" s="720"/>
      <c r="CO64" s="720"/>
      <c r="CP64" s="720"/>
      <c r="CQ64" s="720"/>
      <c r="CR64" s="720"/>
      <c r="CS64" s="720"/>
      <c r="CT64" s="720"/>
      <c r="CU64" s="720"/>
      <c r="CV64" s="720"/>
      <c r="CW64" s="720"/>
      <c r="CX64" s="720"/>
      <c r="CY64" s="720"/>
      <c r="CZ64" s="721"/>
      <c r="DA64" s="288"/>
    </row>
    <row r="65" spans="1:105" ht="21.6" thickBot="1">
      <c r="A65" s="277"/>
      <c r="B65" s="155" t="s">
        <v>233</v>
      </c>
      <c r="C65" s="175"/>
      <c r="D65" s="259"/>
      <c r="E65" s="231"/>
      <c r="F65" s="702">
        <f>IFERROR(F46*F64,"")</f>
        <v>19587.377851353183</v>
      </c>
      <c r="G65" s="702"/>
      <c r="H65" s="702"/>
      <c r="I65" s="702"/>
      <c r="J65" s="702"/>
      <c r="K65" s="703"/>
      <c r="L65" s="703"/>
      <c r="M65" s="703"/>
      <c r="N65" s="703"/>
      <c r="O65" s="703"/>
      <c r="P65" s="703"/>
      <c r="Q65" s="703"/>
      <c r="R65" s="703"/>
      <c r="S65" s="703"/>
      <c r="T65" s="703"/>
      <c r="U65" s="703"/>
      <c r="V65" s="703"/>
      <c r="W65" s="703"/>
      <c r="X65" s="703"/>
      <c r="Y65" s="703"/>
      <c r="Z65" s="703"/>
      <c r="AA65" s="703"/>
      <c r="AB65" s="703"/>
      <c r="AC65" s="703"/>
      <c r="AD65" s="703"/>
      <c r="AE65" s="703"/>
      <c r="AF65" s="703"/>
      <c r="AG65" s="703"/>
      <c r="AH65" s="703"/>
      <c r="AI65" s="703"/>
      <c r="AJ65" s="703"/>
      <c r="AK65" s="703"/>
      <c r="AL65" s="703"/>
      <c r="AM65" s="703"/>
      <c r="AN65" s="703"/>
      <c r="AO65" s="703"/>
      <c r="AP65" s="703"/>
      <c r="AQ65" s="703"/>
      <c r="AR65" s="703"/>
      <c r="AS65" s="703"/>
      <c r="AT65" s="703"/>
      <c r="AU65" s="703"/>
      <c r="AV65" s="703"/>
      <c r="AW65" s="703"/>
      <c r="AX65" s="703"/>
      <c r="AY65" s="703"/>
      <c r="AZ65" s="703"/>
      <c r="BA65" s="703"/>
      <c r="BB65" s="703"/>
      <c r="BC65" s="703"/>
      <c r="BD65" s="703"/>
      <c r="BE65" s="703"/>
      <c r="BF65" s="703"/>
      <c r="BG65" s="703"/>
      <c r="BH65" s="703"/>
      <c r="BI65" s="703"/>
      <c r="BJ65" s="703"/>
      <c r="BK65" s="703"/>
      <c r="BL65" s="703"/>
      <c r="BM65" s="703"/>
      <c r="BN65" s="703"/>
      <c r="BO65" s="703"/>
      <c r="BP65" s="703"/>
      <c r="BQ65" s="703"/>
      <c r="BR65" s="703"/>
      <c r="BS65" s="703"/>
      <c r="BT65" s="703"/>
      <c r="BU65" s="703"/>
      <c r="BV65" s="703"/>
      <c r="BW65" s="703"/>
      <c r="BX65" s="703"/>
      <c r="BY65" s="703"/>
      <c r="BZ65" s="703"/>
      <c r="CA65" s="703"/>
      <c r="CB65" s="703"/>
      <c r="CC65" s="703"/>
      <c r="CD65" s="703"/>
      <c r="CE65" s="703"/>
      <c r="CF65" s="703"/>
      <c r="CG65" s="703"/>
      <c r="CH65" s="703"/>
      <c r="CI65" s="703"/>
      <c r="CJ65" s="703"/>
      <c r="CK65" s="703"/>
      <c r="CL65" s="703"/>
      <c r="CM65" s="703"/>
      <c r="CN65" s="703"/>
      <c r="CO65" s="703"/>
      <c r="CP65" s="703"/>
      <c r="CQ65" s="703"/>
      <c r="CR65" s="703"/>
      <c r="CS65" s="703"/>
      <c r="CT65" s="703"/>
      <c r="CU65" s="703"/>
      <c r="CV65" s="703"/>
      <c r="CW65" s="703"/>
      <c r="CX65" s="703"/>
      <c r="CY65" s="703"/>
      <c r="CZ65" s="704"/>
      <c r="DA65" s="288"/>
    </row>
    <row r="66" spans="1:105" ht="18" thickBot="1">
      <c r="A66" s="277"/>
      <c r="B66" s="277"/>
      <c r="C66" s="277"/>
      <c r="D66" s="277"/>
      <c r="E66" s="231"/>
      <c r="F66" s="284"/>
      <c r="G66" s="284"/>
      <c r="H66" s="284"/>
      <c r="I66" s="284"/>
      <c r="J66" s="284"/>
      <c r="K66" s="284"/>
      <c r="L66" s="284"/>
      <c r="M66" s="284"/>
      <c r="N66" s="284"/>
      <c r="O66" s="284"/>
      <c r="P66" s="284"/>
      <c r="Q66" s="284"/>
      <c r="R66" s="284"/>
      <c r="S66" s="284"/>
      <c r="T66" s="284"/>
      <c r="U66" s="284"/>
      <c r="V66" s="284"/>
      <c r="W66" s="284"/>
      <c r="X66" s="284"/>
      <c r="Y66" s="284"/>
      <c r="Z66" s="284"/>
      <c r="AA66" s="284"/>
      <c r="AB66" s="284"/>
      <c r="AC66" s="284"/>
      <c r="AD66" s="284"/>
      <c r="AE66" s="284"/>
      <c r="AF66" s="284"/>
      <c r="AG66" s="284"/>
      <c r="AH66" s="284"/>
      <c r="AI66" s="284"/>
      <c r="AJ66" s="284"/>
      <c r="AK66" s="284"/>
      <c r="AL66" s="284"/>
      <c r="AM66" s="284"/>
      <c r="AN66" s="284"/>
      <c r="AO66" s="284"/>
      <c r="AP66" s="284"/>
      <c r="AQ66" s="284"/>
      <c r="AR66" s="284"/>
      <c r="AS66" s="284"/>
      <c r="AT66" s="284"/>
      <c r="AU66" s="284"/>
      <c r="AV66" s="284"/>
      <c r="AW66" s="284"/>
      <c r="AX66" s="284"/>
      <c r="AY66" s="284"/>
      <c r="AZ66" s="284"/>
      <c r="BA66" s="284"/>
      <c r="BB66" s="284"/>
      <c r="BC66" s="284"/>
      <c r="BD66" s="284"/>
      <c r="BE66" s="284"/>
      <c r="BF66" s="284"/>
      <c r="BG66" s="284"/>
      <c r="BH66" s="284"/>
      <c r="BI66" s="284"/>
      <c r="BJ66" s="284"/>
      <c r="BK66" s="284"/>
      <c r="BL66" s="284"/>
      <c r="BM66" s="284"/>
      <c r="BN66" s="284"/>
      <c r="BO66" s="284"/>
      <c r="BP66" s="284"/>
      <c r="BQ66" s="284"/>
      <c r="BR66" s="284"/>
      <c r="BS66" s="284"/>
      <c r="BT66" s="284"/>
      <c r="BU66" s="284"/>
      <c r="BV66" s="284"/>
      <c r="BW66" s="284"/>
      <c r="BX66" s="284"/>
      <c r="BY66" s="284"/>
      <c r="BZ66" s="284"/>
      <c r="CA66" s="284"/>
      <c r="CB66" s="284"/>
      <c r="CC66" s="284"/>
      <c r="CD66" s="284"/>
      <c r="CE66" s="284"/>
      <c r="CF66" s="284"/>
      <c r="CG66" s="284"/>
      <c r="CH66" s="284"/>
      <c r="CI66" s="284"/>
      <c r="CJ66" s="284"/>
      <c r="CK66" s="284"/>
      <c r="CL66" s="284"/>
      <c r="CM66" s="284"/>
      <c r="CN66" s="284"/>
      <c r="CO66" s="284"/>
      <c r="CP66" s="284"/>
      <c r="CQ66" s="284"/>
      <c r="CR66" s="284"/>
      <c r="CS66" s="284"/>
      <c r="CT66" s="284"/>
      <c r="CU66" s="284"/>
      <c r="CV66" s="284"/>
      <c r="CW66" s="284"/>
      <c r="CX66" s="284"/>
      <c r="CY66" s="284"/>
      <c r="CZ66" s="284"/>
      <c r="DA66" s="288"/>
    </row>
    <row r="67" spans="1:105" ht="21.6" thickBot="1">
      <c r="A67" s="277"/>
      <c r="B67" s="695" t="s">
        <v>85</v>
      </c>
      <c r="C67" s="433"/>
      <c r="D67" s="243"/>
      <c r="E67" s="231"/>
      <c r="F67" s="722">
        <f>IFERROR(SUM(F46,F65),"")</f>
        <v>84895.835290994466</v>
      </c>
      <c r="G67" s="722"/>
      <c r="H67" s="722"/>
      <c r="I67" s="722"/>
      <c r="J67" s="722"/>
      <c r="K67" s="723"/>
      <c r="L67" s="723"/>
      <c r="M67" s="723"/>
      <c r="N67" s="723"/>
      <c r="O67" s="723"/>
      <c r="P67" s="723"/>
      <c r="Q67" s="723"/>
      <c r="R67" s="723"/>
      <c r="S67" s="723"/>
      <c r="T67" s="723"/>
      <c r="U67" s="723"/>
      <c r="V67" s="723"/>
      <c r="W67" s="723"/>
      <c r="X67" s="723"/>
      <c r="Y67" s="723"/>
      <c r="Z67" s="723"/>
      <c r="AA67" s="723"/>
      <c r="AB67" s="723"/>
      <c r="AC67" s="723"/>
      <c r="AD67" s="723"/>
      <c r="AE67" s="723"/>
      <c r="AF67" s="723"/>
      <c r="AG67" s="723"/>
      <c r="AH67" s="723"/>
      <c r="AI67" s="723"/>
      <c r="AJ67" s="723"/>
      <c r="AK67" s="723"/>
      <c r="AL67" s="723"/>
      <c r="AM67" s="723"/>
      <c r="AN67" s="723"/>
      <c r="AO67" s="723"/>
      <c r="AP67" s="723"/>
      <c r="AQ67" s="723"/>
      <c r="AR67" s="723"/>
      <c r="AS67" s="723"/>
      <c r="AT67" s="723"/>
      <c r="AU67" s="723"/>
      <c r="AV67" s="723"/>
      <c r="AW67" s="723"/>
      <c r="AX67" s="723"/>
      <c r="AY67" s="723"/>
      <c r="AZ67" s="723"/>
      <c r="BA67" s="723"/>
      <c r="BB67" s="723"/>
      <c r="BC67" s="723"/>
      <c r="BD67" s="723"/>
      <c r="BE67" s="723"/>
      <c r="BF67" s="723"/>
      <c r="BG67" s="723"/>
      <c r="BH67" s="723"/>
      <c r="BI67" s="723"/>
      <c r="BJ67" s="723"/>
      <c r="BK67" s="723"/>
      <c r="BL67" s="723"/>
      <c r="BM67" s="723"/>
      <c r="BN67" s="723"/>
      <c r="BO67" s="723"/>
      <c r="BP67" s="723"/>
      <c r="BQ67" s="723"/>
      <c r="BR67" s="723"/>
      <c r="BS67" s="723"/>
      <c r="BT67" s="723"/>
      <c r="BU67" s="723"/>
      <c r="BV67" s="723"/>
      <c r="BW67" s="723"/>
      <c r="BX67" s="723"/>
      <c r="BY67" s="723"/>
      <c r="BZ67" s="723"/>
      <c r="CA67" s="723"/>
      <c r="CB67" s="723"/>
      <c r="CC67" s="723"/>
      <c r="CD67" s="723"/>
      <c r="CE67" s="723"/>
      <c r="CF67" s="723"/>
      <c r="CG67" s="723"/>
      <c r="CH67" s="723"/>
      <c r="CI67" s="723"/>
      <c r="CJ67" s="723"/>
      <c r="CK67" s="723"/>
      <c r="CL67" s="723"/>
      <c r="CM67" s="723"/>
      <c r="CN67" s="723"/>
      <c r="CO67" s="723"/>
      <c r="CP67" s="723"/>
      <c r="CQ67" s="723"/>
      <c r="CR67" s="723"/>
      <c r="CS67" s="723"/>
      <c r="CT67" s="723"/>
      <c r="CU67" s="723"/>
      <c r="CV67" s="723"/>
      <c r="CW67" s="723"/>
      <c r="CX67" s="723"/>
      <c r="CY67" s="723"/>
      <c r="CZ67" s="724"/>
      <c r="DA67" s="288"/>
    </row>
    <row r="68" spans="1:105" ht="18" thickBot="1">
      <c r="A68" s="277"/>
      <c r="B68" s="151" t="s">
        <v>236</v>
      </c>
      <c r="D68" s="968">
        <v>0</v>
      </c>
      <c r="E68" s="231"/>
      <c r="F68" s="681">
        <f t="shared" ref="F68" si="1">$D$68         *
SUMPRODUCT(F$3:F$7,PNIL)</f>
        <v>0</v>
      </c>
      <c r="G68" s="681"/>
      <c r="H68" s="681"/>
      <c r="I68" s="681"/>
      <c r="J68" s="681"/>
      <c r="K68" s="696"/>
      <c r="L68" s="696"/>
      <c r="M68" s="696"/>
      <c r="N68" s="696"/>
      <c r="O68" s="696"/>
      <c r="P68" s="696"/>
      <c r="Q68" s="696"/>
      <c r="R68" s="696"/>
      <c r="S68" s="696"/>
      <c r="T68" s="696"/>
      <c r="U68" s="696"/>
      <c r="V68" s="696"/>
      <c r="W68" s="696"/>
      <c r="X68" s="696"/>
      <c r="Y68" s="696"/>
      <c r="Z68" s="696"/>
      <c r="AA68" s="696"/>
      <c r="AB68" s="696"/>
      <c r="AC68" s="696"/>
      <c r="AD68" s="696"/>
      <c r="AE68" s="696"/>
      <c r="AF68" s="696"/>
      <c r="AG68" s="696"/>
      <c r="AH68" s="696"/>
      <c r="AI68" s="696"/>
      <c r="AJ68" s="696"/>
      <c r="AK68" s="696"/>
      <c r="AL68" s="696"/>
      <c r="AM68" s="696"/>
      <c r="AN68" s="696"/>
      <c r="AO68" s="696"/>
      <c r="AP68" s="696"/>
      <c r="AQ68" s="696"/>
      <c r="AR68" s="696"/>
      <c r="AS68" s="696"/>
      <c r="AT68" s="696"/>
      <c r="AU68" s="696"/>
      <c r="AV68" s="696"/>
      <c r="AW68" s="696"/>
      <c r="AX68" s="696"/>
      <c r="AY68" s="696"/>
      <c r="AZ68" s="696"/>
      <c r="BA68" s="696"/>
      <c r="BB68" s="696"/>
      <c r="BC68" s="696"/>
      <c r="BD68" s="696"/>
      <c r="BE68" s="696"/>
      <c r="BF68" s="696"/>
      <c r="BG68" s="696"/>
      <c r="BH68" s="696"/>
      <c r="BI68" s="696"/>
      <c r="BJ68" s="696"/>
      <c r="BK68" s="696"/>
      <c r="BL68" s="696"/>
      <c r="BM68" s="696"/>
      <c r="BN68" s="696"/>
      <c r="BO68" s="696"/>
      <c r="BP68" s="696"/>
      <c r="BQ68" s="696"/>
      <c r="BR68" s="696"/>
      <c r="BS68" s="696"/>
      <c r="BT68" s="696"/>
      <c r="BU68" s="696"/>
      <c r="BV68" s="696"/>
      <c r="BW68" s="696"/>
      <c r="BX68" s="696"/>
      <c r="BY68" s="696"/>
      <c r="BZ68" s="696"/>
      <c r="CA68" s="696"/>
      <c r="CB68" s="696"/>
      <c r="CC68" s="696"/>
      <c r="CD68" s="696"/>
      <c r="CE68" s="696"/>
      <c r="CF68" s="696"/>
      <c r="CG68" s="696"/>
      <c r="CH68" s="696"/>
      <c r="CI68" s="696"/>
      <c r="CJ68" s="696"/>
      <c r="CK68" s="696"/>
      <c r="CL68" s="696"/>
      <c r="CM68" s="696"/>
      <c r="CN68" s="696"/>
      <c r="CO68" s="696"/>
      <c r="CP68" s="696"/>
      <c r="CQ68" s="696"/>
      <c r="CR68" s="696"/>
      <c r="CS68" s="696"/>
      <c r="CT68" s="696"/>
      <c r="CU68" s="696"/>
      <c r="CV68" s="696"/>
      <c r="CW68" s="696"/>
      <c r="CX68" s="696"/>
      <c r="CY68" s="696"/>
      <c r="CZ68" s="697"/>
      <c r="DA68" s="288"/>
    </row>
    <row r="69" spans="1:105">
      <c r="A69" s="277"/>
      <c r="B69" s="151" t="s">
        <v>237</v>
      </c>
      <c r="D69" s="174"/>
      <c r="E69" s="231"/>
      <c r="F69" s="716">
        <f>F67*F68</f>
        <v>0</v>
      </c>
      <c r="G69" s="716"/>
      <c r="H69" s="716"/>
      <c r="I69" s="716"/>
      <c r="J69" s="716"/>
      <c r="K69" s="717"/>
      <c r="L69" s="717"/>
      <c r="M69" s="717"/>
      <c r="N69" s="717"/>
      <c r="O69" s="717"/>
      <c r="P69" s="717"/>
      <c r="Q69" s="717"/>
      <c r="R69" s="717"/>
      <c r="S69" s="717"/>
      <c r="T69" s="717"/>
      <c r="U69" s="717"/>
      <c r="V69" s="717"/>
      <c r="W69" s="717"/>
      <c r="X69" s="717"/>
      <c r="Y69" s="717"/>
      <c r="Z69" s="717"/>
      <c r="AA69" s="717"/>
      <c r="AB69" s="717"/>
      <c r="AC69" s="717"/>
      <c r="AD69" s="717"/>
      <c r="AE69" s="717"/>
      <c r="AF69" s="717"/>
      <c r="AG69" s="717"/>
      <c r="AH69" s="717"/>
      <c r="AI69" s="717"/>
      <c r="AJ69" s="717"/>
      <c r="AK69" s="717"/>
      <c r="AL69" s="717"/>
      <c r="AM69" s="717"/>
      <c r="AN69" s="717"/>
      <c r="AO69" s="717"/>
      <c r="AP69" s="717"/>
      <c r="AQ69" s="717"/>
      <c r="AR69" s="717"/>
      <c r="AS69" s="717"/>
      <c r="AT69" s="717"/>
      <c r="AU69" s="717"/>
      <c r="AV69" s="717"/>
      <c r="AW69" s="717"/>
      <c r="AX69" s="717"/>
      <c r="AY69" s="717"/>
      <c r="AZ69" s="717"/>
      <c r="BA69" s="717"/>
      <c r="BB69" s="717"/>
      <c r="BC69" s="717"/>
      <c r="BD69" s="717"/>
      <c r="BE69" s="717"/>
      <c r="BF69" s="717"/>
      <c r="BG69" s="717"/>
      <c r="BH69" s="717"/>
      <c r="BI69" s="717"/>
      <c r="BJ69" s="717"/>
      <c r="BK69" s="717"/>
      <c r="BL69" s="717"/>
      <c r="BM69" s="717"/>
      <c r="BN69" s="717"/>
      <c r="BO69" s="717"/>
      <c r="BP69" s="717"/>
      <c r="BQ69" s="717"/>
      <c r="BR69" s="717"/>
      <c r="BS69" s="717"/>
      <c r="BT69" s="717"/>
      <c r="BU69" s="717"/>
      <c r="BV69" s="717"/>
      <c r="BW69" s="717"/>
      <c r="BX69" s="717"/>
      <c r="BY69" s="717"/>
      <c r="BZ69" s="717"/>
      <c r="CA69" s="717"/>
      <c r="CB69" s="717"/>
      <c r="CC69" s="717"/>
      <c r="CD69" s="717"/>
      <c r="CE69" s="717"/>
      <c r="CF69" s="717"/>
      <c r="CG69" s="717"/>
      <c r="CH69" s="717"/>
      <c r="CI69" s="717"/>
      <c r="CJ69" s="717"/>
      <c r="CK69" s="717"/>
      <c r="CL69" s="717"/>
      <c r="CM69" s="717"/>
      <c r="CN69" s="717"/>
      <c r="CO69" s="717"/>
      <c r="CP69" s="717"/>
      <c r="CQ69" s="717"/>
      <c r="CR69" s="717"/>
      <c r="CS69" s="717"/>
      <c r="CT69" s="717"/>
      <c r="CU69" s="717"/>
      <c r="CV69" s="717"/>
      <c r="CW69" s="717"/>
      <c r="CX69" s="717"/>
      <c r="CY69" s="717"/>
      <c r="CZ69" s="718"/>
      <c r="DA69" s="288"/>
    </row>
    <row r="70" spans="1:105">
      <c r="A70" s="277"/>
      <c r="B70" s="698" t="s">
        <v>238</v>
      </c>
      <c r="C70" s="248"/>
      <c r="D70" s="249"/>
      <c r="E70" s="231"/>
      <c r="F70" s="699">
        <f>SUM(F67,F69)</f>
        <v>84895.835290994466</v>
      </c>
      <c r="G70" s="699"/>
      <c r="H70" s="699"/>
      <c r="I70" s="699"/>
      <c r="J70" s="699"/>
      <c r="K70" s="700"/>
      <c r="L70" s="700"/>
      <c r="M70" s="700"/>
      <c r="N70" s="700"/>
      <c r="O70" s="700"/>
      <c r="P70" s="700"/>
      <c r="Q70" s="700"/>
      <c r="R70" s="700"/>
      <c r="S70" s="700"/>
      <c r="T70" s="700"/>
      <c r="U70" s="700"/>
      <c r="V70" s="700"/>
      <c r="W70" s="700"/>
      <c r="X70" s="700"/>
      <c r="Y70" s="700"/>
      <c r="Z70" s="700"/>
      <c r="AA70" s="700"/>
      <c r="AB70" s="700"/>
      <c r="AC70" s="700"/>
      <c r="AD70" s="700"/>
      <c r="AE70" s="700"/>
      <c r="AF70" s="700"/>
      <c r="AG70" s="700"/>
      <c r="AH70" s="700"/>
      <c r="AI70" s="700"/>
      <c r="AJ70" s="700"/>
      <c r="AK70" s="700"/>
      <c r="AL70" s="700"/>
      <c r="AM70" s="700"/>
      <c r="AN70" s="700"/>
      <c r="AO70" s="700"/>
      <c r="AP70" s="700"/>
      <c r="AQ70" s="700"/>
      <c r="AR70" s="700"/>
      <c r="AS70" s="700"/>
      <c r="AT70" s="700"/>
      <c r="AU70" s="700"/>
      <c r="AV70" s="700"/>
      <c r="AW70" s="700"/>
      <c r="AX70" s="700"/>
      <c r="AY70" s="700"/>
      <c r="AZ70" s="700"/>
      <c r="BA70" s="700"/>
      <c r="BB70" s="700"/>
      <c r="BC70" s="700"/>
      <c r="BD70" s="700"/>
      <c r="BE70" s="700"/>
      <c r="BF70" s="700"/>
      <c r="BG70" s="700"/>
      <c r="BH70" s="700"/>
      <c r="BI70" s="700"/>
      <c r="BJ70" s="700"/>
      <c r="BK70" s="700"/>
      <c r="BL70" s="700"/>
      <c r="BM70" s="700"/>
      <c r="BN70" s="700"/>
      <c r="BO70" s="700"/>
      <c r="BP70" s="700"/>
      <c r="BQ70" s="700"/>
      <c r="BR70" s="700"/>
      <c r="BS70" s="700"/>
      <c r="BT70" s="700"/>
      <c r="BU70" s="700"/>
      <c r="BV70" s="700"/>
      <c r="BW70" s="700"/>
      <c r="BX70" s="700"/>
      <c r="BY70" s="700"/>
      <c r="BZ70" s="700"/>
      <c r="CA70" s="700"/>
      <c r="CB70" s="700"/>
      <c r="CC70" s="700"/>
      <c r="CD70" s="700"/>
      <c r="CE70" s="700"/>
      <c r="CF70" s="700"/>
      <c r="CG70" s="700"/>
      <c r="CH70" s="700"/>
      <c r="CI70" s="700"/>
      <c r="CJ70" s="700"/>
      <c r="CK70" s="700"/>
      <c r="CL70" s="700"/>
      <c r="CM70" s="700"/>
      <c r="CN70" s="700"/>
      <c r="CO70" s="700"/>
      <c r="CP70" s="700"/>
      <c r="CQ70" s="700"/>
      <c r="CR70" s="700"/>
      <c r="CS70" s="700"/>
      <c r="CT70" s="700"/>
      <c r="CU70" s="700"/>
      <c r="CV70" s="700"/>
      <c r="CW70" s="700"/>
      <c r="CX70" s="700"/>
      <c r="CY70" s="700"/>
      <c r="CZ70" s="701"/>
      <c r="DA70" s="288"/>
    </row>
    <row r="71" spans="1:105" ht="18" thickBot="1">
      <c r="A71" s="277"/>
      <c r="B71" s="151"/>
      <c r="D71" s="174"/>
      <c r="E71" s="231"/>
      <c r="F71" s="256"/>
      <c r="G71" s="256"/>
      <c r="H71" s="256"/>
      <c r="I71" s="256"/>
      <c r="J71" s="256"/>
      <c r="K71" s="214"/>
      <c r="L71" s="214"/>
      <c r="M71" s="214"/>
      <c r="N71" s="214"/>
      <c r="O71" s="214"/>
      <c r="P71" s="214"/>
      <c r="Q71" s="214"/>
      <c r="R71" s="214"/>
      <c r="S71" s="214"/>
      <c r="T71" s="214"/>
      <c r="U71" s="214"/>
      <c r="V71" s="214"/>
      <c r="W71" s="214"/>
      <c r="X71" s="214"/>
      <c r="Y71" s="214"/>
      <c r="Z71" s="214"/>
      <c r="AA71" s="214"/>
      <c r="AB71" s="214"/>
      <c r="AC71" s="214"/>
      <c r="AD71" s="214"/>
      <c r="AE71" s="214"/>
      <c r="AF71" s="214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6"/>
      <c r="BA71" s="216"/>
      <c r="BB71" s="216"/>
      <c r="BC71" s="216"/>
      <c r="BD71" s="216"/>
      <c r="BE71" s="216"/>
      <c r="BF71" s="216"/>
      <c r="BG71" s="216"/>
      <c r="BH71" s="216"/>
      <c r="BI71" s="216"/>
      <c r="BJ71" s="216"/>
      <c r="BK71" s="216"/>
      <c r="BL71" s="216"/>
      <c r="BM71" s="216"/>
      <c r="BN71" s="216"/>
      <c r="BO71" s="216"/>
      <c r="BP71" s="216"/>
      <c r="BQ71" s="216"/>
      <c r="BR71" s="216"/>
      <c r="BS71" s="216"/>
      <c r="BT71" s="216"/>
      <c r="BU71" s="216"/>
      <c r="BV71" s="216"/>
      <c r="BW71" s="216"/>
      <c r="BX71" s="216"/>
      <c r="BY71" s="216"/>
      <c r="BZ71" s="216"/>
      <c r="CA71" s="216"/>
      <c r="CB71" s="216"/>
      <c r="CC71" s="216"/>
      <c r="CD71" s="216"/>
      <c r="CE71" s="216"/>
      <c r="CF71" s="216"/>
      <c r="CG71" s="216"/>
      <c r="CH71" s="216"/>
      <c r="CI71" s="216"/>
      <c r="CJ71" s="216"/>
      <c r="CK71" s="216"/>
      <c r="CL71" s="216"/>
      <c r="CM71" s="216"/>
      <c r="CN71" s="216"/>
      <c r="CO71" s="216"/>
      <c r="CP71" s="216"/>
      <c r="CQ71" s="216"/>
      <c r="CR71" s="216"/>
      <c r="CS71" s="216"/>
      <c r="CT71" s="216"/>
      <c r="CU71" s="216"/>
      <c r="CV71" s="216"/>
      <c r="CW71" s="216"/>
      <c r="CX71" s="216"/>
      <c r="CY71" s="216"/>
      <c r="CZ71" s="217"/>
      <c r="DA71" s="288"/>
    </row>
    <row r="72" spans="1:105" ht="18" thickBot="1">
      <c r="A72" s="277"/>
      <c r="B72" s="151"/>
      <c r="D72" s="653" t="s">
        <v>351</v>
      </c>
      <c r="E72" s="231"/>
      <c r="F72" s="754" t="s">
        <v>350</v>
      </c>
      <c r="G72" s="754"/>
      <c r="H72" s="754"/>
      <c r="I72" s="754"/>
      <c r="J72" s="754"/>
      <c r="K72" s="754"/>
      <c r="L72" s="754"/>
      <c r="M72" s="641"/>
      <c r="N72" s="641"/>
      <c r="O72" s="641"/>
      <c r="P72" s="641"/>
      <c r="Q72" s="641"/>
      <c r="R72" s="641"/>
      <c r="S72" s="641"/>
      <c r="T72" s="641"/>
      <c r="U72" s="641"/>
      <c r="V72" s="641"/>
      <c r="W72" s="641"/>
      <c r="X72" s="641"/>
      <c r="Y72" s="641"/>
      <c r="Z72" s="641"/>
      <c r="AA72" s="641"/>
      <c r="AB72" s="641"/>
      <c r="AC72" s="641"/>
      <c r="AD72" s="641"/>
      <c r="AE72" s="641"/>
      <c r="AF72" s="641"/>
      <c r="AG72" s="641"/>
      <c r="AH72" s="641"/>
      <c r="AI72" s="641"/>
      <c r="AJ72" s="641"/>
      <c r="AK72" s="641"/>
      <c r="AL72" s="641"/>
      <c r="AM72" s="641"/>
      <c r="AN72" s="641"/>
      <c r="AO72" s="641"/>
      <c r="AP72" s="641"/>
      <c r="AQ72" s="641"/>
      <c r="AR72" s="641"/>
      <c r="AS72" s="641"/>
      <c r="AT72" s="641"/>
      <c r="AU72" s="641"/>
      <c r="AV72" s="641"/>
      <c r="AW72" s="641"/>
      <c r="AX72" s="641"/>
      <c r="AY72" s="641"/>
      <c r="AZ72" s="641"/>
      <c r="BA72" s="641"/>
      <c r="BB72" s="641"/>
      <c r="BC72" s="641"/>
      <c r="BD72" s="641"/>
      <c r="BE72" s="641"/>
      <c r="BF72" s="641"/>
      <c r="BG72" s="641"/>
      <c r="BH72" s="641"/>
      <c r="BI72" s="641"/>
      <c r="BJ72" s="641"/>
      <c r="BK72" s="641"/>
      <c r="BL72" s="641"/>
      <c r="BM72" s="641"/>
      <c r="BN72" s="641"/>
      <c r="BO72" s="641"/>
      <c r="BP72" s="641"/>
      <c r="BQ72" s="641"/>
      <c r="BR72" s="641"/>
      <c r="BS72" s="641"/>
      <c r="BT72" s="641"/>
      <c r="BU72" s="641"/>
      <c r="BV72" s="641"/>
      <c r="BW72" s="641"/>
      <c r="BX72" s="641"/>
      <c r="BY72" s="641"/>
      <c r="BZ72" s="641"/>
      <c r="CA72" s="641"/>
      <c r="CB72" s="641"/>
      <c r="CC72" s="641"/>
      <c r="CD72" s="641"/>
      <c r="CE72" s="641"/>
      <c r="CF72" s="641"/>
      <c r="CG72" s="641"/>
      <c r="CH72" s="641"/>
      <c r="CI72" s="641"/>
      <c r="CJ72" s="641"/>
      <c r="CK72" s="641"/>
      <c r="CL72" s="641"/>
      <c r="CM72" s="641"/>
      <c r="CN72" s="641"/>
      <c r="CO72" s="641"/>
      <c r="CP72" s="641"/>
      <c r="CQ72" s="641"/>
      <c r="CR72" s="641"/>
      <c r="CS72" s="641"/>
      <c r="CT72" s="641"/>
      <c r="CU72" s="641"/>
      <c r="CV72" s="641"/>
      <c r="CW72" s="641"/>
      <c r="CX72" s="641"/>
      <c r="CY72" s="641"/>
      <c r="CZ72" s="738"/>
      <c r="DA72" s="288"/>
    </row>
    <row r="73" spans="1:105" ht="18" thickBot="1">
      <c r="A73" s="277"/>
      <c r="B73" s="170" t="s">
        <v>275</v>
      </c>
      <c r="D73" s="653" t="s">
        <v>321</v>
      </c>
      <c r="E73" s="231"/>
      <c r="F73" s="994">
        <f t="shared" ref="F73" si="2">IF(F72="Wmo",SUMPRODUCT(F$3:F$7,Overhead_Wmo),IF(F72="Jeugd",SUMPRODUCT(F$3:F$7,Jeugd_Overhead),""))</f>
        <v>0.35099999999999998</v>
      </c>
      <c r="G73" s="492"/>
      <c r="H73" s="492"/>
      <c r="I73" s="492"/>
      <c r="J73" s="492"/>
      <c r="K73" s="493"/>
      <c r="L73" s="493"/>
      <c r="M73" s="493"/>
      <c r="N73" s="493"/>
      <c r="O73" s="493"/>
      <c r="P73" s="493"/>
      <c r="Q73" s="493"/>
      <c r="R73" s="493"/>
      <c r="S73" s="493"/>
      <c r="T73" s="493"/>
      <c r="U73" s="493"/>
      <c r="V73" s="493"/>
      <c r="W73" s="493"/>
      <c r="X73" s="493"/>
      <c r="Y73" s="493"/>
      <c r="Z73" s="493"/>
      <c r="AA73" s="493"/>
      <c r="AB73" s="493"/>
      <c r="AC73" s="493"/>
      <c r="AD73" s="493"/>
      <c r="AE73" s="493"/>
      <c r="AF73" s="493"/>
      <c r="AG73" s="493"/>
      <c r="AH73" s="493"/>
      <c r="AI73" s="493"/>
      <c r="AJ73" s="493"/>
      <c r="AK73" s="493"/>
      <c r="AL73" s="493"/>
      <c r="AM73" s="493"/>
      <c r="AN73" s="493"/>
      <c r="AO73" s="493"/>
      <c r="AP73" s="493"/>
      <c r="AQ73" s="493"/>
      <c r="AR73" s="493"/>
      <c r="AS73" s="493"/>
      <c r="AT73" s="493"/>
      <c r="AU73" s="493"/>
      <c r="AV73" s="493"/>
      <c r="AW73" s="493"/>
      <c r="AX73" s="493"/>
      <c r="AY73" s="493"/>
      <c r="AZ73" s="493"/>
      <c r="BA73" s="493"/>
      <c r="BB73" s="493"/>
      <c r="BC73" s="493"/>
      <c r="BD73" s="493"/>
      <c r="BE73" s="493"/>
      <c r="BF73" s="493"/>
      <c r="BG73" s="493"/>
      <c r="BH73" s="493"/>
      <c r="BI73" s="493"/>
      <c r="BJ73" s="493"/>
      <c r="BK73" s="493"/>
      <c r="BL73" s="493"/>
      <c r="BM73" s="493"/>
      <c r="BN73" s="493"/>
      <c r="BO73" s="493"/>
      <c r="BP73" s="493"/>
      <c r="BQ73" s="493"/>
      <c r="BR73" s="493"/>
      <c r="BS73" s="493"/>
      <c r="BT73" s="493"/>
      <c r="BU73" s="493"/>
      <c r="BV73" s="493"/>
      <c r="BW73" s="493"/>
      <c r="BX73" s="493"/>
      <c r="BY73" s="493"/>
      <c r="BZ73" s="493"/>
      <c r="CA73" s="493"/>
      <c r="CB73" s="493"/>
      <c r="CC73" s="493"/>
      <c r="CD73" s="493"/>
      <c r="CE73" s="493"/>
      <c r="CF73" s="493"/>
      <c r="CG73" s="493"/>
      <c r="CH73" s="493"/>
      <c r="CI73" s="493"/>
      <c r="CJ73" s="493"/>
      <c r="CK73" s="493"/>
      <c r="CL73" s="493"/>
      <c r="CM73" s="493"/>
      <c r="CN73" s="493"/>
      <c r="CO73" s="493"/>
      <c r="CP73" s="493"/>
      <c r="CQ73" s="493"/>
      <c r="CR73" s="493"/>
      <c r="CS73" s="493"/>
      <c r="CT73" s="493"/>
      <c r="CU73" s="493"/>
      <c r="CV73" s="493"/>
      <c r="CW73" s="493"/>
      <c r="CX73" s="493"/>
      <c r="CY73" s="493"/>
      <c r="CZ73" s="566"/>
      <c r="DA73" s="288"/>
    </row>
    <row r="74" spans="1:105">
      <c r="A74" s="277"/>
      <c r="B74" s="170" t="s">
        <v>239</v>
      </c>
      <c r="D74" s="174"/>
      <c r="E74" s="231"/>
      <c r="F74" s="275">
        <f>F70*F73</f>
        <v>29798.438187139054</v>
      </c>
      <c r="G74" s="275"/>
      <c r="H74" s="275"/>
      <c r="I74" s="275"/>
      <c r="J74" s="275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/>
      <c r="AC74" s="201"/>
      <c r="AD74" s="201"/>
      <c r="AE74" s="201"/>
      <c r="AF74" s="201"/>
      <c r="AG74" s="201"/>
      <c r="AH74" s="201"/>
      <c r="AI74" s="201"/>
      <c r="AJ74" s="201"/>
      <c r="AK74" s="201"/>
      <c r="AL74" s="201"/>
      <c r="AM74" s="201"/>
      <c r="AN74" s="201"/>
      <c r="AO74" s="201"/>
      <c r="AP74" s="201"/>
      <c r="AQ74" s="201"/>
      <c r="AR74" s="201"/>
      <c r="AS74" s="201"/>
      <c r="AT74" s="201"/>
      <c r="AU74" s="201"/>
      <c r="AV74" s="201"/>
      <c r="AW74" s="201"/>
      <c r="AX74" s="201"/>
      <c r="AY74" s="201"/>
      <c r="AZ74" s="201"/>
      <c r="BA74" s="201"/>
      <c r="BB74" s="201"/>
      <c r="BC74" s="201"/>
      <c r="BD74" s="201"/>
      <c r="BE74" s="201"/>
      <c r="BF74" s="201"/>
      <c r="BG74" s="201"/>
      <c r="BH74" s="201"/>
      <c r="BI74" s="201"/>
      <c r="BJ74" s="201"/>
      <c r="BK74" s="201"/>
      <c r="BL74" s="201"/>
      <c r="BM74" s="201"/>
      <c r="BN74" s="201"/>
      <c r="BO74" s="201"/>
      <c r="BP74" s="201"/>
      <c r="BQ74" s="201"/>
      <c r="BR74" s="201"/>
      <c r="BS74" s="201"/>
      <c r="BT74" s="201"/>
      <c r="BU74" s="201"/>
      <c r="BV74" s="201"/>
      <c r="BW74" s="201"/>
      <c r="BX74" s="201"/>
      <c r="BY74" s="201"/>
      <c r="BZ74" s="201"/>
      <c r="CA74" s="201"/>
      <c r="CB74" s="201"/>
      <c r="CC74" s="201"/>
      <c r="CD74" s="201"/>
      <c r="CE74" s="201"/>
      <c r="CF74" s="201"/>
      <c r="CG74" s="201"/>
      <c r="CH74" s="201"/>
      <c r="CI74" s="201"/>
      <c r="CJ74" s="201"/>
      <c r="CK74" s="201"/>
      <c r="CL74" s="201"/>
      <c r="CM74" s="201"/>
      <c r="CN74" s="201"/>
      <c r="CO74" s="201"/>
      <c r="CP74" s="201"/>
      <c r="CQ74" s="201"/>
      <c r="CR74" s="201"/>
      <c r="CS74" s="201"/>
      <c r="CT74" s="201"/>
      <c r="CU74" s="201"/>
      <c r="CV74" s="201"/>
      <c r="CW74" s="201"/>
      <c r="CX74" s="201"/>
      <c r="CY74" s="201"/>
      <c r="CZ74" s="218"/>
      <c r="DA74" s="288"/>
    </row>
    <row r="75" spans="1:105" ht="18" thickBot="1">
      <c r="A75" s="277"/>
      <c r="B75" s="151"/>
      <c r="D75" s="174"/>
      <c r="E75" s="231"/>
      <c r="F75" s="276"/>
      <c r="G75" s="276"/>
      <c r="H75" s="276"/>
      <c r="I75" s="276"/>
      <c r="J75" s="276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7"/>
      <c r="AB75" s="207"/>
      <c r="AC75" s="207"/>
      <c r="AD75" s="207"/>
      <c r="AE75" s="207"/>
      <c r="AF75" s="207"/>
      <c r="AG75" s="207"/>
      <c r="AH75" s="207"/>
      <c r="AI75" s="207"/>
      <c r="AJ75" s="207"/>
      <c r="AK75" s="207"/>
      <c r="AL75" s="207"/>
      <c r="AM75" s="207"/>
      <c r="AN75" s="207"/>
      <c r="AO75" s="207"/>
      <c r="AP75" s="207"/>
      <c r="AQ75" s="207"/>
      <c r="AR75" s="207"/>
      <c r="AS75" s="207"/>
      <c r="AT75" s="207"/>
      <c r="AU75" s="207"/>
      <c r="AV75" s="207"/>
      <c r="AW75" s="207"/>
      <c r="AX75" s="207"/>
      <c r="AY75" s="207"/>
      <c r="AZ75" s="202"/>
      <c r="BA75" s="202"/>
      <c r="BB75" s="202"/>
      <c r="BC75" s="202"/>
      <c r="BD75" s="202"/>
      <c r="BE75" s="202"/>
      <c r="BF75" s="202"/>
      <c r="BG75" s="202"/>
      <c r="BH75" s="202"/>
      <c r="BI75" s="202"/>
      <c r="BJ75" s="202"/>
      <c r="BK75" s="202"/>
      <c r="BL75" s="202"/>
      <c r="BM75" s="202"/>
      <c r="BN75" s="202"/>
      <c r="BO75" s="202"/>
      <c r="BP75" s="202"/>
      <c r="BQ75" s="202"/>
      <c r="BR75" s="202"/>
      <c r="BS75" s="202"/>
      <c r="BT75" s="202"/>
      <c r="BU75" s="202"/>
      <c r="BV75" s="202"/>
      <c r="BW75" s="202"/>
      <c r="BX75" s="202"/>
      <c r="BY75" s="202"/>
      <c r="BZ75" s="202"/>
      <c r="CA75" s="202"/>
      <c r="CB75" s="202"/>
      <c r="CC75" s="202"/>
      <c r="CD75" s="202"/>
      <c r="CE75" s="202"/>
      <c r="CF75" s="202"/>
      <c r="CG75" s="202"/>
      <c r="CH75" s="202"/>
      <c r="CI75" s="202"/>
      <c r="CJ75" s="202"/>
      <c r="CK75" s="202"/>
      <c r="CL75" s="202"/>
      <c r="CM75" s="202"/>
      <c r="CN75" s="202"/>
      <c r="CO75" s="202"/>
      <c r="CP75" s="202"/>
      <c r="CQ75" s="202"/>
      <c r="CR75" s="202"/>
      <c r="CS75" s="202"/>
      <c r="CT75" s="202"/>
      <c r="CU75" s="202"/>
      <c r="CV75" s="202"/>
      <c r="CW75" s="202"/>
      <c r="CX75" s="202"/>
      <c r="CY75" s="202"/>
      <c r="CZ75" s="219"/>
      <c r="DA75" s="288"/>
    </row>
    <row r="76" spans="1:105" ht="18" thickBot="1">
      <c r="A76" s="277"/>
      <c r="B76" s="170" t="s">
        <v>87</v>
      </c>
      <c r="D76" s="968">
        <v>0.02</v>
      </c>
      <c r="E76" s="231"/>
      <c r="F76" s="275">
        <f>$D$76*
SUM(F70,F74)</f>
        <v>2293.8854695626706</v>
      </c>
      <c r="G76" s="275"/>
      <c r="H76" s="275"/>
      <c r="I76" s="275"/>
      <c r="J76" s="275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  <c r="AA76" s="201"/>
      <c r="AB76" s="201"/>
      <c r="AC76" s="201"/>
      <c r="AD76" s="201"/>
      <c r="AE76" s="201"/>
      <c r="AF76" s="201"/>
      <c r="AG76" s="201"/>
      <c r="AH76" s="201"/>
      <c r="AI76" s="201"/>
      <c r="AJ76" s="201"/>
      <c r="AK76" s="201"/>
      <c r="AL76" s="201"/>
      <c r="AM76" s="201"/>
      <c r="AN76" s="201"/>
      <c r="AO76" s="201"/>
      <c r="AP76" s="201"/>
      <c r="AQ76" s="201"/>
      <c r="AR76" s="201"/>
      <c r="AS76" s="201"/>
      <c r="AT76" s="201"/>
      <c r="AU76" s="201"/>
      <c r="AV76" s="201"/>
      <c r="AW76" s="201"/>
      <c r="AX76" s="201"/>
      <c r="AY76" s="201"/>
      <c r="AZ76" s="201"/>
      <c r="BA76" s="201"/>
      <c r="BB76" s="201"/>
      <c r="BC76" s="201"/>
      <c r="BD76" s="201"/>
      <c r="BE76" s="201"/>
      <c r="BF76" s="201"/>
      <c r="BG76" s="201"/>
      <c r="BH76" s="201"/>
      <c r="BI76" s="201"/>
      <c r="BJ76" s="201"/>
      <c r="BK76" s="201"/>
      <c r="BL76" s="201"/>
      <c r="BM76" s="201"/>
      <c r="BN76" s="201"/>
      <c r="BO76" s="201"/>
      <c r="BP76" s="201"/>
      <c r="BQ76" s="201"/>
      <c r="BR76" s="201"/>
      <c r="BS76" s="201"/>
      <c r="BT76" s="201"/>
      <c r="BU76" s="201"/>
      <c r="BV76" s="201"/>
      <c r="BW76" s="201"/>
      <c r="BX76" s="201"/>
      <c r="BY76" s="201"/>
      <c r="BZ76" s="201"/>
      <c r="CA76" s="201"/>
      <c r="CB76" s="201"/>
      <c r="CC76" s="201"/>
      <c r="CD76" s="201"/>
      <c r="CE76" s="201"/>
      <c r="CF76" s="201"/>
      <c r="CG76" s="201"/>
      <c r="CH76" s="201"/>
      <c r="CI76" s="201"/>
      <c r="CJ76" s="201"/>
      <c r="CK76" s="201"/>
      <c r="CL76" s="201"/>
      <c r="CM76" s="201"/>
      <c r="CN76" s="201"/>
      <c r="CO76" s="201"/>
      <c r="CP76" s="201"/>
      <c r="CQ76" s="201"/>
      <c r="CR76" s="201"/>
      <c r="CS76" s="201"/>
      <c r="CT76" s="201"/>
      <c r="CU76" s="201"/>
      <c r="CV76" s="201"/>
      <c r="CW76" s="201"/>
      <c r="CX76" s="201"/>
      <c r="CY76" s="201"/>
      <c r="CZ76" s="218"/>
      <c r="DA76" s="288"/>
    </row>
    <row r="77" spans="1:105" ht="18" hidden="1" customHeight="1">
      <c r="A77" s="277"/>
      <c r="B77" s="170" t="s">
        <v>240</v>
      </c>
      <c r="D77" s="969">
        <v>5500</v>
      </c>
      <c r="E77" s="231"/>
      <c r="F77" s="817">
        <f t="shared" ref="F77" si="3">$D$77*F27</f>
        <v>0</v>
      </c>
      <c r="G77" s="817"/>
      <c r="H77" s="817"/>
      <c r="I77" s="817"/>
      <c r="J77" s="817"/>
      <c r="K77" s="818"/>
      <c r="L77" s="818"/>
      <c r="M77" s="818"/>
      <c r="N77" s="818"/>
      <c r="O77" s="818"/>
      <c r="P77" s="818"/>
      <c r="Q77" s="818"/>
      <c r="R77" s="818"/>
      <c r="S77" s="818"/>
      <c r="T77" s="818"/>
      <c r="U77" s="818"/>
      <c r="V77" s="818"/>
      <c r="W77" s="818"/>
      <c r="X77" s="818"/>
      <c r="Y77" s="818"/>
      <c r="Z77" s="818"/>
      <c r="AA77" s="818"/>
      <c r="AB77" s="818"/>
      <c r="AC77" s="818"/>
      <c r="AD77" s="818"/>
      <c r="AE77" s="818"/>
      <c r="AF77" s="818"/>
      <c r="AG77" s="818"/>
      <c r="AH77" s="818"/>
      <c r="AI77" s="818"/>
      <c r="AJ77" s="818"/>
      <c r="AK77" s="818"/>
      <c r="AL77" s="818"/>
      <c r="AM77" s="818"/>
      <c r="AN77" s="818"/>
      <c r="AO77" s="818"/>
      <c r="AP77" s="818"/>
      <c r="AQ77" s="818"/>
      <c r="AR77" s="818"/>
      <c r="AS77" s="818"/>
      <c r="AT77" s="818"/>
      <c r="AU77" s="818"/>
      <c r="AV77" s="818"/>
      <c r="AW77" s="818"/>
      <c r="AX77" s="818"/>
      <c r="AY77" s="818"/>
      <c r="AZ77" s="818"/>
      <c r="BA77" s="818"/>
      <c r="BB77" s="818"/>
      <c r="BC77" s="818"/>
      <c r="BD77" s="818"/>
      <c r="BE77" s="818"/>
      <c r="BF77" s="818"/>
      <c r="BG77" s="818"/>
      <c r="BH77" s="818"/>
      <c r="BI77" s="818"/>
      <c r="BJ77" s="818"/>
      <c r="BK77" s="818"/>
      <c r="BL77" s="818"/>
      <c r="BM77" s="818"/>
      <c r="BN77" s="818"/>
      <c r="BO77" s="818"/>
      <c r="BP77" s="818"/>
      <c r="BQ77" s="818"/>
      <c r="BR77" s="818"/>
      <c r="BS77" s="818"/>
      <c r="BT77" s="818"/>
      <c r="BU77" s="818"/>
      <c r="BV77" s="818"/>
      <c r="BW77" s="818"/>
      <c r="BX77" s="818"/>
      <c r="BY77" s="818"/>
      <c r="BZ77" s="818"/>
      <c r="CA77" s="818"/>
      <c r="CB77" s="818"/>
      <c r="CC77" s="818"/>
      <c r="CD77" s="818"/>
      <c r="CE77" s="818"/>
      <c r="CF77" s="818"/>
      <c r="CG77" s="818"/>
      <c r="CH77" s="818"/>
      <c r="CI77" s="818"/>
      <c r="CJ77" s="818"/>
      <c r="CK77" s="818"/>
      <c r="CL77" s="818"/>
      <c r="CM77" s="818"/>
      <c r="CN77" s="818"/>
      <c r="CO77" s="818"/>
      <c r="CP77" s="818"/>
      <c r="CQ77" s="818"/>
      <c r="CR77" s="818"/>
      <c r="CS77" s="818"/>
      <c r="CT77" s="818"/>
      <c r="CU77" s="818"/>
      <c r="CV77" s="818"/>
      <c r="CW77" s="818"/>
      <c r="CX77" s="818"/>
      <c r="CY77" s="818"/>
      <c r="CZ77" s="819"/>
      <c r="DA77" s="288"/>
    </row>
    <row r="78" spans="1:105" ht="18" thickBot="1">
      <c r="A78" s="277"/>
      <c r="B78" s="170" t="s">
        <v>358</v>
      </c>
      <c r="D78" s="970">
        <f>Parameters!C15</f>
        <v>966</v>
      </c>
      <c r="E78" s="231"/>
      <c r="F78" s="843">
        <f>$D$78</f>
        <v>966</v>
      </c>
      <c r="G78" s="843"/>
      <c r="H78" s="843"/>
      <c r="I78" s="843"/>
      <c r="J78" s="843"/>
      <c r="K78" s="843"/>
      <c r="L78" s="843"/>
      <c r="M78" s="843"/>
      <c r="N78" s="843"/>
      <c r="O78" s="843"/>
      <c r="P78" s="843"/>
      <c r="Q78" s="843"/>
      <c r="R78" s="843"/>
      <c r="S78" s="843"/>
      <c r="T78" s="843"/>
      <c r="U78" s="843"/>
      <c r="V78" s="843"/>
      <c r="W78" s="843"/>
      <c r="X78" s="843"/>
      <c r="Y78" s="843"/>
      <c r="Z78" s="843"/>
      <c r="AA78" s="843"/>
      <c r="AB78" s="843"/>
      <c r="AC78" s="843"/>
      <c r="AD78" s="843"/>
      <c r="AE78" s="843"/>
      <c r="AF78" s="843"/>
      <c r="AG78" s="843"/>
      <c r="AH78" s="843"/>
      <c r="AI78" s="843"/>
      <c r="AJ78" s="843"/>
      <c r="AK78" s="843"/>
      <c r="AL78" s="843"/>
      <c r="AM78" s="843"/>
      <c r="AN78" s="843"/>
      <c r="AO78" s="843"/>
      <c r="AP78" s="843"/>
      <c r="AQ78" s="843"/>
      <c r="AR78" s="843"/>
      <c r="AS78" s="843"/>
      <c r="AT78" s="843"/>
      <c r="AU78" s="843"/>
      <c r="AV78" s="843"/>
      <c r="AW78" s="843"/>
      <c r="AX78" s="843"/>
      <c r="AY78" s="843"/>
      <c r="AZ78" s="843"/>
      <c r="BA78" s="843"/>
      <c r="BB78" s="843"/>
      <c r="BC78" s="843"/>
      <c r="BD78" s="843"/>
      <c r="BE78" s="843"/>
      <c r="BF78" s="843"/>
      <c r="BG78" s="843"/>
      <c r="BH78" s="843"/>
      <c r="BI78" s="843"/>
      <c r="BJ78" s="843"/>
      <c r="BK78" s="843"/>
      <c r="BL78" s="843"/>
      <c r="BM78" s="843"/>
      <c r="BN78" s="843"/>
      <c r="BO78" s="843"/>
      <c r="BP78" s="843"/>
      <c r="BQ78" s="843"/>
      <c r="BR78" s="843"/>
      <c r="BS78" s="843"/>
      <c r="BT78" s="843"/>
      <c r="BU78" s="843"/>
      <c r="BV78" s="843"/>
      <c r="BW78" s="843"/>
      <c r="BX78" s="843"/>
      <c r="BY78" s="843"/>
      <c r="BZ78" s="843"/>
      <c r="CA78" s="843"/>
      <c r="CB78" s="843"/>
      <c r="CC78" s="843"/>
      <c r="CD78" s="843"/>
      <c r="CE78" s="843"/>
      <c r="CF78" s="843"/>
      <c r="CG78" s="843"/>
      <c r="CH78" s="843"/>
      <c r="CI78" s="843"/>
      <c r="CJ78" s="843"/>
      <c r="CK78" s="843"/>
      <c r="CL78" s="843"/>
      <c r="CM78" s="843"/>
      <c r="CN78" s="843"/>
      <c r="CO78" s="843"/>
      <c r="CP78" s="843"/>
      <c r="CQ78" s="843"/>
      <c r="CR78" s="843"/>
      <c r="CS78" s="843"/>
      <c r="CT78" s="843"/>
      <c r="CU78" s="843"/>
      <c r="CV78" s="843"/>
      <c r="CW78" s="843"/>
      <c r="CX78" s="843"/>
      <c r="CY78" s="843"/>
      <c r="CZ78" s="843"/>
      <c r="DA78" s="288"/>
    </row>
    <row r="79" spans="1:105" s="181" customFormat="1" ht="21.6" thickBot="1">
      <c r="A79" s="76"/>
      <c r="B79" s="178" t="s">
        <v>241</v>
      </c>
      <c r="C79" s="180"/>
      <c r="D79" s="260"/>
      <c r="E79" s="231"/>
      <c r="F79" s="650">
        <f>SUM(F70,F74,F76,F77,F78)</f>
        <v>117954.15894769618</v>
      </c>
      <c r="G79" s="650"/>
      <c r="H79" s="650"/>
      <c r="I79" s="650"/>
      <c r="J79" s="650"/>
      <c r="K79" s="642"/>
      <c r="L79" s="642"/>
      <c r="M79" s="642"/>
      <c r="N79" s="642"/>
      <c r="O79" s="642"/>
      <c r="P79" s="642"/>
      <c r="Q79" s="642"/>
      <c r="R79" s="642"/>
      <c r="S79" s="642"/>
      <c r="T79" s="642"/>
      <c r="U79" s="642"/>
      <c r="V79" s="642"/>
      <c r="W79" s="642"/>
      <c r="X79" s="642"/>
      <c r="Y79" s="642"/>
      <c r="Z79" s="642"/>
      <c r="AA79" s="642"/>
      <c r="AB79" s="642"/>
      <c r="AC79" s="642"/>
      <c r="AD79" s="642"/>
      <c r="AE79" s="642"/>
      <c r="AF79" s="642"/>
      <c r="AG79" s="642"/>
      <c r="AH79" s="642"/>
      <c r="AI79" s="642"/>
      <c r="AJ79" s="642"/>
      <c r="AK79" s="642"/>
      <c r="AL79" s="642"/>
      <c r="AM79" s="642"/>
      <c r="AN79" s="642"/>
      <c r="AO79" s="642"/>
      <c r="AP79" s="642"/>
      <c r="AQ79" s="642"/>
      <c r="AR79" s="642"/>
      <c r="AS79" s="642"/>
      <c r="AT79" s="642"/>
      <c r="AU79" s="642"/>
      <c r="AV79" s="642"/>
      <c r="AW79" s="642"/>
      <c r="AX79" s="642"/>
      <c r="AY79" s="642"/>
      <c r="AZ79" s="642"/>
      <c r="BA79" s="642"/>
      <c r="BB79" s="642"/>
      <c r="BC79" s="642"/>
      <c r="BD79" s="642"/>
      <c r="BE79" s="642"/>
      <c r="BF79" s="642"/>
      <c r="BG79" s="642"/>
      <c r="BH79" s="642"/>
      <c r="BI79" s="642"/>
      <c r="BJ79" s="642"/>
      <c r="BK79" s="642"/>
      <c r="BL79" s="642"/>
      <c r="BM79" s="642"/>
      <c r="BN79" s="642"/>
      <c r="BO79" s="642"/>
      <c r="BP79" s="642"/>
      <c r="BQ79" s="642"/>
      <c r="BR79" s="642"/>
      <c r="BS79" s="642"/>
      <c r="BT79" s="642"/>
      <c r="BU79" s="642"/>
      <c r="BV79" s="642"/>
      <c r="BW79" s="642"/>
      <c r="BX79" s="642"/>
      <c r="BY79" s="642"/>
      <c r="BZ79" s="642"/>
      <c r="CA79" s="642"/>
      <c r="CB79" s="642"/>
      <c r="CC79" s="642"/>
      <c r="CD79" s="642"/>
      <c r="CE79" s="642"/>
      <c r="CF79" s="642"/>
      <c r="CG79" s="642"/>
      <c r="CH79" s="642"/>
      <c r="CI79" s="642"/>
      <c r="CJ79" s="642"/>
      <c r="CK79" s="642"/>
      <c r="CL79" s="642"/>
      <c r="CM79" s="642"/>
      <c r="CN79" s="642"/>
      <c r="CO79" s="642"/>
      <c r="CP79" s="642"/>
      <c r="CQ79" s="642"/>
      <c r="CR79" s="642"/>
      <c r="CS79" s="642"/>
      <c r="CT79" s="642"/>
      <c r="CU79" s="642"/>
      <c r="CV79" s="642"/>
      <c r="CW79" s="642"/>
      <c r="CX79" s="642"/>
      <c r="CY79" s="642"/>
      <c r="CZ79" s="643"/>
      <c r="DA79" s="289"/>
    </row>
    <row r="80" spans="1:105" ht="18" thickBot="1">
      <c r="A80" s="277"/>
      <c r="B80" s="277"/>
      <c r="C80" s="277"/>
      <c r="D80" s="277"/>
      <c r="E80" s="231"/>
      <c r="F80" s="277"/>
      <c r="G80" s="277"/>
      <c r="H80" s="277"/>
      <c r="I80" s="277"/>
      <c r="J80" s="277"/>
      <c r="K80" s="277"/>
      <c r="L80" s="277"/>
      <c r="M80" s="277"/>
      <c r="N80" s="277"/>
      <c r="O80" s="277"/>
      <c r="P80" s="277"/>
      <c r="Q80" s="277"/>
      <c r="R80" s="277"/>
      <c r="S80" s="277"/>
      <c r="T80" s="277"/>
      <c r="U80" s="277"/>
      <c r="V80" s="277"/>
      <c r="W80" s="277"/>
      <c r="X80" s="277"/>
      <c r="Y80" s="277"/>
      <c r="Z80" s="277"/>
      <c r="AA80" s="277"/>
      <c r="AB80" s="277"/>
      <c r="AC80" s="277"/>
      <c r="AD80" s="277"/>
      <c r="AE80" s="277"/>
      <c r="AF80" s="277"/>
      <c r="AG80" s="277"/>
      <c r="AH80" s="277"/>
      <c r="AI80" s="277"/>
      <c r="AJ80" s="277"/>
      <c r="AK80" s="277"/>
      <c r="AL80" s="277"/>
      <c r="AM80" s="277"/>
      <c r="AN80" s="277"/>
      <c r="AO80" s="277"/>
      <c r="AP80" s="277"/>
      <c r="AQ80" s="277"/>
      <c r="AR80" s="277"/>
      <c r="AS80" s="277"/>
      <c r="AT80" s="277"/>
      <c r="AU80" s="277"/>
      <c r="AV80" s="277"/>
      <c r="AW80" s="277"/>
      <c r="AX80" s="277"/>
      <c r="AY80" s="277"/>
      <c r="AZ80" s="283"/>
      <c r="BA80" s="283"/>
      <c r="BB80" s="283"/>
      <c r="BC80" s="283"/>
      <c r="BD80" s="283"/>
      <c r="BE80" s="283"/>
      <c r="BF80" s="283"/>
      <c r="BG80" s="283"/>
      <c r="BH80" s="283"/>
      <c r="BI80" s="283"/>
      <c r="BJ80" s="283"/>
      <c r="BK80" s="283"/>
      <c r="BL80" s="283"/>
      <c r="BM80" s="283"/>
      <c r="BN80" s="283"/>
      <c r="BO80" s="283"/>
      <c r="BP80" s="283"/>
      <c r="BQ80" s="283"/>
      <c r="BR80" s="283"/>
      <c r="BS80" s="283"/>
      <c r="BT80" s="283"/>
      <c r="BU80" s="283"/>
      <c r="BV80" s="283"/>
      <c r="BW80" s="283"/>
      <c r="BX80" s="283"/>
      <c r="BY80" s="283"/>
      <c r="BZ80" s="283"/>
      <c r="CA80" s="283"/>
      <c r="CB80" s="283"/>
      <c r="CC80" s="283"/>
      <c r="CD80" s="283"/>
      <c r="CE80" s="283"/>
      <c r="CF80" s="283"/>
      <c r="CG80" s="283"/>
      <c r="CH80" s="283"/>
      <c r="CI80" s="283"/>
      <c r="CJ80" s="283"/>
      <c r="CK80" s="283"/>
      <c r="CL80" s="283"/>
      <c r="CM80" s="283"/>
      <c r="CN80" s="283"/>
      <c r="CO80" s="283"/>
      <c r="CP80" s="283"/>
      <c r="CQ80" s="283"/>
      <c r="CR80" s="283"/>
      <c r="CS80" s="283"/>
      <c r="CT80" s="283"/>
      <c r="CU80" s="283"/>
      <c r="CV80" s="283"/>
      <c r="CW80" s="283"/>
      <c r="CX80" s="283"/>
      <c r="CY80" s="283"/>
      <c r="CZ80" s="283"/>
      <c r="DA80" s="288"/>
    </row>
    <row r="81" spans="1:105" ht="24">
      <c r="A81" s="277"/>
      <c r="B81" s="159" t="s">
        <v>242</v>
      </c>
      <c r="C81" s="160"/>
      <c r="D81" s="252"/>
      <c r="E81" s="231"/>
      <c r="F81" s="844"/>
      <c r="G81" s="844"/>
      <c r="H81" s="844"/>
      <c r="I81" s="844"/>
      <c r="J81" s="844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60"/>
      <c r="Z81" s="160"/>
      <c r="AA81" s="160"/>
      <c r="AB81" s="172"/>
      <c r="AC81" s="172"/>
      <c r="AD81" s="172"/>
      <c r="AE81" s="160"/>
      <c r="AF81" s="160"/>
      <c r="AG81" s="160"/>
      <c r="AH81" s="160"/>
      <c r="AI81" s="160"/>
      <c r="AJ81" s="160"/>
      <c r="AK81" s="160"/>
      <c r="AL81" s="160"/>
      <c r="AM81" s="160"/>
      <c r="AN81" s="160"/>
      <c r="AO81" s="160"/>
      <c r="AP81" s="160"/>
      <c r="AQ81" s="160"/>
      <c r="AR81" s="160"/>
      <c r="AS81" s="160"/>
      <c r="AT81" s="160"/>
      <c r="AU81" s="160"/>
      <c r="AV81" s="160"/>
      <c r="AW81" s="160"/>
      <c r="AX81" s="160"/>
      <c r="AY81" s="160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2"/>
      <c r="CQ81" s="172"/>
      <c r="CR81" s="172"/>
      <c r="CS81" s="172"/>
      <c r="CT81" s="172"/>
      <c r="CU81" s="172"/>
      <c r="CV81" s="172"/>
      <c r="CW81" s="172"/>
      <c r="CX81" s="172"/>
      <c r="CY81" s="172"/>
      <c r="CZ81" s="173"/>
      <c r="DA81" s="288"/>
    </row>
    <row r="82" spans="1:105" ht="18" thickBot="1">
      <c r="A82" s="277"/>
      <c r="B82" s="151"/>
      <c r="D82" s="174"/>
      <c r="E82" s="231"/>
      <c r="CZ82" s="168"/>
      <c r="DA82" s="288"/>
    </row>
    <row r="83" spans="1:105" ht="18" thickBot="1">
      <c r="A83" s="277"/>
      <c r="B83" s="152" t="s">
        <v>243</v>
      </c>
      <c r="C83" s="184"/>
      <c r="D83" s="467">
        <v>1878</v>
      </c>
      <c r="E83" s="231"/>
      <c r="F83" s="661">
        <f>$D$83</f>
        <v>1878</v>
      </c>
      <c r="G83" s="661"/>
      <c r="H83" s="661"/>
      <c r="I83" s="661"/>
      <c r="J83" s="661"/>
      <c r="K83" s="662"/>
      <c r="L83" s="663"/>
      <c r="M83" s="662"/>
      <c r="N83" s="662"/>
      <c r="O83" s="662"/>
      <c r="P83" s="662"/>
      <c r="Q83" s="662"/>
      <c r="R83" s="662"/>
      <c r="S83" s="662"/>
      <c r="T83" s="662"/>
      <c r="U83" s="662"/>
      <c r="V83" s="662"/>
      <c r="W83" s="662"/>
      <c r="X83" s="662"/>
      <c r="Y83" s="662"/>
      <c r="Z83" s="662"/>
      <c r="AA83" s="662"/>
      <c r="AB83" s="662"/>
      <c r="AC83" s="662"/>
      <c r="AD83" s="662"/>
      <c r="AE83" s="662"/>
      <c r="AF83" s="662"/>
      <c r="AG83" s="662"/>
      <c r="AH83" s="662"/>
      <c r="AI83" s="662"/>
      <c r="AJ83" s="662"/>
      <c r="AK83" s="662"/>
      <c r="AL83" s="662"/>
      <c r="AM83" s="662"/>
      <c r="AN83" s="662"/>
      <c r="AO83" s="662"/>
      <c r="AP83" s="662"/>
      <c r="AQ83" s="662"/>
      <c r="AR83" s="662"/>
      <c r="AS83" s="662"/>
      <c r="AT83" s="662"/>
      <c r="AU83" s="662"/>
      <c r="AV83" s="662"/>
      <c r="AW83" s="662"/>
      <c r="AX83" s="662"/>
      <c r="AY83" s="662"/>
      <c r="AZ83" s="662"/>
      <c r="BA83" s="662"/>
      <c r="BB83" s="662"/>
      <c r="BC83" s="662"/>
      <c r="BD83" s="662"/>
      <c r="BE83" s="662"/>
      <c r="BF83" s="662"/>
      <c r="BG83" s="662"/>
      <c r="BH83" s="662"/>
      <c r="BI83" s="662"/>
      <c r="BJ83" s="662"/>
      <c r="BK83" s="662"/>
      <c r="BL83" s="662"/>
      <c r="BM83" s="662"/>
      <c r="BN83" s="662"/>
      <c r="BO83" s="662"/>
      <c r="BP83" s="662"/>
      <c r="BQ83" s="662"/>
      <c r="BR83" s="662"/>
      <c r="BS83" s="662"/>
      <c r="BT83" s="662"/>
      <c r="BU83" s="662"/>
      <c r="BV83" s="662"/>
      <c r="BW83" s="662"/>
      <c r="BX83" s="662"/>
      <c r="BY83" s="662"/>
      <c r="BZ83" s="662"/>
      <c r="CA83" s="662"/>
      <c r="CB83" s="662"/>
      <c r="CC83" s="662"/>
      <c r="CD83" s="662"/>
      <c r="CE83" s="662"/>
      <c r="CF83" s="662"/>
      <c r="CG83" s="662"/>
      <c r="CH83" s="662"/>
      <c r="CI83" s="662"/>
      <c r="CJ83" s="662"/>
      <c r="CK83" s="662"/>
      <c r="CL83" s="662"/>
      <c r="CM83" s="662"/>
      <c r="CN83" s="662"/>
      <c r="CO83" s="662"/>
      <c r="CP83" s="662"/>
      <c r="CQ83" s="662"/>
      <c r="CR83" s="662"/>
      <c r="CS83" s="662"/>
      <c r="CT83" s="662"/>
      <c r="CU83" s="662"/>
      <c r="CV83" s="662"/>
      <c r="CW83" s="662"/>
      <c r="CX83" s="662"/>
      <c r="CY83" s="662"/>
      <c r="CZ83" s="664"/>
      <c r="DA83" s="288"/>
    </row>
    <row r="84" spans="1:105" ht="18" thickBot="1">
      <c r="A84" s="277"/>
      <c r="B84" s="190" t="s">
        <v>63</v>
      </c>
      <c r="D84" s="174"/>
      <c r="E84" s="231"/>
      <c r="F84" s="978">
        <f t="shared" ref="F84" si="4">SUMPRODUCT(F$3:F$7,Verlof)</f>
        <v>247.8</v>
      </c>
      <c r="G84" s="978"/>
      <c r="H84" s="978"/>
      <c r="I84" s="978"/>
      <c r="J84" s="978"/>
      <c r="K84" s="640"/>
      <c r="L84" s="760"/>
      <c r="M84" s="640"/>
      <c r="N84" s="640"/>
      <c r="O84" s="640"/>
      <c r="P84" s="640"/>
      <c r="Q84" s="640"/>
      <c r="R84" s="640"/>
      <c r="S84" s="640"/>
      <c r="T84" s="640"/>
      <c r="U84" s="640"/>
      <c r="V84" s="640"/>
      <c r="W84" s="640"/>
      <c r="X84" s="640"/>
      <c r="Y84" s="640"/>
      <c r="Z84" s="640"/>
      <c r="AA84" s="640"/>
      <c r="AB84" s="640"/>
      <c r="AC84" s="640"/>
      <c r="AD84" s="640"/>
      <c r="AE84" s="640"/>
      <c r="AF84" s="640"/>
      <c r="AG84" s="640"/>
      <c r="AH84" s="640"/>
      <c r="AI84" s="640"/>
      <c r="AJ84" s="640"/>
      <c r="AK84" s="640"/>
      <c r="AL84" s="640"/>
      <c r="AM84" s="640"/>
      <c r="AN84" s="640"/>
      <c r="AO84" s="640"/>
      <c r="AP84" s="640"/>
      <c r="AQ84" s="640"/>
      <c r="AR84" s="640"/>
      <c r="AS84" s="640"/>
      <c r="AT84" s="640"/>
      <c r="AU84" s="640"/>
      <c r="AV84" s="640"/>
      <c r="AW84" s="640"/>
      <c r="AX84" s="640"/>
      <c r="AY84" s="640"/>
      <c r="AZ84" s="640"/>
      <c r="BA84" s="640"/>
      <c r="BB84" s="640"/>
      <c r="BC84" s="640"/>
      <c r="BD84" s="640"/>
      <c r="BE84" s="640"/>
      <c r="BF84" s="640"/>
      <c r="BG84" s="640"/>
      <c r="BH84" s="640"/>
      <c r="BI84" s="640"/>
      <c r="BJ84" s="640"/>
      <c r="BK84" s="640"/>
      <c r="BL84" s="640"/>
      <c r="BM84" s="640"/>
      <c r="BN84" s="640"/>
      <c r="BO84" s="640"/>
      <c r="BP84" s="640"/>
      <c r="BQ84" s="640"/>
      <c r="BR84" s="640"/>
      <c r="BS84" s="640"/>
      <c r="BT84" s="640"/>
      <c r="BU84" s="640"/>
      <c r="BV84" s="640"/>
      <c r="BW84" s="640"/>
      <c r="BX84" s="640"/>
      <c r="BY84" s="640"/>
      <c r="BZ84" s="640"/>
      <c r="CA84" s="640"/>
      <c r="CB84" s="640"/>
      <c r="CC84" s="640"/>
      <c r="CD84" s="640"/>
      <c r="CE84" s="640"/>
      <c r="CF84" s="640"/>
      <c r="CG84" s="640"/>
      <c r="CH84" s="640"/>
      <c r="CI84" s="640"/>
      <c r="CJ84" s="640"/>
      <c r="CK84" s="640"/>
      <c r="CL84" s="640"/>
      <c r="CM84" s="640"/>
      <c r="CN84" s="640"/>
      <c r="CO84" s="640"/>
      <c r="CP84" s="640"/>
      <c r="CQ84" s="640"/>
      <c r="CR84" s="640"/>
      <c r="CS84" s="640"/>
      <c r="CT84" s="640"/>
      <c r="CU84" s="640"/>
      <c r="CV84" s="640"/>
      <c r="CW84" s="640"/>
      <c r="CX84" s="640"/>
      <c r="CY84" s="640"/>
      <c r="CZ84" s="761"/>
      <c r="DA84" s="288"/>
    </row>
    <row r="85" spans="1:105" ht="18" thickBot="1">
      <c r="A85" s="277"/>
      <c r="B85" s="151" t="s">
        <v>244</v>
      </c>
      <c r="D85" s="653" t="s">
        <v>321</v>
      </c>
      <c r="E85" s="231"/>
      <c r="F85" s="978">
        <f t="shared" ref="F85" si="5">F$83     *
SUMPRODUCT(F3:F7,Ziekteverzuim)</f>
        <v>133.9014</v>
      </c>
      <c r="G85" s="978"/>
      <c r="H85" s="987"/>
      <c r="I85" s="978"/>
      <c r="J85" s="978"/>
      <c r="K85" s="640"/>
      <c r="L85" s="760"/>
      <c r="M85" s="640"/>
      <c r="N85" s="640"/>
      <c r="O85" s="640"/>
      <c r="P85" s="640"/>
      <c r="Q85" s="640"/>
      <c r="R85" s="640"/>
      <c r="S85" s="640"/>
      <c r="T85" s="640"/>
      <c r="U85" s="640"/>
      <c r="V85" s="640"/>
      <c r="W85" s="640"/>
      <c r="X85" s="640"/>
      <c r="Y85" s="640"/>
      <c r="Z85" s="640"/>
      <c r="AA85" s="640"/>
      <c r="AB85" s="640"/>
      <c r="AC85" s="640"/>
      <c r="AD85" s="640"/>
      <c r="AE85" s="640"/>
      <c r="AF85" s="640"/>
      <c r="AG85" s="640"/>
      <c r="AH85" s="640"/>
      <c r="AI85" s="640"/>
      <c r="AJ85" s="640"/>
      <c r="AK85" s="640"/>
      <c r="AL85" s="640"/>
      <c r="AM85" s="640"/>
      <c r="AN85" s="640"/>
      <c r="AO85" s="640"/>
      <c r="AP85" s="640"/>
      <c r="AQ85" s="640"/>
      <c r="AR85" s="640"/>
      <c r="AS85" s="640"/>
      <c r="AT85" s="640"/>
      <c r="AU85" s="640"/>
      <c r="AV85" s="640"/>
      <c r="AW85" s="640"/>
      <c r="AX85" s="640"/>
      <c r="AY85" s="640"/>
      <c r="AZ85" s="640"/>
      <c r="BA85" s="640"/>
      <c r="BB85" s="640"/>
      <c r="BC85" s="640"/>
      <c r="BD85" s="640"/>
      <c r="BE85" s="640"/>
      <c r="BF85" s="640"/>
      <c r="BG85" s="640"/>
      <c r="BH85" s="640"/>
      <c r="BI85" s="640"/>
      <c r="BJ85" s="640"/>
      <c r="BK85" s="640"/>
      <c r="BL85" s="640"/>
      <c r="BM85" s="640"/>
      <c r="BN85" s="640"/>
      <c r="BO85" s="640"/>
      <c r="BP85" s="640"/>
      <c r="BQ85" s="640"/>
      <c r="BR85" s="640"/>
      <c r="BS85" s="640"/>
      <c r="BT85" s="640"/>
      <c r="BU85" s="640"/>
      <c r="BV85" s="640"/>
      <c r="BW85" s="640"/>
      <c r="BX85" s="640"/>
      <c r="BY85" s="640"/>
      <c r="BZ85" s="640"/>
      <c r="CA85" s="640"/>
      <c r="CB85" s="640"/>
      <c r="CC85" s="640"/>
      <c r="CD85" s="640"/>
      <c r="CE85" s="640"/>
      <c r="CF85" s="640"/>
      <c r="CG85" s="640"/>
      <c r="CH85" s="640"/>
      <c r="CI85" s="640"/>
      <c r="CJ85" s="640"/>
      <c r="CK85" s="640"/>
      <c r="CL85" s="640"/>
      <c r="CM85" s="640"/>
      <c r="CN85" s="640"/>
      <c r="CO85" s="640"/>
      <c r="CP85" s="640"/>
      <c r="CQ85" s="640"/>
      <c r="CR85" s="640"/>
      <c r="CS85" s="640"/>
      <c r="CT85" s="640"/>
      <c r="CU85" s="640"/>
      <c r="CV85" s="640"/>
      <c r="CW85" s="640"/>
      <c r="CX85" s="640"/>
      <c r="CY85" s="640"/>
      <c r="CZ85" s="761"/>
      <c r="DA85" s="288"/>
    </row>
    <row r="86" spans="1:105" s="182" customFormat="1">
      <c r="A86" s="77"/>
      <c r="B86" s="729" t="s">
        <v>64</v>
      </c>
      <c r="C86" s="179"/>
      <c r="D86" s="261"/>
      <c r="E86" s="231"/>
      <c r="F86" s="995">
        <f>F$83-SUM(F84:F85)</f>
        <v>1496.2986000000001</v>
      </c>
      <c r="G86" s="762"/>
      <c r="H86" s="762"/>
      <c r="I86" s="762"/>
      <c r="J86" s="762"/>
      <c r="K86" s="725"/>
      <c r="L86" s="726"/>
      <c r="M86" s="725"/>
      <c r="N86" s="725"/>
      <c r="O86" s="725"/>
      <c r="P86" s="725"/>
      <c r="Q86" s="725"/>
      <c r="R86" s="725"/>
      <c r="S86" s="725"/>
      <c r="T86" s="725"/>
      <c r="U86" s="725"/>
      <c r="V86" s="725"/>
      <c r="W86" s="725"/>
      <c r="X86" s="725"/>
      <c r="Y86" s="725"/>
      <c r="Z86" s="725"/>
      <c r="AA86" s="725"/>
      <c r="AB86" s="725"/>
      <c r="AC86" s="725"/>
      <c r="AD86" s="725"/>
      <c r="AE86" s="725"/>
      <c r="AF86" s="725"/>
      <c r="AG86" s="725"/>
      <c r="AH86" s="725"/>
      <c r="AI86" s="725"/>
      <c r="AJ86" s="725"/>
      <c r="AK86" s="725"/>
      <c r="AL86" s="725"/>
      <c r="AM86" s="725"/>
      <c r="AN86" s="725"/>
      <c r="AO86" s="725"/>
      <c r="AP86" s="725"/>
      <c r="AQ86" s="725"/>
      <c r="AR86" s="725"/>
      <c r="AS86" s="725"/>
      <c r="AT86" s="725"/>
      <c r="AU86" s="725"/>
      <c r="AV86" s="725"/>
      <c r="AW86" s="725"/>
      <c r="AX86" s="725"/>
      <c r="AY86" s="725"/>
      <c r="AZ86" s="725"/>
      <c r="BA86" s="725"/>
      <c r="BB86" s="725"/>
      <c r="BC86" s="725"/>
      <c r="BD86" s="725"/>
      <c r="BE86" s="725"/>
      <c r="BF86" s="725"/>
      <c r="BG86" s="725"/>
      <c r="BH86" s="725"/>
      <c r="BI86" s="725"/>
      <c r="BJ86" s="725"/>
      <c r="BK86" s="725"/>
      <c r="BL86" s="725"/>
      <c r="BM86" s="725"/>
      <c r="BN86" s="725"/>
      <c r="BO86" s="725"/>
      <c r="BP86" s="725"/>
      <c r="BQ86" s="725"/>
      <c r="BR86" s="725"/>
      <c r="BS86" s="725"/>
      <c r="BT86" s="725"/>
      <c r="BU86" s="725"/>
      <c r="BV86" s="725"/>
      <c r="BW86" s="725"/>
      <c r="BX86" s="725"/>
      <c r="BY86" s="725"/>
      <c r="BZ86" s="725"/>
      <c r="CA86" s="725"/>
      <c r="CB86" s="725"/>
      <c r="CC86" s="725"/>
      <c r="CD86" s="725"/>
      <c r="CE86" s="725"/>
      <c r="CF86" s="725"/>
      <c r="CG86" s="725"/>
      <c r="CH86" s="725"/>
      <c r="CI86" s="725"/>
      <c r="CJ86" s="725"/>
      <c r="CK86" s="725"/>
      <c r="CL86" s="725"/>
      <c r="CM86" s="725"/>
      <c r="CN86" s="725"/>
      <c r="CO86" s="725"/>
      <c r="CP86" s="725"/>
      <c r="CQ86" s="725"/>
      <c r="CR86" s="725"/>
      <c r="CS86" s="725"/>
      <c r="CT86" s="725"/>
      <c r="CU86" s="725"/>
      <c r="CV86" s="725"/>
      <c r="CW86" s="725"/>
      <c r="CX86" s="725"/>
      <c r="CY86" s="725"/>
      <c r="CZ86" s="763"/>
      <c r="DA86" s="290"/>
    </row>
    <row r="87" spans="1:105">
      <c r="A87" s="277"/>
      <c r="B87" s="190" t="s">
        <v>65</v>
      </c>
      <c r="D87" s="174"/>
      <c r="E87" s="231"/>
      <c r="F87" s="1042">
        <v>165</v>
      </c>
      <c r="G87" s="1043"/>
      <c r="H87" s="1043"/>
      <c r="I87" s="1043"/>
      <c r="J87" s="1046"/>
      <c r="K87" s="1048"/>
      <c r="L87" s="1051"/>
      <c r="M87" s="1054"/>
      <c r="N87" s="1048"/>
      <c r="O87" s="1048"/>
      <c r="P87" s="1048"/>
      <c r="Q87" s="1048"/>
      <c r="R87" s="1048"/>
      <c r="S87" s="1048"/>
      <c r="T87" s="1048"/>
      <c r="U87" s="1048"/>
      <c r="V87" s="1048"/>
      <c r="W87" s="1048"/>
      <c r="X87" s="1048"/>
      <c r="Y87" s="1048"/>
      <c r="Z87" s="1048"/>
      <c r="AA87" s="1048"/>
      <c r="AB87" s="1048"/>
      <c r="AC87" s="1048"/>
      <c r="AD87" s="1048"/>
      <c r="AE87" s="1048"/>
      <c r="AF87" s="1048"/>
      <c r="AG87" s="1048"/>
      <c r="AH87" s="1048"/>
      <c r="AI87" s="1048"/>
      <c r="AJ87" s="1048"/>
      <c r="AK87" s="1048"/>
      <c r="AL87" s="1048"/>
      <c r="AM87" s="1048"/>
      <c r="AN87" s="1048"/>
      <c r="AO87" s="1048"/>
      <c r="AP87" s="1048"/>
      <c r="AQ87" s="1048"/>
      <c r="AR87" s="1048"/>
      <c r="AS87" s="1048"/>
      <c r="AT87" s="1048"/>
      <c r="AU87" s="1048"/>
      <c r="AV87" s="1048"/>
      <c r="AW87" s="1048"/>
      <c r="AX87" s="1048"/>
      <c r="AY87" s="1048"/>
      <c r="AZ87" s="1048"/>
      <c r="BA87" s="1048"/>
      <c r="BB87" s="1048"/>
      <c r="BC87" s="1048"/>
      <c r="BD87" s="1048"/>
      <c r="BE87" s="1048"/>
      <c r="BF87" s="1048"/>
      <c r="BG87" s="1048"/>
      <c r="BH87" s="1048"/>
      <c r="BI87" s="1048"/>
      <c r="BJ87" s="1048"/>
      <c r="BK87" s="1048"/>
      <c r="BL87" s="1048"/>
      <c r="BM87" s="1048"/>
      <c r="BN87" s="1048"/>
      <c r="BO87" s="1048"/>
      <c r="BP87" s="1048"/>
      <c r="BQ87" s="1048"/>
      <c r="BR87" s="1048"/>
      <c r="BS87" s="1048"/>
      <c r="BT87" s="1048"/>
      <c r="BU87" s="1048"/>
      <c r="BV87" s="1048"/>
      <c r="BW87" s="1048"/>
      <c r="BX87" s="1048"/>
      <c r="BY87" s="1048"/>
      <c r="BZ87" s="1048"/>
      <c r="CA87" s="1048"/>
      <c r="CB87" s="1048"/>
      <c r="CC87" s="1048"/>
      <c r="CD87" s="1048"/>
      <c r="CE87" s="1048"/>
      <c r="CF87" s="1048"/>
      <c r="CG87" s="1048"/>
      <c r="CH87" s="1048"/>
      <c r="CI87" s="1048"/>
      <c r="CJ87" s="1048"/>
      <c r="CK87" s="1048"/>
      <c r="CL87" s="1048"/>
      <c r="CM87" s="1048"/>
      <c r="CN87" s="1048"/>
      <c r="CO87" s="1048"/>
      <c r="CP87" s="1048"/>
      <c r="CQ87" s="1048"/>
      <c r="CR87" s="1048"/>
      <c r="CS87" s="1048"/>
      <c r="CT87" s="1048"/>
      <c r="CU87" s="1048"/>
      <c r="CV87" s="1048"/>
      <c r="CW87" s="1048"/>
      <c r="CX87" s="1048"/>
      <c r="CY87" s="1048"/>
      <c r="CZ87" s="1057"/>
      <c r="DA87" s="288"/>
    </row>
    <row r="88" spans="1:105">
      <c r="A88" s="277"/>
      <c r="B88" s="190" t="s">
        <v>66</v>
      </c>
      <c r="D88" s="174"/>
      <c r="E88" s="231"/>
      <c r="F88" s="1042"/>
      <c r="G88" s="1044"/>
      <c r="H88" s="1044"/>
      <c r="I88" s="1044"/>
      <c r="J88" s="1042"/>
      <c r="K88" s="1049"/>
      <c r="L88" s="1052"/>
      <c r="M88" s="1055"/>
      <c r="N88" s="1049"/>
      <c r="O88" s="1049"/>
      <c r="P88" s="1049"/>
      <c r="Q88" s="1049"/>
      <c r="R88" s="1049"/>
      <c r="S88" s="1049"/>
      <c r="T88" s="1049"/>
      <c r="U88" s="1049"/>
      <c r="V88" s="1049"/>
      <c r="W88" s="1049"/>
      <c r="X88" s="1049"/>
      <c r="Y88" s="1049"/>
      <c r="Z88" s="1049"/>
      <c r="AA88" s="1049"/>
      <c r="AB88" s="1049"/>
      <c r="AC88" s="1049"/>
      <c r="AD88" s="1049"/>
      <c r="AE88" s="1049"/>
      <c r="AF88" s="1049"/>
      <c r="AG88" s="1049"/>
      <c r="AH88" s="1049"/>
      <c r="AI88" s="1049"/>
      <c r="AJ88" s="1049"/>
      <c r="AK88" s="1049"/>
      <c r="AL88" s="1049"/>
      <c r="AM88" s="1049"/>
      <c r="AN88" s="1049"/>
      <c r="AO88" s="1049"/>
      <c r="AP88" s="1049"/>
      <c r="AQ88" s="1049"/>
      <c r="AR88" s="1049"/>
      <c r="AS88" s="1049"/>
      <c r="AT88" s="1049"/>
      <c r="AU88" s="1049"/>
      <c r="AV88" s="1049"/>
      <c r="AW88" s="1049"/>
      <c r="AX88" s="1049"/>
      <c r="AY88" s="1049"/>
      <c r="AZ88" s="1049"/>
      <c r="BA88" s="1049"/>
      <c r="BB88" s="1049"/>
      <c r="BC88" s="1049"/>
      <c r="BD88" s="1049"/>
      <c r="BE88" s="1049"/>
      <c r="BF88" s="1049"/>
      <c r="BG88" s="1049"/>
      <c r="BH88" s="1049"/>
      <c r="BI88" s="1049"/>
      <c r="BJ88" s="1049"/>
      <c r="BK88" s="1049"/>
      <c r="BL88" s="1049"/>
      <c r="BM88" s="1049"/>
      <c r="BN88" s="1049"/>
      <c r="BO88" s="1049"/>
      <c r="BP88" s="1049"/>
      <c r="BQ88" s="1049"/>
      <c r="BR88" s="1049"/>
      <c r="BS88" s="1049"/>
      <c r="BT88" s="1049"/>
      <c r="BU88" s="1049"/>
      <c r="BV88" s="1049"/>
      <c r="BW88" s="1049"/>
      <c r="BX88" s="1049"/>
      <c r="BY88" s="1049"/>
      <c r="BZ88" s="1049"/>
      <c r="CA88" s="1049"/>
      <c r="CB88" s="1049"/>
      <c r="CC88" s="1049"/>
      <c r="CD88" s="1049"/>
      <c r="CE88" s="1049"/>
      <c r="CF88" s="1049"/>
      <c r="CG88" s="1049"/>
      <c r="CH88" s="1049"/>
      <c r="CI88" s="1049"/>
      <c r="CJ88" s="1049"/>
      <c r="CK88" s="1049"/>
      <c r="CL88" s="1049"/>
      <c r="CM88" s="1049"/>
      <c r="CN88" s="1049"/>
      <c r="CO88" s="1049"/>
      <c r="CP88" s="1049"/>
      <c r="CQ88" s="1049"/>
      <c r="CR88" s="1049"/>
      <c r="CS88" s="1049"/>
      <c r="CT88" s="1049"/>
      <c r="CU88" s="1049"/>
      <c r="CV88" s="1049"/>
      <c r="CW88" s="1049"/>
      <c r="CX88" s="1049"/>
      <c r="CY88" s="1049"/>
      <c r="CZ88" s="1058"/>
      <c r="DA88" s="288"/>
    </row>
    <row r="89" spans="1:105">
      <c r="A89" s="277"/>
      <c r="B89" s="190" t="s">
        <v>67</v>
      </c>
      <c r="D89" s="174"/>
      <c r="E89" s="231"/>
      <c r="F89" s="1042"/>
      <c r="G89" s="1045"/>
      <c r="H89" s="1045"/>
      <c r="I89" s="1045"/>
      <c r="J89" s="1047"/>
      <c r="K89" s="1050"/>
      <c r="L89" s="1053"/>
      <c r="M89" s="1056"/>
      <c r="N89" s="1050"/>
      <c r="O89" s="1050"/>
      <c r="P89" s="1050"/>
      <c r="Q89" s="1050"/>
      <c r="R89" s="1050"/>
      <c r="S89" s="1050"/>
      <c r="T89" s="1050"/>
      <c r="U89" s="1050"/>
      <c r="V89" s="1050"/>
      <c r="W89" s="1050"/>
      <c r="X89" s="1050"/>
      <c r="Y89" s="1050"/>
      <c r="Z89" s="1050"/>
      <c r="AA89" s="1050"/>
      <c r="AB89" s="1050"/>
      <c r="AC89" s="1050"/>
      <c r="AD89" s="1050"/>
      <c r="AE89" s="1050"/>
      <c r="AF89" s="1050"/>
      <c r="AG89" s="1050"/>
      <c r="AH89" s="1050"/>
      <c r="AI89" s="1050"/>
      <c r="AJ89" s="1050"/>
      <c r="AK89" s="1050"/>
      <c r="AL89" s="1050"/>
      <c r="AM89" s="1050"/>
      <c r="AN89" s="1050"/>
      <c r="AO89" s="1050"/>
      <c r="AP89" s="1050"/>
      <c r="AQ89" s="1050"/>
      <c r="AR89" s="1050"/>
      <c r="AS89" s="1050"/>
      <c r="AT89" s="1050"/>
      <c r="AU89" s="1050"/>
      <c r="AV89" s="1050"/>
      <c r="AW89" s="1050"/>
      <c r="AX89" s="1050"/>
      <c r="AY89" s="1050"/>
      <c r="AZ89" s="1050"/>
      <c r="BA89" s="1050"/>
      <c r="BB89" s="1050"/>
      <c r="BC89" s="1050"/>
      <c r="BD89" s="1050"/>
      <c r="BE89" s="1050"/>
      <c r="BF89" s="1050"/>
      <c r="BG89" s="1050"/>
      <c r="BH89" s="1050"/>
      <c r="BI89" s="1050"/>
      <c r="BJ89" s="1050"/>
      <c r="BK89" s="1050"/>
      <c r="BL89" s="1050"/>
      <c r="BM89" s="1050"/>
      <c r="BN89" s="1050"/>
      <c r="BO89" s="1050"/>
      <c r="BP89" s="1050"/>
      <c r="BQ89" s="1050"/>
      <c r="BR89" s="1050"/>
      <c r="BS89" s="1050"/>
      <c r="BT89" s="1050"/>
      <c r="BU89" s="1050"/>
      <c r="BV89" s="1050"/>
      <c r="BW89" s="1050"/>
      <c r="BX89" s="1050"/>
      <c r="BY89" s="1050"/>
      <c r="BZ89" s="1050"/>
      <c r="CA89" s="1050"/>
      <c r="CB89" s="1050"/>
      <c r="CC89" s="1050"/>
      <c r="CD89" s="1050"/>
      <c r="CE89" s="1050"/>
      <c r="CF89" s="1050"/>
      <c r="CG89" s="1050"/>
      <c r="CH89" s="1050"/>
      <c r="CI89" s="1050"/>
      <c r="CJ89" s="1050"/>
      <c r="CK89" s="1050"/>
      <c r="CL89" s="1050"/>
      <c r="CM89" s="1050"/>
      <c r="CN89" s="1050"/>
      <c r="CO89" s="1050"/>
      <c r="CP89" s="1050"/>
      <c r="CQ89" s="1050"/>
      <c r="CR89" s="1050"/>
      <c r="CS89" s="1050"/>
      <c r="CT89" s="1050"/>
      <c r="CU89" s="1050"/>
      <c r="CV89" s="1050"/>
      <c r="CW89" s="1050"/>
      <c r="CX89" s="1050"/>
      <c r="CY89" s="1050"/>
      <c r="CZ89" s="1059"/>
      <c r="DA89" s="288"/>
    </row>
    <row r="90" spans="1:105" s="182" customFormat="1">
      <c r="A90" s="77"/>
      <c r="B90" s="728" t="s">
        <v>245</v>
      </c>
      <c r="C90" s="179"/>
      <c r="D90" s="261"/>
      <c r="E90" s="231"/>
      <c r="F90" s="995">
        <f>F86-F87</f>
        <v>1331.2986000000001</v>
      </c>
      <c r="G90" s="762"/>
      <c r="H90" s="762"/>
      <c r="I90" s="762"/>
      <c r="J90" s="762"/>
      <c r="K90" s="725"/>
      <c r="L90" s="726"/>
      <c r="M90" s="725"/>
      <c r="N90" s="725"/>
      <c r="O90" s="725"/>
      <c r="P90" s="725"/>
      <c r="Q90" s="725"/>
      <c r="R90" s="725"/>
      <c r="S90" s="725"/>
      <c r="T90" s="725"/>
      <c r="U90" s="725"/>
      <c r="V90" s="725"/>
      <c r="W90" s="725"/>
      <c r="X90" s="725"/>
      <c r="Y90" s="725"/>
      <c r="Z90" s="725"/>
      <c r="AA90" s="725"/>
      <c r="AB90" s="725"/>
      <c r="AC90" s="725"/>
      <c r="AD90" s="725"/>
      <c r="AE90" s="725"/>
      <c r="AF90" s="725"/>
      <c r="AG90" s="725"/>
      <c r="AH90" s="725"/>
      <c r="AI90" s="725"/>
      <c r="AJ90" s="725"/>
      <c r="AK90" s="725"/>
      <c r="AL90" s="725"/>
      <c r="AM90" s="725"/>
      <c r="AN90" s="725"/>
      <c r="AO90" s="725"/>
      <c r="AP90" s="725"/>
      <c r="AQ90" s="725"/>
      <c r="AR90" s="725"/>
      <c r="AS90" s="725"/>
      <c r="AT90" s="725"/>
      <c r="AU90" s="725"/>
      <c r="AV90" s="725"/>
      <c r="AW90" s="725"/>
      <c r="AX90" s="725"/>
      <c r="AY90" s="725"/>
      <c r="AZ90" s="725"/>
      <c r="BA90" s="725"/>
      <c r="BB90" s="725"/>
      <c r="BC90" s="725"/>
      <c r="BD90" s="725"/>
      <c r="BE90" s="725"/>
      <c r="BF90" s="725"/>
      <c r="BG90" s="725"/>
      <c r="BH90" s="725"/>
      <c r="BI90" s="725"/>
      <c r="BJ90" s="725"/>
      <c r="BK90" s="725"/>
      <c r="BL90" s="725"/>
      <c r="BM90" s="725"/>
      <c r="BN90" s="725"/>
      <c r="BO90" s="725"/>
      <c r="BP90" s="725"/>
      <c r="BQ90" s="725"/>
      <c r="BR90" s="725"/>
      <c r="BS90" s="725"/>
      <c r="BT90" s="725"/>
      <c r="BU90" s="725"/>
      <c r="BV90" s="725"/>
      <c r="BW90" s="725"/>
      <c r="BX90" s="725"/>
      <c r="BY90" s="725"/>
      <c r="BZ90" s="725"/>
      <c r="CA90" s="725"/>
      <c r="CB90" s="725"/>
      <c r="CC90" s="725"/>
      <c r="CD90" s="725"/>
      <c r="CE90" s="725"/>
      <c r="CF90" s="725"/>
      <c r="CG90" s="725"/>
      <c r="CH90" s="725"/>
      <c r="CI90" s="725"/>
      <c r="CJ90" s="725"/>
      <c r="CK90" s="725"/>
      <c r="CL90" s="725"/>
      <c r="CM90" s="725"/>
      <c r="CN90" s="725"/>
      <c r="CO90" s="725"/>
      <c r="CP90" s="725"/>
      <c r="CQ90" s="725"/>
      <c r="CR90" s="725"/>
      <c r="CS90" s="725"/>
      <c r="CT90" s="727"/>
      <c r="CU90" s="725"/>
      <c r="CV90" s="725"/>
      <c r="CW90" s="725"/>
      <c r="CX90" s="725"/>
      <c r="CY90" s="725"/>
      <c r="CZ90" s="763"/>
      <c r="DA90" s="290"/>
    </row>
    <row r="91" spans="1:105" s="182" customFormat="1">
      <c r="A91" s="77"/>
      <c r="B91" s="527" t="s">
        <v>269</v>
      </c>
      <c r="D91" s="526"/>
      <c r="E91" s="231"/>
      <c r="F91" s="971" t="s">
        <v>286</v>
      </c>
      <c r="G91" s="971"/>
      <c r="H91" s="971"/>
      <c r="I91" s="971"/>
      <c r="J91" s="971"/>
      <c r="K91" s="641"/>
      <c r="L91" s="745"/>
      <c r="M91" s="641"/>
      <c r="N91" s="641"/>
      <c r="O91" s="641"/>
      <c r="P91" s="641"/>
      <c r="Q91" s="641"/>
      <c r="R91" s="641"/>
      <c r="S91" s="641"/>
      <c r="T91" s="641"/>
      <c r="U91" s="641"/>
      <c r="V91" s="641"/>
      <c r="W91" s="641"/>
      <c r="X91" s="641"/>
      <c r="Y91" s="641"/>
      <c r="Z91" s="641"/>
      <c r="AA91" s="641"/>
      <c r="AB91" s="641"/>
      <c r="AC91" s="641"/>
      <c r="AD91" s="641"/>
      <c r="AE91" s="641"/>
      <c r="AF91" s="641"/>
      <c r="AG91" s="641"/>
      <c r="AH91" s="641"/>
      <c r="AI91" s="641"/>
      <c r="AJ91" s="641"/>
      <c r="AK91" s="641"/>
      <c r="AL91" s="641"/>
      <c r="AM91" s="641"/>
      <c r="AN91" s="641"/>
      <c r="AO91" s="641"/>
      <c r="AP91" s="641"/>
      <c r="AQ91" s="641"/>
      <c r="AR91" s="641"/>
      <c r="AS91" s="641"/>
      <c r="AT91" s="641"/>
      <c r="AU91" s="641"/>
      <c r="AV91" s="641"/>
      <c r="AW91" s="641"/>
      <c r="AX91" s="641"/>
      <c r="AY91" s="641"/>
      <c r="AZ91" s="641"/>
      <c r="BA91" s="641"/>
      <c r="BB91" s="641"/>
      <c r="BC91" s="641"/>
      <c r="BD91" s="641"/>
      <c r="BE91" s="641"/>
      <c r="BF91" s="641"/>
      <c r="BG91" s="641"/>
      <c r="BH91" s="641"/>
      <c r="BI91" s="641"/>
      <c r="BJ91" s="641"/>
      <c r="BK91" s="641"/>
      <c r="BL91" s="641"/>
      <c r="BM91" s="641"/>
      <c r="BN91" s="641"/>
      <c r="BO91" s="641"/>
      <c r="BP91" s="641"/>
      <c r="BQ91" s="641"/>
      <c r="BR91" s="641"/>
      <c r="BS91" s="641"/>
      <c r="BT91" s="641"/>
      <c r="BU91" s="641"/>
      <c r="BV91" s="641"/>
      <c r="BW91" s="641"/>
      <c r="BX91" s="641"/>
      <c r="BY91" s="641"/>
      <c r="BZ91" s="641"/>
      <c r="CA91" s="641"/>
      <c r="CB91" s="641"/>
      <c r="CC91" s="641"/>
      <c r="CD91" s="641"/>
      <c r="CE91" s="641"/>
      <c r="CF91" s="641"/>
      <c r="CG91" s="641"/>
      <c r="CH91" s="641"/>
      <c r="CI91" s="641"/>
      <c r="CJ91" s="641"/>
      <c r="CK91" s="641"/>
      <c r="CL91" s="641"/>
      <c r="CM91" s="641"/>
      <c r="CN91" s="641"/>
      <c r="CO91" s="641"/>
      <c r="CP91" s="641"/>
      <c r="CQ91" s="641"/>
      <c r="CR91" s="641"/>
      <c r="CS91" s="641"/>
      <c r="CT91" s="641"/>
      <c r="CU91" s="641"/>
      <c r="CV91" s="641"/>
      <c r="CW91" s="641"/>
      <c r="CX91" s="641"/>
      <c r="CY91" s="641"/>
      <c r="CZ91" s="738"/>
      <c r="DA91" s="290"/>
    </row>
    <row r="92" spans="1:105">
      <c r="A92" s="277"/>
      <c r="B92" s="190" t="s">
        <v>68</v>
      </c>
      <c r="D92" s="174"/>
      <c r="E92" s="231"/>
      <c r="F92" s="986">
        <f>IF(F91="","",IF(F91="Ja",Parameters!$C$11,IF(F91="Nee",0)))</f>
        <v>37.666666666666664</v>
      </c>
      <c r="G92" s="972"/>
      <c r="H92" s="972"/>
      <c r="I92" s="972"/>
      <c r="J92" s="972"/>
      <c r="K92" s="665"/>
      <c r="L92" s="765"/>
      <c r="M92" s="665"/>
      <c r="N92" s="665"/>
      <c r="O92" s="665"/>
      <c r="P92" s="665"/>
      <c r="Q92" s="665"/>
      <c r="R92" s="665"/>
      <c r="S92" s="665"/>
      <c r="T92" s="665"/>
      <c r="U92" s="665"/>
      <c r="V92" s="665"/>
      <c r="W92" s="665"/>
      <c r="X92" s="665"/>
      <c r="Y92" s="665"/>
      <c r="Z92" s="665"/>
      <c r="AA92" s="665"/>
      <c r="AB92" s="665"/>
      <c r="AC92" s="665"/>
      <c r="AD92" s="665"/>
      <c r="AE92" s="665"/>
      <c r="AF92" s="665"/>
      <c r="AG92" s="665"/>
      <c r="AH92" s="665"/>
      <c r="AI92" s="665"/>
      <c r="AJ92" s="665"/>
      <c r="AK92" s="665"/>
      <c r="AL92" s="665"/>
      <c r="AM92" s="665"/>
      <c r="AN92" s="665"/>
      <c r="AO92" s="665"/>
      <c r="AP92" s="665"/>
      <c r="AQ92" s="665"/>
      <c r="AR92" s="665"/>
      <c r="AS92" s="665"/>
      <c r="AT92" s="665"/>
      <c r="AU92" s="665"/>
      <c r="AV92" s="665"/>
      <c r="AW92" s="665"/>
      <c r="AX92" s="665"/>
      <c r="AY92" s="665"/>
      <c r="AZ92" s="665"/>
      <c r="BA92" s="665"/>
      <c r="BB92" s="665"/>
      <c r="BC92" s="665"/>
      <c r="BD92" s="665"/>
      <c r="BE92" s="665"/>
      <c r="BF92" s="665"/>
      <c r="BG92" s="665"/>
      <c r="BH92" s="665"/>
      <c r="BI92" s="665"/>
      <c r="BJ92" s="665"/>
      <c r="BK92" s="665"/>
      <c r="BL92" s="665"/>
      <c r="BM92" s="665"/>
      <c r="BN92" s="665"/>
      <c r="BO92" s="665"/>
      <c r="BP92" s="665"/>
      <c r="BQ92" s="665"/>
      <c r="BR92" s="665"/>
      <c r="BS92" s="665"/>
      <c r="BT92" s="665"/>
      <c r="BU92" s="665"/>
      <c r="BV92" s="665"/>
      <c r="BW92" s="665"/>
      <c r="BX92" s="665"/>
      <c r="BY92" s="665"/>
      <c r="BZ92" s="665"/>
      <c r="CA92" s="665"/>
      <c r="CB92" s="665"/>
      <c r="CC92" s="665"/>
      <c r="CD92" s="665"/>
      <c r="CE92" s="665"/>
      <c r="CF92" s="665"/>
      <c r="CG92" s="665"/>
      <c r="CH92" s="665"/>
      <c r="CI92" s="665"/>
      <c r="CJ92" s="665"/>
      <c r="CK92" s="665"/>
      <c r="CL92" s="665"/>
      <c r="CM92" s="665"/>
      <c r="CN92" s="665"/>
      <c r="CO92" s="665"/>
      <c r="CP92" s="665"/>
      <c r="CQ92" s="665"/>
      <c r="CR92" s="665"/>
      <c r="CS92" s="665"/>
      <c r="CT92" s="665"/>
      <c r="CU92" s="665"/>
      <c r="CV92" s="665"/>
      <c r="CW92" s="665"/>
      <c r="CX92" s="665"/>
      <c r="CY92" s="665"/>
      <c r="CZ92" s="668"/>
      <c r="DA92" s="288"/>
    </row>
    <row r="93" spans="1:105">
      <c r="A93" s="277"/>
      <c r="B93" s="527" t="s">
        <v>270</v>
      </c>
      <c r="D93" s="174"/>
      <c r="E93" s="231"/>
      <c r="F93" s="971"/>
      <c r="G93" s="971"/>
      <c r="H93" s="971"/>
      <c r="I93" s="971"/>
      <c r="J93" s="971"/>
      <c r="K93" s="641"/>
      <c r="L93" s="745"/>
      <c r="M93" s="641"/>
      <c r="N93" s="641"/>
      <c r="O93" s="641"/>
      <c r="P93" s="641"/>
      <c r="Q93" s="641"/>
      <c r="R93" s="641"/>
      <c r="S93" s="641"/>
      <c r="T93" s="641"/>
      <c r="U93" s="641"/>
      <c r="V93" s="641"/>
      <c r="W93" s="641"/>
      <c r="X93" s="641"/>
      <c r="Y93" s="641"/>
      <c r="Z93" s="641"/>
      <c r="AA93" s="641"/>
      <c r="AB93" s="641"/>
      <c r="AC93" s="641"/>
      <c r="AD93" s="641"/>
      <c r="AE93" s="641"/>
      <c r="AF93" s="641"/>
      <c r="AG93" s="641"/>
      <c r="AH93" s="641"/>
      <c r="AI93" s="641"/>
      <c r="AJ93" s="641"/>
      <c r="AK93" s="641"/>
      <c r="AL93" s="641"/>
      <c r="AM93" s="641"/>
      <c r="AN93" s="641"/>
      <c r="AO93" s="641"/>
      <c r="AP93" s="641"/>
      <c r="AQ93" s="641"/>
      <c r="AR93" s="641"/>
      <c r="AS93" s="641"/>
      <c r="AT93" s="641"/>
      <c r="AU93" s="641"/>
      <c r="AV93" s="641"/>
      <c r="AW93" s="641"/>
      <c r="AX93" s="641"/>
      <c r="AY93" s="641"/>
      <c r="AZ93" s="641"/>
      <c r="BA93" s="641"/>
      <c r="BB93" s="641"/>
      <c r="BC93" s="641"/>
      <c r="BD93" s="641"/>
      <c r="BE93" s="641"/>
      <c r="BF93" s="641"/>
      <c r="BG93" s="641"/>
      <c r="BH93" s="641"/>
      <c r="BI93" s="641"/>
      <c r="BJ93" s="641"/>
      <c r="BK93" s="641"/>
      <c r="BL93" s="641"/>
      <c r="BM93" s="641"/>
      <c r="BN93" s="641"/>
      <c r="BO93" s="641"/>
      <c r="BP93" s="641"/>
      <c r="BQ93" s="641"/>
      <c r="BR93" s="641"/>
      <c r="BS93" s="641"/>
      <c r="BT93" s="641"/>
      <c r="BU93" s="641"/>
      <c r="BV93" s="641"/>
      <c r="BW93" s="641"/>
      <c r="BX93" s="641"/>
      <c r="BY93" s="641"/>
      <c r="BZ93" s="641"/>
      <c r="CA93" s="641"/>
      <c r="CB93" s="641"/>
      <c r="CC93" s="641"/>
      <c r="CD93" s="641"/>
      <c r="CE93" s="641"/>
      <c r="CF93" s="641"/>
      <c r="CG93" s="641"/>
      <c r="CH93" s="641"/>
      <c r="CI93" s="641"/>
      <c r="CJ93" s="641"/>
      <c r="CK93" s="641"/>
      <c r="CL93" s="641"/>
      <c r="CM93" s="641"/>
      <c r="CN93" s="641"/>
      <c r="CO93" s="641"/>
      <c r="CP93" s="641"/>
      <c r="CQ93" s="641"/>
      <c r="CR93" s="641"/>
      <c r="CS93" s="641"/>
      <c r="CT93" s="641"/>
      <c r="CU93" s="641"/>
      <c r="CV93" s="641"/>
      <c r="CW93" s="641"/>
      <c r="CX93" s="641"/>
      <c r="CY93" s="641"/>
      <c r="CZ93" s="738"/>
      <c r="DA93" s="288"/>
    </row>
    <row r="94" spans="1:105" ht="18" thickBot="1">
      <c r="A94" s="277"/>
      <c r="B94" s="151" t="s">
        <v>69</v>
      </c>
      <c r="D94" s="174"/>
      <c r="E94" s="231"/>
      <c r="F94" s="973"/>
      <c r="G94" s="973"/>
      <c r="H94" s="973"/>
      <c r="I94" s="973"/>
      <c r="J94" s="973"/>
      <c r="K94" s="665"/>
      <c r="L94" s="665"/>
      <c r="M94" s="667"/>
      <c r="N94" s="665"/>
      <c r="O94" s="665"/>
      <c r="P94" s="665"/>
      <c r="Q94" s="665"/>
      <c r="R94" s="665"/>
      <c r="S94" s="665"/>
      <c r="T94" s="665"/>
      <c r="U94" s="665"/>
      <c r="V94" s="665"/>
      <c r="W94" s="665"/>
      <c r="X94" s="665"/>
      <c r="Y94" s="665"/>
      <c r="Z94" s="665"/>
      <c r="AA94" s="665"/>
      <c r="AB94" s="665"/>
      <c r="AC94" s="665"/>
      <c r="AD94" s="665"/>
      <c r="AE94" s="665"/>
      <c r="AF94" s="665"/>
      <c r="AG94" s="665"/>
      <c r="AH94" s="665"/>
      <c r="AI94" s="665"/>
      <c r="AJ94" s="665"/>
      <c r="AK94" s="665"/>
      <c r="AL94" s="665"/>
      <c r="AM94" s="665"/>
      <c r="AN94" s="665"/>
      <c r="AO94" s="665"/>
      <c r="AP94" s="665"/>
      <c r="AQ94" s="665"/>
      <c r="AR94" s="665"/>
      <c r="AS94" s="665"/>
      <c r="AT94" s="665"/>
      <c r="AU94" s="665"/>
      <c r="AV94" s="665"/>
      <c r="AW94" s="665"/>
      <c r="AX94" s="665"/>
      <c r="AY94" s="665"/>
      <c r="AZ94" s="665"/>
      <c r="BA94" s="665"/>
      <c r="BB94" s="665"/>
      <c r="BC94" s="665"/>
      <c r="BD94" s="665"/>
      <c r="BE94" s="665"/>
      <c r="BF94" s="665"/>
      <c r="BG94" s="665"/>
      <c r="BH94" s="665"/>
      <c r="BI94" s="665"/>
      <c r="BJ94" s="665"/>
      <c r="BK94" s="665"/>
      <c r="BL94" s="665"/>
      <c r="BM94" s="665"/>
      <c r="BN94" s="665"/>
      <c r="BO94" s="665"/>
      <c r="BP94" s="665"/>
      <c r="BQ94" s="665"/>
      <c r="BR94" s="665"/>
      <c r="BS94" s="665"/>
      <c r="BT94" s="665"/>
      <c r="BU94" s="665"/>
      <c r="BV94" s="665"/>
      <c r="BW94" s="665"/>
      <c r="BX94" s="665"/>
      <c r="BY94" s="665"/>
      <c r="BZ94" s="665"/>
      <c r="CA94" s="665"/>
      <c r="CB94" s="665"/>
      <c r="CC94" s="665"/>
      <c r="CD94" s="665"/>
      <c r="CE94" s="665"/>
      <c r="CF94" s="665"/>
      <c r="CG94" s="665"/>
      <c r="CH94" s="665"/>
      <c r="CI94" s="665"/>
      <c r="CJ94" s="665"/>
      <c r="CK94" s="665"/>
      <c r="CL94" s="665"/>
      <c r="CM94" s="665"/>
      <c r="CN94" s="665"/>
      <c r="CO94" s="665"/>
      <c r="CP94" s="665"/>
      <c r="CQ94" s="665"/>
      <c r="CR94" s="665"/>
      <c r="CS94" s="665"/>
      <c r="CT94" s="665"/>
      <c r="CU94" s="665"/>
      <c r="CV94" s="665"/>
      <c r="CW94" s="665"/>
      <c r="CX94" s="665"/>
      <c r="CY94" s="665"/>
      <c r="CZ94" s="668"/>
      <c r="DA94" s="288"/>
    </row>
    <row r="95" spans="1:105" s="183" customFormat="1" ht="21.6" thickBot="1">
      <c r="A95" s="279"/>
      <c r="B95" s="222" t="s">
        <v>70</v>
      </c>
      <c r="C95" s="223"/>
      <c r="D95" s="262"/>
      <c r="E95" s="231"/>
      <c r="F95" s="996">
        <f>F90-SUM(F92:F94)</f>
        <v>1293.6319333333333</v>
      </c>
      <c r="G95" s="644"/>
      <c r="H95" s="644"/>
      <c r="I95" s="644"/>
      <c r="J95" s="644"/>
      <c r="K95" s="312"/>
      <c r="L95" s="312"/>
      <c r="M95" s="645"/>
      <c r="N95" s="312"/>
      <c r="O95" s="312"/>
      <c r="P95" s="312"/>
      <c r="Q95" s="312"/>
      <c r="R95" s="312"/>
      <c r="S95" s="312"/>
      <c r="T95" s="312"/>
      <c r="U95" s="312"/>
      <c r="V95" s="312"/>
      <c r="W95" s="312"/>
      <c r="X95" s="312"/>
      <c r="Y95" s="312"/>
      <c r="Z95" s="312"/>
      <c r="AA95" s="312"/>
      <c r="AB95" s="312"/>
      <c r="AC95" s="312"/>
      <c r="AD95" s="312"/>
      <c r="AE95" s="312"/>
      <c r="AF95" s="312"/>
      <c r="AG95" s="312"/>
      <c r="AH95" s="312"/>
      <c r="AI95" s="312"/>
      <c r="AJ95" s="312"/>
      <c r="AK95" s="312"/>
      <c r="AL95" s="312"/>
      <c r="AM95" s="312"/>
      <c r="AN95" s="312"/>
      <c r="AO95" s="312"/>
      <c r="AP95" s="312"/>
      <c r="AQ95" s="312"/>
      <c r="AR95" s="312"/>
      <c r="AS95" s="312"/>
      <c r="AT95" s="312"/>
      <c r="AU95" s="312"/>
      <c r="AV95" s="312"/>
      <c r="AW95" s="312"/>
      <c r="AX95" s="312"/>
      <c r="AY95" s="312"/>
      <c r="AZ95" s="312"/>
      <c r="BA95" s="312"/>
      <c r="BB95" s="312"/>
      <c r="BC95" s="312"/>
      <c r="BD95" s="312"/>
      <c r="BE95" s="312"/>
      <c r="BF95" s="312"/>
      <c r="BG95" s="312"/>
      <c r="BH95" s="312"/>
      <c r="BI95" s="312"/>
      <c r="BJ95" s="312"/>
      <c r="BK95" s="312"/>
      <c r="BL95" s="312"/>
      <c r="BM95" s="312"/>
      <c r="BN95" s="312"/>
      <c r="BO95" s="312"/>
      <c r="BP95" s="312"/>
      <c r="BQ95" s="312"/>
      <c r="BR95" s="312"/>
      <c r="BS95" s="312"/>
      <c r="BT95" s="312"/>
      <c r="BU95" s="312"/>
      <c r="BV95" s="312"/>
      <c r="BW95" s="312"/>
      <c r="BX95" s="312"/>
      <c r="BY95" s="312"/>
      <c r="BZ95" s="312"/>
      <c r="CA95" s="312"/>
      <c r="CB95" s="312"/>
      <c r="CC95" s="312"/>
      <c r="CD95" s="312"/>
      <c r="CE95" s="312"/>
      <c r="CF95" s="312"/>
      <c r="CG95" s="312"/>
      <c r="CH95" s="312"/>
      <c r="CI95" s="312"/>
      <c r="CJ95" s="312"/>
      <c r="CK95" s="312"/>
      <c r="CL95" s="312"/>
      <c r="CM95" s="312"/>
      <c r="CN95" s="312"/>
      <c r="CO95" s="312"/>
      <c r="CP95" s="312"/>
      <c r="CQ95" s="312"/>
      <c r="CR95" s="312"/>
      <c r="CS95" s="312"/>
      <c r="CT95" s="312"/>
      <c r="CU95" s="312"/>
      <c r="CV95" s="312"/>
      <c r="CW95" s="312"/>
      <c r="CX95" s="312"/>
      <c r="CY95" s="312"/>
      <c r="CZ95" s="646"/>
      <c r="DA95" s="291"/>
    </row>
    <row r="96" spans="1:105" ht="18" thickBot="1">
      <c r="A96" s="277"/>
      <c r="B96" s="730" t="s">
        <v>246</v>
      </c>
      <c r="C96" s="175"/>
      <c r="D96" s="259"/>
      <c r="E96" s="231"/>
      <c r="F96" s="997">
        <f>F95/F83</f>
        <v>0.68883489527866526</v>
      </c>
      <c r="G96" s="731"/>
      <c r="H96" s="731"/>
      <c r="I96" s="731"/>
      <c r="J96" s="731"/>
      <c r="K96" s="732"/>
      <c r="L96" s="732"/>
      <c r="M96" s="733"/>
      <c r="N96" s="732"/>
      <c r="O96" s="732"/>
      <c r="P96" s="732"/>
      <c r="Q96" s="732"/>
      <c r="R96" s="732"/>
      <c r="S96" s="732"/>
      <c r="T96" s="732"/>
      <c r="U96" s="732"/>
      <c r="V96" s="732"/>
      <c r="W96" s="732"/>
      <c r="X96" s="732"/>
      <c r="Y96" s="732"/>
      <c r="Z96" s="732"/>
      <c r="AA96" s="732"/>
      <c r="AB96" s="732"/>
      <c r="AC96" s="732"/>
      <c r="AD96" s="732"/>
      <c r="AE96" s="732"/>
      <c r="AF96" s="732"/>
      <c r="AG96" s="732"/>
      <c r="AH96" s="732"/>
      <c r="AI96" s="732"/>
      <c r="AJ96" s="732"/>
      <c r="AK96" s="732"/>
      <c r="AL96" s="732"/>
      <c r="AM96" s="732"/>
      <c r="AN96" s="732"/>
      <c r="AO96" s="732"/>
      <c r="AP96" s="732"/>
      <c r="AQ96" s="732"/>
      <c r="AR96" s="732"/>
      <c r="AS96" s="732"/>
      <c r="AT96" s="732"/>
      <c r="AU96" s="732"/>
      <c r="AV96" s="732"/>
      <c r="AW96" s="732"/>
      <c r="AX96" s="732"/>
      <c r="AY96" s="732"/>
      <c r="AZ96" s="732"/>
      <c r="BA96" s="732"/>
      <c r="BB96" s="732"/>
      <c r="BC96" s="732"/>
      <c r="BD96" s="732"/>
      <c r="BE96" s="732"/>
      <c r="BF96" s="732"/>
      <c r="BG96" s="732"/>
      <c r="BH96" s="732"/>
      <c r="BI96" s="732"/>
      <c r="BJ96" s="732"/>
      <c r="BK96" s="732"/>
      <c r="BL96" s="732"/>
      <c r="BM96" s="732"/>
      <c r="BN96" s="732"/>
      <c r="BO96" s="732"/>
      <c r="BP96" s="732"/>
      <c r="BQ96" s="732"/>
      <c r="BR96" s="732"/>
      <c r="BS96" s="732"/>
      <c r="BT96" s="732"/>
      <c r="BU96" s="732"/>
      <c r="BV96" s="732"/>
      <c r="BW96" s="732"/>
      <c r="BX96" s="732"/>
      <c r="BY96" s="732"/>
      <c r="BZ96" s="732"/>
      <c r="CA96" s="732"/>
      <c r="CB96" s="732"/>
      <c r="CC96" s="732"/>
      <c r="CD96" s="732"/>
      <c r="CE96" s="732"/>
      <c r="CF96" s="732"/>
      <c r="CG96" s="732"/>
      <c r="CH96" s="732"/>
      <c r="CI96" s="732"/>
      <c r="CJ96" s="732"/>
      <c r="CK96" s="732"/>
      <c r="CL96" s="732"/>
      <c r="CM96" s="732"/>
      <c r="CN96" s="732"/>
      <c r="CO96" s="732"/>
      <c r="CP96" s="732"/>
      <c r="CQ96" s="732"/>
      <c r="CR96" s="732"/>
      <c r="CS96" s="732"/>
      <c r="CT96" s="732"/>
      <c r="CU96" s="732"/>
      <c r="CV96" s="732"/>
      <c r="CW96" s="732"/>
      <c r="CX96" s="732"/>
      <c r="CY96" s="732"/>
      <c r="CZ96" s="734"/>
      <c r="DA96" s="288"/>
    </row>
    <row r="97" spans="1:105" ht="18" thickBot="1">
      <c r="A97" s="277"/>
      <c r="B97" s="277"/>
      <c r="C97" s="277"/>
      <c r="D97" s="277"/>
      <c r="E97" s="231"/>
      <c r="F97" s="277"/>
      <c r="G97" s="277"/>
      <c r="H97" s="277"/>
      <c r="I97" s="277"/>
      <c r="J97" s="277"/>
      <c r="K97" s="277"/>
      <c r="L97" s="277"/>
      <c r="M97" s="277"/>
      <c r="N97" s="277"/>
      <c r="O97" s="277"/>
      <c r="P97" s="277"/>
      <c r="Q97" s="277"/>
      <c r="R97" s="277"/>
      <c r="S97" s="277"/>
      <c r="T97" s="277"/>
      <c r="U97" s="277"/>
      <c r="V97" s="277"/>
      <c r="W97" s="277"/>
      <c r="X97" s="277"/>
      <c r="Y97" s="277"/>
      <c r="Z97" s="277"/>
      <c r="AA97" s="277"/>
      <c r="AB97" s="277"/>
      <c r="AC97" s="277"/>
      <c r="AD97" s="277"/>
      <c r="AE97" s="277"/>
      <c r="AF97" s="277"/>
      <c r="AG97" s="277"/>
      <c r="AH97" s="277"/>
      <c r="AI97" s="277"/>
      <c r="AJ97" s="277"/>
      <c r="AK97" s="277"/>
      <c r="AL97" s="277"/>
      <c r="AM97" s="277"/>
      <c r="AN97" s="277"/>
      <c r="AO97" s="277"/>
      <c r="AP97" s="277"/>
      <c r="AQ97" s="277"/>
      <c r="AR97" s="277"/>
      <c r="AS97" s="277"/>
      <c r="AT97" s="277"/>
      <c r="AU97" s="277"/>
      <c r="AV97" s="277"/>
      <c r="AW97" s="277"/>
      <c r="AX97" s="277"/>
      <c r="AY97" s="277"/>
      <c r="AZ97" s="283"/>
      <c r="BA97" s="283"/>
      <c r="BB97" s="283"/>
      <c r="BC97" s="283"/>
      <c r="BD97" s="283"/>
      <c r="BE97" s="283"/>
      <c r="BF97" s="283"/>
      <c r="BG97" s="283"/>
      <c r="BH97" s="283"/>
      <c r="BI97" s="283"/>
      <c r="BJ97" s="283"/>
      <c r="BK97" s="283"/>
      <c r="BL97" s="283"/>
      <c r="BM97" s="283"/>
      <c r="BN97" s="283"/>
      <c r="BO97" s="283"/>
      <c r="BP97" s="283"/>
      <c r="BQ97" s="283"/>
      <c r="BR97" s="283"/>
      <c r="BS97" s="283"/>
      <c r="BT97" s="283"/>
      <c r="BU97" s="283"/>
      <c r="BV97" s="283"/>
      <c r="BW97" s="283"/>
      <c r="BX97" s="283"/>
      <c r="BY97" s="283"/>
      <c r="BZ97" s="283"/>
      <c r="CA97" s="283"/>
      <c r="CB97" s="283"/>
      <c r="CC97" s="283"/>
      <c r="CD97" s="283"/>
      <c r="CE97" s="283"/>
      <c r="CF97" s="283"/>
      <c r="CG97" s="283"/>
      <c r="CH97" s="283"/>
      <c r="CI97" s="283"/>
      <c r="CJ97" s="283"/>
      <c r="CK97" s="283"/>
      <c r="CL97" s="283"/>
      <c r="CM97" s="283"/>
      <c r="CN97" s="283"/>
      <c r="CO97" s="283"/>
      <c r="CP97" s="283"/>
      <c r="CQ97" s="283"/>
      <c r="CR97" s="283"/>
      <c r="CS97" s="283"/>
      <c r="CT97" s="283"/>
      <c r="CU97" s="283"/>
      <c r="CV97" s="283"/>
      <c r="CW97" s="283"/>
      <c r="CX97" s="283"/>
      <c r="CY97" s="283"/>
      <c r="CZ97" s="283"/>
      <c r="DA97" s="288"/>
    </row>
    <row r="98" spans="1:105" s="158" customFormat="1" ht="27" thickBot="1">
      <c r="A98" s="280"/>
      <c r="B98" s="193" t="s">
        <v>247</v>
      </c>
      <c r="C98" s="194"/>
      <c r="D98" s="273"/>
      <c r="E98" s="231"/>
      <c r="F98" s="272">
        <f>F79/F95</f>
        <v>91.180617846809639</v>
      </c>
      <c r="G98" s="272"/>
      <c r="H98" s="272"/>
      <c r="I98" s="272"/>
      <c r="J98" s="272"/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203"/>
      <c r="AF98" s="203"/>
      <c r="AG98" s="203"/>
      <c r="AH98" s="203"/>
      <c r="AI98" s="203"/>
      <c r="AJ98" s="203"/>
      <c r="AK98" s="203"/>
      <c r="AL98" s="203"/>
      <c r="AM98" s="203"/>
      <c r="AN98" s="203"/>
      <c r="AO98" s="203"/>
      <c r="AP98" s="203"/>
      <c r="AQ98" s="203"/>
      <c r="AR98" s="203"/>
      <c r="AS98" s="203"/>
      <c r="AT98" s="203"/>
      <c r="AU98" s="203"/>
      <c r="AV98" s="203"/>
      <c r="AW98" s="203"/>
      <c r="AX98" s="203"/>
      <c r="AY98" s="203"/>
      <c r="AZ98" s="203"/>
      <c r="BA98" s="203"/>
      <c r="BB98" s="203"/>
      <c r="BC98" s="203"/>
      <c r="BD98" s="203"/>
      <c r="BE98" s="203"/>
      <c r="BF98" s="203"/>
      <c r="BG98" s="203"/>
      <c r="BH98" s="203"/>
      <c r="BI98" s="203"/>
      <c r="BJ98" s="203"/>
      <c r="BK98" s="203"/>
      <c r="BL98" s="203"/>
      <c r="BM98" s="203"/>
      <c r="BN98" s="203"/>
      <c r="BO98" s="203"/>
      <c r="BP98" s="203"/>
      <c r="BQ98" s="203"/>
      <c r="BR98" s="203"/>
      <c r="BS98" s="203"/>
      <c r="BT98" s="203"/>
      <c r="BU98" s="203"/>
      <c r="BV98" s="203"/>
      <c r="BW98" s="203"/>
      <c r="BX98" s="203"/>
      <c r="BY98" s="203"/>
      <c r="BZ98" s="203"/>
      <c r="CA98" s="203"/>
      <c r="CB98" s="203"/>
      <c r="CC98" s="203"/>
      <c r="CD98" s="203"/>
      <c r="CE98" s="203"/>
      <c r="CF98" s="203"/>
      <c r="CG98" s="203"/>
      <c r="CH98" s="203"/>
      <c r="CI98" s="203"/>
      <c r="CJ98" s="203"/>
      <c r="CK98" s="203"/>
      <c r="CL98" s="203"/>
      <c r="CM98" s="203"/>
      <c r="CN98" s="203"/>
      <c r="CO98" s="203"/>
      <c r="CP98" s="203"/>
      <c r="CQ98" s="203"/>
      <c r="CR98" s="203"/>
      <c r="CS98" s="203"/>
      <c r="CT98" s="203"/>
      <c r="CU98" s="203"/>
      <c r="CV98" s="203"/>
      <c r="CW98" s="203"/>
      <c r="CX98" s="203"/>
      <c r="CY98" s="203"/>
      <c r="CZ98" s="195"/>
      <c r="DA98" s="292"/>
    </row>
    <row r="99" spans="1:105" ht="18" thickBot="1">
      <c r="A99" s="277"/>
      <c r="B99" s="277"/>
      <c r="C99" s="277"/>
      <c r="D99" s="277"/>
      <c r="E99" s="231"/>
      <c r="F99" s="277"/>
      <c r="G99" s="277"/>
      <c r="H99" s="277"/>
      <c r="I99" s="277"/>
      <c r="J99" s="277"/>
      <c r="K99" s="277"/>
      <c r="L99" s="277"/>
      <c r="M99" s="277"/>
      <c r="N99" s="277"/>
      <c r="O99" s="277"/>
      <c r="P99" s="277"/>
      <c r="Q99" s="277"/>
      <c r="R99" s="277"/>
      <c r="S99" s="277"/>
      <c r="T99" s="277"/>
      <c r="U99" s="277"/>
      <c r="V99" s="277"/>
      <c r="W99" s="277"/>
      <c r="X99" s="277"/>
      <c r="Y99" s="277"/>
      <c r="Z99" s="277"/>
      <c r="AA99" s="277"/>
      <c r="AB99" s="277"/>
      <c r="AC99" s="277"/>
      <c r="AD99" s="277"/>
      <c r="AE99" s="277"/>
      <c r="AF99" s="277"/>
      <c r="AG99" s="277"/>
      <c r="AH99" s="277"/>
      <c r="AI99" s="277"/>
      <c r="AJ99" s="277"/>
      <c r="AK99" s="277"/>
      <c r="AL99" s="277"/>
      <c r="AM99" s="277"/>
      <c r="AN99" s="277"/>
      <c r="AO99" s="277"/>
      <c r="AP99" s="277"/>
      <c r="AQ99" s="277"/>
      <c r="AR99" s="277"/>
      <c r="AS99" s="277"/>
      <c r="AT99" s="277"/>
      <c r="AU99" s="277"/>
      <c r="AV99" s="277"/>
      <c r="AW99" s="277"/>
      <c r="AX99" s="277"/>
      <c r="AY99" s="277"/>
      <c r="AZ99" s="283"/>
      <c r="BA99" s="283"/>
      <c r="BB99" s="283"/>
      <c r="BC99" s="283"/>
      <c r="BD99" s="283"/>
      <c r="BE99" s="283"/>
      <c r="BF99" s="283"/>
      <c r="BG99" s="283"/>
      <c r="BH99" s="283"/>
      <c r="BI99" s="283"/>
      <c r="BJ99" s="283"/>
      <c r="BK99" s="283"/>
      <c r="BL99" s="283"/>
      <c r="BM99" s="283"/>
      <c r="BN99" s="283"/>
      <c r="BO99" s="283"/>
      <c r="BP99" s="283"/>
      <c r="BQ99" s="283"/>
      <c r="BR99" s="283"/>
      <c r="BS99" s="283"/>
      <c r="BT99" s="283"/>
      <c r="BU99" s="283"/>
      <c r="BV99" s="283"/>
      <c r="BW99" s="283"/>
      <c r="BX99" s="283"/>
      <c r="BY99" s="283"/>
      <c r="BZ99" s="283"/>
      <c r="CA99" s="283"/>
      <c r="CB99" s="283"/>
      <c r="CC99" s="283"/>
      <c r="CD99" s="283"/>
      <c r="CE99" s="283"/>
      <c r="CF99" s="283"/>
      <c r="CG99" s="283"/>
      <c r="CH99" s="283"/>
      <c r="CI99" s="283"/>
      <c r="CJ99" s="283"/>
      <c r="CK99" s="283"/>
      <c r="CL99" s="283"/>
      <c r="CM99" s="283"/>
      <c r="CN99" s="283"/>
      <c r="CO99" s="283"/>
      <c r="CP99" s="283"/>
      <c r="CQ99" s="283"/>
      <c r="CR99" s="283"/>
      <c r="CS99" s="283"/>
      <c r="CT99" s="283"/>
      <c r="CU99" s="283"/>
      <c r="CV99" s="283"/>
      <c r="CW99" s="283"/>
      <c r="CX99" s="283"/>
      <c r="CY99" s="283"/>
      <c r="CZ99" s="283"/>
      <c r="DA99" s="288"/>
    </row>
    <row r="100" spans="1:105">
      <c r="A100" s="277"/>
      <c r="B100" s="224" t="s">
        <v>88</v>
      </c>
      <c r="C100" s="150"/>
      <c r="D100" s="243"/>
      <c r="E100" s="231"/>
      <c r="F100" s="748">
        <v>1</v>
      </c>
      <c r="G100" s="748"/>
      <c r="H100" s="748"/>
      <c r="I100" s="748"/>
      <c r="J100" s="748"/>
      <c r="K100" s="749"/>
      <c r="L100" s="749"/>
      <c r="M100" s="749"/>
      <c r="N100" s="749"/>
      <c r="O100" s="749"/>
      <c r="P100" s="749"/>
      <c r="Q100" s="749"/>
      <c r="R100" s="749"/>
      <c r="S100" s="749"/>
      <c r="T100" s="749"/>
      <c r="U100" s="749"/>
      <c r="V100" s="749"/>
      <c r="W100" s="749"/>
      <c r="X100" s="749"/>
      <c r="Y100" s="749"/>
      <c r="Z100" s="749"/>
      <c r="AA100" s="749"/>
      <c r="AB100" s="749"/>
      <c r="AC100" s="749"/>
      <c r="AD100" s="749"/>
      <c r="AE100" s="749"/>
      <c r="AF100" s="749"/>
      <c r="AG100" s="749"/>
      <c r="AH100" s="749"/>
      <c r="AI100" s="749"/>
      <c r="AJ100" s="749"/>
      <c r="AK100" s="749"/>
      <c r="AL100" s="749"/>
      <c r="AM100" s="749"/>
      <c r="AN100" s="749"/>
      <c r="AO100" s="749"/>
      <c r="AP100" s="749"/>
      <c r="AQ100" s="749"/>
      <c r="AR100" s="749"/>
      <c r="AS100" s="749"/>
      <c r="AT100" s="749"/>
      <c r="AU100" s="749"/>
      <c r="AV100" s="749"/>
      <c r="AW100" s="749"/>
      <c r="AX100" s="749"/>
      <c r="AY100" s="749"/>
      <c r="AZ100" s="749"/>
      <c r="BA100" s="749"/>
      <c r="BB100" s="749"/>
      <c r="BC100" s="749"/>
      <c r="BD100" s="749"/>
      <c r="BE100" s="749"/>
      <c r="BF100" s="749"/>
      <c r="BG100" s="749"/>
      <c r="BH100" s="749"/>
      <c r="BI100" s="749"/>
      <c r="BJ100" s="749"/>
      <c r="BK100" s="749"/>
      <c r="BL100" s="749"/>
      <c r="BM100" s="749"/>
      <c r="BN100" s="749"/>
      <c r="BO100" s="749"/>
      <c r="BP100" s="749"/>
      <c r="BQ100" s="749"/>
      <c r="BR100" s="749"/>
      <c r="BS100" s="749"/>
      <c r="BT100" s="749"/>
      <c r="BU100" s="749"/>
      <c r="BV100" s="749"/>
      <c r="BW100" s="749"/>
      <c r="BX100" s="749"/>
      <c r="BY100" s="749"/>
      <c r="BZ100" s="749"/>
      <c r="CA100" s="749"/>
      <c r="CB100" s="749"/>
      <c r="CC100" s="749"/>
      <c r="CD100" s="749"/>
      <c r="CE100" s="749"/>
      <c r="CF100" s="749"/>
      <c r="CG100" s="749"/>
      <c r="CH100" s="749"/>
      <c r="CI100" s="749"/>
      <c r="CJ100" s="749"/>
      <c r="CK100" s="749"/>
      <c r="CL100" s="749"/>
      <c r="CM100" s="749"/>
      <c r="CN100" s="749"/>
      <c r="CO100" s="749"/>
      <c r="CP100" s="749"/>
      <c r="CQ100" s="749"/>
      <c r="CR100" s="749"/>
      <c r="CS100" s="749"/>
      <c r="CT100" s="749"/>
      <c r="CU100" s="749"/>
      <c r="CV100" s="749"/>
      <c r="CW100" s="749"/>
      <c r="CX100" s="749"/>
      <c r="CY100" s="749"/>
      <c r="CZ100" s="750"/>
      <c r="DA100" s="288"/>
    </row>
    <row r="101" spans="1:105">
      <c r="A101" s="277"/>
      <c r="B101" s="225" t="s">
        <v>116</v>
      </c>
      <c r="D101" s="174"/>
      <c r="E101" s="231"/>
      <c r="F101" s="751">
        <v>0</v>
      </c>
      <c r="G101" s="751"/>
      <c r="H101" s="751"/>
      <c r="I101" s="751"/>
      <c r="J101" s="751"/>
      <c r="K101" s="741"/>
      <c r="L101" s="741"/>
      <c r="M101" s="741"/>
      <c r="N101" s="741"/>
      <c r="O101" s="741"/>
      <c r="P101" s="741"/>
      <c r="Q101" s="741"/>
      <c r="R101" s="741"/>
      <c r="S101" s="741"/>
      <c r="T101" s="741"/>
      <c r="U101" s="741"/>
      <c r="V101" s="741"/>
      <c r="W101" s="741"/>
      <c r="X101" s="741"/>
      <c r="Y101" s="741"/>
      <c r="Z101" s="741"/>
      <c r="AA101" s="741"/>
      <c r="AB101" s="741"/>
      <c r="AC101" s="741"/>
      <c r="AD101" s="741"/>
      <c r="AE101" s="741"/>
      <c r="AF101" s="741"/>
      <c r="AG101" s="741"/>
      <c r="AH101" s="741"/>
      <c r="AI101" s="741"/>
      <c r="AJ101" s="741"/>
      <c r="AK101" s="741"/>
      <c r="AL101" s="741"/>
      <c r="AM101" s="741"/>
      <c r="AN101" s="741"/>
      <c r="AO101" s="741"/>
      <c r="AP101" s="741"/>
      <c r="AQ101" s="741"/>
      <c r="AR101" s="741"/>
      <c r="AS101" s="741"/>
      <c r="AT101" s="741"/>
      <c r="AU101" s="741"/>
      <c r="AV101" s="741"/>
      <c r="AW101" s="741"/>
      <c r="AX101" s="741"/>
      <c r="AY101" s="741"/>
      <c r="AZ101" s="741"/>
      <c r="BA101" s="741"/>
      <c r="BB101" s="741"/>
      <c r="BC101" s="741"/>
      <c r="BD101" s="741"/>
      <c r="BE101" s="741"/>
      <c r="BF101" s="741"/>
      <c r="BG101" s="741"/>
      <c r="BH101" s="741"/>
      <c r="BI101" s="741"/>
      <c r="BJ101" s="741"/>
      <c r="BK101" s="741"/>
      <c r="BL101" s="741"/>
      <c r="BM101" s="741"/>
      <c r="BN101" s="741"/>
      <c r="BO101" s="741"/>
      <c r="BP101" s="741"/>
      <c r="BQ101" s="741"/>
      <c r="BR101" s="741"/>
      <c r="BS101" s="741"/>
      <c r="BT101" s="741"/>
      <c r="BU101" s="741"/>
      <c r="BV101" s="741"/>
      <c r="BW101" s="741"/>
      <c r="BX101" s="741"/>
      <c r="BY101" s="741"/>
      <c r="BZ101" s="741"/>
      <c r="CA101" s="741"/>
      <c r="CB101" s="741"/>
      <c r="CC101" s="741"/>
      <c r="CD101" s="741"/>
      <c r="CE101" s="741"/>
      <c r="CF101" s="741"/>
      <c r="CG101" s="741"/>
      <c r="CH101" s="741"/>
      <c r="CI101" s="741"/>
      <c r="CJ101" s="741"/>
      <c r="CK101" s="741"/>
      <c r="CL101" s="741"/>
      <c r="CM101" s="741"/>
      <c r="CN101" s="741"/>
      <c r="CO101" s="741"/>
      <c r="CP101" s="741"/>
      <c r="CQ101" s="741"/>
      <c r="CR101" s="741"/>
      <c r="CS101" s="741"/>
      <c r="CT101" s="741"/>
      <c r="CU101" s="741"/>
      <c r="CV101" s="741"/>
      <c r="CW101" s="741"/>
      <c r="CX101" s="741"/>
      <c r="CY101" s="741"/>
      <c r="CZ101" s="736"/>
      <c r="DA101" s="288"/>
    </row>
    <row r="102" spans="1:105">
      <c r="A102" s="277"/>
      <c r="B102" s="226" t="s">
        <v>249</v>
      </c>
      <c r="D102" s="174"/>
      <c r="E102" s="231"/>
      <c r="F102" s="752">
        <f t="shared" ref="F102" si="6">F100*(1-F101)</f>
        <v>1</v>
      </c>
      <c r="G102" s="752"/>
      <c r="H102" s="752"/>
      <c r="I102" s="752"/>
      <c r="J102" s="752"/>
      <c r="K102" s="742"/>
      <c r="L102" s="742"/>
      <c r="M102" s="742"/>
      <c r="N102" s="742"/>
      <c r="O102" s="742"/>
      <c r="P102" s="742"/>
      <c r="Q102" s="742"/>
      <c r="R102" s="742"/>
      <c r="S102" s="742"/>
      <c r="T102" s="742"/>
      <c r="U102" s="742"/>
      <c r="V102" s="742"/>
      <c r="W102" s="742"/>
      <c r="X102" s="742"/>
      <c r="Y102" s="742"/>
      <c r="Z102" s="742"/>
      <c r="AA102" s="742"/>
      <c r="AB102" s="742"/>
      <c r="AC102" s="742"/>
      <c r="AD102" s="742"/>
      <c r="AE102" s="742"/>
      <c r="AF102" s="742"/>
      <c r="AG102" s="742"/>
      <c r="AH102" s="742"/>
      <c r="AI102" s="742"/>
      <c r="AJ102" s="742"/>
      <c r="AK102" s="742"/>
      <c r="AL102" s="742"/>
      <c r="AM102" s="742"/>
      <c r="AN102" s="742"/>
      <c r="AO102" s="742"/>
      <c r="AP102" s="742"/>
      <c r="AQ102" s="742"/>
      <c r="AR102" s="742"/>
      <c r="AS102" s="742"/>
      <c r="AT102" s="742"/>
      <c r="AU102" s="742"/>
      <c r="AV102" s="742"/>
      <c r="AW102" s="742"/>
      <c r="AX102" s="742"/>
      <c r="AY102" s="742"/>
      <c r="AZ102" s="742"/>
      <c r="BA102" s="742"/>
      <c r="BB102" s="742"/>
      <c r="BC102" s="742"/>
      <c r="BD102" s="742"/>
      <c r="BE102" s="742"/>
      <c r="BF102" s="742"/>
      <c r="BG102" s="742"/>
      <c r="BH102" s="742"/>
      <c r="BI102" s="742"/>
      <c r="BJ102" s="742"/>
      <c r="BK102" s="742"/>
      <c r="BL102" s="742"/>
      <c r="BM102" s="742"/>
      <c r="BN102" s="742"/>
      <c r="BO102" s="742"/>
      <c r="BP102" s="742"/>
      <c r="BQ102" s="742"/>
      <c r="BR102" s="742"/>
      <c r="BS102" s="742"/>
      <c r="BT102" s="742"/>
      <c r="BU102" s="742"/>
      <c r="BV102" s="742"/>
      <c r="BW102" s="742"/>
      <c r="BX102" s="742"/>
      <c r="BY102" s="742"/>
      <c r="BZ102" s="742"/>
      <c r="CA102" s="742"/>
      <c r="CB102" s="742"/>
      <c r="CC102" s="742"/>
      <c r="CD102" s="742"/>
      <c r="CE102" s="742"/>
      <c r="CF102" s="742"/>
      <c r="CG102" s="742"/>
      <c r="CH102" s="742"/>
      <c r="CI102" s="742"/>
      <c r="CJ102" s="742"/>
      <c r="CK102" s="742"/>
      <c r="CL102" s="742"/>
      <c r="CM102" s="742"/>
      <c r="CN102" s="742"/>
      <c r="CO102" s="742"/>
      <c r="CP102" s="742"/>
      <c r="CQ102" s="742"/>
      <c r="CR102" s="742"/>
      <c r="CS102" s="742"/>
      <c r="CT102" s="742"/>
      <c r="CU102" s="742"/>
      <c r="CV102" s="742"/>
      <c r="CW102" s="742"/>
      <c r="CX102" s="742"/>
      <c r="CY102" s="742"/>
      <c r="CZ102" s="737"/>
      <c r="DA102" s="288"/>
    </row>
    <row r="103" spans="1:105">
      <c r="A103" s="277"/>
      <c r="B103" s="528" t="s">
        <v>89</v>
      </c>
      <c r="D103" s="174"/>
      <c r="E103" s="231"/>
      <c r="F103" s="753">
        <v>1</v>
      </c>
      <c r="G103" s="753"/>
      <c r="H103" s="753"/>
      <c r="I103" s="753"/>
      <c r="J103" s="753"/>
      <c r="K103" s="740"/>
      <c r="L103" s="740"/>
      <c r="M103" s="740"/>
      <c r="N103" s="740"/>
      <c r="O103" s="740"/>
      <c r="P103" s="740"/>
      <c r="Q103" s="740"/>
      <c r="R103" s="740"/>
      <c r="S103" s="740"/>
      <c r="T103" s="740"/>
      <c r="U103" s="740"/>
      <c r="V103" s="740"/>
      <c r="W103" s="740"/>
      <c r="X103" s="740"/>
      <c r="Y103" s="740"/>
      <c r="Z103" s="740"/>
      <c r="AA103" s="740"/>
      <c r="AB103" s="740"/>
      <c r="AC103" s="740"/>
      <c r="AD103" s="740"/>
      <c r="AE103" s="740"/>
      <c r="AF103" s="740"/>
      <c r="AG103" s="740"/>
      <c r="AH103" s="740"/>
      <c r="AI103" s="740"/>
      <c r="AJ103" s="740"/>
      <c r="AK103" s="740"/>
      <c r="AL103" s="740"/>
      <c r="AM103" s="740"/>
      <c r="AN103" s="740"/>
      <c r="AO103" s="740"/>
      <c r="AP103" s="740"/>
      <c r="AQ103" s="740"/>
      <c r="AR103" s="740"/>
      <c r="AS103" s="740"/>
      <c r="AT103" s="740"/>
      <c r="AU103" s="740"/>
      <c r="AV103" s="740"/>
      <c r="AW103" s="740"/>
      <c r="AX103" s="740"/>
      <c r="AY103" s="740"/>
      <c r="AZ103" s="740"/>
      <c r="BA103" s="740"/>
      <c r="BB103" s="740"/>
      <c r="BC103" s="740"/>
      <c r="BD103" s="740"/>
      <c r="BE103" s="740"/>
      <c r="BF103" s="740"/>
      <c r="BG103" s="740"/>
      <c r="BH103" s="740"/>
      <c r="BI103" s="740"/>
      <c r="BJ103" s="740"/>
      <c r="BK103" s="740"/>
      <c r="BL103" s="740"/>
      <c r="BM103" s="740"/>
      <c r="BN103" s="740"/>
      <c r="BO103" s="740"/>
      <c r="BP103" s="740"/>
      <c r="BQ103" s="740"/>
      <c r="BR103" s="740"/>
      <c r="BS103" s="740"/>
      <c r="BT103" s="740"/>
      <c r="BU103" s="740"/>
      <c r="BV103" s="740"/>
      <c r="BW103" s="740"/>
      <c r="BX103" s="740"/>
      <c r="BY103" s="740"/>
      <c r="BZ103" s="740"/>
      <c r="CA103" s="740"/>
      <c r="CB103" s="740"/>
      <c r="CC103" s="740"/>
      <c r="CD103" s="740"/>
      <c r="CE103" s="740"/>
      <c r="CF103" s="740"/>
      <c r="CG103" s="740"/>
      <c r="CH103" s="740"/>
      <c r="CI103" s="740"/>
      <c r="CJ103" s="740"/>
      <c r="CK103" s="740"/>
      <c r="CL103" s="740"/>
      <c r="CM103" s="740"/>
      <c r="CN103" s="740"/>
      <c r="CO103" s="740"/>
      <c r="CP103" s="740"/>
      <c r="CQ103" s="740"/>
      <c r="CR103" s="740"/>
      <c r="CS103" s="740"/>
      <c r="CT103" s="740"/>
      <c r="CU103" s="740"/>
      <c r="CV103" s="740"/>
      <c r="CW103" s="740"/>
      <c r="CX103" s="740"/>
      <c r="CY103" s="740"/>
      <c r="CZ103" s="735"/>
      <c r="DA103" s="288"/>
    </row>
    <row r="104" spans="1:105" ht="18" thickBot="1">
      <c r="A104" s="277"/>
      <c r="B104" s="527" t="s">
        <v>285</v>
      </c>
      <c r="D104" s="174"/>
      <c r="E104" s="231"/>
      <c r="F104" s="754" t="s">
        <v>271</v>
      </c>
      <c r="G104" s="754"/>
      <c r="H104" s="754"/>
      <c r="I104" s="754"/>
      <c r="J104" s="754"/>
      <c r="K104" s="641"/>
      <c r="L104" s="641"/>
      <c r="M104" s="641"/>
      <c r="N104" s="641"/>
      <c r="O104" s="641"/>
      <c r="P104" s="641"/>
      <c r="Q104" s="641"/>
      <c r="R104" s="641"/>
      <c r="S104" s="641"/>
      <c r="T104" s="641"/>
      <c r="U104" s="641"/>
      <c r="V104" s="641"/>
      <c r="W104" s="641"/>
      <c r="X104" s="641"/>
      <c r="Y104" s="641"/>
      <c r="Z104" s="641"/>
      <c r="AA104" s="641"/>
      <c r="AB104" s="641"/>
      <c r="AC104" s="641"/>
      <c r="AD104" s="641"/>
      <c r="AE104" s="641"/>
      <c r="AF104" s="641"/>
      <c r="AG104" s="641"/>
      <c r="AH104" s="641"/>
      <c r="AI104" s="641"/>
      <c r="AJ104" s="641"/>
      <c r="AK104" s="641"/>
      <c r="AL104" s="641"/>
      <c r="AM104" s="641"/>
      <c r="AN104" s="641"/>
      <c r="AO104" s="641"/>
      <c r="AP104" s="641"/>
      <c r="AQ104" s="641"/>
      <c r="AR104" s="641"/>
      <c r="AS104" s="641"/>
      <c r="AT104" s="641"/>
      <c r="AU104" s="641"/>
      <c r="AV104" s="641"/>
      <c r="AW104" s="641"/>
      <c r="AX104" s="641"/>
      <c r="AY104" s="641"/>
      <c r="AZ104" s="641"/>
      <c r="BA104" s="641"/>
      <c r="BB104" s="641"/>
      <c r="BC104" s="641"/>
      <c r="BD104" s="641"/>
      <c r="BE104" s="641"/>
      <c r="BF104" s="641"/>
      <c r="BG104" s="641"/>
      <c r="BH104" s="641"/>
      <c r="BI104" s="641"/>
      <c r="BJ104" s="641"/>
      <c r="BK104" s="641"/>
      <c r="BL104" s="641"/>
      <c r="BM104" s="641"/>
      <c r="BN104" s="641"/>
      <c r="BO104" s="641"/>
      <c r="BP104" s="641"/>
      <c r="BQ104" s="641"/>
      <c r="BR104" s="641"/>
      <c r="BS104" s="641"/>
      <c r="BT104" s="641"/>
      <c r="BU104" s="641"/>
      <c r="BV104" s="641"/>
      <c r="BW104" s="641"/>
      <c r="BX104" s="641"/>
      <c r="BY104" s="641"/>
      <c r="BZ104" s="641"/>
      <c r="CA104" s="641"/>
      <c r="CB104" s="641"/>
      <c r="CC104" s="641"/>
      <c r="CD104" s="641"/>
      <c r="CE104" s="641"/>
      <c r="CF104" s="641"/>
      <c r="CG104" s="641"/>
      <c r="CH104" s="641"/>
      <c r="CI104" s="641"/>
      <c r="CJ104" s="641"/>
      <c r="CK104" s="641"/>
      <c r="CL104" s="641"/>
      <c r="CM104" s="641"/>
      <c r="CN104" s="641"/>
      <c r="CO104" s="641"/>
      <c r="CP104" s="641"/>
      <c r="CQ104" s="641"/>
      <c r="CR104" s="641"/>
      <c r="CS104" s="641"/>
      <c r="CT104" s="641"/>
      <c r="CU104" s="641"/>
      <c r="CV104" s="641"/>
      <c r="CW104" s="641"/>
      <c r="CX104" s="641"/>
      <c r="CY104" s="641"/>
      <c r="CZ104" s="738"/>
      <c r="DA104" s="288"/>
    </row>
    <row r="105" spans="1:105" ht="18" thickBot="1">
      <c r="A105" s="277"/>
      <c r="B105" s="225" t="s">
        <v>280</v>
      </c>
      <c r="D105" s="974">
        <v>15</v>
      </c>
      <c r="E105" s="231"/>
      <c r="F105" s="755">
        <f t="shared" ref="F105" si="7">IF(F104="","",IF(F104="Ja",Locatiekosten,IF(F104="Nee",0)))</f>
        <v>0</v>
      </c>
      <c r="G105" s="755"/>
      <c r="H105" s="755"/>
      <c r="I105" s="755"/>
      <c r="J105" s="755"/>
      <c r="K105" s="743"/>
      <c r="L105" s="743"/>
      <c r="M105" s="743"/>
      <c r="N105" s="743"/>
      <c r="O105" s="743"/>
      <c r="P105" s="743"/>
      <c r="Q105" s="743"/>
      <c r="R105" s="743"/>
      <c r="S105" s="743"/>
      <c r="T105" s="743"/>
      <c r="U105" s="743"/>
      <c r="V105" s="743"/>
      <c r="W105" s="743"/>
      <c r="X105" s="743"/>
      <c r="Y105" s="743"/>
      <c r="Z105" s="743"/>
      <c r="AA105" s="743"/>
      <c r="AB105" s="743"/>
      <c r="AC105" s="743"/>
      <c r="AD105" s="743"/>
      <c r="AE105" s="743"/>
      <c r="AF105" s="743"/>
      <c r="AG105" s="743"/>
      <c r="AH105" s="743"/>
      <c r="AI105" s="743"/>
      <c r="AJ105" s="743"/>
      <c r="AK105" s="743"/>
      <c r="AL105" s="743"/>
      <c r="AM105" s="743"/>
      <c r="AN105" s="743"/>
      <c r="AO105" s="743"/>
      <c r="AP105" s="743"/>
      <c r="AQ105" s="743"/>
      <c r="AR105" s="743"/>
      <c r="AS105" s="743"/>
      <c r="AT105" s="743"/>
      <c r="AU105" s="743"/>
      <c r="AV105" s="743"/>
      <c r="AW105" s="743"/>
      <c r="AX105" s="743"/>
      <c r="AY105" s="743"/>
      <c r="AZ105" s="743"/>
      <c r="BA105" s="743"/>
      <c r="BB105" s="743"/>
      <c r="BC105" s="743"/>
      <c r="BD105" s="743"/>
      <c r="BE105" s="743"/>
      <c r="BF105" s="743"/>
      <c r="BG105" s="743"/>
      <c r="BH105" s="743"/>
      <c r="BI105" s="743"/>
      <c r="BJ105" s="743"/>
      <c r="BK105" s="743"/>
      <c r="BL105" s="743"/>
      <c r="BM105" s="743"/>
      <c r="BN105" s="743"/>
      <c r="BO105" s="743"/>
      <c r="BP105" s="743"/>
      <c r="BQ105" s="743"/>
      <c r="BR105" s="743"/>
      <c r="BS105" s="743"/>
      <c r="BT105" s="743"/>
      <c r="BU105" s="743"/>
      <c r="BV105" s="743"/>
      <c r="BW105" s="743"/>
      <c r="BX105" s="743"/>
      <c r="BY105" s="743"/>
      <c r="BZ105" s="743"/>
      <c r="CA105" s="743"/>
      <c r="CB105" s="743"/>
      <c r="CC105" s="743"/>
      <c r="CD105" s="743"/>
      <c r="CE105" s="743"/>
      <c r="CF105" s="743"/>
      <c r="CG105" s="743"/>
      <c r="CH105" s="743"/>
      <c r="CI105" s="743"/>
      <c r="CJ105" s="743"/>
      <c r="CK105" s="743"/>
      <c r="CL105" s="743"/>
      <c r="CM105" s="743"/>
      <c r="CN105" s="743"/>
      <c r="CO105" s="743"/>
      <c r="CP105" s="743"/>
      <c r="CQ105" s="743"/>
      <c r="CR105" s="743"/>
      <c r="CS105" s="743"/>
      <c r="CT105" s="743"/>
      <c r="CU105" s="743"/>
      <c r="CV105" s="743"/>
      <c r="CW105" s="743"/>
      <c r="CX105" s="743"/>
      <c r="CY105" s="743"/>
      <c r="CZ105" s="739"/>
      <c r="DA105" s="288"/>
    </row>
    <row r="106" spans="1:105" ht="18" thickBot="1">
      <c r="A106" s="277"/>
      <c r="B106" s="527" t="s">
        <v>281</v>
      </c>
      <c r="D106" s="975"/>
      <c r="E106" s="231"/>
      <c r="F106" s="754" t="s">
        <v>271</v>
      </c>
      <c r="G106" s="754"/>
      <c r="H106" s="754"/>
      <c r="I106" s="754"/>
      <c r="J106" s="754"/>
      <c r="K106" s="641"/>
      <c r="L106" s="641"/>
      <c r="M106" s="641"/>
      <c r="N106" s="641"/>
      <c r="O106" s="641"/>
      <c r="P106" s="641"/>
      <c r="Q106" s="641"/>
      <c r="R106" s="641"/>
      <c r="S106" s="641"/>
      <c r="T106" s="641"/>
      <c r="U106" s="641"/>
      <c r="V106" s="641"/>
      <c r="W106" s="641"/>
      <c r="X106" s="641"/>
      <c r="Y106" s="641"/>
      <c r="Z106" s="641"/>
      <c r="AA106" s="641"/>
      <c r="AB106" s="641"/>
      <c r="AC106" s="641"/>
      <c r="AD106" s="641"/>
      <c r="AE106" s="641"/>
      <c r="AF106" s="641"/>
      <c r="AG106" s="641"/>
      <c r="AH106" s="641"/>
      <c r="AI106" s="641"/>
      <c r="AJ106" s="641"/>
      <c r="AK106" s="641"/>
      <c r="AL106" s="641"/>
      <c r="AM106" s="641"/>
      <c r="AN106" s="641"/>
      <c r="AO106" s="641"/>
      <c r="AP106" s="641"/>
      <c r="AQ106" s="641"/>
      <c r="AR106" s="641"/>
      <c r="AS106" s="641"/>
      <c r="AT106" s="641"/>
      <c r="AU106" s="641"/>
      <c r="AV106" s="641"/>
      <c r="AW106" s="641"/>
      <c r="AX106" s="641"/>
      <c r="AY106" s="641"/>
      <c r="AZ106" s="641"/>
      <c r="BA106" s="641"/>
      <c r="BB106" s="641"/>
      <c r="BC106" s="641"/>
      <c r="BD106" s="641"/>
      <c r="BE106" s="641"/>
      <c r="BF106" s="641"/>
      <c r="BG106" s="641"/>
      <c r="BH106" s="641"/>
      <c r="BI106" s="641"/>
      <c r="BJ106" s="641"/>
      <c r="BK106" s="641"/>
      <c r="BL106" s="641"/>
      <c r="BM106" s="641"/>
      <c r="BN106" s="641"/>
      <c r="BO106" s="641"/>
      <c r="BP106" s="641"/>
      <c r="BQ106" s="641"/>
      <c r="BR106" s="641"/>
      <c r="BS106" s="641"/>
      <c r="BT106" s="641"/>
      <c r="BU106" s="641"/>
      <c r="BV106" s="641"/>
      <c r="BW106" s="641"/>
      <c r="BX106" s="641"/>
      <c r="BY106" s="641"/>
      <c r="BZ106" s="641"/>
      <c r="CA106" s="641"/>
      <c r="CB106" s="641"/>
      <c r="CC106" s="641"/>
      <c r="CD106" s="641"/>
      <c r="CE106" s="641"/>
      <c r="CF106" s="641"/>
      <c r="CG106" s="641"/>
      <c r="CH106" s="641"/>
      <c r="CI106" s="641"/>
      <c r="CJ106" s="641"/>
      <c r="CK106" s="641"/>
      <c r="CL106" s="641"/>
      <c r="CM106" s="641"/>
      <c r="CN106" s="641"/>
      <c r="CO106" s="641"/>
      <c r="CP106" s="641"/>
      <c r="CQ106" s="641"/>
      <c r="CR106" s="641"/>
      <c r="CS106" s="641"/>
      <c r="CT106" s="641"/>
      <c r="CU106" s="641"/>
      <c r="CV106" s="641"/>
      <c r="CW106" s="641"/>
      <c r="CX106" s="641"/>
      <c r="CY106" s="641"/>
      <c r="CZ106" s="738"/>
      <c r="DA106" s="288"/>
    </row>
    <row r="107" spans="1:105" ht="18" thickBot="1">
      <c r="A107" s="277"/>
      <c r="B107" s="529" t="s">
        <v>282</v>
      </c>
      <c r="D107" s="974">
        <f>AVERAGE(33.17,34.78)</f>
        <v>33.975000000000001</v>
      </c>
      <c r="E107" s="231"/>
      <c r="F107" s="755">
        <f t="shared" ref="F107" si="8">IF(F106="","",IF(F106="Ja",NHC_NIC,IF(F106="Nee",0)))</f>
        <v>0</v>
      </c>
      <c r="G107" s="755"/>
      <c r="H107" s="755"/>
      <c r="I107" s="755"/>
      <c r="J107" s="755"/>
      <c r="K107" s="743"/>
      <c r="L107" s="743"/>
      <c r="M107" s="743"/>
      <c r="N107" s="743"/>
      <c r="O107" s="743"/>
      <c r="P107" s="743"/>
      <c r="Q107" s="743"/>
      <c r="R107" s="743"/>
      <c r="S107" s="743"/>
      <c r="T107" s="743"/>
      <c r="U107" s="743"/>
      <c r="V107" s="743"/>
      <c r="W107" s="743"/>
      <c r="X107" s="743"/>
      <c r="Y107" s="743"/>
      <c r="Z107" s="743"/>
      <c r="AA107" s="743"/>
      <c r="AB107" s="743"/>
      <c r="AC107" s="743"/>
      <c r="AD107" s="743"/>
      <c r="AE107" s="743"/>
      <c r="AF107" s="743"/>
      <c r="AG107" s="743"/>
      <c r="AH107" s="743"/>
      <c r="AI107" s="743"/>
      <c r="AJ107" s="743"/>
      <c r="AK107" s="743"/>
      <c r="AL107" s="743"/>
      <c r="AM107" s="743"/>
      <c r="AN107" s="743"/>
      <c r="AO107" s="743"/>
      <c r="AP107" s="743"/>
      <c r="AQ107" s="743"/>
      <c r="AR107" s="743"/>
      <c r="AS107" s="743"/>
      <c r="AT107" s="743"/>
      <c r="AU107" s="743"/>
      <c r="AV107" s="743"/>
      <c r="AW107" s="743"/>
      <c r="AX107" s="743"/>
      <c r="AY107" s="743"/>
      <c r="AZ107" s="743"/>
      <c r="BA107" s="743"/>
      <c r="BB107" s="743"/>
      <c r="BC107" s="743"/>
      <c r="BD107" s="743"/>
      <c r="BE107" s="743"/>
      <c r="BF107" s="743"/>
      <c r="BG107" s="743"/>
      <c r="BH107" s="743"/>
      <c r="BI107" s="743"/>
      <c r="BJ107" s="743"/>
      <c r="BK107" s="743"/>
      <c r="BL107" s="743"/>
      <c r="BM107" s="743"/>
      <c r="BN107" s="743"/>
      <c r="BO107" s="743"/>
      <c r="BP107" s="743"/>
      <c r="BQ107" s="743"/>
      <c r="BR107" s="743"/>
      <c r="BS107" s="743"/>
      <c r="BT107" s="743"/>
      <c r="BU107" s="743"/>
      <c r="BV107" s="743"/>
      <c r="BW107" s="743"/>
      <c r="BX107" s="743"/>
      <c r="BY107" s="743"/>
      <c r="BZ107" s="743"/>
      <c r="CA107" s="743"/>
      <c r="CB107" s="743"/>
      <c r="CC107" s="743"/>
      <c r="CD107" s="743"/>
      <c r="CE107" s="743"/>
      <c r="CF107" s="743"/>
      <c r="CG107" s="743"/>
      <c r="CH107" s="743"/>
      <c r="CI107" s="743"/>
      <c r="CJ107" s="743"/>
      <c r="CK107" s="743"/>
      <c r="CL107" s="743"/>
      <c r="CM107" s="743"/>
      <c r="CN107" s="743"/>
      <c r="CO107" s="743"/>
      <c r="CP107" s="743"/>
      <c r="CQ107" s="743"/>
      <c r="CR107" s="743"/>
      <c r="CS107" s="743"/>
      <c r="CT107" s="743"/>
      <c r="CU107" s="743"/>
      <c r="CV107" s="743"/>
      <c r="CW107" s="743"/>
      <c r="CX107" s="743"/>
      <c r="CY107" s="743"/>
      <c r="CZ107" s="739"/>
      <c r="DA107" s="288"/>
    </row>
    <row r="108" spans="1:105" ht="18" thickBot="1">
      <c r="A108" s="277"/>
      <c r="B108" s="527" t="s">
        <v>283</v>
      </c>
      <c r="D108" s="975"/>
      <c r="E108" s="231"/>
      <c r="F108" s="754" t="s">
        <v>271</v>
      </c>
      <c r="G108" s="754"/>
      <c r="H108" s="754"/>
      <c r="I108" s="754"/>
      <c r="J108" s="754"/>
      <c r="K108" s="641"/>
      <c r="L108" s="641"/>
      <c r="M108" s="641"/>
      <c r="N108" s="641"/>
      <c r="O108" s="641"/>
      <c r="P108" s="641"/>
      <c r="Q108" s="641"/>
      <c r="R108" s="641"/>
      <c r="S108" s="641"/>
      <c r="T108" s="641"/>
      <c r="U108" s="641"/>
      <c r="V108" s="641"/>
      <c r="W108" s="641"/>
      <c r="X108" s="641"/>
      <c r="Y108" s="641"/>
      <c r="Z108" s="641"/>
      <c r="AA108" s="641"/>
      <c r="AB108" s="641"/>
      <c r="AC108" s="641"/>
      <c r="AD108" s="641"/>
      <c r="AE108" s="641"/>
      <c r="AF108" s="641"/>
      <c r="AG108" s="641"/>
      <c r="AH108" s="641"/>
      <c r="AI108" s="641"/>
      <c r="AJ108" s="641"/>
      <c r="AK108" s="641"/>
      <c r="AL108" s="641"/>
      <c r="AM108" s="641"/>
      <c r="AN108" s="641"/>
      <c r="AO108" s="641"/>
      <c r="AP108" s="641"/>
      <c r="AQ108" s="641"/>
      <c r="AR108" s="641"/>
      <c r="AS108" s="641"/>
      <c r="AT108" s="641"/>
      <c r="AU108" s="641"/>
      <c r="AV108" s="641"/>
      <c r="AW108" s="641"/>
      <c r="AX108" s="641"/>
      <c r="AY108" s="641"/>
      <c r="AZ108" s="641"/>
      <c r="BA108" s="641"/>
      <c r="BB108" s="641"/>
      <c r="BC108" s="641"/>
      <c r="BD108" s="641"/>
      <c r="BE108" s="641"/>
      <c r="BF108" s="641"/>
      <c r="BG108" s="641"/>
      <c r="BH108" s="641"/>
      <c r="BI108" s="641"/>
      <c r="BJ108" s="641"/>
      <c r="BK108" s="641"/>
      <c r="BL108" s="641"/>
      <c r="BM108" s="641"/>
      <c r="BN108" s="641"/>
      <c r="BO108" s="641"/>
      <c r="BP108" s="641"/>
      <c r="BQ108" s="641"/>
      <c r="BR108" s="641"/>
      <c r="BS108" s="641"/>
      <c r="BT108" s="641"/>
      <c r="BU108" s="641"/>
      <c r="BV108" s="641"/>
      <c r="BW108" s="641"/>
      <c r="BX108" s="641"/>
      <c r="BY108" s="641"/>
      <c r="BZ108" s="641"/>
      <c r="CA108" s="641"/>
      <c r="CB108" s="641"/>
      <c r="CC108" s="641"/>
      <c r="CD108" s="641"/>
      <c r="CE108" s="641"/>
      <c r="CF108" s="641"/>
      <c r="CG108" s="641"/>
      <c r="CH108" s="641"/>
      <c r="CI108" s="641"/>
      <c r="CJ108" s="641"/>
      <c r="CK108" s="641"/>
      <c r="CL108" s="641"/>
      <c r="CM108" s="641"/>
      <c r="CN108" s="641"/>
      <c r="CO108" s="641"/>
      <c r="CP108" s="641"/>
      <c r="CQ108" s="641"/>
      <c r="CR108" s="641"/>
      <c r="CS108" s="641"/>
      <c r="CT108" s="641"/>
      <c r="CU108" s="641"/>
      <c r="CV108" s="641"/>
      <c r="CW108" s="641"/>
      <c r="CX108" s="641"/>
      <c r="CY108" s="641"/>
      <c r="CZ108" s="738"/>
      <c r="DA108" s="288"/>
    </row>
    <row r="109" spans="1:105" ht="18" thickBot="1">
      <c r="A109" s="277"/>
      <c r="B109" s="225" t="s">
        <v>284</v>
      </c>
      <c r="D109" s="974">
        <v>28.78</v>
      </c>
      <c r="E109" s="231"/>
      <c r="F109" s="755">
        <f t="shared" ref="F109" si="9">IF(F108="","",IF(F108="Ja",Hotelmatige_kosten,IF(F108="Nee",0)))</f>
        <v>0</v>
      </c>
      <c r="G109" s="755"/>
      <c r="H109" s="755"/>
      <c r="I109" s="755"/>
      <c r="J109" s="755"/>
      <c r="K109" s="743"/>
      <c r="L109" s="743"/>
      <c r="M109" s="743"/>
      <c r="N109" s="743"/>
      <c r="O109" s="743"/>
      <c r="P109" s="743"/>
      <c r="Q109" s="743"/>
      <c r="R109" s="743"/>
      <c r="S109" s="743"/>
      <c r="T109" s="743"/>
      <c r="U109" s="743"/>
      <c r="V109" s="743"/>
      <c r="W109" s="743"/>
      <c r="X109" s="743"/>
      <c r="Y109" s="743"/>
      <c r="Z109" s="743"/>
      <c r="AA109" s="743"/>
      <c r="AB109" s="743"/>
      <c r="AC109" s="743"/>
      <c r="AD109" s="743"/>
      <c r="AE109" s="743"/>
      <c r="AF109" s="743"/>
      <c r="AG109" s="743"/>
      <c r="AH109" s="743"/>
      <c r="AI109" s="743"/>
      <c r="AJ109" s="743"/>
      <c r="AK109" s="743"/>
      <c r="AL109" s="743"/>
      <c r="AM109" s="743"/>
      <c r="AN109" s="743"/>
      <c r="AO109" s="743"/>
      <c r="AP109" s="743"/>
      <c r="AQ109" s="743"/>
      <c r="AR109" s="743"/>
      <c r="AS109" s="743"/>
      <c r="AT109" s="743"/>
      <c r="AU109" s="743"/>
      <c r="AV109" s="743"/>
      <c r="AW109" s="743"/>
      <c r="AX109" s="743"/>
      <c r="AY109" s="743"/>
      <c r="AZ109" s="743"/>
      <c r="BA109" s="743"/>
      <c r="BB109" s="743"/>
      <c r="BC109" s="743"/>
      <c r="BD109" s="743"/>
      <c r="BE109" s="743"/>
      <c r="BF109" s="743"/>
      <c r="BG109" s="743"/>
      <c r="BH109" s="743"/>
      <c r="BI109" s="743"/>
      <c r="BJ109" s="743"/>
      <c r="BK109" s="743"/>
      <c r="BL109" s="743"/>
      <c r="BM109" s="743"/>
      <c r="BN109" s="743"/>
      <c r="BO109" s="743"/>
      <c r="BP109" s="743"/>
      <c r="BQ109" s="743"/>
      <c r="BR109" s="743"/>
      <c r="BS109" s="743"/>
      <c r="BT109" s="743"/>
      <c r="BU109" s="743"/>
      <c r="BV109" s="743"/>
      <c r="BW109" s="743"/>
      <c r="BX109" s="743"/>
      <c r="BY109" s="743"/>
      <c r="BZ109" s="743"/>
      <c r="CA109" s="743"/>
      <c r="CB109" s="743"/>
      <c r="CC109" s="743"/>
      <c r="CD109" s="743"/>
      <c r="CE109" s="743"/>
      <c r="CF109" s="743"/>
      <c r="CG109" s="743"/>
      <c r="CH109" s="743"/>
      <c r="CI109" s="743"/>
      <c r="CJ109" s="743"/>
      <c r="CK109" s="743"/>
      <c r="CL109" s="743"/>
      <c r="CM109" s="743"/>
      <c r="CN109" s="743"/>
      <c r="CO109" s="743"/>
      <c r="CP109" s="743"/>
      <c r="CQ109" s="743"/>
      <c r="CR109" s="743"/>
      <c r="CS109" s="743"/>
      <c r="CT109" s="743"/>
      <c r="CU109" s="743"/>
      <c r="CV109" s="743"/>
      <c r="CW109" s="743"/>
      <c r="CX109" s="743"/>
      <c r="CY109" s="743"/>
      <c r="CZ109" s="739"/>
      <c r="DA109" s="288"/>
    </row>
    <row r="110" spans="1:105" ht="18" thickBot="1">
      <c r="A110" s="277"/>
      <c r="B110" s="226" t="s">
        <v>324</v>
      </c>
      <c r="D110" s="976"/>
      <c r="E110" s="231"/>
      <c r="F110" s="754" t="s">
        <v>286</v>
      </c>
      <c r="G110" s="754"/>
      <c r="H110" s="754"/>
      <c r="I110" s="754"/>
      <c r="J110" s="754"/>
      <c r="K110" s="641"/>
      <c r="L110" s="641"/>
      <c r="M110" s="641"/>
      <c r="N110" s="641"/>
      <c r="O110" s="641"/>
      <c r="P110" s="641"/>
      <c r="Q110" s="641"/>
      <c r="R110" s="641"/>
      <c r="S110" s="641"/>
      <c r="T110" s="641"/>
      <c r="U110" s="641"/>
      <c r="V110" s="641"/>
      <c r="W110" s="641"/>
      <c r="X110" s="641"/>
      <c r="Y110" s="641"/>
      <c r="Z110" s="641"/>
      <c r="AA110" s="641"/>
      <c r="AB110" s="641"/>
      <c r="AC110" s="641"/>
      <c r="AD110" s="641"/>
      <c r="AE110" s="641"/>
      <c r="AF110" s="641"/>
      <c r="AG110" s="641"/>
      <c r="AH110" s="641"/>
      <c r="AI110" s="641"/>
      <c r="AJ110" s="641"/>
      <c r="AK110" s="641"/>
      <c r="AL110" s="641"/>
      <c r="AM110" s="641"/>
      <c r="AN110" s="641"/>
      <c r="AO110" s="641"/>
      <c r="AP110" s="641"/>
      <c r="AQ110" s="641"/>
      <c r="AR110" s="641"/>
      <c r="AS110" s="641"/>
      <c r="AT110" s="641"/>
      <c r="AU110" s="641"/>
      <c r="AV110" s="641"/>
      <c r="AW110" s="641"/>
      <c r="AX110" s="641"/>
      <c r="AY110" s="641"/>
      <c r="AZ110" s="641"/>
      <c r="BA110" s="641"/>
      <c r="BB110" s="641"/>
      <c r="BC110" s="641"/>
      <c r="BD110" s="641"/>
      <c r="BE110" s="641"/>
      <c r="BF110" s="641"/>
      <c r="BG110" s="641"/>
      <c r="BH110" s="641"/>
      <c r="BI110" s="641"/>
      <c r="BJ110" s="641"/>
      <c r="BK110" s="641"/>
      <c r="BL110" s="641"/>
      <c r="BM110" s="641"/>
      <c r="BN110" s="641"/>
      <c r="BO110" s="641"/>
      <c r="BP110" s="641"/>
      <c r="BQ110" s="641"/>
      <c r="BR110" s="641"/>
      <c r="BS110" s="641"/>
      <c r="BT110" s="641"/>
      <c r="BU110" s="641"/>
      <c r="BV110" s="641"/>
      <c r="BW110" s="641"/>
      <c r="BX110" s="641"/>
      <c r="BY110" s="641"/>
      <c r="BZ110" s="641"/>
      <c r="CA110" s="641"/>
      <c r="CB110" s="641"/>
      <c r="CC110" s="641"/>
      <c r="CD110" s="641"/>
      <c r="CE110" s="641"/>
      <c r="CF110" s="641"/>
      <c r="CG110" s="641"/>
      <c r="CH110" s="641"/>
      <c r="CI110" s="641"/>
      <c r="CJ110" s="641"/>
      <c r="CK110" s="641"/>
      <c r="CL110" s="641"/>
      <c r="CM110" s="641"/>
      <c r="CN110" s="641"/>
      <c r="CO110" s="641"/>
      <c r="CP110" s="641"/>
      <c r="CQ110" s="641"/>
      <c r="CR110" s="641"/>
      <c r="CS110" s="641"/>
      <c r="CT110" s="641"/>
      <c r="CU110" s="641"/>
      <c r="CV110" s="641"/>
      <c r="CW110" s="641"/>
      <c r="CX110" s="641"/>
      <c r="CY110" s="641"/>
      <c r="CZ110" s="738"/>
      <c r="DA110" s="288"/>
    </row>
    <row r="111" spans="1:105" ht="18" thickBot="1">
      <c r="A111" s="277"/>
      <c r="B111" s="225" t="s">
        <v>296</v>
      </c>
      <c r="D111" s="974">
        <f>Parameters!C13</f>
        <v>982.8</v>
      </c>
      <c r="E111" s="231"/>
      <c r="F111" s="755">
        <f>IF(F110="","",IF(F110="Ja",Reiskosten/F95,IF(F110="Nee",0)))</f>
        <v>0.75972150553488194</v>
      </c>
      <c r="G111" s="755"/>
      <c r="H111" s="755"/>
      <c r="I111" s="755"/>
      <c r="J111" s="755"/>
      <c r="K111" s="743"/>
      <c r="L111" s="743"/>
      <c r="M111" s="743"/>
      <c r="N111" s="743"/>
      <c r="O111" s="743"/>
      <c r="P111" s="743"/>
      <c r="Q111" s="743"/>
      <c r="R111" s="743"/>
      <c r="S111" s="743"/>
      <c r="T111" s="743"/>
      <c r="U111" s="743"/>
      <c r="V111" s="743"/>
      <c r="W111" s="743"/>
      <c r="X111" s="743"/>
      <c r="Y111" s="743"/>
      <c r="Z111" s="743"/>
      <c r="AA111" s="743"/>
      <c r="AB111" s="743"/>
      <c r="AC111" s="743"/>
      <c r="AD111" s="743"/>
      <c r="AE111" s="743"/>
      <c r="AF111" s="743"/>
      <c r="AG111" s="743"/>
      <c r="AH111" s="743"/>
      <c r="AI111" s="743"/>
      <c r="AJ111" s="743"/>
      <c r="AK111" s="743"/>
      <c r="AL111" s="743"/>
      <c r="AM111" s="743"/>
      <c r="AN111" s="743"/>
      <c r="AO111" s="743"/>
      <c r="AP111" s="743"/>
      <c r="AQ111" s="743"/>
      <c r="AR111" s="743"/>
      <c r="AS111" s="743"/>
      <c r="AT111" s="743"/>
      <c r="AU111" s="743"/>
      <c r="AV111" s="743"/>
      <c r="AW111" s="743"/>
      <c r="AX111" s="743"/>
      <c r="AY111" s="743"/>
      <c r="AZ111" s="743"/>
      <c r="BA111" s="743"/>
      <c r="BB111" s="743"/>
      <c r="BC111" s="743"/>
      <c r="BD111" s="743"/>
      <c r="BE111" s="743"/>
      <c r="BF111" s="743"/>
      <c r="BG111" s="743"/>
      <c r="BH111" s="743"/>
      <c r="BI111" s="743"/>
      <c r="BJ111" s="743"/>
      <c r="BK111" s="743"/>
      <c r="BL111" s="743"/>
      <c r="BM111" s="743"/>
      <c r="BN111" s="743"/>
      <c r="BO111" s="743"/>
      <c r="BP111" s="743"/>
      <c r="BQ111" s="743"/>
      <c r="BR111" s="743"/>
      <c r="BS111" s="743"/>
      <c r="BT111" s="743"/>
      <c r="BU111" s="743"/>
      <c r="BV111" s="743"/>
      <c r="BW111" s="743"/>
      <c r="BX111" s="743"/>
      <c r="BY111" s="743"/>
      <c r="BZ111" s="743"/>
      <c r="CA111" s="743"/>
      <c r="CB111" s="743"/>
      <c r="CC111" s="743"/>
      <c r="CD111" s="743"/>
      <c r="CE111" s="743"/>
      <c r="CF111" s="743"/>
      <c r="CG111" s="743"/>
      <c r="CH111" s="743"/>
      <c r="CI111" s="743"/>
      <c r="CJ111" s="743"/>
      <c r="CK111" s="743"/>
      <c r="CL111" s="743"/>
      <c r="CM111" s="743"/>
      <c r="CN111" s="743"/>
      <c r="CO111" s="743"/>
      <c r="CP111" s="743"/>
      <c r="CQ111" s="743"/>
      <c r="CR111" s="743"/>
      <c r="CS111" s="743"/>
      <c r="CT111" s="743"/>
      <c r="CU111" s="743"/>
      <c r="CV111" s="743"/>
      <c r="CW111" s="743"/>
      <c r="CX111" s="743"/>
      <c r="CY111" s="743"/>
      <c r="CZ111" s="739"/>
      <c r="DA111" s="288"/>
    </row>
    <row r="112" spans="1:105" ht="18" hidden="1" customHeight="1" thickBot="1">
      <c r="A112" s="277"/>
      <c r="B112" s="226" t="s">
        <v>325</v>
      </c>
      <c r="D112" s="559"/>
      <c r="E112" s="231"/>
      <c r="F112" s="754" t="s">
        <v>271</v>
      </c>
      <c r="G112" s="754"/>
      <c r="H112" s="754"/>
      <c r="I112" s="754"/>
      <c r="J112" s="754"/>
      <c r="K112" s="641"/>
      <c r="L112" s="641"/>
      <c r="M112" s="641"/>
      <c r="N112" s="641"/>
      <c r="O112" s="641"/>
      <c r="P112" s="641"/>
      <c r="Q112" s="641"/>
      <c r="R112" s="641"/>
      <c r="S112" s="641"/>
      <c r="T112" s="641"/>
      <c r="U112" s="641"/>
      <c r="V112" s="641"/>
      <c r="W112" s="641"/>
      <c r="X112" s="641"/>
      <c r="Y112" s="641"/>
      <c r="Z112" s="641"/>
      <c r="AA112" s="641"/>
      <c r="AB112" s="641"/>
      <c r="AC112" s="641"/>
      <c r="AD112" s="641"/>
      <c r="AE112" s="641"/>
      <c r="AF112" s="641"/>
      <c r="AG112" s="641"/>
      <c r="AH112" s="641"/>
      <c r="AI112" s="641"/>
      <c r="AJ112" s="641"/>
      <c r="AK112" s="641"/>
      <c r="AL112" s="641"/>
      <c r="AM112" s="641"/>
      <c r="AN112" s="641"/>
      <c r="AO112" s="641"/>
      <c r="AP112" s="641"/>
      <c r="AQ112" s="641"/>
      <c r="AR112" s="641"/>
      <c r="AS112" s="641"/>
      <c r="AT112" s="641"/>
      <c r="AU112" s="641"/>
      <c r="AV112" s="641"/>
      <c r="AW112" s="641"/>
      <c r="AX112" s="641"/>
      <c r="AY112" s="641"/>
      <c r="AZ112" s="641"/>
      <c r="BA112" s="641"/>
      <c r="BB112" s="641"/>
      <c r="BC112" s="641"/>
      <c r="BD112" s="641"/>
      <c r="BE112" s="641"/>
      <c r="BF112" s="641"/>
      <c r="BG112" s="641"/>
      <c r="BH112" s="641"/>
      <c r="BI112" s="641"/>
      <c r="BJ112" s="641"/>
      <c r="BK112" s="641"/>
      <c r="BL112" s="641"/>
      <c r="BM112" s="641"/>
      <c r="BN112" s="641"/>
      <c r="BO112" s="641"/>
      <c r="BP112" s="641"/>
      <c r="BQ112" s="641"/>
      <c r="BR112" s="641"/>
      <c r="BS112" s="641"/>
      <c r="BT112" s="641"/>
      <c r="BU112" s="641"/>
      <c r="BV112" s="641"/>
      <c r="BW112" s="641"/>
      <c r="BX112" s="641"/>
      <c r="BY112" s="641"/>
      <c r="BZ112" s="641"/>
      <c r="CA112" s="641"/>
      <c r="CB112" s="641"/>
      <c r="CC112" s="641"/>
      <c r="CD112" s="641"/>
      <c r="CE112" s="641"/>
      <c r="CF112" s="641"/>
      <c r="CG112" s="641"/>
      <c r="CH112" s="641"/>
      <c r="CI112" s="641"/>
      <c r="CJ112" s="641"/>
      <c r="CK112" s="641"/>
      <c r="CL112" s="641"/>
      <c r="CM112" s="641"/>
      <c r="CN112" s="641"/>
      <c r="CO112" s="641"/>
      <c r="CP112" s="641"/>
      <c r="CQ112" s="641"/>
      <c r="CR112" s="641"/>
      <c r="CS112" s="641"/>
      <c r="CT112" s="641"/>
      <c r="CU112" s="641"/>
      <c r="CV112" s="641"/>
      <c r="CW112" s="641"/>
      <c r="CX112" s="641"/>
      <c r="CY112" s="641"/>
      <c r="CZ112" s="738"/>
      <c r="DA112" s="288"/>
    </row>
    <row r="113" spans="1:105" ht="18" hidden="1" customHeight="1" thickBot="1">
      <c r="A113" s="277"/>
      <c r="B113" s="225" t="s">
        <v>297</v>
      </c>
      <c r="D113" s="807">
        <f>'Extra inzet'!F104</f>
        <v>304.75859128855018</v>
      </c>
      <c r="E113" s="231"/>
      <c r="F113" s="755">
        <f t="shared" ref="F113" si="10">IF(F112="","",IF(F112="Ja",Slaapwacht/F102,IF(F112="Nee",0)))</f>
        <v>0</v>
      </c>
      <c r="G113" s="755"/>
      <c r="H113" s="755"/>
      <c r="I113" s="755"/>
      <c r="J113" s="755"/>
      <c r="K113" s="743"/>
      <c r="L113" s="743"/>
      <c r="M113" s="743"/>
      <c r="N113" s="743"/>
      <c r="O113" s="743"/>
      <c r="P113" s="743"/>
      <c r="Q113" s="743"/>
      <c r="R113" s="743"/>
      <c r="S113" s="743"/>
      <c r="T113" s="743"/>
      <c r="U113" s="743"/>
      <c r="V113" s="743"/>
      <c r="W113" s="743"/>
      <c r="X113" s="743"/>
      <c r="Y113" s="743"/>
      <c r="Z113" s="743"/>
      <c r="AA113" s="743"/>
      <c r="AB113" s="743"/>
      <c r="AC113" s="743"/>
      <c r="AD113" s="743"/>
      <c r="AE113" s="743"/>
      <c r="AF113" s="743"/>
      <c r="AG113" s="743"/>
      <c r="AH113" s="743"/>
      <c r="AI113" s="743"/>
      <c r="AJ113" s="743"/>
      <c r="AK113" s="743"/>
      <c r="AL113" s="743"/>
      <c r="AM113" s="743"/>
      <c r="AN113" s="743"/>
      <c r="AO113" s="743"/>
      <c r="AP113" s="743"/>
      <c r="AQ113" s="743"/>
      <c r="AR113" s="743"/>
      <c r="AS113" s="743"/>
      <c r="AT113" s="743"/>
      <c r="AU113" s="743"/>
      <c r="AV113" s="743"/>
      <c r="AW113" s="743"/>
      <c r="AX113" s="743"/>
      <c r="AY113" s="743"/>
      <c r="AZ113" s="743"/>
      <c r="BA113" s="743"/>
      <c r="BB113" s="743"/>
      <c r="BC113" s="743"/>
      <c r="BD113" s="743"/>
      <c r="BE113" s="743"/>
      <c r="BF113" s="743"/>
      <c r="BG113" s="743"/>
      <c r="BH113" s="743"/>
      <c r="BI113" s="743"/>
      <c r="BJ113" s="743"/>
      <c r="BK113" s="743"/>
      <c r="BL113" s="743"/>
      <c r="BM113" s="743"/>
      <c r="BN113" s="743"/>
      <c r="BO113" s="743"/>
      <c r="BP113" s="743"/>
      <c r="BQ113" s="743"/>
      <c r="BR113" s="743"/>
      <c r="BS113" s="743"/>
      <c r="BT113" s="743"/>
      <c r="BU113" s="743"/>
      <c r="BV113" s="743"/>
      <c r="BW113" s="743"/>
      <c r="BX113" s="743"/>
      <c r="BY113" s="743"/>
      <c r="BZ113" s="743"/>
      <c r="CA113" s="743"/>
      <c r="CB113" s="743"/>
      <c r="CC113" s="743"/>
      <c r="CD113" s="743"/>
      <c r="CE113" s="743"/>
      <c r="CF113" s="743"/>
      <c r="CG113" s="743"/>
      <c r="CH113" s="743"/>
      <c r="CI113" s="743"/>
      <c r="CJ113" s="743"/>
      <c r="CK113" s="743"/>
      <c r="CL113" s="743"/>
      <c r="CM113" s="743"/>
      <c r="CN113" s="743"/>
      <c r="CO113" s="743"/>
      <c r="CP113" s="743"/>
      <c r="CQ113" s="743"/>
      <c r="CR113" s="743"/>
      <c r="CS113" s="743"/>
      <c r="CT113" s="743"/>
      <c r="CU113" s="743"/>
      <c r="CV113" s="743"/>
      <c r="CW113" s="743"/>
      <c r="CX113" s="743"/>
      <c r="CY113" s="743"/>
      <c r="CZ113" s="739"/>
      <c r="DA113" s="288"/>
    </row>
    <row r="114" spans="1:105" ht="18" hidden="1" customHeight="1" thickBot="1">
      <c r="A114" s="277"/>
      <c r="B114" s="226" t="s">
        <v>326</v>
      </c>
      <c r="D114" s="559"/>
      <c r="E114" s="231"/>
      <c r="F114" s="754" t="s">
        <v>271</v>
      </c>
      <c r="G114" s="754"/>
      <c r="H114" s="754"/>
      <c r="I114" s="754"/>
      <c r="J114" s="754"/>
      <c r="K114" s="641"/>
      <c r="L114" s="641"/>
      <c r="M114" s="641"/>
      <c r="N114" s="641"/>
      <c r="O114" s="641"/>
      <c r="P114" s="641"/>
      <c r="Q114" s="641"/>
      <c r="R114" s="641"/>
      <c r="S114" s="641"/>
      <c r="T114" s="641"/>
      <c r="U114" s="641"/>
      <c r="V114" s="641"/>
      <c r="W114" s="641"/>
      <c r="X114" s="641"/>
      <c r="Y114" s="641"/>
      <c r="Z114" s="641"/>
      <c r="AA114" s="641"/>
      <c r="AB114" s="641"/>
      <c r="AC114" s="641"/>
      <c r="AD114" s="641"/>
      <c r="AE114" s="641"/>
      <c r="AF114" s="641"/>
      <c r="AG114" s="641"/>
      <c r="AH114" s="641"/>
      <c r="AI114" s="641"/>
      <c r="AJ114" s="641"/>
      <c r="AK114" s="641"/>
      <c r="AL114" s="641"/>
      <c r="AM114" s="641"/>
      <c r="AN114" s="641"/>
      <c r="AO114" s="641"/>
      <c r="AP114" s="641"/>
      <c r="AQ114" s="641"/>
      <c r="AR114" s="641"/>
      <c r="AS114" s="641"/>
      <c r="AT114" s="641"/>
      <c r="AU114" s="641"/>
      <c r="AV114" s="641"/>
      <c r="AW114" s="641"/>
      <c r="AX114" s="641"/>
      <c r="AY114" s="641"/>
      <c r="AZ114" s="641"/>
      <c r="BA114" s="641"/>
      <c r="BB114" s="641"/>
      <c r="BC114" s="641"/>
      <c r="BD114" s="641"/>
      <c r="BE114" s="641"/>
      <c r="BF114" s="641"/>
      <c r="BG114" s="641"/>
      <c r="BH114" s="641"/>
      <c r="BI114" s="641"/>
      <c r="BJ114" s="641"/>
      <c r="BK114" s="641"/>
      <c r="BL114" s="641"/>
      <c r="BM114" s="641"/>
      <c r="BN114" s="641"/>
      <c r="BO114" s="641"/>
      <c r="BP114" s="641"/>
      <c r="BQ114" s="641"/>
      <c r="BR114" s="641"/>
      <c r="BS114" s="641"/>
      <c r="BT114" s="641"/>
      <c r="BU114" s="641"/>
      <c r="BV114" s="641"/>
      <c r="BW114" s="641"/>
      <c r="BX114" s="641"/>
      <c r="BY114" s="641"/>
      <c r="BZ114" s="641"/>
      <c r="CA114" s="641"/>
      <c r="CB114" s="641"/>
      <c r="CC114" s="641"/>
      <c r="CD114" s="641"/>
      <c r="CE114" s="641"/>
      <c r="CF114" s="641"/>
      <c r="CG114" s="641"/>
      <c r="CH114" s="641"/>
      <c r="CI114" s="641"/>
      <c r="CJ114" s="641"/>
      <c r="CK114" s="641"/>
      <c r="CL114" s="641"/>
      <c r="CM114" s="641"/>
      <c r="CN114" s="641"/>
      <c r="CO114" s="641"/>
      <c r="CP114" s="641"/>
      <c r="CQ114" s="641"/>
      <c r="CR114" s="641"/>
      <c r="CS114" s="641"/>
      <c r="CT114" s="641"/>
      <c r="CU114" s="641"/>
      <c r="CV114" s="641"/>
      <c r="CW114" s="641"/>
      <c r="CX114" s="641"/>
      <c r="CY114" s="641"/>
      <c r="CZ114" s="738"/>
      <c r="DA114" s="288"/>
    </row>
    <row r="115" spans="1:105" ht="18" hidden="1" customHeight="1" thickBot="1">
      <c r="A115" s="277"/>
      <c r="B115" s="227" t="s">
        <v>298</v>
      </c>
      <c r="C115" s="175"/>
      <c r="D115" s="806" cm="1">
        <f t="array" ref="D115">MMULT(Consignatie!$C$5:$G$5,$F$3:$F$7)*52
* (F70/1878) / 3200</f>
        <v>7.3207715025810218</v>
      </c>
      <c r="E115" s="231"/>
      <c r="F115" s="756">
        <f t="shared" ref="F115" si="11">IF(F114="","",IF(F114="Ja",Bereikbaarheid/F103,IF(F114="Nee",0)))</f>
        <v>0</v>
      </c>
      <c r="G115" s="756"/>
      <c r="H115" s="756"/>
      <c r="I115" s="756"/>
      <c r="J115" s="756"/>
      <c r="K115" s="757"/>
      <c r="L115" s="757"/>
      <c r="M115" s="757"/>
      <c r="N115" s="757"/>
      <c r="O115" s="757"/>
      <c r="P115" s="757"/>
      <c r="Q115" s="757"/>
      <c r="R115" s="757"/>
      <c r="S115" s="757"/>
      <c r="T115" s="757"/>
      <c r="U115" s="757"/>
      <c r="V115" s="757"/>
      <c r="W115" s="757"/>
      <c r="X115" s="757"/>
      <c r="Y115" s="757"/>
      <c r="Z115" s="757"/>
      <c r="AA115" s="757"/>
      <c r="AB115" s="757"/>
      <c r="AC115" s="757"/>
      <c r="AD115" s="757"/>
      <c r="AE115" s="757"/>
      <c r="AF115" s="757"/>
      <c r="AG115" s="757"/>
      <c r="AH115" s="757"/>
      <c r="AI115" s="757"/>
      <c r="AJ115" s="757"/>
      <c r="AK115" s="757"/>
      <c r="AL115" s="757"/>
      <c r="AM115" s="757"/>
      <c r="AN115" s="757"/>
      <c r="AO115" s="757"/>
      <c r="AP115" s="757"/>
      <c r="AQ115" s="757"/>
      <c r="AR115" s="757"/>
      <c r="AS115" s="757"/>
      <c r="AT115" s="757"/>
      <c r="AU115" s="757"/>
      <c r="AV115" s="757"/>
      <c r="AW115" s="757"/>
      <c r="AX115" s="757"/>
      <c r="AY115" s="757"/>
      <c r="AZ115" s="757"/>
      <c r="BA115" s="757"/>
      <c r="BB115" s="757"/>
      <c r="BC115" s="757"/>
      <c r="BD115" s="757"/>
      <c r="BE115" s="757"/>
      <c r="BF115" s="757"/>
      <c r="BG115" s="757"/>
      <c r="BH115" s="757"/>
      <c r="BI115" s="757"/>
      <c r="BJ115" s="757"/>
      <c r="BK115" s="757"/>
      <c r="BL115" s="757"/>
      <c r="BM115" s="757"/>
      <c r="BN115" s="757"/>
      <c r="BO115" s="757"/>
      <c r="BP115" s="757"/>
      <c r="BQ115" s="757"/>
      <c r="BR115" s="757"/>
      <c r="BS115" s="757"/>
      <c r="BT115" s="757"/>
      <c r="BU115" s="757"/>
      <c r="BV115" s="757"/>
      <c r="BW115" s="757"/>
      <c r="BX115" s="757"/>
      <c r="BY115" s="757"/>
      <c r="BZ115" s="757"/>
      <c r="CA115" s="757"/>
      <c r="CB115" s="757"/>
      <c r="CC115" s="757"/>
      <c r="CD115" s="757"/>
      <c r="CE115" s="757"/>
      <c r="CF115" s="757"/>
      <c r="CG115" s="757"/>
      <c r="CH115" s="757"/>
      <c r="CI115" s="757"/>
      <c r="CJ115" s="757"/>
      <c r="CK115" s="757"/>
      <c r="CL115" s="757"/>
      <c r="CM115" s="757"/>
      <c r="CN115" s="757"/>
      <c r="CO115" s="757"/>
      <c r="CP115" s="757"/>
      <c r="CQ115" s="757"/>
      <c r="CR115" s="757"/>
      <c r="CS115" s="757"/>
      <c r="CT115" s="757"/>
      <c r="CU115" s="757"/>
      <c r="CV115" s="757"/>
      <c r="CW115" s="757"/>
      <c r="CX115" s="757"/>
      <c r="CY115" s="757"/>
      <c r="CZ115" s="758"/>
      <c r="DA115" s="288"/>
    </row>
    <row r="116" spans="1:105" ht="18" thickBot="1">
      <c r="A116" s="277"/>
      <c r="B116" s="277"/>
      <c r="C116" s="277"/>
      <c r="D116" s="277"/>
      <c r="E116" s="231"/>
      <c r="F116" s="277"/>
      <c r="G116" s="277"/>
      <c r="H116" s="277"/>
      <c r="I116" s="277"/>
      <c r="J116" s="277"/>
      <c r="K116" s="277"/>
      <c r="L116" s="277"/>
      <c r="M116" s="277"/>
      <c r="N116" s="277"/>
      <c r="O116" s="277"/>
      <c r="P116" s="277"/>
      <c r="Q116" s="277"/>
      <c r="R116" s="277"/>
      <c r="S116" s="277"/>
      <c r="T116" s="277"/>
      <c r="U116" s="277"/>
      <c r="V116" s="277"/>
      <c r="W116" s="277"/>
      <c r="X116" s="277"/>
      <c r="Y116" s="277"/>
      <c r="Z116" s="277"/>
      <c r="AA116" s="277"/>
      <c r="AB116" s="277"/>
      <c r="AC116" s="277"/>
      <c r="AD116" s="277"/>
      <c r="AE116" s="277"/>
      <c r="AF116" s="277"/>
      <c r="AG116" s="277"/>
      <c r="AH116" s="277"/>
      <c r="AI116" s="277"/>
      <c r="AJ116" s="277"/>
      <c r="AK116" s="277"/>
      <c r="AL116" s="277"/>
      <c r="AM116" s="277"/>
      <c r="AN116" s="277"/>
      <c r="AO116" s="277"/>
      <c r="AP116" s="277"/>
      <c r="AQ116" s="277"/>
      <c r="AR116" s="277"/>
      <c r="AS116" s="277"/>
      <c r="AT116" s="277"/>
      <c r="AU116" s="277"/>
      <c r="AV116" s="277"/>
      <c r="AW116" s="277"/>
      <c r="AX116" s="277"/>
      <c r="AY116" s="277"/>
      <c r="AZ116" s="283"/>
      <c r="BA116" s="283"/>
      <c r="BB116" s="283"/>
      <c r="BC116" s="283"/>
      <c r="BD116" s="283"/>
      <c r="BE116" s="283"/>
      <c r="BF116" s="283"/>
      <c r="BG116" s="283"/>
      <c r="BH116" s="283"/>
      <c r="BI116" s="283"/>
      <c r="BJ116" s="283"/>
      <c r="BK116" s="283"/>
      <c r="BL116" s="283"/>
      <c r="BM116" s="283"/>
      <c r="BN116" s="283"/>
      <c r="BO116" s="283"/>
      <c r="BP116" s="283"/>
      <c r="BQ116" s="283"/>
      <c r="BR116" s="283"/>
      <c r="BS116" s="283"/>
      <c r="BT116" s="283"/>
      <c r="BU116" s="283"/>
      <c r="BV116" s="283"/>
      <c r="BW116" s="283"/>
      <c r="BX116" s="283"/>
      <c r="BY116" s="283"/>
      <c r="BZ116" s="283"/>
      <c r="CA116" s="283"/>
      <c r="CB116" s="283"/>
      <c r="CC116" s="283"/>
      <c r="CD116" s="283"/>
      <c r="CE116" s="283"/>
      <c r="CF116" s="283"/>
      <c r="CG116" s="283"/>
      <c r="CH116" s="283"/>
      <c r="CI116" s="283"/>
      <c r="CJ116" s="283"/>
      <c r="CK116" s="283"/>
      <c r="CL116" s="283"/>
      <c r="CM116" s="283"/>
      <c r="CN116" s="283"/>
      <c r="CO116" s="283"/>
      <c r="CP116" s="283"/>
      <c r="CQ116" s="283"/>
      <c r="CR116" s="283"/>
      <c r="CS116" s="283"/>
      <c r="CT116" s="283"/>
      <c r="CU116" s="283"/>
      <c r="CV116" s="283"/>
      <c r="CW116" s="283"/>
      <c r="CX116" s="283"/>
      <c r="CY116" s="283"/>
      <c r="CZ116" s="283"/>
      <c r="DA116" s="288"/>
    </row>
    <row r="117" spans="1:105" s="157" customFormat="1" ht="24.6" thickBot="1">
      <c r="A117" s="281"/>
      <c r="B117" s="1031" t="s">
        <v>388</v>
      </c>
      <c r="C117" s="1032"/>
      <c r="D117" s="1033"/>
      <c r="E117" s="231"/>
      <c r="F117" s="263">
        <f>F98*F103/F102         +
SUM(F105,F107,F109,F111,F113,F115)</f>
        <v>91.940339352344523</v>
      </c>
      <c r="G117" s="263"/>
      <c r="H117" s="263"/>
      <c r="I117" s="263"/>
      <c r="J117" s="263"/>
      <c r="K117" s="744"/>
      <c r="L117" s="744"/>
      <c r="M117" s="744"/>
      <c r="N117" s="744"/>
      <c r="O117" s="744"/>
      <c r="P117" s="744"/>
      <c r="Q117" s="744"/>
      <c r="R117" s="263"/>
      <c r="S117" s="744"/>
      <c r="T117" s="744"/>
      <c r="U117" s="744"/>
      <c r="V117" s="744"/>
      <c r="W117" s="744"/>
      <c r="X117" s="263"/>
      <c r="Y117" s="744"/>
      <c r="Z117" s="263"/>
      <c r="AA117" s="744"/>
      <c r="AB117" s="744"/>
      <c r="AC117" s="744"/>
      <c r="AD117" s="744"/>
      <c r="AE117" s="744"/>
      <c r="AF117" s="263"/>
      <c r="AG117" s="744"/>
      <c r="AH117" s="744"/>
      <c r="AI117" s="263"/>
      <c r="AJ117" s="744"/>
      <c r="AK117" s="263"/>
      <c r="AL117" s="744"/>
      <c r="AM117" s="744"/>
      <c r="AN117" s="263"/>
      <c r="AO117" s="744"/>
      <c r="AP117" s="744"/>
      <c r="AQ117" s="744"/>
      <c r="AR117" s="744"/>
      <c r="AS117" s="744"/>
      <c r="AT117" s="744"/>
      <c r="AU117" s="263"/>
      <c r="AV117" s="744"/>
      <c r="AW117" s="744"/>
      <c r="AX117" s="744"/>
      <c r="AY117" s="744"/>
      <c r="AZ117" s="744"/>
      <c r="BA117" s="744"/>
      <c r="BB117" s="744"/>
      <c r="BC117" s="744"/>
      <c r="BD117" s="744"/>
      <c r="BE117" s="744"/>
      <c r="BF117" s="744"/>
      <c r="BG117" s="744"/>
      <c r="BH117" s="744"/>
      <c r="BI117" s="744"/>
      <c r="BJ117" s="744"/>
      <c r="BK117" s="744"/>
      <c r="BL117" s="744"/>
      <c r="BM117" s="744"/>
      <c r="BN117" s="744"/>
      <c r="BO117" s="744"/>
      <c r="BP117" s="744"/>
      <c r="BQ117" s="744"/>
      <c r="BR117" s="744"/>
      <c r="BS117" s="744"/>
      <c r="BT117" s="744"/>
      <c r="BU117" s="744"/>
      <c r="BV117" s="744"/>
      <c r="BW117" s="744"/>
      <c r="BX117" s="744"/>
      <c r="BY117" s="744"/>
      <c r="BZ117" s="744"/>
      <c r="CA117" s="744"/>
      <c r="CB117" s="744"/>
      <c r="CC117" s="744"/>
      <c r="CD117" s="744"/>
      <c r="CE117" s="263"/>
      <c r="CF117" s="744"/>
      <c r="CG117" s="744"/>
      <c r="CH117" s="744"/>
      <c r="CI117" s="744"/>
      <c r="CJ117" s="744"/>
      <c r="CK117" s="744"/>
      <c r="CL117" s="263"/>
      <c r="CM117" s="744"/>
      <c r="CN117" s="744"/>
      <c r="CO117" s="744"/>
      <c r="CP117" s="744"/>
      <c r="CQ117" s="744"/>
      <c r="CR117" s="744"/>
      <c r="CS117" s="744"/>
      <c r="CT117" s="744"/>
      <c r="CU117" s="746"/>
      <c r="CV117" s="744"/>
      <c r="CW117" s="744"/>
      <c r="CX117" s="744"/>
      <c r="CY117" s="744"/>
      <c r="CZ117" s="747"/>
      <c r="DA117" s="293"/>
    </row>
    <row r="118" spans="1:105" ht="18" thickBot="1">
      <c r="A118" s="277"/>
      <c r="B118" s="1034" t="s">
        <v>248</v>
      </c>
      <c r="C118" s="1035"/>
      <c r="D118" s="1036"/>
      <c r="E118" s="231"/>
      <c r="F118" s="264">
        <f>MROUND(F117,0.6)</f>
        <v>91.8</v>
      </c>
      <c r="G118" s="264"/>
      <c r="H118" s="264"/>
      <c r="I118" s="264"/>
      <c r="J118" s="264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  <c r="AJ118" s="265"/>
      <c r="AK118" s="265"/>
      <c r="AL118" s="265"/>
      <c r="AM118" s="265"/>
      <c r="AN118" s="265"/>
      <c r="AO118" s="265"/>
      <c r="AP118" s="265"/>
      <c r="AQ118" s="265"/>
      <c r="AR118" s="265"/>
      <c r="AS118" s="265"/>
      <c r="AT118" s="265"/>
      <c r="AU118" s="265"/>
      <c r="AV118" s="265"/>
      <c r="AW118" s="265"/>
      <c r="AX118" s="265"/>
      <c r="AY118" s="265"/>
      <c r="AZ118" s="265"/>
      <c r="BA118" s="265"/>
      <c r="BB118" s="265"/>
      <c r="BC118" s="265"/>
      <c r="BD118" s="265"/>
      <c r="BE118" s="265"/>
      <c r="BF118" s="265"/>
      <c r="BG118" s="265"/>
      <c r="BH118" s="265"/>
      <c r="BI118" s="265"/>
      <c r="BJ118" s="265"/>
      <c r="BK118" s="265"/>
      <c r="BL118" s="265"/>
      <c r="BM118" s="265"/>
      <c r="BN118" s="265"/>
      <c r="BO118" s="265"/>
      <c r="BP118" s="265"/>
      <c r="BQ118" s="265"/>
      <c r="BR118" s="265"/>
      <c r="BS118" s="265"/>
      <c r="BT118" s="265"/>
      <c r="BU118" s="265"/>
      <c r="BV118" s="265"/>
      <c r="BW118" s="265"/>
      <c r="BX118" s="265"/>
      <c r="BY118" s="265"/>
      <c r="BZ118" s="265"/>
      <c r="CA118" s="265"/>
      <c r="CB118" s="265"/>
      <c r="CC118" s="265"/>
      <c r="CD118" s="265"/>
      <c r="CE118" s="265"/>
      <c r="CF118" s="265"/>
      <c r="CG118" s="265"/>
      <c r="CH118" s="265"/>
      <c r="CI118" s="265"/>
      <c r="CJ118" s="265"/>
      <c r="CK118" s="265"/>
      <c r="CL118" s="265"/>
      <c r="CM118" s="265"/>
      <c r="CN118" s="265"/>
      <c r="CO118" s="265"/>
      <c r="CP118" s="265"/>
      <c r="CQ118" s="265"/>
      <c r="CR118" s="265"/>
      <c r="CS118" s="265"/>
      <c r="CT118" s="265"/>
      <c r="CU118" s="265"/>
      <c r="CV118" s="265"/>
      <c r="CW118" s="265"/>
      <c r="CX118" s="265"/>
      <c r="CY118" s="265"/>
      <c r="CZ118" s="266"/>
      <c r="DA118" s="288"/>
    </row>
    <row r="119" spans="1:105" ht="21.6" thickBot="1">
      <c r="A119" s="277"/>
      <c r="B119" s="1037" t="s">
        <v>91</v>
      </c>
      <c r="C119" s="1038"/>
      <c r="D119" s="1039"/>
      <c r="E119" s="231"/>
      <c r="F119" s="267" t="s">
        <v>110</v>
      </c>
      <c r="G119" s="267"/>
      <c r="H119" s="267"/>
      <c r="I119" s="267"/>
      <c r="J119" s="267"/>
      <c r="K119" s="268"/>
      <c r="L119" s="268"/>
      <c r="M119" s="268"/>
      <c r="N119" s="268"/>
      <c r="O119" s="268"/>
      <c r="P119" s="268"/>
      <c r="Q119" s="268"/>
      <c r="R119" s="268"/>
      <c r="S119" s="268"/>
      <c r="T119" s="268"/>
      <c r="U119" s="268"/>
      <c r="V119" s="268"/>
      <c r="W119" s="268"/>
      <c r="X119" s="268"/>
      <c r="Y119" s="268"/>
      <c r="Z119" s="268"/>
      <c r="AA119" s="268"/>
      <c r="AB119" s="268"/>
      <c r="AC119" s="268"/>
      <c r="AD119" s="268"/>
      <c r="AE119" s="268"/>
      <c r="AF119" s="268"/>
      <c r="AG119" s="268"/>
      <c r="AH119" s="268"/>
      <c r="AI119" s="268"/>
      <c r="AJ119" s="268"/>
      <c r="AK119" s="268"/>
      <c r="AL119" s="268"/>
      <c r="AM119" s="268"/>
      <c r="AN119" s="268"/>
      <c r="AO119" s="268"/>
      <c r="AP119" s="268"/>
      <c r="AQ119" s="268"/>
      <c r="AR119" s="268"/>
      <c r="AS119" s="268"/>
      <c r="AT119" s="268"/>
      <c r="AU119" s="268"/>
      <c r="AV119" s="268"/>
      <c r="AW119" s="268"/>
      <c r="AX119" s="268"/>
      <c r="AY119" s="268"/>
      <c r="AZ119" s="268"/>
      <c r="BA119" s="268"/>
      <c r="BB119" s="268"/>
      <c r="BC119" s="268"/>
      <c r="BD119" s="268"/>
      <c r="BE119" s="268"/>
      <c r="BF119" s="268"/>
      <c r="BG119" s="268"/>
      <c r="BH119" s="268"/>
      <c r="BI119" s="268"/>
      <c r="BJ119" s="268"/>
      <c r="BK119" s="268"/>
      <c r="BL119" s="268"/>
      <c r="BM119" s="268"/>
      <c r="BN119" s="268"/>
      <c r="BO119" s="268"/>
      <c r="BP119" s="268"/>
      <c r="BQ119" s="268"/>
      <c r="BR119" s="268"/>
      <c r="BS119" s="268"/>
      <c r="BT119" s="268"/>
      <c r="BU119" s="268"/>
      <c r="BV119" s="268"/>
      <c r="BW119" s="268"/>
      <c r="BX119" s="268"/>
      <c r="BY119" s="268"/>
      <c r="BZ119" s="268"/>
      <c r="CA119" s="268"/>
      <c r="CB119" s="268"/>
      <c r="CC119" s="268"/>
      <c r="CD119" s="268"/>
      <c r="CE119" s="268"/>
      <c r="CF119" s="268"/>
      <c r="CG119" s="268"/>
      <c r="CH119" s="268"/>
      <c r="CI119" s="268"/>
      <c r="CJ119" s="268"/>
      <c r="CK119" s="268"/>
      <c r="CL119" s="268"/>
      <c r="CM119" s="268"/>
      <c r="CN119" s="268"/>
      <c r="CO119" s="268"/>
      <c r="CP119" s="268"/>
      <c r="CQ119" s="268"/>
      <c r="CR119" s="268"/>
      <c r="CS119" s="268"/>
      <c r="CT119" s="268"/>
      <c r="CU119" s="268"/>
      <c r="CV119" s="268"/>
      <c r="CW119" s="268"/>
      <c r="CX119" s="268"/>
      <c r="CY119" s="268"/>
      <c r="CZ119" s="269"/>
      <c r="DA119" s="288"/>
    </row>
    <row r="120" spans="1:105" s="228" customFormat="1" ht="36.450000000000003" customHeight="1" thickBot="1">
      <c r="A120" s="282"/>
      <c r="B120" s="1040"/>
      <c r="C120" s="1040"/>
      <c r="D120" s="1040"/>
      <c r="E120" s="270"/>
      <c r="F120" s="229"/>
      <c r="G120" s="229"/>
      <c r="H120" s="229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  <c r="AJ120" s="229"/>
      <c r="AK120" s="229"/>
      <c r="AL120" s="229"/>
      <c r="AM120" s="229"/>
      <c r="AN120" s="229"/>
      <c r="AO120" s="229"/>
      <c r="AP120" s="229"/>
      <c r="AQ120" s="229"/>
      <c r="AR120" s="229"/>
      <c r="AS120" s="229"/>
      <c r="AT120" s="229"/>
      <c r="AU120" s="229"/>
      <c r="AV120" s="229"/>
      <c r="AW120" s="229"/>
      <c r="AX120" s="229"/>
      <c r="AY120" s="229"/>
      <c r="AZ120" s="229"/>
      <c r="BA120" s="229"/>
      <c r="BB120" s="229"/>
      <c r="BC120" s="229"/>
      <c r="BD120" s="229"/>
      <c r="BE120" s="229"/>
      <c r="BF120" s="229"/>
      <c r="BG120" s="229"/>
      <c r="BH120" s="229"/>
      <c r="BI120" s="229"/>
      <c r="BJ120" s="229"/>
      <c r="BK120" s="229"/>
      <c r="BL120" s="229"/>
      <c r="BM120" s="229"/>
      <c r="BN120" s="229"/>
      <c r="BO120" s="229"/>
      <c r="BP120" s="229"/>
      <c r="BQ120" s="229"/>
      <c r="BR120" s="229"/>
      <c r="BS120" s="229"/>
      <c r="BT120" s="229"/>
      <c r="BU120" s="229"/>
      <c r="BV120" s="229"/>
      <c r="BW120" s="229"/>
      <c r="BX120" s="229"/>
      <c r="BY120" s="229"/>
      <c r="BZ120" s="229"/>
      <c r="CA120" s="229"/>
      <c r="CB120" s="229"/>
      <c r="CC120" s="229"/>
      <c r="CD120" s="229"/>
      <c r="CE120" s="229"/>
      <c r="CF120" s="229"/>
      <c r="CG120" s="229"/>
      <c r="CH120" s="229"/>
      <c r="CI120" s="229"/>
      <c r="CJ120" s="229"/>
      <c r="CK120" s="229"/>
      <c r="CL120" s="229"/>
      <c r="CM120" s="229"/>
      <c r="CN120" s="229"/>
      <c r="CO120" s="229"/>
      <c r="CP120" s="229"/>
      <c r="CQ120" s="229"/>
      <c r="CR120" s="229"/>
      <c r="CS120" s="229"/>
      <c r="CT120" s="229"/>
      <c r="CU120" s="229"/>
      <c r="CV120" s="229"/>
      <c r="CW120" s="229"/>
      <c r="CX120" s="229"/>
      <c r="CY120" s="229"/>
      <c r="CZ120" s="229"/>
      <c r="DA120" s="294"/>
    </row>
    <row r="123" spans="1:105">
      <c r="F123" s="984"/>
      <c r="G123" s="953"/>
      <c r="H123" s="984"/>
      <c r="I123" s="953"/>
      <c r="J123" s="953"/>
      <c r="K123" s="953"/>
      <c r="L123" s="953"/>
      <c r="M123" s="953"/>
      <c r="N123" s="953"/>
      <c r="O123" s="953"/>
      <c r="P123" s="953"/>
      <c r="Q123" s="953"/>
      <c r="R123" s="953"/>
      <c r="S123" s="953"/>
      <c r="T123" s="953"/>
    </row>
    <row r="124" spans="1:105">
      <c r="F124" s="953"/>
      <c r="G124" s="953"/>
      <c r="H124" s="953"/>
      <c r="I124" s="953"/>
      <c r="J124" s="953"/>
      <c r="K124" s="953"/>
      <c r="L124" s="953"/>
      <c r="M124" s="953"/>
      <c r="N124" s="953"/>
      <c r="O124" s="953"/>
      <c r="P124" s="953"/>
      <c r="Q124" s="953"/>
      <c r="R124" s="953"/>
      <c r="S124" s="953"/>
      <c r="T124" s="953"/>
    </row>
    <row r="125" spans="1:105" ht="23.4">
      <c r="F125" s="953"/>
      <c r="G125" s="953"/>
      <c r="H125" s="953"/>
      <c r="I125" s="953"/>
      <c r="J125" s="953"/>
      <c r="K125" s="953"/>
      <c r="L125" s="954"/>
      <c r="M125" s="1028"/>
      <c r="N125" s="1028"/>
      <c r="O125" s="953"/>
      <c r="P125" s="953"/>
      <c r="Q125" s="953"/>
      <c r="R125" s="953"/>
      <c r="S125" s="953"/>
      <c r="T125" s="953"/>
    </row>
    <row r="126" spans="1:105">
      <c r="F126" s="952"/>
      <c r="G126" s="952"/>
      <c r="H126" s="952"/>
      <c r="I126" s="952"/>
      <c r="J126" s="952"/>
      <c r="K126" s="955"/>
      <c r="L126" s="953"/>
      <c r="M126" s="956"/>
      <c r="N126" s="956"/>
      <c r="O126" s="953"/>
      <c r="P126" s="953"/>
      <c r="Q126" s="953"/>
      <c r="R126" s="953"/>
      <c r="S126" s="953"/>
      <c r="T126" s="953"/>
    </row>
    <row r="127" spans="1:105">
      <c r="F127" s="952"/>
      <c r="G127" s="952"/>
      <c r="H127" s="952"/>
      <c r="I127" s="952"/>
      <c r="J127" s="952"/>
      <c r="K127" s="953"/>
      <c r="L127" s="953"/>
      <c r="M127" s="953"/>
      <c r="N127" s="953"/>
      <c r="O127" s="953"/>
      <c r="P127" s="953"/>
      <c r="Q127" s="953"/>
      <c r="R127" s="953"/>
      <c r="S127" s="953"/>
      <c r="T127" s="953"/>
    </row>
    <row r="128" spans="1:105">
      <c r="F128" s="952"/>
      <c r="G128" s="952"/>
      <c r="H128" s="952"/>
      <c r="I128" s="952"/>
      <c r="J128" s="952"/>
      <c r="K128" s="953"/>
      <c r="L128" s="953"/>
      <c r="M128" s="953"/>
      <c r="N128" s="953"/>
      <c r="O128" s="953"/>
      <c r="P128" s="953"/>
      <c r="Q128" s="953"/>
      <c r="R128" s="953"/>
      <c r="S128" s="953"/>
      <c r="T128" s="953"/>
    </row>
    <row r="129" spans="6:20">
      <c r="F129" s="952"/>
      <c r="G129" s="952"/>
      <c r="H129" s="952"/>
      <c r="I129" s="952"/>
      <c r="J129" s="952"/>
      <c r="K129" s="953"/>
      <c r="L129" s="953"/>
      <c r="M129" s="953"/>
      <c r="N129" s="953"/>
      <c r="O129" s="953"/>
      <c r="P129" s="953"/>
      <c r="Q129" s="953"/>
      <c r="R129" s="953"/>
      <c r="S129" s="953"/>
      <c r="T129" s="953"/>
    </row>
    <row r="130" spans="6:20">
      <c r="F130" s="952"/>
      <c r="G130" s="952"/>
      <c r="H130" s="952"/>
      <c r="I130" s="952"/>
      <c r="J130" s="952"/>
      <c r="K130" s="953"/>
      <c r="L130" s="953"/>
      <c r="M130" s="953"/>
      <c r="N130" s="953"/>
      <c r="O130" s="953"/>
      <c r="P130" s="953"/>
      <c r="Q130" s="953"/>
      <c r="R130" s="953"/>
      <c r="S130" s="953"/>
      <c r="T130" s="953"/>
    </row>
    <row r="131" spans="6:20">
      <c r="F131" s="953"/>
      <c r="G131" s="953"/>
      <c r="H131" s="953"/>
      <c r="I131" s="953"/>
      <c r="J131" s="953"/>
      <c r="K131" s="953"/>
      <c r="L131" s="953"/>
      <c r="M131" s="953"/>
      <c r="N131" s="953"/>
      <c r="O131" s="953"/>
      <c r="P131" s="953"/>
      <c r="Q131" s="953"/>
      <c r="R131" s="953"/>
      <c r="S131" s="953"/>
      <c r="T131" s="953"/>
    </row>
    <row r="132" spans="6:20">
      <c r="F132" s="953"/>
      <c r="G132" s="953"/>
      <c r="H132" s="953"/>
      <c r="I132" s="953"/>
      <c r="J132" s="953"/>
      <c r="K132" s="953"/>
      <c r="L132" s="953"/>
      <c r="M132" s="953"/>
      <c r="N132" s="953"/>
      <c r="O132" s="953"/>
      <c r="P132" s="953"/>
      <c r="Q132" s="953"/>
      <c r="R132" s="953"/>
      <c r="S132" s="953"/>
      <c r="T132" s="953"/>
    </row>
    <row r="133" spans="6:20">
      <c r="F133" s="952"/>
      <c r="G133" s="952"/>
      <c r="H133" s="952"/>
      <c r="I133" s="952"/>
      <c r="J133" s="952"/>
      <c r="K133" s="955"/>
      <c r="L133" s="953"/>
      <c r="M133" s="953"/>
      <c r="N133" s="953"/>
      <c r="O133" s="953"/>
      <c r="P133" s="953"/>
      <c r="Q133" s="953"/>
      <c r="R133" s="953"/>
      <c r="S133" s="953"/>
      <c r="T133" s="953"/>
    </row>
    <row r="134" spans="6:20">
      <c r="F134" s="952"/>
      <c r="G134" s="952"/>
      <c r="H134" s="952"/>
      <c r="I134" s="952"/>
      <c r="J134" s="952"/>
      <c r="K134" s="953"/>
      <c r="L134" s="953"/>
      <c r="M134" s="953"/>
      <c r="N134" s="953"/>
      <c r="O134" s="953"/>
      <c r="P134" s="953"/>
      <c r="Q134" s="953"/>
      <c r="R134" s="953"/>
      <c r="S134" s="953"/>
      <c r="T134" s="953"/>
    </row>
    <row r="135" spans="6:20">
      <c r="F135" s="952"/>
      <c r="G135" s="952"/>
      <c r="H135" s="952"/>
      <c r="I135" s="952"/>
      <c r="J135" s="952"/>
      <c r="K135" s="953"/>
      <c r="L135" s="953"/>
      <c r="M135" s="953"/>
      <c r="N135" s="953"/>
      <c r="O135" s="953"/>
      <c r="P135" s="953"/>
      <c r="Q135" s="953"/>
      <c r="R135" s="953"/>
      <c r="S135" s="953"/>
      <c r="T135" s="953"/>
    </row>
    <row r="136" spans="6:20">
      <c r="F136" s="953"/>
      <c r="G136" s="953"/>
      <c r="H136" s="953"/>
      <c r="I136" s="953"/>
      <c r="J136" s="953"/>
      <c r="K136" s="953"/>
      <c r="L136" s="953"/>
      <c r="M136" s="953"/>
      <c r="N136" s="953"/>
      <c r="O136" s="953"/>
      <c r="P136" s="953"/>
      <c r="Q136" s="953"/>
      <c r="R136" s="953"/>
      <c r="S136" s="953"/>
      <c r="T136" s="953"/>
    </row>
    <row r="137" spans="6:20">
      <c r="F137" s="953"/>
      <c r="G137" s="953"/>
      <c r="H137" s="953"/>
      <c r="I137" s="953"/>
      <c r="J137" s="953"/>
      <c r="K137" s="953"/>
      <c r="L137" s="953"/>
      <c r="M137" s="953"/>
      <c r="N137" s="953"/>
      <c r="O137" s="953"/>
      <c r="P137" s="953"/>
      <c r="Q137" s="953"/>
      <c r="R137" s="953"/>
      <c r="S137" s="953"/>
      <c r="T137" s="953"/>
    </row>
    <row r="138" spans="6:20">
      <c r="F138" s="953"/>
      <c r="G138" s="953"/>
      <c r="H138" s="953"/>
      <c r="I138" s="953"/>
      <c r="J138" s="953"/>
      <c r="K138" s="953"/>
      <c r="L138" s="953"/>
      <c r="M138" s="953"/>
      <c r="N138" s="953"/>
      <c r="O138" s="953"/>
      <c r="P138" s="953"/>
      <c r="Q138" s="953"/>
      <c r="R138" s="953"/>
      <c r="S138" s="953"/>
      <c r="T138" s="953"/>
    </row>
    <row r="139" spans="6:20">
      <c r="F139" s="953"/>
      <c r="G139" s="953"/>
      <c r="H139" s="953"/>
      <c r="I139" s="953"/>
      <c r="J139" s="953"/>
      <c r="K139" s="952"/>
      <c r="L139" s="953"/>
      <c r="M139" s="953"/>
      <c r="N139" s="953"/>
      <c r="O139" s="953"/>
      <c r="P139" s="953"/>
      <c r="Q139" s="953"/>
      <c r="R139" s="953"/>
      <c r="S139" s="953"/>
      <c r="T139" s="953"/>
    </row>
  </sheetData>
  <sheetProtection algorithmName="SHA-512" hashValue="WwtcfWuTXsHfqzrr8dlmLW3sEK1Rf/ics79/fA8uzvQrX/1eP6XZKFNkzOyL6WAKP/+EohYV73WijoBahXJ44A==" saltValue="dKI24ukIF/bM/9DWpS4dKQ==" spinCount="100000" sheet="1" objects="1" scenarios="1"/>
  <mergeCells count="109">
    <mergeCell ref="CH87:CH89"/>
    <mergeCell ref="CI87:CI89"/>
    <mergeCell ref="CJ87:CJ89"/>
    <mergeCell ref="CK87:CK89"/>
    <mergeCell ref="CC87:CC89"/>
    <mergeCell ref="CD87:CD89"/>
    <mergeCell ref="CE87:CE89"/>
    <mergeCell ref="CF87:CF89"/>
    <mergeCell ref="CG87:CG89"/>
    <mergeCell ref="BX87:BX89"/>
    <mergeCell ref="BY87:BY89"/>
    <mergeCell ref="BZ87:BZ89"/>
    <mergeCell ref="CA87:CA89"/>
    <mergeCell ref="CB87:CB89"/>
    <mergeCell ref="BS87:BS89"/>
    <mergeCell ref="BT87:BT89"/>
    <mergeCell ref="BU87:BU89"/>
    <mergeCell ref="BV87:BV89"/>
    <mergeCell ref="BW87:BW89"/>
    <mergeCell ref="BN87:BN89"/>
    <mergeCell ref="BO87:BO89"/>
    <mergeCell ref="BP87:BP89"/>
    <mergeCell ref="BQ87:BQ89"/>
    <mergeCell ref="BR87:BR89"/>
    <mergeCell ref="BI87:BI89"/>
    <mergeCell ref="BJ87:BJ89"/>
    <mergeCell ref="BK87:BK89"/>
    <mergeCell ref="BL87:BL89"/>
    <mergeCell ref="BM87:BM89"/>
    <mergeCell ref="BD87:BD89"/>
    <mergeCell ref="BE87:BE89"/>
    <mergeCell ref="BF87:BF89"/>
    <mergeCell ref="BG87:BG89"/>
    <mergeCell ref="BH87:BH89"/>
    <mergeCell ref="AY87:AY89"/>
    <mergeCell ref="AZ87:AZ89"/>
    <mergeCell ref="BA87:BA89"/>
    <mergeCell ref="BB87:BB89"/>
    <mergeCell ref="BC87:BC89"/>
    <mergeCell ref="AU87:AU89"/>
    <mergeCell ref="AV87:AV89"/>
    <mergeCell ref="AW87:AW89"/>
    <mergeCell ref="AX87:AX89"/>
    <mergeCell ref="AO87:AO89"/>
    <mergeCell ref="AP87:AP89"/>
    <mergeCell ref="AQ87:AQ89"/>
    <mergeCell ref="AR87:AR89"/>
    <mergeCell ref="AS87:AS89"/>
    <mergeCell ref="AL87:AL89"/>
    <mergeCell ref="AM87:AM89"/>
    <mergeCell ref="AN87:AN89"/>
    <mergeCell ref="AE87:AE89"/>
    <mergeCell ref="AF87:AF89"/>
    <mergeCell ref="AG87:AG89"/>
    <mergeCell ref="AH87:AH89"/>
    <mergeCell ref="AI87:AI89"/>
    <mergeCell ref="AT87:AT89"/>
    <mergeCell ref="AC87:AC89"/>
    <mergeCell ref="AD87:AD89"/>
    <mergeCell ref="U87:U89"/>
    <mergeCell ref="V87:V89"/>
    <mergeCell ref="W87:W89"/>
    <mergeCell ref="X87:X89"/>
    <mergeCell ref="Y87:Y89"/>
    <mergeCell ref="AJ87:AJ89"/>
    <mergeCell ref="AK87:AK89"/>
    <mergeCell ref="O87:O89"/>
    <mergeCell ref="P87:P89"/>
    <mergeCell ref="Q87:Q89"/>
    <mergeCell ref="R87:R89"/>
    <mergeCell ref="S87:S89"/>
    <mergeCell ref="T87:T89"/>
    <mergeCell ref="Z87:Z89"/>
    <mergeCell ref="AA87:AA89"/>
    <mergeCell ref="AB87:AB89"/>
    <mergeCell ref="CZ87:CZ89"/>
    <mergeCell ref="CY87:CY89"/>
    <mergeCell ref="CX87:CX89"/>
    <mergeCell ref="CW87:CW89"/>
    <mergeCell ref="CV87:CV89"/>
    <mergeCell ref="CU87:CU89"/>
    <mergeCell ref="CT87:CT89"/>
    <mergeCell ref="CL87:CL89"/>
    <mergeCell ref="CM87:CM89"/>
    <mergeCell ref="CN87:CN89"/>
    <mergeCell ref="CO87:CO89"/>
    <mergeCell ref="CP87:CP89"/>
    <mergeCell ref="CQ87:CQ89"/>
    <mergeCell ref="CR87:CR89"/>
    <mergeCell ref="CS87:CS89"/>
    <mergeCell ref="M125:N125"/>
    <mergeCell ref="B19:B20"/>
    <mergeCell ref="B15:B16"/>
    <mergeCell ref="B13:B14"/>
    <mergeCell ref="B117:D117"/>
    <mergeCell ref="B118:D118"/>
    <mergeCell ref="B119:D119"/>
    <mergeCell ref="B120:D120"/>
    <mergeCell ref="B23:B24"/>
    <mergeCell ref="B21:B22"/>
    <mergeCell ref="F87:F89"/>
    <mergeCell ref="G87:G89"/>
    <mergeCell ref="H87:H89"/>
    <mergeCell ref="I87:I89"/>
    <mergeCell ref="J87:J89"/>
    <mergeCell ref="K87:K89"/>
    <mergeCell ref="L87:L89"/>
    <mergeCell ref="M87:M89"/>
    <mergeCell ref="N87:N89"/>
  </mergeCells>
  <phoneticPr fontId="9" type="noConversion"/>
  <conditionalFormatting sqref="F3:CZ7">
    <cfRule type="cellIs" dxfId="35" priority="4" operator="greaterThan">
      <formula>0</formula>
    </cfRule>
    <cfRule type="cellIs" dxfId="34" priority="6" operator="equal">
      <formula>0</formula>
    </cfRule>
  </conditionalFormatting>
  <conditionalFormatting sqref="F8:CZ8">
    <cfRule type="cellIs" dxfId="33" priority="3" operator="equal">
      <formula>1</formula>
    </cfRule>
  </conditionalFormatting>
  <conditionalFormatting sqref="F9:CZ9 F28:CZ28">
    <cfRule type="cellIs" dxfId="32" priority="23" operator="greaterThan">
      <formula>1</formula>
    </cfRule>
    <cfRule type="cellIs" dxfId="31" priority="72" operator="lessThan">
      <formula>1</formula>
    </cfRule>
    <cfRule type="cellIs" dxfId="30" priority="74" operator="equal">
      <formula>1</formula>
    </cfRule>
  </conditionalFormatting>
  <conditionalFormatting sqref="F11:CZ27 F101:CZ101">
    <cfRule type="cellIs" dxfId="29" priority="22" operator="equal">
      <formula>0</formula>
    </cfRule>
    <cfRule type="cellIs" dxfId="28" priority="37" operator="greaterThan">
      <formula>0</formula>
    </cfRule>
  </conditionalFormatting>
  <conditionalFormatting sqref="F32:CZ32 D50">
    <cfRule type="cellIs" dxfId="27" priority="21" operator="equal">
      <formula>"Check mixen"</formula>
    </cfRule>
  </conditionalFormatting>
  <conditionalFormatting sqref="K61:CY61">
    <cfRule type="cellIs" dxfId="26" priority="62" operator="equal">
      <formula>0</formula>
    </cfRule>
    <cfRule type="cellIs" dxfId="25" priority="63" operator="greaterThan">
      <formula>0</formula>
    </cfRule>
  </conditionalFormatting>
  <dataValidations count="3">
    <dataValidation type="list" allowBlank="1" showInputMessage="1" showErrorMessage="1" sqref="F104:CZ104 F106:CZ106 F108:CZ108 F110:CZ110 F112:CZ112 F91:CZ91 F114:CZ114" xr:uid="{184D68BF-6CAC-44D3-B689-EBDA6A4E0789}">
      <formula1>"Ja,Nee"</formula1>
    </dataValidation>
    <dataValidation type="custom" allowBlank="1" showInputMessage="1" showErrorMessage="1" errorTitle="Cao-mix lege cel of &gt; 100%!" error="Cao-mix heeft een lege cel of is meer dan 100%! Vul eerst de cao-mix correct in (inclusief 0%)!" sqref="F11:CZ27" xr:uid="{4B1FF511-3AAD-4F78-A82F-65DA3142FACF}">
      <formula1>F$9&lt;&gt;"Cao-mix incompleet!"</formula1>
    </dataValidation>
    <dataValidation type="list" allowBlank="1" showInputMessage="1" showErrorMessage="1" sqref="F72:CZ72" xr:uid="{AE994EA1-FD14-437B-9B4F-E37607CC968D}">
      <formula1>"Wmo,Jeugd"</formula1>
    </dataValidation>
  </dataValidation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A92761E-F2A9-4E3B-965B-8A5D149EAC34}">
          <x14:formula1>
            <xm:f>ORT!$J$4:$J$12</xm:f>
          </x14:formula1>
          <xm:sqref>F36:CZ36</xm:sqref>
        </x14:dataValidation>
        <x14:dataValidation type="list" allowBlank="1" showInputMessage="1" showErrorMessage="1" xr:uid="{4E6F5B12-0EAF-4AA9-9FA7-1FC4BE92DF80}">
          <x14:formula1>
            <xm:f>Parameters!$B$18:$B$22</xm:f>
          </x14:formula1>
          <xm:sqref>F93:CZ93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2CEF1-7174-4A6E-A739-27D7A27E8A83}">
  <sheetPr>
    <tabColor theme="5"/>
  </sheetPr>
  <dimension ref="A1:M124"/>
  <sheetViews>
    <sheetView zoomScaleNormal="100" workbookViewId="0">
      <selection activeCell="B70" sqref="B70"/>
    </sheetView>
  </sheetViews>
  <sheetFormatPr defaultColWidth="8.77734375" defaultRowHeight="17.399999999999999" zeroHeight="1"/>
  <cols>
    <col min="1" max="1" width="8.77734375" style="146"/>
    <col min="2" max="2" width="54.6640625" style="146" customWidth="1"/>
    <col min="3" max="3" width="19.88671875" style="146" customWidth="1"/>
    <col min="4" max="4" width="21.77734375" style="146" bestFit="1" customWidth="1"/>
    <col min="5" max="5" width="1.77734375" style="1" bestFit="1" customWidth="1"/>
    <col min="6" max="6" width="24.109375" style="167" bestFit="1" customWidth="1"/>
    <col min="7" max="7" width="3.109375" style="167" customWidth="1"/>
    <col min="8" max="8" width="2.33203125" style="1" customWidth="1"/>
    <col min="9" max="9" width="23" style="917" customWidth="1"/>
    <col min="10" max="10" width="17.33203125" style="851" customWidth="1"/>
    <col min="11" max="11" width="0.88671875" style="851" hidden="1" customWidth="1"/>
    <col min="12" max="12" width="21.44140625" style="851" hidden="1" customWidth="1"/>
    <col min="13" max="13" width="10.88671875" style="851" customWidth="1"/>
    <col min="14" max="16384" width="8.77734375" style="1"/>
  </cols>
  <sheetData>
    <row r="1" spans="1:13" ht="6.6" customHeight="1" thickBot="1">
      <c r="A1" s="277"/>
      <c r="B1" s="277"/>
      <c r="C1" s="277"/>
      <c r="D1" s="277"/>
      <c r="E1" s="231"/>
      <c r="F1" s="283"/>
      <c r="G1" s="288"/>
      <c r="I1" s="852"/>
      <c r="J1" s="852"/>
      <c r="K1" s="852"/>
      <c r="L1" s="852"/>
      <c r="M1" s="852"/>
    </row>
    <row r="2" spans="1:13" ht="18" thickBot="1">
      <c r="A2" s="278"/>
      <c r="B2" s="278"/>
      <c r="C2" s="278"/>
      <c r="D2" s="278"/>
      <c r="E2" s="231"/>
      <c r="F2" s="859" t="str">
        <f>'Producten &amp; tarieven'!F2</f>
        <v>OCO</v>
      </c>
      <c r="G2" s="288"/>
      <c r="I2" s="852"/>
      <c r="J2" s="852"/>
      <c r="K2" s="852"/>
      <c r="L2" s="852"/>
      <c r="M2" s="852"/>
    </row>
    <row r="3" spans="1:13">
      <c r="A3" s="277"/>
      <c r="B3" s="277"/>
      <c r="C3" s="277"/>
      <c r="D3" s="232" t="s">
        <v>11</v>
      </c>
      <c r="E3" s="231"/>
      <c r="F3" s="860">
        <f>'Producten &amp; tarieven'!F3</f>
        <v>0</v>
      </c>
      <c r="G3" s="288"/>
      <c r="H3" s="850"/>
      <c r="I3" s="852"/>
      <c r="J3" s="852"/>
      <c r="K3" s="852"/>
      <c r="L3" s="852"/>
      <c r="M3" s="852"/>
    </row>
    <row r="4" spans="1:13">
      <c r="A4" s="277"/>
      <c r="B4" s="277"/>
      <c r="C4" s="277"/>
      <c r="D4" s="233" t="s">
        <v>12</v>
      </c>
      <c r="E4" s="231"/>
      <c r="F4" s="861">
        <f>'Producten &amp; tarieven'!F4</f>
        <v>0</v>
      </c>
      <c r="G4" s="288"/>
      <c r="I4" s="852"/>
      <c r="J4" s="852"/>
      <c r="K4" s="852"/>
      <c r="L4" s="852"/>
      <c r="M4" s="852"/>
    </row>
    <row r="5" spans="1:13">
      <c r="A5" s="277"/>
      <c r="B5" s="277"/>
      <c r="C5" s="277"/>
      <c r="D5" s="234" t="s">
        <v>13</v>
      </c>
      <c r="E5" s="231"/>
      <c r="F5" s="861">
        <f>'Producten &amp; tarieven'!F5</f>
        <v>1</v>
      </c>
      <c r="G5" s="288"/>
      <c r="I5" s="852"/>
      <c r="J5" s="852"/>
      <c r="K5" s="852"/>
      <c r="L5" s="852"/>
      <c r="M5" s="852"/>
    </row>
    <row r="6" spans="1:13">
      <c r="A6" s="277"/>
      <c r="B6" s="277"/>
      <c r="C6" s="277"/>
      <c r="D6" s="235" t="s">
        <v>10</v>
      </c>
      <c r="E6" s="231"/>
      <c r="F6" s="861">
        <f>'Producten &amp; tarieven'!F6</f>
        <v>0</v>
      </c>
      <c r="G6" s="288"/>
      <c r="I6" s="1"/>
      <c r="J6" s="1"/>
      <c r="K6" s="1"/>
      <c r="L6" s="1"/>
      <c r="M6" s="1"/>
    </row>
    <row r="7" spans="1:13" ht="18" thickBot="1">
      <c r="A7" s="277"/>
      <c r="B7" s="277"/>
      <c r="C7" s="277"/>
      <c r="D7" s="236" t="s">
        <v>14</v>
      </c>
      <c r="E7" s="231"/>
      <c r="F7" s="861">
        <f>'Producten &amp; tarieven'!F7</f>
        <v>0</v>
      </c>
      <c r="G7" s="288"/>
      <c r="I7" s="1"/>
      <c r="J7" s="1"/>
      <c r="K7" s="1"/>
      <c r="L7" s="1"/>
      <c r="M7" s="1"/>
    </row>
    <row r="8" spans="1:13" ht="18" thickBot="1">
      <c r="A8" s="277"/>
      <c r="B8" s="277"/>
      <c r="C8" s="277"/>
      <c r="D8" s="550" t="s">
        <v>246</v>
      </c>
      <c r="E8" s="231"/>
      <c r="F8" s="862">
        <f t="shared" ref="F8" si="0">SUM(F3:F7)</f>
        <v>1</v>
      </c>
      <c r="G8" s="288"/>
      <c r="I8" s="1"/>
      <c r="J8" s="1"/>
      <c r="K8" s="1"/>
      <c r="L8" s="1"/>
      <c r="M8" s="1"/>
    </row>
    <row r="9" spans="1:13" ht="18" thickBot="1">
      <c r="A9" s="277"/>
      <c r="B9" s="277"/>
      <c r="C9" s="277"/>
      <c r="D9" s="237" t="s">
        <v>45</v>
      </c>
      <c r="E9" s="231"/>
      <c r="F9" s="863">
        <f t="shared" ref="F9" si="1">IF(OR(OR(F3="",F4="",F5="",F6="",F7=""),SUM(F3:F7)&lt;&gt;1),"Cao-mix incompleet!",SUM(F3:F7))</f>
        <v>1</v>
      </c>
      <c r="G9" s="288"/>
      <c r="I9" s="1"/>
      <c r="J9" s="1"/>
      <c r="K9" s="1"/>
      <c r="L9" s="1"/>
      <c r="M9" s="1"/>
    </row>
    <row r="10" spans="1:13" ht="6" customHeight="1" thickBot="1">
      <c r="A10" s="277"/>
      <c r="B10" s="277"/>
      <c r="C10" s="277"/>
      <c r="D10" s="277"/>
      <c r="E10" s="231"/>
      <c r="F10" s="277"/>
      <c r="G10" s="288"/>
      <c r="I10" s="1"/>
      <c r="J10" s="1"/>
      <c r="K10" s="1"/>
      <c r="L10" s="1"/>
      <c r="M10" s="1"/>
    </row>
    <row r="11" spans="1:13" hidden="1">
      <c r="A11" s="277"/>
      <c r="B11" s="149"/>
      <c r="C11" s="150" t="s">
        <v>44</v>
      </c>
      <c r="D11" s="243"/>
      <c r="E11" s="231"/>
      <c r="F11" s="864">
        <f>'Producten &amp; tarieven'!F11</f>
        <v>0</v>
      </c>
      <c r="G11" s="288"/>
      <c r="I11" s="1"/>
      <c r="J11" s="1"/>
      <c r="K11" s="1"/>
      <c r="L11" s="1"/>
      <c r="M11" s="1"/>
    </row>
    <row r="12" spans="1:13" hidden="1">
      <c r="A12" s="277"/>
      <c r="B12" s="250"/>
      <c r="C12" s="153" t="s">
        <v>17</v>
      </c>
      <c r="D12" s="244"/>
      <c r="E12" s="231"/>
      <c r="F12" s="865">
        <f>'Producten &amp; tarieven'!F12</f>
        <v>0</v>
      </c>
      <c r="G12" s="288"/>
      <c r="I12" s="1"/>
      <c r="J12" s="1"/>
      <c r="K12" s="1"/>
      <c r="L12" s="1"/>
      <c r="M12" s="1"/>
    </row>
    <row r="13" spans="1:13" hidden="1">
      <c r="A13" s="277"/>
      <c r="B13" s="1029" t="s">
        <v>18</v>
      </c>
      <c r="C13" s="248" t="s">
        <v>19</v>
      </c>
      <c r="D13" s="249" t="s">
        <v>170</v>
      </c>
      <c r="E13" s="231"/>
      <c r="F13" s="861">
        <f>'Producten &amp; tarieven'!F13</f>
        <v>0</v>
      </c>
      <c r="G13" s="288"/>
      <c r="I13" s="1"/>
      <c r="J13" s="1"/>
      <c r="K13" s="1"/>
      <c r="L13" s="1"/>
      <c r="M13" s="1"/>
    </row>
    <row r="14" spans="1:13" hidden="1">
      <c r="A14" s="277"/>
      <c r="B14" s="1030"/>
      <c r="C14" s="153" t="s">
        <v>21</v>
      </c>
      <c r="D14" s="244" t="s">
        <v>20</v>
      </c>
      <c r="E14" s="231"/>
      <c r="F14" s="861">
        <f>'Producten &amp; tarieven'!F14</f>
        <v>0</v>
      </c>
      <c r="G14" s="288"/>
      <c r="I14" s="1"/>
      <c r="J14" s="1"/>
      <c r="K14" s="1"/>
      <c r="L14" s="1"/>
      <c r="M14" s="1"/>
    </row>
    <row r="15" spans="1:13" hidden="1">
      <c r="A15" s="277"/>
      <c r="B15" s="1029" t="s">
        <v>22</v>
      </c>
      <c r="C15" s="248" t="s">
        <v>24</v>
      </c>
      <c r="D15" s="249" t="s">
        <v>23</v>
      </c>
      <c r="E15" s="231"/>
      <c r="F15" s="861">
        <f>'Producten &amp; tarieven'!F15</f>
        <v>0</v>
      </c>
      <c r="G15" s="288"/>
      <c r="I15" s="1"/>
      <c r="J15" s="1"/>
      <c r="K15" s="1"/>
      <c r="L15" s="1"/>
      <c r="M15" s="1"/>
    </row>
    <row r="16" spans="1:13" hidden="1">
      <c r="A16" s="277"/>
      <c r="B16" s="1030"/>
      <c r="C16" s="153" t="s">
        <v>26</v>
      </c>
      <c r="D16" s="244" t="s">
        <v>25</v>
      </c>
      <c r="E16" s="231"/>
      <c r="F16" s="861">
        <f>'Producten &amp; tarieven'!F16</f>
        <v>0</v>
      </c>
      <c r="G16" s="288"/>
      <c r="I16" s="1"/>
      <c r="J16" s="1"/>
      <c r="K16" s="1"/>
      <c r="L16" s="1"/>
      <c r="M16" s="1"/>
    </row>
    <row r="17" spans="1:13" hidden="1">
      <c r="A17" s="277"/>
      <c r="B17" s="811" t="s">
        <v>27</v>
      </c>
      <c r="C17" s="988" t="s">
        <v>29</v>
      </c>
      <c r="D17" s="989" t="s">
        <v>28</v>
      </c>
      <c r="E17" s="231"/>
      <c r="F17" s="866">
        <f>'Producten &amp; tarieven'!F17</f>
        <v>0</v>
      </c>
      <c r="G17" s="288"/>
      <c r="I17" s="1"/>
      <c r="J17" s="1"/>
      <c r="K17" s="1"/>
      <c r="L17" s="1"/>
      <c r="M17" s="1"/>
    </row>
    <row r="18" spans="1:13" hidden="1">
      <c r="A18" s="277"/>
      <c r="B18" s="1003"/>
      <c r="C18" s="1004"/>
      <c r="D18" s="1005"/>
      <c r="E18" s="231"/>
      <c r="F18" s="1002"/>
      <c r="G18" s="288"/>
      <c r="I18" s="1"/>
      <c r="J18" s="1"/>
      <c r="K18" s="1"/>
      <c r="L18" s="1"/>
      <c r="M18" s="1"/>
    </row>
    <row r="19" spans="1:13" ht="18" thickBot="1">
      <c r="A19" s="277"/>
      <c r="B19" s="1007"/>
      <c r="C19" s="1008" t="s">
        <v>34</v>
      </c>
      <c r="D19" s="1009" t="s">
        <v>33</v>
      </c>
      <c r="E19" s="231"/>
      <c r="F19" s="1006">
        <f>'Producten &amp; tarieven'!F19</f>
        <v>1</v>
      </c>
      <c r="G19" s="288"/>
      <c r="I19" s="1"/>
      <c r="J19" s="1"/>
      <c r="K19" s="1"/>
      <c r="L19" s="1"/>
      <c r="M19" s="1"/>
    </row>
    <row r="20" spans="1:13" ht="18" hidden="1" thickBot="1">
      <c r="A20" s="277"/>
      <c r="B20" s="993"/>
      <c r="C20" s="153"/>
      <c r="D20" s="244"/>
      <c r="E20" s="231"/>
      <c r="F20" s="860"/>
      <c r="G20" s="288"/>
      <c r="I20" s="1"/>
      <c r="J20" s="1"/>
      <c r="K20" s="1"/>
      <c r="L20" s="1"/>
      <c r="M20" s="1"/>
    </row>
    <row r="21" spans="1:13" hidden="1">
      <c r="A21" s="277"/>
      <c r="B21" s="1029" t="s">
        <v>37</v>
      </c>
      <c r="C21" s="248" t="s">
        <v>36</v>
      </c>
      <c r="D21" s="249" t="s">
        <v>35</v>
      </c>
      <c r="E21" s="231"/>
      <c r="F21" s="861">
        <f>'Producten &amp; tarieven'!F21</f>
        <v>0</v>
      </c>
      <c r="G21" s="288"/>
      <c r="I21" s="1"/>
      <c r="J21" s="1"/>
      <c r="K21" s="1"/>
      <c r="L21" s="1"/>
      <c r="M21" s="1"/>
    </row>
    <row r="22" spans="1:13" hidden="1">
      <c r="A22" s="277"/>
      <c r="B22" s="1030"/>
      <c r="C22" s="153" t="s">
        <v>39</v>
      </c>
      <c r="D22" s="244" t="s">
        <v>38</v>
      </c>
      <c r="E22" s="231"/>
      <c r="F22" s="861">
        <f>'Producten &amp; tarieven'!F22</f>
        <v>0</v>
      </c>
      <c r="G22" s="288"/>
      <c r="I22" s="1"/>
      <c r="J22" s="1"/>
      <c r="K22" s="1"/>
      <c r="L22" s="1"/>
      <c r="M22" s="1"/>
    </row>
    <row r="23" spans="1:13" hidden="1">
      <c r="A23" s="277"/>
      <c r="B23" s="1041" t="s">
        <v>40</v>
      </c>
      <c r="C23" s="248" t="s">
        <v>39</v>
      </c>
      <c r="D23" s="249" t="s">
        <v>38</v>
      </c>
      <c r="E23" s="231"/>
      <c r="F23" s="861">
        <f>'Producten &amp; tarieven'!F23</f>
        <v>0</v>
      </c>
      <c r="G23" s="288"/>
      <c r="I23" s="1"/>
      <c r="J23" s="1"/>
      <c r="K23" s="1"/>
      <c r="L23" s="1"/>
      <c r="M23" s="1"/>
    </row>
    <row r="24" spans="1:13" hidden="1">
      <c r="A24" s="277"/>
      <c r="B24" s="1030"/>
      <c r="C24" s="153" t="s">
        <v>43</v>
      </c>
      <c r="D24" s="244" t="s">
        <v>41</v>
      </c>
      <c r="E24" s="231"/>
      <c r="F24" s="861">
        <f>'Producten &amp; tarieven'!F24</f>
        <v>0</v>
      </c>
      <c r="G24" s="288"/>
      <c r="I24" s="1"/>
      <c r="J24" s="1"/>
      <c r="K24" s="1"/>
      <c r="L24" s="1"/>
      <c r="M24" s="1"/>
    </row>
    <row r="25" spans="1:13" hidden="1">
      <c r="A25" s="277"/>
      <c r="B25" s="251" t="s">
        <v>98</v>
      </c>
      <c r="C25" s="248" t="s">
        <v>96</v>
      </c>
      <c r="D25" s="244" t="s">
        <v>42</v>
      </c>
      <c r="E25" s="231"/>
      <c r="F25" s="861">
        <f>'Producten &amp; tarieven'!F25</f>
        <v>0</v>
      </c>
      <c r="G25" s="288"/>
      <c r="I25" s="1"/>
      <c r="J25" s="1"/>
      <c r="K25" s="1"/>
      <c r="L25" s="1"/>
      <c r="M25" s="1"/>
    </row>
    <row r="26" spans="1:13" hidden="1">
      <c r="A26" s="277"/>
      <c r="B26" s="251" t="s">
        <v>99</v>
      </c>
      <c r="C26" s="146" t="s">
        <v>97</v>
      </c>
      <c r="D26" s="174" t="s">
        <v>95</v>
      </c>
      <c r="E26" s="231"/>
      <c r="F26" s="866">
        <f>'Producten &amp; tarieven'!F26</f>
        <v>0</v>
      </c>
      <c r="G26" s="288"/>
      <c r="I26" s="1"/>
      <c r="J26" s="1"/>
      <c r="K26" s="1"/>
      <c r="L26" s="1"/>
      <c r="M26" s="1"/>
    </row>
    <row r="27" spans="1:13" ht="18" hidden="1" thickBot="1">
      <c r="A27" s="277"/>
      <c r="B27" s="155" t="s">
        <v>100</v>
      </c>
      <c r="C27" s="156"/>
      <c r="D27" s="247"/>
      <c r="E27" s="231"/>
      <c r="F27" s="867">
        <f>'Producten &amp; tarieven'!F27</f>
        <v>0</v>
      </c>
      <c r="G27" s="288"/>
      <c r="I27" s="1"/>
      <c r="J27" s="1"/>
      <c r="K27" s="1"/>
      <c r="L27" s="1"/>
      <c r="M27" s="1"/>
    </row>
    <row r="28" spans="1:13" ht="18" thickBot="1">
      <c r="A28" s="277"/>
      <c r="B28" s="286"/>
      <c r="C28" s="287"/>
      <c r="D28" s="237" t="s">
        <v>45</v>
      </c>
      <c r="E28" s="231"/>
      <c r="F28" s="863">
        <f>SUM(F13:F27)</f>
        <v>1</v>
      </c>
      <c r="G28" s="288"/>
      <c r="I28" s="1"/>
      <c r="J28" s="1"/>
      <c r="K28" s="1"/>
      <c r="L28" s="1"/>
      <c r="M28" s="1"/>
    </row>
    <row r="29" spans="1:13" ht="6.6" customHeight="1" thickBot="1">
      <c r="A29" s="277"/>
      <c r="B29" s="277"/>
      <c r="C29" s="277"/>
      <c r="D29" s="277"/>
      <c r="E29" s="231"/>
      <c r="F29" s="283"/>
      <c r="G29" s="288"/>
      <c r="I29" s="1"/>
      <c r="J29" s="1"/>
      <c r="K29" s="1"/>
      <c r="L29" s="1"/>
      <c r="M29" s="1"/>
    </row>
    <row r="30" spans="1:13" ht="24">
      <c r="A30" s="277"/>
      <c r="B30" s="159" t="s">
        <v>62</v>
      </c>
      <c r="C30" s="160"/>
      <c r="D30" s="252"/>
      <c r="E30" s="231"/>
      <c r="F30" s="868"/>
      <c r="G30" s="288"/>
      <c r="I30" s="1"/>
      <c r="J30" s="1"/>
      <c r="K30" s="1"/>
      <c r="L30" s="1"/>
      <c r="M30" s="1"/>
    </row>
    <row r="31" spans="1:13" ht="24.6" thickBot="1">
      <c r="A31" s="277"/>
      <c r="B31" s="165"/>
      <c r="D31" s="174"/>
      <c r="E31" s="231"/>
      <c r="F31" s="869"/>
      <c r="G31" s="288"/>
      <c r="I31" s="852"/>
      <c r="J31" s="852"/>
      <c r="K31" s="852"/>
      <c r="L31" s="852"/>
      <c r="M31" s="852"/>
    </row>
    <row r="32" spans="1:13" ht="18" thickBot="1">
      <c r="A32" s="277"/>
      <c r="B32" s="151"/>
      <c r="C32" s="167"/>
      <c r="D32" s="174"/>
      <c r="E32" s="231"/>
      <c r="F32" s="780">
        <f>'Producten &amp; tarieven'!F32</f>
        <v>4926.6722</v>
      </c>
      <c r="G32" s="288"/>
      <c r="I32" s="998"/>
      <c r="J32" s="852"/>
      <c r="K32" s="852"/>
      <c r="L32" s="852"/>
      <c r="M32" s="852"/>
    </row>
    <row r="33" spans="1:13" ht="18" thickBot="1">
      <c r="A33" s="277"/>
      <c r="B33" s="169"/>
      <c r="C33" s="167"/>
      <c r="D33" s="168"/>
      <c r="E33" s="231"/>
      <c r="F33" s="869"/>
      <c r="G33" s="288"/>
      <c r="I33" s="915"/>
      <c r="J33" s="852"/>
      <c r="K33" s="852"/>
      <c r="L33" s="852"/>
      <c r="M33" s="852"/>
    </row>
    <row r="34" spans="1:13" ht="18" thickBot="1">
      <c r="A34" s="277"/>
      <c r="B34" s="151" t="s">
        <v>218</v>
      </c>
      <c r="D34" s="659">
        <f>'Producten &amp; tarieven'!D34</f>
        <v>12</v>
      </c>
      <c r="E34" s="231"/>
      <c r="F34" s="870">
        <f>'Producten &amp; tarieven'!F34</f>
        <v>59120.066399999996</v>
      </c>
      <c r="G34" s="288"/>
      <c r="I34" s="923" t="str">
        <f>"12 x "&amp;TEXT(F32,"€0.000")&amp;" = "&amp;TEXT(F34,"€0.000,00")</f>
        <v>12 x €4.927 = €59.120,07</v>
      </c>
      <c r="J34" s="857"/>
      <c r="K34" s="857"/>
      <c r="L34" s="857"/>
      <c r="M34" s="858"/>
    </row>
    <row r="35" spans="1:13" ht="18" thickBot="1">
      <c r="A35" s="277"/>
      <c r="B35" s="151" t="s">
        <v>219</v>
      </c>
      <c r="C35" s="167"/>
      <c r="D35" s="660">
        <f>'Producten &amp; tarieven'!D35</f>
        <v>0.93</v>
      </c>
      <c r="E35" s="231"/>
      <c r="F35" s="871">
        <f>'Producten &amp; tarieven'!F35</f>
        <v>54981.661752</v>
      </c>
      <c r="G35" s="288"/>
      <c r="I35" s="920" t="str">
        <f>TEXT(D35,"0,0%")&amp;" x "&amp;TEXT(F34,"€0.000")&amp;" = "&amp;TEXT(F35,"€0.000,00")</f>
        <v>93,0% x €59.120 = €54.981,66</v>
      </c>
      <c r="J35" s="853"/>
      <c r="K35" s="853"/>
      <c r="L35" s="853"/>
      <c r="M35" s="854"/>
    </row>
    <row r="36" spans="1:13">
      <c r="A36" s="277"/>
      <c r="B36" s="151" t="s">
        <v>228</v>
      </c>
      <c r="C36" s="167"/>
      <c r="D36" s="168"/>
      <c r="E36" s="231"/>
      <c r="F36" s="872" t="str">
        <f>'Producten &amp; tarieven'!F36</f>
        <v>Geen ORT</v>
      </c>
      <c r="G36" s="288"/>
      <c r="I36" s="915"/>
      <c r="J36" s="852"/>
      <c r="K36" s="852"/>
      <c r="L36" s="852"/>
      <c r="M36" s="852"/>
    </row>
    <row r="37" spans="1:13" ht="18" thickBot="1">
      <c r="A37" s="277"/>
      <c r="B37" s="151" t="s">
        <v>224</v>
      </c>
      <c r="C37" s="167"/>
      <c r="D37" s="168"/>
      <c r="E37" s="231"/>
      <c r="F37" s="873">
        <f>'Producten &amp; tarieven'!F37</f>
        <v>0</v>
      </c>
      <c r="G37" s="288"/>
      <c r="I37" s="915"/>
      <c r="J37" s="852"/>
      <c r="K37" s="852"/>
      <c r="L37" s="852"/>
      <c r="M37" s="852"/>
    </row>
    <row r="38" spans="1:13" ht="18" thickBot="1">
      <c r="A38" s="277"/>
      <c r="B38" s="170" t="s">
        <v>226</v>
      </c>
      <c r="C38" s="167"/>
      <c r="D38" s="168"/>
      <c r="E38" s="231"/>
      <c r="F38" s="874">
        <f>'Producten &amp; tarieven'!F38</f>
        <v>0</v>
      </c>
      <c r="G38" s="288"/>
      <c r="I38" s="920" t="str">
        <f>TEXT(F37,"0,00%")&amp;" x "&amp;TEXT(F35,"€0.000")&amp;" = "&amp;TEXT(F38,"€00,00")</f>
        <v>0,00% x €54.982 = €00,00</v>
      </c>
      <c r="J38" s="853"/>
      <c r="K38" s="853"/>
      <c r="L38" s="853"/>
      <c r="M38" s="854"/>
    </row>
    <row r="39" spans="1:13" ht="18" thickBot="1">
      <c r="A39" s="277"/>
      <c r="B39" s="151" t="s">
        <v>229</v>
      </c>
      <c r="C39" s="813"/>
      <c r="D39" s="653" t="str">
        <f>'Producten &amp; tarieven'!D39</f>
        <v>Per product</v>
      </c>
      <c r="E39" s="231"/>
      <c r="F39" s="875">
        <f>'Producten &amp; tarieven'!F39</f>
        <v>0.08</v>
      </c>
      <c r="G39" s="288"/>
      <c r="I39" s="921"/>
      <c r="J39" s="852"/>
      <c r="K39" s="852"/>
      <c r="L39" s="852"/>
      <c r="M39" s="852"/>
    </row>
    <row r="40" spans="1:13" ht="18" thickBot="1">
      <c r="A40" s="277"/>
      <c r="B40" s="170" t="s">
        <v>227</v>
      </c>
      <c r="C40" s="167"/>
      <c r="D40" s="168"/>
      <c r="E40" s="231"/>
      <c r="F40" s="874">
        <f>'Producten &amp; tarieven'!F40</f>
        <v>4398.5329401600002</v>
      </c>
      <c r="G40" s="288"/>
      <c r="I40" s="920" t="str">
        <f>TEXT(F39,"0,00%")&amp;" x "&amp;TEXT(F35,"€0.000")&amp;" = "&amp;TEXT(F40,"€0.000,00")</f>
        <v>8,00% x €54.982 = €4.398,53</v>
      </c>
      <c r="J40" s="853"/>
      <c r="K40" s="853"/>
      <c r="L40" s="853"/>
      <c r="M40" s="854"/>
    </row>
    <row r="41" spans="1:13" ht="18" thickBot="1">
      <c r="A41" s="277"/>
      <c r="B41" s="151" t="s">
        <v>230</v>
      </c>
      <c r="C41" s="813"/>
      <c r="D41" s="653" t="str">
        <f>'Producten &amp; tarieven'!D41</f>
        <v>Per product</v>
      </c>
      <c r="E41" s="231"/>
      <c r="F41" s="875">
        <f>'Producten &amp; tarieven'!F41</f>
        <v>9.0639999999999998E-2</v>
      </c>
      <c r="G41" s="288"/>
      <c r="I41" s="921"/>
      <c r="J41" s="852"/>
      <c r="K41" s="852"/>
      <c r="L41" s="852"/>
      <c r="M41" s="852"/>
    </row>
    <row r="42" spans="1:13" ht="18" thickBot="1">
      <c r="A42" s="277"/>
      <c r="B42" s="170" t="s">
        <v>231</v>
      </c>
      <c r="C42" s="167"/>
      <c r="D42" s="168"/>
      <c r="E42" s="231"/>
      <c r="F42" s="874">
        <f>'Producten &amp; tarieven'!F42</f>
        <v>4983.5378212012802</v>
      </c>
      <c r="G42" s="288"/>
      <c r="I42" s="920" t="str">
        <f>TEXT(F41,"0,00%")&amp;" x "&amp;TEXT(F35,"€0.000")&amp;" = "&amp;TEXT(F42,"€0.000,00")</f>
        <v>9,06% x €54.982 = €4.983,54</v>
      </c>
      <c r="J42" s="853"/>
      <c r="K42" s="853"/>
      <c r="L42" s="853"/>
      <c r="M42" s="854"/>
    </row>
    <row r="43" spans="1:13" ht="18" thickBot="1">
      <c r="A43" s="277"/>
      <c r="B43" s="170" t="s">
        <v>115</v>
      </c>
      <c r="C43" s="167"/>
      <c r="D43" s="657">
        <f>'Producten &amp; tarieven'!D43</f>
        <v>500</v>
      </c>
      <c r="E43" s="231"/>
      <c r="F43" s="876">
        <f>'Producten &amp; tarieven'!F43</f>
        <v>0</v>
      </c>
      <c r="G43" s="288"/>
      <c r="I43" s="922" t="str">
        <f>TEXT(F3,"0,00%")&amp;" x "&amp;TEXT(D43,"€0")&amp;" = "&amp;TEXT(F43,"€00,00")</f>
        <v>0,00% x €500 = €00,00</v>
      </c>
      <c r="J43" s="855"/>
      <c r="K43" s="855"/>
      <c r="L43" s="855"/>
      <c r="M43" s="856"/>
    </row>
    <row r="44" spans="1:13" ht="18" thickBot="1">
      <c r="A44" s="277"/>
      <c r="B44" s="170" t="s">
        <v>374</v>
      </c>
      <c r="C44" s="167"/>
      <c r="D44" s="657">
        <v>120</v>
      </c>
      <c r="E44" s="231"/>
      <c r="F44" s="931">
        <f>'Producten &amp; tarieven'!F44</f>
        <v>120</v>
      </c>
      <c r="G44" s="288"/>
      <c r="I44" s="922" t="str">
        <f>TEXT(F5,"0,00%")&amp;" x "&amp;TEXT(D44,"€0")&amp;" = "&amp;TEXT(F44,"€000,00")</f>
        <v>100,00% x €120 = €120,00</v>
      </c>
      <c r="J44" s="855"/>
      <c r="K44" s="855"/>
      <c r="L44" s="855"/>
      <c r="M44" s="856"/>
    </row>
    <row r="45" spans="1:13" ht="18" thickBot="1">
      <c r="A45" s="277"/>
      <c r="B45" s="170" t="s">
        <v>376</v>
      </c>
      <c r="C45" s="167"/>
      <c r="D45" s="932">
        <v>1.4999999999999999E-2</v>
      </c>
      <c r="E45" s="231"/>
      <c r="F45" s="931">
        <f>'Producten &amp; tarieven'!F45</f>
        <v>824.72492627999998</v>
      </c>
      <c r="G45" s="288"/>
      <c r="I45" s="922" t="str">
        <f>TEXT(F5,"0,00%")&amp;" x "&amp;TEXT(D45,"0,00%")&amp;" x "&amp;TEXT(F35,"€0.000")&amp;" = "&amp;TEXT(F45,"€000,00")</f>
        <v>100,00% x 1,50% x €54.982 = €824,72</v>
      </c>
      <c r="J45" s="855"/>
      <c r="K45" s="855"/>
      <c r="L45" s="855"/>
      <c r="M45" s="856"/>
    </row>
    <row r="46" spans="1:13" ht="21.6" thickBot="1">
      <c r="A46" s="277"/>
      <c r="B46" s="560" t="s">
        <v>83</v>
      </c>
      <c r="C46" s="171"/>
      <c r="D46" s="192"/>
      <c r="E46" s="231"/>
      <c r="F46" s="877">
        <f>'Producten &amp; tarieven'!F46</f>
        <v>65308.457439641286</v>
      </c>
      <c r="G46" s="288"/>
      <c r="I46" s="919" t="str">
        <f>TEXT(F35,"€0.00")&amp;" + "&amp;TEXT(F38,"€0")&amp;" + "&amp;TEXT(F40,"€0.00")&amp;" + "&amp;TEXT(F42,"€0.00")&amp;" + "&amp;TEXT(F43,"€0")&amp;" + "&amp;TEXT(F44,"€0")&amp;" + "&amp;TEXT(F45,"€0")&amp;" = "&amp;TEXT(SUM(F35,F38,F40,F42,F43,F44,F45),"€0.000,00")</f>
        <v>€54.982 + €0 + €4.399 + €4.984 + €0 + €120 + €825 = €65.308,46</v>
      </c>
      <c r="J46" s="855"/>
      <c r="K46" s="855"/>
      <c r="L46" s="855"/>
      <c r="M46" s="856"/>
    </row>
    <row r="47" spans="1:13" ht="6.6" customHeight="1" thickBot="1">
      <c r="A47" s="277"/>
      <c r="B47" s="283"/>
      <c r="C47" s="283"/>
      <c r="D47" s="283"/>
      <c r="E47" s="231"/>
      <c r="F47" s="283"/>
      <c r="G47" s="288"/>
      <c r="I47" s="915"/>
      <c r="J47" s="852"/>
      <c r="K47" s="852"/>
      <c r="L47" s="852"/>
      <c r="M47" s="852"/>
    </row>
    <row r="48" spans="1:13" ht="24">
      <c r="A48" s="277"/>
      <c r="B48" s="159" t="s">
        <v>84</v>
      </c>
      <c r="C48" s="160"/>
      <c r="D48" s="252"/>
      <c r="E48" s="231"/>
      <c r="F48" s="878"/>
      <c r="G48" s="288"/>
      <c r="I48" s="915"/>
      <c r="J48" s="852"/>
      <c r="K48" s="852"/>
      <c r="L48" s="852"/>
      <c r="M48" s="852"/>
    </row>
    <row r="49" spans="1:13" ht="24.6" thickBot="1">
      <c r="A49" s="277"/>
      <c r="B49" s="165"/>
      <c r="D49" s="174"/>
      <c r="E49" s="231"/>
      <c r="F49" s="869"/>
      <c r="G49" s="288"/>
      <c r="I49" s="915"/>
      <c r="J49" s="852"/>
      <c r="K49" s="852"/>
      <c r="L49" s="852"/>
      <c r="M49" s="852"/>
    </row>
    <row r="50" spans="1:13" ht="18" thickBot="1">
      <c r="A50" s="277"/>
      <c r="B50" s="151" t="s">
        <v>265</v>
      </c>
      <c r="C50" s="167"/>
      <c r="D50" s="215">
        <f>'Producten &amp; tarieven'!D50</f>
        <v>0.20099333331479999</v>
      </c>
      <c r="E50" s="231"/>
      <c r="F50" s="673">
        <f>'Producten &amp; tarieven'!F50</f>
        <v>0.20099333331479999</v>
      </c>
      <c r="G50" s="288"/>
      <c r="I50" s="915"/>
      <c r="J50" s="852"/>
      <c r="K50" s="852"/>
      <c r="L50" s="852"/>
      <c r="M50" s="852"/>
    </row>
    <row r="51" spans="1:13" ht="18" thickBot="1">
      <c r="A51" s="277"/>
      <c r="B51" s="151"/>
      <c r="D51" s="174"/>
      <c r="E51" s="231"/>
      <c r="F51" s="879"/>
      <c r="G51" s="288"/>
      <c r="I51" s="915"/>
      <c r="J51" s="852"/>
      <c r="K51" s="852"/>
      <c r="L51" s="852"/>
      <c r="M51" s="852"/>
    </row>
    <row r="52" spans="1:13" ht="18" thickBot="1">
      <c r="A52" s="277"/>
      <c r="B52" s="151" t="s">
        <v>264</v>
      </c>
      <c r="D52" s="787">
        <f>'Producten &amp; tarieven'!D52</f>
        <v>75864</v>
      </c>
      <c r="E52" s="231"/>
      <c r="F52" s="880"/>
      <c r="G52" s="288"/>
      <c r="I52" s="915"/>
      <c r="J52" s="852"/>
      <c r="K52" s="852"/>
      <c r="L52" s="852"/>
      <c r="M52" s="852"/>
    </row>
    <row r="53" spans="1:13">
      <c r="A53" s="277"/>
      <c r="B53" s="690" t="s">
        <v>92</v>
      </c>
      <c r="C53" s="248"/>
      <c r="D53" s="786"/>
      <c r="E53" s="231"/>
      <c r="F53" s="881">
        <f>'Producten &amp; tarieven'!F53</f>
        <v>0.20099333331479999</v>
      </c>
      <c r="G53" s="288"/>
      <c r="I53" s="915"/>
      <c r="J53" s="852"/>
      <c r="K53" s="852"/>
      <c r="L53" s="852"/>
      <c r="M53" s="852"/>
    </row>
    <row r="54" spans="1:13" ht="18" thickBot="1">
      <c r="A54" s="277"/>
      <c r="B54" s="151"/>
      <c r="C54" s="687" t="s">
        <v>118</v>
      </c>
      <c r="D54" s="689" t="str">
        <f>'Producten &amp; tarieven'!D54</f>
        <v>JZ</v>
      </c>
      <c r="E54" s="231"/>
      <c r="F54" s="879"/>
      <c r="G54" s="288"/>
      <c r="I54" s="915"/>
      <c r="J54" s="852"/>
      <c r="K54" s="852"/>
      <c r="L54" s="852"/>
      <c r="M54" s="852"/>
    </row>
    <row r="55" spans="1:13" ht="18" thickBot="1">
      <c r="A55" s="277"/>
      <c r="B55" s="151" t="s">
        <v>57</v>
      </c>
      <c r="C55" s="655">
        <v>0.129</v>
      </c>
      <c r="D55" s="658">
        <f>'Producten &amp; tarieven'!D55</f>
        <v>0.13500000000000001</v>
      </c>
      <c r="E55" s="231"/>
      <c r="F55" s="882">
        <f>'Producten &amp; tarieven'!F55</f>
        <v>0.129</v>
      </c>
      <c r="G55" s="288"/>
      <c r="I55" s="915"/>
      <c r="J55" s="852"/>
      <c r="K55" s="852"/>
      <c r="L55" s="852"/>
      <c r="M55" s="852"/>
    </row>
    <row r="56" spans="1:13" ht="18" thickBot="1">
      <c r="A56" s="277"/>
      <c r="B56" s="151" t="s">
        <v>58</v>
      </c>
      <c r="D56" s="654">
        <f>'Producten &amp; tarieven'!D56</f>
        <v>16655</v>
      </c>
      <c r="E56" s="231"/>
      <c r="F56" s="883">
        <f>'Producten &amp; tarieven'!F56</f>
        <v>6276.2960097137266</v>
      </c>
      <c r="G56" s="288"/>
      <c r="I56" s="918" t="str">
        <f>"( "&amp;TEXT(F46,"€0.000")&amp;" - "&amp;TEXT(D56,"€0.000")&amp;" ) x "&amp;TEXT(F55,"0,00%")&amp;" = "&amp;TEXT(F56,"€0,00")</f>
        <v>( €65.308 - €16.655 ) x 12,90% = €6276,30</v>
      </c>
      <c r="J56" s="853"/>
      <c r="K56" s="853"/>
      <c r="L56" s="853"/>
      <c r="M56" s="854"/>
    </row>
    <row r="57" spans="1:13" ht="18" thickBot="1">
      <c r="A57" s="277"/>
      <c r="B57" s="820" t="s">
        <v>348</v>
      </c>
      <c r="D57" s="787">
        <f>'Producten &amp; tarieven'!D57</f>
        <v>137800</v>
      </c>
      <c r="E57" s="231"/>
      <c r="F57" s="883"/>
      <c r="G57" s="288"/>
      <c r="I57" s="915"/>
      <c r="J57" s="852"/>
      <c r="K57" s="852"/>
      <c r="L57" s="852"/>
      <c r="M57" s="852"/>
    </row>
    <row r="58" spans="1:13" ht="18" thickBot="1">
      <c r="A58" s="277"/>
      <c r="B58" s="151"/>
      <c r="C58" s="687" t="s">
        <v>273</v>
      </c>
      <c r="D58" s="688" t="str">
        <f>'Producten &amp; tarieven'!D58</f>
        <v>SW/JZ</v>
      </c>
      <c r="E58" s="231"/>
      <c r="F58" s="884"/>
      <c r="G58" s="288"/>
      <c r="I58" s="915"/>
      <c r="J58" s="852"/>
      <c r="K58" s="852"/>
      <c r="L58" s="852"/>
      <c r="M58" s="852"/>
    </row>
    <row r="59" spans="1:13" ht="18" thickBot="1">
      <c r="A59" s="277"/>
      <c r="B59" s="151" t="s">
        <v>59</v>
      </c>
      <c r="C59" s="656">
        <v>2.5000000000000001E-3</v>
      </c>
      <c r="D59" s="658">
        <f>'Producten &amp; tarieven'!D59</f>
        <v>5.0000000000000001E-3</v>
      </c>
      <c r="E59" s="231"/>
      <c r="F59" s="882">
        <f>'Producten &amp; tarieven'!F59</f>
        <v>5.0000000000000001E-3</v>
      </c>
      <c r="G59" s="288"/>
      <c r="I59" s="915"/>
      <c r="J59" s="852"/>
      <c r="K59" s="852"/>
      <c r="L59" s="852"/>
      <c r="M59" s="852"/>
    </row>
    <row r="60" spans="1:13" ht="18" thickBot="1">
      <c r="A60" s="277"/>
      <c r="B60" s="151" t="s">
        <v>60</v>
      </c>
      <c r="D60" s="654">
        <f>'Producten &amp; tarieven'!D60</f>
        <v>28405</v>
      </c>
      <c r="E60" s="231"/>
      <c r="F60" s="883">
        <f>'Producten &amp; tarieven'!F60</f>
        <v>184.51728719820645</v>
      </c>
      <c r="G60" s="288"/>
      <c r="I60" s="918" t="str">
        <f>"( "&amp;TEXT(F46,"€0.000")&amp;" - "&amp;TEXT(D60,"€0.000")&amp;" ) x "&amp;TEXT(F59,"0,00%")&amp;" = "&amp;TEXT(F60,"€0,00")</f>
        <v>( €65.308 - €28.405 ) x 0,50% = €184,52</v>
      </c>
      <c r="J60" s="853"/>
      <c r="K60" s="853"/>
      <c r="L60" s="853"/>
      <c r="M60" s="854"/>
    </row>
    <row r="61" spans="1:13" ht="18" thickBot="1">
      <c r="A61" s="277"/>
      <c r="B61" s="151"/>
      <c r="C61" s="176"/>
      <c r="D61" s="258"/>
      <c r="E61" s="231"/>
      <c r="F61" s="885"/>
      <c r="G61" s="288"/>
      <c r="I61" s="915"/>
      <c r="J61" s="852"/>
      <c r="K61" s="852"/>
      <c r="L61" s="852"/>
      <c r="M61" s="852"/>
    </row>
    <row r="62" spans="1:13" ht="18" thickBot="1">
      <c r="A62" s="277"/>
      <c r="B62" s="690" t="s">
        <v>47</v>
      </c>
      <c r="C62" s="248"/>
      <c r="D62" s="821"/>
      <c r="E62" s="231"/>
      <c r="F62" s="886">
        <f>'Producten &amp; tarieven'!F62</f>
        <v>9.8927666495309277E-2</v>
      </c>
      <c r="G62" s="288"/>
      <c r="I62" s="918" t="str">
        <f>"( "&amp;TEXT(F56,"€0.00")&amp;" + "&amp;TEXT(F60,"€0")&amp;" ) / "&amp;TEXT(F46,"€0.000")&amp;" = "&amp;TEXT(F62,"0,00%")</f>
        <v>( €6.276 + €185 ) / €65.308 = 9,89%</v>
      </c>
      <c r="J62" s="853"/>
      <c r="K62" s="853"/>
      <c r="L62" s="853"/>
      <c r="M62" s="854"/>
    </row>
    <row r="63" spans="1:13" ht="18" thickBot="1">
      <c r="A63" s="277"/>
      <c r="B63" s="151"/>
      <c r="D63" s="174"/>
      <c r="E63" s="231"/>
      <c r="F63" s="887"/>
      <c r="G63" s="288"/>
      <c r="I63" s="915"/>
      <c r="J63" s="852"/>
      <c r="K63" s="852"/>
      <c r="L63" s="852"/>
      <c r="M63" s="852"/>
    </row>
    <row r="64" spans="1:13" ht="21.6" thickBot="1">
      <c r="A64" s="277"/>
      <c r="B64" s="694" t="s">
        <v>232</v>
      </c>
      <c r="C64" s="248"/>
      <c r="D64" s="249"/>
      <c r="E64" s="231"/>
      <c r="F64" s="888">
        <f>'Producten &amp; tarieven'!F64</f>
        <v>0.29992099981010928</v>
      </c>
      <c r="G64" s="288"/>
      <c r="I64" s="918" t="str">
        <f>TEXT(F53,"0,00%")&amp;" + "&amp;TEXT(F62,"0,00%")&amp;" = "&amp;TEXT(F64,"0,00%")</f>
        <v>20,10% + 9,89% = 29,99%</v>
      </c>
      <c r="J64" s="853"/>
      <c r="K64" s="853"/>
      <c r="L64" s="853"/>
      <c r="M64" s="854"/>
    </row>
    <row r="65" spans="1:13" ht="21.6" thickBot="1">
      <c r="A65" s="277"/>
      <c r="B65" s="155" t="s">
        <v>233</v>
      </c>
      <c r="C65" s="175"/>
      <c r="D65" s="259"/>
      <c r="E65" s="231"/>
      <c r="F65" s="889">
        <f>'Producten &amp; tarieven'!F65</f>
        <v>19587.377851353183</v>
      </c>
      <c r="G65" s="288"/>
      <c r="I65" s="920" t="str">
        <f>TEXT(F46,"€0.000")&amp;" x "&amp;TEXT(F64,"0,00%")&amp;" = "&amp;TEXT(F65,"€0.000,00")</f>
        <v>€65.308 x 29,99% = €19.587,38</v>
      </c>
      <c r="J65" s="853"/>
      <c r="K65" s="853"/>
      <c r="L65" s="853"/>
      <c r="M65" s="854"/>
    </row>
    <row r="66" spans="1:13" ht="6" customHeight="1" thickBot="1">
      <c r="A66" s="277"/>
      <c r="B66" s="277"/>
      <c r="C66" s="277"/>
      <c r="D66" s="277"/>
      <c r="E66" s="231"/>
      <c r="F66" s="284"/>
      <c r="G66" s="288"/>
      <c r="I66" s="916"/>
      <c r="J66" s="852"/>
      <c r="K66" s="852"/>
      <c r="L66" s="852"/>
      <c r="M66" s="852"/>
    </row>
    <row r="67" spans="1:13" ht="21.6" thickBot="1">
      <c r="A67" s="277"/>
      <c r="B67" s="695" t="s">
        <v>85</v>
      </c>
      <c r="C67" s="433"/>
      <c r="D67" s="243"/>
      <c r="E67" s="231"/>
      <c r="F67" s="890">
        <f>'Producten &amp; tarieven'!F67</f>
        <v>84895.835290994466</v>
      </c>
      <c r="G67" s="288"/>
      <c r="I67" s="918" t="str">
        <f>TEXT(F46,"€0.000")&amp;" + "&amp;TEXT(F65,"€0.000")&amp;" = "&amp;TEXT(SUM(F46,F65),"€0.000,00")</f>
        <v>€65.308 + €19.587 = €84.895,84</v>
      </c>
      <c r="J67" s="853"/>
      <c r="K67" s="853"/>
      <c r="L67" s="853"/>
      <c r="M67" s="854"/>
    </row>
    <row r="68" spans="1:13" ht="18" thickBot="1">
      <c r="A68" s="277"/>
      <c r="B68" s="151" t="s">
        <v>236</v>
      </c>
      <c r="D68" s="652">
        <f>'Producten &amp; tarieven'!D68</f>
        <v>0</v>
      </c>
      <c r="E68" s="231"/>
      <c r="F68" s="891">
        <f>'Producten &amp; tarieven'!F68</f>
        <v>0</v>
      </c>
      <c r="G68" s="288"/>
      <c r="I68" s="915"/>
      <c r="J68" s="852"/>
      <c r="K68" s="852"/>
      <c r="L68" s="852"/>
      <c r="M68" s="852"/>
    </row>
    <row r="69" spans="1:13" ht="18" thickBot="1">
      <c r="A69" s="277"/>
      <c r="B69" s="151" t="s">
        <v>237</v>
      </c>
      <c r="D69" s="174"/>
      <c r="E69" s="231"/>
      <c r="F69" s="892">
        <f>'Producten &amp; tarieven'!F69</f>
        <v>0</v>
      </c>
      <c r="G69" s="288"/>
      <c r="I69" s="920" t="str">
        <f>TEXT(F68,"0,00%")&amp;" x "&amp;TEXT(F67,"€0.000")&amp;" = "&amp;TEXT(F69,"€0.0,00")</f>
        <v>0,00% x €84.896 = €00,00</v>
      </c>
      <c r="J69" s="853"/>
      <c r="K69" s="853"/>
      <c r="L69" s="853"/>
      <c r="M69" s="854"/>
    </row>
    <row r="70" spans="1:13" ht="18" thickBot="1">
      <c r="A70" s="277"/>
      <c r="B70" s="698" t="s">
        <v>238</v>
      </c>
      <c r="C70" s="248"/>
      <c r="D70" s="249"/>
      <c r="E70" s="231"/>
      <c r="F70" s="893">
        <f>'Producten &amp; tarieven'!F70</f>
        <v>84895.835290994466</v>
      </c>
      <c r="G70" s="288"/>
      <c r="I70" s="918" t="str">
        <f>TEXT(F67,"€0.000")&amp;" + "&amp;TEXT(F69,"€0")&amp;" = "&amp;TEXT(SUM(F67,F69),"€0.000,00")</f>
        <v>€84.896 + €0 = €84.895,84</v>
      </c>
      <c r="J70" s="853"/>
      <c r="K70" s="853"/>
      <c r="L70" s="853"/>
      <c r="M70" s="854"/>
    </row>
    <row r="71" spans="1:13" ht="18" thickBot="1">
      <c r="A71" s="277"/>
      <c r="B71" s="151"/>
      <c r="D71" s="174"/>
      <c r="E71" s="231"/>
      <c r="F71" s="879"/>
      <c r="G71" s="288"/>
      <c r="I71" s="915"/>
      <c r="J71" s="852"/>
      <c r="K71" s="852"/>
      <c r="L71" s="852"/>
      <c r="M71" s="852"/>
    </row>
    <row r="72" spans="1:13" ht="18" thickBot="1">
      <c r="A72" s="277"/>
      <c r="B72" s="151"/>
      <c r="D72" s="653" t="str">
        <f>'Producten &amp; tarieven'!D72</f>
        <v>Type product</v>
      </c>
      <c r="E72" s="231"/>
      <c r="F72" s="894" t="str">
        <f>'Producten &amp; tarieven'!F72</f>
        <v>Wmo</v>
      </c>
      <c r="G72" s="288"/>
      <c r="I72" s="915"/>
      <c r="J72" s="852"/>
      <c r="K72" s="852"/>
      <c r="L72" s="852"/>
      <c r="M72" s="852"/>
    </row>
    <row r="73" spans="1:13" ht="18" thickBot="1">
      <c r="A73" s="277"/>
      <c r="B73" s="170" t="s">
        <v>275</v>
      </c>
      <c r="D73" s="653" t="str">
        <f>'Producten &amp; tarieven'!D73</f>
        <v>Per product</v>
      </c>
      <c r="E73" s="231"/>
      <c r="F73" s="895">
        <f>'Producten &amp; tarieven'!F73</f>
        <v>0.35099999999999998</v>
      </c>
      <c r="G73" s="288"/>
      <c r="I73" s="915"/>
      <c r="J73" s="852"/>
      <c r="K73" s="852"/>
      <c r="L73" s="852"/>
      <c r="M73" s="852"/>
    </row>
    <row r="74" spans="1:13" ht="18" thickBot="1">
      <c r="A74" s="277"/>
      <c r="B74" s="170" t="s">
        <v>239</v>
      </c>
      <c r="D74" s="174"/>
      <c r="E74" s="231"/>
      <c r="F74" s="896">
        <f>'Producten &amp; tarieven'!F74</f>
        <v>29798.438187139054</v>
      </c>
      <c r="G74" s="288"/>
      <c r="I74" s="920" t="str">
        <f>TEXT(F73,"0,00%")&amp;" x "&amp;TEXT(F67,"€0.000")&amp;" = "&amp;TEXT(F74,"€0.000,00")</f>
        <v>35,10% x €84.896 = €29.798,44</v>
      </c>
      <c r="J74" s="853"/>
      <c r="K74" s="853"/>
      <c r="L74" s="853"/>
      <c r="M74" s="854"/>
    </row>
    <row r="75" spans="1:13" ht="18" thickBot="1">
      <c r="A75" s="277"/>
      <c r="B75" s="151"/>
      <c r="D75" s="174"/>
      <c r="E75" s="231"/>
      <c r="F75" s="897"/>
      <c r="G75" s="288"/>
      <c r="I75" s="915"/>
      <c r="J75" s="852"/>
      <c r="K75" s="852"/>
      <c r="L75" s="852"/>
      <c r="M75" s="852"/>
    </row>
    <row r="76" spans="1:13" ht="18" thickBot="1">
      <c r="A76" s="277"/>
      <c r="B76" s="170" t="s">
        <v>87</v>
      </c>
      <c r="D76" s="652">
        <f>'Producten &amp; tarieven'!D76</f>
        <v>0.02</v>
      </c>
      <c r="E76" s="231"/>
      <c r="F76" s="896">
        <f>'Producten &amp; tarieven'!F76</f>
        <v>2293.8854695626706</v>
      </c>
      <c r="G76" s="288"/>
      <c r="I76" s="920" t="str">
        <f>TEXT(D76,"0,00%")&amp;" x ( "&amp;TEXT(F67,"€0.000")&amp;" + "&amp;TEXT(F74,"€0.000")&amp;" ) = "&amp;TEXT(F76,"€0.000,00")</f>
        <v>2,00% x ( €84.896 + €29.798 ) = €2.293,89</v>
      </c>
      <c r="J76" s="853"/>
      <c r="K76" s="853"/>
      <c r="L76" s="853"/>
      <c r="M76" s="854"/>
    </row>
    <row r="77" spans="1:13" ht="18" hidden="1" thickBot="1">
      <c r="A77" s="277"/>
      <c r="B77" s="170" t="s">
        <v>240</v>
      </c>
      <c r="D77" s="657">
        <f>'Producten &amp; tarieven'!D77</f>
        <v>5500</v>
      </c>
      <c r="E77" s="231"/>
      <c r="F77" s="898">
        <f>'Producten &amp; tarieven'!F77</f>
        <v>0</v>
      </c>
      <c r="G77" s="288"/>
      <c r="I77" s="920" t="str">
        <f>TEXT(F27,"0,00%")&amp;" x "&amp;TEXT(D77,"€0.000")&amp;" = "&amp;TEXT(F77,"€0")</f>
        <v>0,00% x €5.500 = €0</v>
      </c>
      <c r="J77" s="853"/>
      <c r="K77" s="853"/>
      <c r="L77" s="853"/>
      <c r="M77" s="854"/>
    </row>
    <row r="78" spans="1:13" ht="18" thickBot="1">
      <c r="A78" s="277"/>
      <c r="B78" s="170" t="s">
        <v>358</v>
      </c>
      <c r="D78" s="845">
        <f>'Producten &amp; tarieven'!D78</f>
        <v>966</v>
      </c>
      <c r="E78" s="231"/>
      <c r="F78" s="899">
        <f>'Producten &amp; tarieven'!F78</f>
        <v>966</v>
      </c>
      <c r="G78" s="288"/>
      <c r="I78" s="924"/>
      <c r="J78" s="852"/>
      <c r="K78" s="852"/>
      <c r="L78" s="852"/>
      <c r="M78" s="852"/>
    </row>
    <row r="79" spans="1:13" ht="21.6" thickBot="1">
      <c r="A79" s="76"/>
      <c r="B79" s="178" t="s">
        <v>241</v>
      </c>
      <c r="C79" s="180"/>
      <c r="D79" s="260"/>
      <c r="E79" s="231"/>
      <c r="F79" s="900">
        <f>'Producten &amp; tarieven'!F79</f>
        <v>117954.15894769618</v>
      </c>
      <c r="G79" s="289"/>
      <c r="I79" s="918" t="str">
        <f>TEXT(F67,"€0.00")&amp;" + "&amp;TEXT(F69,"€0")&amp;" + "&amp;TEXT(F74,"€0.00")&amp;" + "&amp;TEXT(F76,"€0.00")&amp;" + "&amp;TEXT(F78,"€0")&amp;" = "&amp;TEXT(SUM(F67,F69,F74,F76,F78),"€0.000,00")</f>
        <v>€84.896 + €0 + €29.798 + €2.294 + €966 = €117.954,16</v>
      </c>
      <c r="J79" s="853"/>
      <c r="K79" s="853"/>
      <c r="L79" s="853"/>
      <c r="M79" s="854"/>
    </row>
    <row r="80" spans="1:13" ht="18" thickBot="1">
      <c r="A80" s="277"/>
      <c r="B80" s="277"/>
      <c r="C80" s="277"/>
      <c r="D80" s="277"/>
      <c r="E80" s="231"/>
      <c r="F80" s="283"/>
      <c r="G80" s="288"/>
      <c r="I80" s="924"/>
      <c r="J80" s="852"/>
      <c r="K80" s="852"/>
      <c r="L80" s="852"/>
      <c r="M80" s="852"/>
    </row>
    <row r="81" spans="1:13" ht="24">
      <c r="A81" s="277"/>
      <c r="B81" s="159" t="s">
        <v>242</v>
      </c>
      <c r="C81" s="160"/>
      <c r="D81" s="252"/>
      <c r="E81" s="231"/>
      <c r="F81" s="878"/>
      <c r="G81" s="288"/>
      <c r="I81" s="924"/>
      <c r="J81" s="852"/>
      <c r="K81" s="852"/>
      <c r="L81" s="852"/>
      <c r="M81" s="852"/>
    </row>
    <row r="82" spans="1:13" ht="18" thickBot="1">
      <c r="A82" s="277"/>
      <c r="B82" s="151"/>
      <c r="D82" s="174"/>
      <c r="E82" s="231"/>
      <c r="F82" s="869"/>
      <c r="G82" s="288"/>
      <c r="I82" s="924"/>
      <c r="J82" s="852"/>
      <c r="K82" s="852"/>
      <c r="L82" s="852"/>
      <c r="M82" s="852"/>
    </row>
    <row r="83" spans="1:13" ht="18" thickBot="1">
      <c r="A83" s="277"/>
      <c r="B83" s="152" t="s">
        <v>243</v>
      </c>
      <c r="C83" s="184"/>
      <c r="D83" s="467">
        <f>'Producten &amp; tarieven'!D83</f>
        <v>1878</v>
      </c>
      <c r="E83" s="231"/>
      <c r="F83" s="467">
        <f>'Producten &amp; tarieven'!F83</f>
        <v>1878</v>
      </c>
      <c r="G83" s="288"/>
      <c r="I83" s="924"/>
      <c r="J83" s="852"/>
      <c r="K83" s="852"/>
      <c r="L83" s="852"/>
      <c r="M83" s="852"/>
    </row>
    <row r="84" spans="1:13" ht="18" thickBot="1">
      <c r="A84" s="277"/>
      <c r="B84" s="190" t="s">
        <v>63</v>
      </c>
      <c r="D84" s="174"/>
      <c r="E84" s="231"/>
      <c r="F84" s="901">
        <f>'Producten &amp; tarieven'!F84</f>
        <v>247.8</v>
      </c>
      <c r="G84" s="288"/>
      <c r="I84" s="924"/>
      <c r="J84" s="852"/>
      <c r="K84" s="852"/>
      <c r="L84" s="852"/>
      <c r="M84" s="852"/>
    </row>
    <row r="85" spans="1:13" ht="18" thickBot="1">
      <c r="A85" s="277"/>
      <c r="B85" s="151" t="s">
        <v>244</v>
      </c>
      <c r="D85" s="653" t="str">
        <f>'Producten &amp; tarieven'!D85</f>
        <v>Per product</v>
      </c>
      <c r="E85" s="231"/>
      <c r="F85" s="901">
        <f>'Producten &amp; tarieven'!F85</f>
        <v>133.9014</v>
      </c>
      <c r="G85" s="288"/>
      <c r="I85" s="924"/>
      <c r="J85" s="852"/>
      <c r="K85" s="852"/>
      <c r="L85" s="852"/>
      <c r="M85" s="852"/>
    </row>
    <row r="86" spans="1:13" ht="18" thickBot="1">
      <c r="A86" s="77"/>
      <c r="B86" s="729" t="s">
        <v>64</v>
      </c>
      <c r="C86" s="179"/>
      <c r="D86" s="261"/>
      <c r="E86" s="231"/>
      <c r="F86" s="902">
        <f>'Producten &amp; tarieven'!F86</f>
        <v>1496.2986000000001</v>
      </c>
      <c r="G86" s="290"/>
      <c r="I86" s="918" t="str">
        <f>TEXT(F83,"0.000")&amp;" - "&amp;TEXT(F84,"0")&amp;" - "&amp;TEXT(F85,"0")&amp;" = "&amp;TEXT(F86,"0.000")</f>
        <v>1.878 - 248 - 134 = 1.496</v>
      </c>
      <c r="J86" s="853"/>
      <c r="K86" s="853"/>
      <c r="L86" s="853"/>
      <c r="M86" s="854"/>
    </row>
    <row r="87" spans="1:13">
      <c r="A87" s="277"/>
      <c r="B87" s="190" t="s">
        <v>65</v>
      </c>
      <c r="D87" s="174"/>
      <c r="E87" s="231"/>
      <c r="F87" s="1060">
        <f>'Producten &amp; tarieven'!F87</f>
        <v>165</v>
      </c>
      <c r="G87" s="288"/>
      <c r="I87" s="924"/>
      <c r="J87" s="852"/>
      <c r="K87" s="852"/>
      <c r="L87" s="852"/>
      <c r="M87" s="852"/>
    </row>
    <row r="88" spans="1:13">
      <c r="A88" s="277"/>
      <c r="B88" s="190" t="s">
        <v>66</v>
      </c>
      <c r="D88" s="174"/>
      <c r="E88" s="231"/>
      <c r="F88" s="1060"/>
      <c r="G88" s="288"/>
      <c r="I88" s="924"/>
      <c r="J88" s="852"/>
      <c r="K88" s="852"/>
      <c r="L88" s="852"/>
      <c r="M88" s="852"/>
    </row>
    <row r="89" spans="1:13" ht="18" thickBot="1">
      <c r="A89" s="277"/>
      <c r="B89" s="190" t="s">
        <v>67</v>
      </c>
      <c r="D89" s="174"/>
      <c r="E89" s="231"/>
      <c r="F89" s="1060"/>
      <c r="G89" s="288"/>
      <c r="I89" s="924"/>
      <c r="J89" s="852"/>
      <c r="K89" s="852"/>
      <c r="L89" s="852"/>
      <c r="M89" s="852"/>
    </row>
    <row r="90" spans="1:13" ht="18" thickBot="1">
      <c r="A90" s="77"/>
      <c r="B90" s="728" t="s">
        <v>245</v>
      </c>
      <c r="C90" s="179"/>
      <c r="D90" s="261"/>
      <c r="E90" s="231"/>
      <c r="F90" s="902">
        <f>'Producten &amp; tarieven'!F90</f>
        <v>1331.2986000000001</v>
      </c>
      <c r="G90" s="290"/>
      <c r="I90" s="918" t="str">
        <f>TEXT(F86,"0.000")&amp;" - "&amp;TEXT(F87,"0")&amp;" = "&amp;TEXT(F90,"0.000")</f>
        <v>1.496 - 165 = 1.331</v>
      </c>
      <c r="J90" s="853"/>
      <c r="K90" s="853"/>
      <c r="L90" s="853"/>
      <c r="M90" s="854"/>
    </row>
    <row r="91" spans="1:13">
      <c r="A91" s="77"/>
      <c r="B91" s="527" t="s">
        <v>269</v>
      </c>
      <c r="C91" s="182"/>
      <c r="D91" s="526"/>
      <c r="E91" s="231"/>
      <c r="F91" s="894" t="str">
        <f>'Producten &amp; tarieven'!F91</f>
        <v>Ja</v>
      </c>
      <c r="G91" s="290"/>
      <c r="I91" s="924"/>
      <c r="J91" s="852"/>
      <c r="K91" s="852"/>
      <c r="L91" s="852"/>
      <c r="M91" s="852"/>
    </row>
    <row r="92" spans="1:13">
      <c r="A92" s="277"/>
      <c r="B92" s="190" t="s">
        <v>68</v>
      </c>
      <c r="D92" s="174"/>
      <c r="E92" s="231"/>
      <c r="F92" s="990">
        <f>'Producten &amp; tarieven'!F92</f>
        <v>37.666666666666664</v>
      </c>
      <c r="G92" s="288"/>
      <c r="I92" s="924"/>
      <c r="J92" s="852"/>
      <c r="K92" s="852"/>
      <c r="L92" s="852"/>
      <c r="M92" s="852"/>
    </row>
    <row r="93" spans="1:13">
      <c r="A93" s="277"/>
      <c r="B93" s="527" t="s">
        <v>270</v>
      </c>
      <c r="D93" s="174"/>
      <c r="E93" s="231"/>
      <c r="F93" s="894"/>
      <c r="G93" s="288"/>
      <c r="I93" s="924"/>
      <c r="J93" s="852"/>
      <c r="K93" s="852"/>
      <c r="L93" s="852"/>
      <c r="M93" s="852"/>
    </row>
    <row r="94" spans="1:13" ht="18" thickBot="1">
      <c r="A94" s="277"/>
      <c r="B94" s="151" t="s">
        <v>69</v>
      </c>
      <c r="D94" s="174"/>
      <c r="E94" s="231"/>
      <c r="F94" s="903">
        <v>0</v>
      </c>
      <c r="G94" s="288"/>
      <c r="I94" s="924"/>
      <c r="J94" s="852"/>
      <c r="K94" s="852"/>
      <c r="L94" s="852"/>
      <c r="M94" s="852"/>
    </row>
    <row r="95" spans="1:13" ht="21.6" thickBot="1">
      <c r="A95" s="279"/>
      <c r="B95" s="222" t="s">
        <v>70</v>
      </c>
      <c r="C95" s="223"/>
      <c r="D95" s="262"/>
      <c r="E95" s="231"/>
      <c r="F95" s="904">
        <f>'Producten &amp; tarieven'!F95</f>
        <v>1293.6319333333333</v>
      </c>
      <c r="G95" s="291"/>
      <c r="I95" s="918" t="str">
        <f>TEXT(F90,"0.000")&amp;" - "&amp;TEXT(F92,"0")&amp;" - "&amp;TEXT(F94,"0")&amp;" = "&amp;TEXT(F95,"0.000")</f>
        <v>1.331 - 38 - 0 = 1.294</v>
      </c>
      <c r="J95" s="853"/>
      <c r="K95" s="853"/>
      <c r="L95" s="853"/>
      <c r="M95" s="854"/>
    </row>
    <row r="96" spans="1:13" ht="18" thickBot="1">
      <c r="A96" s="277"/>
      <c r="B96" s="730" t="s">
        <v>246</v>
      </c>
      <c r="C96" s="175"/>
      <c r="D96" s="259"/>
      <c r="E96" s="231"/>
      <c r="F96" s="905">
        <f>'Producten &amp; tarieven'!F96</f>
        <v>0.68883489527866526</v>
      </c>
      <c r="G96" s="288"/>
      <c r="I96" s="918" t="str">
        <f>TEXT(F95,"0.000")&amp;" / "&amp;TEXT(F83,"0.0")&amp;" = "&amp;TEXT(F96,"0%")</f>
        <v>1.294 / 1.878 = 69%</v>
      </c>
      <c r="J96" s="853"/>
      <c r="K96" s="853"/>
      <c r="L96" s="853"/>
      <c r="M96" s="854"/>
    </row>
    <row r="97" spans="1:13" ht="9.6" customHeight="1" thickBot="1">
      <c r="A97" s="277"/>
      <c r="B97" s="277"/>
      <c r="C97" s="277"/>
      <c r="D97" s="277"/>
      <c r="E97" s="231"/>
      <c r="F97" s="283"/>
      <c r="G97" s="288"/>
      <c r="I97" s="924"/>
      <c r="J97" s="852"/>
      <c r="K97" s="852"/>
      <c r="L97" s="852"/>
      <c r="M97" s="852"/>
    </row>
    <row r="98" spans="1:13" ht="27" thickBot="1">
      <c r="A98" s="280"/>
      <c r="B98" s="193" t="s">
        <v>247</v>
      </c>
      <c r="C98" s="194"/>
      <c r="D98" s="273"/>
      <c r="E98" s="231"/>
      <c r="F98" s="906">
        <f>'Producten &amp; tarieven'!F98</f>
        <v>91.180617846809639</v>
      </c>
      <c r="G98" s="292"/>
      <c r="I98" s="918" t="str">
        <f>TEXT(F79,"€0.000")&amp;" / "&amp;TEXT(F95,"0")&amp;" = "&amp;TEXT(F98,"€00,00")</f>
        <v>€117.954 / 1294 = €91,18</v>
      </c>
      <c r="J98" s="853"/>
      <c r="K98" s="853"/>
      <c r="L98" s="853"/>
      <c r="M98" s="854"/>
    </row>
    <row r="99" spans="1:13" ht="8.4" customHeight="1" thickBot="1">
      <c r="A99" s="277"/>
      <c r="B99" s="277"/>
      <c r="C99" s="277"/>
      <c r="D99" s="277"/>
      <c r="E99" s="231"/>
      <c r="F99" s="283"/>
      <c r="G99" s="288"/>
      <c r="I99" s="924"/>
      <c r="J99" s="852"/>
      <c r="K99" s="852"/>
      <c r="L99" s="852"/>
      <c r="M99" s="852"/>
    </row>
    <row r="100" spans="1:13" ht="15" hidden="1" customHeight="1">
      <c r="A100" s="277"/>
      <c r="B100" s="224" t="s">
        <v>88</v>
      </c>
      <c r="C100" s="150"/>
      <c r="D100" s="243"/>
      <c r="E100" s="231"/>
      <c r="F100" s="907">
        <f>'Producten &amp; tarieven'!F100</f>
        <v>1</v>
      </c>
      <c r="G100" s="288"/>
      <c r="I100" s="924"/>
      <c r="J100" s="852"/>
      <c r="K100" s="852"/>
      <c r="L100" s="852"/>
      <c r="M100" s="852"/>
    </row>
    <row r="101" spans="1:13" hidden="1">
      <c r="A101" s="277"/>
      <c r="B101" s="225" t="s">
        <v>116</v>
      </c>
      <c r="D101" s="174"/>
      <c r="E101" s="231"/>
      <c r="F101" s="908">
        <f>'Producten &amp; tarieven'!F101</f>
        <v>0</v>
      </c>
      <c r="G101" s="288"/>
      <c r="I101" s="924"/>
      <c r="J101" s="852"/>
      <c r="K101" s="852"/>
      <c r="L101" s="852"/>
      <c r="M101" s="852"/>
    </row>
    <row r="102" spans="1:13" hidden="1">
      <c r="A102" s="277"/>
      <c r="B102" s="226" t="s">
        <v>249</v>
      </c>
      <c r="D102" s="174"/>
      <c r="E102" s="231"/>
      <c r="F102" s="909">
        <f>'Producten &amp; tarieven'!F102</f>
        <v>1</v>
      </c>
      <c r="G102" s="288"/>
      <c r="I102" s="924"/>
      <c r="J102" s="852"/>
      <c r="K102" s="852"/>
      <c r="L102" s="852"/>
      <c r="M102" s="852"/>
    </row>
    <row r="103" spans="1:13" hidden="1">
      <c r="A103" s="277"/>
      <c r="B103" s="528" t="s">
        <v>89</v>
      </c>
      <c r="D103" s="174"/>
      <c r="E103" s="231"/>
      <c r="F103" s="910">
        <f>'Producten &amp; tarieven'!F103</f>
        <v>1</v>
      </c>
      <c r="G103" s="288"/>
      <c r="I103" s="924"/>
      <c r="J103" s="852"/>
      <c r="K103" s="852"/>
      <c r="L103" s="852"/>
      <c r="M103" s="852"/>
    </row>
    <row r="104" spans="1:13" ht="18" hidden="1" thickBot="1">
      <c r="A104" s="277"/>
      <c r="B104" s="527" t="s">
        <v>285</v>
      </c>
      <c r="D104" s="174"/>
      <c r="E104" s="231"/>
      <c r="F104" s="894" t="str">
        <f>'Producten &amp; tarieven'!F104</f>
        <v>Nee</v>
      </c>
      <c r="G104" s="288"/>
      <c r="I104" s="924"/>
      <c r="J104" s="852"/>
      <c r="K104" s="852"/>
      <c r="L104" s="852"/>
      <c r="M104" s="852"/>
    </row>
    <row r="105" spans="1:13" ht="18" hidden="1" thickBot="1">
      <c r="A105" s="277"/>
      <c r="B105" s="225" t="s">
        <v>280</v>
      </c>
      <c r="D105" s="651">
        <f>'Producten &amp; tarieven'!D105</f>
        <v>15</v>
      </c>
      <c r="E105" s="231"/>
      <c r="F105" s="911">
        <f>'Producten &amp; tarieven'!F105</f>
        <v>0</v>
      </c>
      <c r="G105" s="288"/>
      <c r="I105" s="918" t="str">
        <f>TEXT(F104,"")&amp;", dus "&amp;TEXT(F105,"€00,00")</f>
        <v>Nee, dus €00,00</v>
      </c>
      <c r="J105" s="853"/>
      <c r="K105" s="853"/>
      <c r="L105" s="853"/>
      <c r="M105" s="854"/>
    </row>
    <row r="106" spans="1:13" ht="18" hidden="1" thickBot="1">
      <c r="A106" s="277"/>
      <c r="B106" s="527" t="s">
        <v>281</v>
      </c>
      <c r="D106" s="558"/>
      <c r="E106" s="231"/>
      <c r="F106" s="894" t="str">
        <f>'Producten &amp; tarieven'!F106</f>
        <v>Nee</v>
      </c>
      <c r="G106" s="288"/>
      <c r="I106" s="924"/>
      <c r="J106" s="852"/>
      <c r="K106" s="852"/>
      <c r="L106" s="852"/>
      <c r="M106" s="852"/>
    </row>
    <row r="107" spans="1:13" ht="18" hidden="1" thickBot="1">
      <c r="A107" s="277"/>
      <c r="B107" s="529" t="s">
        <v>282</v>
      </c>
      <c r="D107" s="651">
        <f>'Producten &amp; tarieven'!D107</f>
        <v>33.975000000000001</v>
      </c>
      <c r="E107" s="231"/>
      <c r="F107" s="911">
        <f>'Producten &amp; tarieven'!F107</f>
        <v>0</v>
      </c>
      <c r="G107" s="288"/>
      <c r="I107" s="918" t="str">
        <f>TEXT(F106,"")&amp;", dus "&amp;TEXT(F107,"€00,00")</f>
        <v>Nee, dus €00,00</v>
      </c>
      <c r="J107" s="853"/>
      <c r="K107" s="853"/>
      <c r="L107" s="853"/>
      <c r="M107" s="854"/>
    </row>
    <row r="108" spans="1:13" ht="18" hidden="1" thickBot="1">
      <c r="A108" s="277"/>
      <c r="B108" s="527" t="s">
        <v>283</v>
      </c>
      <c r="D108" s="558"/>
      <c r="E108" s="231"/>
      <c r="F108" s="894" t="str">
        <f>'Producten &amp; tarieven'!F108</f>
        <v>Nee</v>
      </c>
      <c r="G108" s="288"/>
      <c r="I108" s="924"/>
      <c r="J108" s="852"/>
      <c r="K108" s="852"/>
      <c r="L108" s="852"/>
      <c r="M108" s="852"/>
    </row>
    <row r="109" spans="1:13" ht="18" hidden="1" thickBot="1">
      <c r="A109" s="277"/>
      <c r="B109" s="225" t="s">
        <v>284</v>
      </c>
      <c r="D109" s="991">
        <f>'Producten &amp; tarieven'!D109</f>
        <v>28.78</v>
      </c>
      <c r="E109" s="231"/>
      <c r="F109" s="911">
        <f>'Producten &amp; tarieven'!F109</f>
        <v>0</v>
      </c>
      <c r="G109" s="288"/>
      <c r="I109" s="918" t="str">
        <f>TEXT(F108,"")&amp;", dus "&amp;TEXT(F109,"€00,00")</f>
        <v>Nee, dus €00,00</v>
      </c>
      <c r="J109" s="853"/>
      <c r="K109" s="853"/>
      <c r="L109" s="853"/>
      <c r="M109" s="854"/>
    </row>
    <row r="110" spans="1:13" ht="18" thickBot="1">
      <c r="A110" s="277"/>
      <c r="B110" s="1001" t="s">
        <v>324</v>
      </c>
      <c r="C110" s="150"/>
      <c r="D110" s="559"/>
      <c r="E110" s="231"/>
      <c r="F110" s="999" t="str">
        <f>'Producten &amp; tarieven'!F110</f>
        <v>Ja</v>
      </c>
      <c r="G110" s="288"/>
      <c r="I110" s="924"/>
      <c r="J110" s="852"/>
      <c r="K110" s="852"/>
      <c r="L110" s="852"/>
      <c r="M110" s="852"/>
    </row>
    <row r="111" spans="1:13" ht="18" thickBot="1">
      <c r="A111" s="277"/>
      <c r="B111" s="227" t="s">
        <v>296</v>
      </c>
      <c r="C111" s="175"/>
      <c r="D111" s="992">
        <f>'Producten &amp; tarieven'!D111</f>
        <v>982.8</v>
      </c>
      <c r="E111" s="231"/>
      <c r="F111" s="912">
        <f>'Producten &amp; tarieven'!F111</f>
        <v>0.75972150553488194</v>
      </c>
      <c r="G111" s="288"/>
      <c r="I111" s="918" t="str">
        <f>TEXT(F110,"")&amp;", dus "&amp;TEXT(D111,"€000,00")&amp;" / "&amp;TEXT(F95,"0.000")&amp;" = "&amp;TEXT(F111,"€0,00")</f>
        <v>Ja, dus €982,80 / 1.294 = €0,76</v>
      </c>
      <c r="J111" s="853"/>
      <c r="K111" s="853"/>
      <c r="L111" s="853"/>
      <c r="M111" s="854"/>
    </row>
    <row r="112" spans="1:13" hidden="1">
      <c r="A112" s="277"/>
      <c r="B112" s="226" t="s">
        <v>325</v>
      </c>
      <c r="D112" s="1000"/>
      <c r="E112" s="231"/>
      <c r="F112" s="894" t="str">
        <f>'Producten &amp; tarieven'!F112</f>
        <v>Nee</v>
      </c>
      <c r="G112" s="288"/>
      <c r="I112" s="924"/>
      <c r="J112" s="852"/>
      <c r="K112" s="852"/>
      <c r="L112" s="852"/>
      <c r="M112" s="852"/>
    </row>
    <row r="113" spans="1:13" ht="18" hidden="1" thickBot="1">
      <c r="A113" s="277"/>
      <c r="B113" s="225" t="s">
        <v>297</v>
      </c>
      <c r="D113" s="807">
        <f>'Producten &amp; tarieven'!D113</f>
        <v>304.75859128855018</v>
      </c>
      <c r="E113" s="231"/>
      <c r="F113" s="911">
        <f>'Producten &amp; tarieven'!F113</f>
        <v>0</v>
      </c>
      <c r="G113" s="288"/>
      <c r="I113" s="918" t="str">
        <f>TEXT(F112,"")&amp;", dus "&amp;TEXT(D113,"€0")&amp;" / "&amp;TEXT(F97,"0.000")&amp;" = "&amp;TEXT(F113,"€0,00")</f>
        <v>Nee, dus €305 / 0.000 = €0,00</v>
      </c>
      <c r="J113" s="853"/>
      <c r="K113" s="853"/>
      <c r="L113" s="853"/>
      <c r="M113" s="854"/>
    </row>
    <row r="114" spans="1:13" ht="18" hidden="1" thickBot="1">
      <c r="A114" s="277"/>
      <c r="B114" s="226" t="s">
        <v>326</v>
      </c>
      <c r="D114" s="559"/>
      <c r="E114" s="231"/>
      <c r="F114" s="894" t="str">
        <f>'Producten &amp; tarieven'!F114</f>
        <v>Nee</v>
      </c>
      <c r="G114" s="288"/>
      <c r="I114" s="924"/>
      <c r="J114" s="852"/>
      <c r="K114" s="852"/>
      <c r="L114" s="852"/>
      <c r="M114" s="852"/>
    </row>
    <row r="115" spans="1:13" ht="18" hidden="1" thickBot="1">
      <c r="A115" s="277"/>
      <c r="B115" s="227" t="s">
        <v>298</v>
      </c>
      <c r="C115" s="175"/>
      <c r="D115" s="806">
        <f>'Producten &amp; tarieven'!D115</f>
        <v>7.3207715025810218</v>
      </c>
      <c r="E115" s="231"/>
      <c r="F115" s="912">
        <f>'Producten &amp; tarieven'!F115</f>
        <v>0</v>
      </c>
      <c r="G115" s="288"/>
      <c r="I115" s="918" t="str">
        <f>TEXT(F114,"")&amp;", dus "&amp;TEXT(F115,"€0,00")</f>
        <v>Nee, dus €0,00</v>
      </c>
      <c r="J115" s="853"/>
      <c r="K115" s="853"/>
      <c r="L115" s="853"/>
      <c r="M115" s="854"/>
    </row>
    <row r="116" spans="1:13" ht="10.199999999999999" customHeight="1" thickBot="1">
      <c r="A116" s="277"/>
      <c r="B116" s="277"/>
      <c r="C116" s="277"/>
      <c r="D116" s="277"/>
      <c r="E116" s="231"/>
      <c r="F116" s="283"/>
      <c r="G116" s="288"/>
      <c r="I116" s="924"/>
      <c r="J116" s="852"/>
      <c r="K116" s="852"/>
      <c r="L116" s="852"/>
      <c r="M116" s="852"/>
    </row>
    <row r="117" spans="1:13" ht="24.6" thickBot="1">
      <c r="A117" s="281"/>
      <c r="B117" s="1031" t="s">
        <v>388</v>
      </c>
      <c r="C117" s="1032"/>
      <c r="D117" s="1033"/>
      <c r="E117" s="231"/>
      <c r="F117" s="567">
        <f t="shared" ref="F117" si="2">F98*F103/F102         +
SUM(F105,F107,F109,F111,F113,F115)</f>
        <v>91.940339352344523</v>
      </c>
      <c r="G117" s="293"/>
      <c r="I117" s="918" t="str">
        <f>TEXT(F98,"€00,00")&amp;" +  "&amp;TEXT(F111,"€0,00")&amp;"  = "&amp;TEXT(SUM(F98,F105,F107,F109,F111,F113,F115),"€0,00")</f>
        <v>€91,18 +  €0,76  = €91,94</v>
      </c>
      <c r="J117" s="853"/>
      <c r="K117" s="853"/>
      <c r="L117" s="853"/>
      <c r="M117" s="854"/>
    </row>
    <row r="118" spans="1:13" ht="18" thickBot="1">
      <c r="A118" s="277"/>
      <c r="B118" s="1034" t="s">
        <v>248</v>
      </c>
      <c r="C118" s="1035"/>
      <c r="D118" s="1036"/>
      <c r="E118" s="231"/>
      <c r="F118" s="913">
        <f>MROUND(F117,0.6)</f>
        <v>91.8</v>
      </c>
      <c r="G118" s="288"/>
      <c r="I118" s="915"/>
      <c r="J118" s="852"/>
      <c r="K118" s="852"/>
      <c r="L118" s="852"/>
      <c r="M118" s="852"/>
    </row>
    <row r="119" spans="1:13" ht="21.6" thickBot="1">
      <c r="A119" s="277"/>
      <c r="B119" s="1037" t="s">
        <v>91</v>
      </c>
      <c r="C119" s="1038"/>
      <c r="D119" s="1039"/>
      <c r="E119" s="231"/>
      <c r="F119" s="914" t="s">
        <v>110</v>
      </c>
      <c r="G119" s="288"/>
      <c r="I119" s="915"/>
      <c r="J119" s="852"/>
      <c r="K119" s="852"/>
      <c r="L119" s="852"/>
      <c r="M119" s="852"/>
    </row>
    <row r="120" spans="1:13" ht="9.6" customHeight="1" thickBot="1">
      <c r="A120" s="282"/>
      <c r="B120" s="1040"/>
      <c r="C120" s="1040"/>
      <c r="D120" s="1040"/>
      <c r="E120" s="270"/>
      <c r="F120" s="229"/>
      <c r="G120" s="294"/>
      <c r="I120" s="915"/>
      <c r="J120" s="852"/>
      <c r="K120" s="852"/>
      <c r="L120" s="852"/>
      <c r="M120" s="852"/>
    </row>
    <row r="121" spans="1:13">
      <c r="I121" s="915"/>
      <c r="J121" s="852"/>
      <c r="K121" s="852"/>
      <c r="L121" s="852"/>
      <c r="M121" s="852"/>
    </row>
    <row r="122" spans="1:13">
      <c r="I122" s="915"/>
      <c r="J122" s="852"/>
      <c r="K122" s="852"/>
      <c r="L122" s="852"/>
      <c r="M122" s="852"/>
    </row>
    <row r="123" spans="1:13" hidden="1">
      <c r="I123" s="915"/>
      <c r="J123" s="852"/>
      <c r="K123" s="852"/>
      <c r="L123" s="852"/>
      <c r="M123" s="852"/>
    </row>
    <row r="124" spans="1:13">
      <c r="I124" s="915"/>
      <c r="J124" s="852"/>
      <c r="K124" s="852"/>
      <c r="L124" s="852"/>
      <c r="M124" s="852"/>
    </row>
  </sheetData>
  <sheetProtection algorithmName="SHA-512" hashValue="mo3VWIQ72vYDJ/FGoKOEN4ofC8lda6F5Ha1CixbtRWj4yygD5CMAjFFluQAJ/iOctFNqMa2g2Sqdz6iKvchC/w==" saltValue="2B4E6kOSQc70WDVoRKhffA==" spinCount="100000" sheet="1" objects="1" scenarios="1"/>
  <mergeCells count="9">
    <mergeCell ref="B119:D119"/>
    <mergeCell ref="B120:D120"/>
    <mergeCell ref="F87:F89"/>
    <mergeCell ref="B13:B14"/>
    <mergeCell ref="B15:B16"/>
    <mergeCell ref="B21:B22"/>
    <mergeCell ref="B23:B24"/>
    <mergeCell ref="B117:D117"/>
    <mergeCell ref="B118:D118"/>
  </mergeCells>
  <conditionalFormatting sqref="D50">
    <cfRule type="cellIs" dxfId="24" priority="12" operator="equal">
      <formula>"Check mixen"</formula>
    </cfRule>
  </conditionalFormatting>
  <conditionalFormatting sqref="F3:F7">
    <cfRule type="cellIs" dxfId="23" priority="4" operator="greaterThan">
      <formula>0</formula>
    </cfRule>
    <cfRule type="cellIs" dxfId="22" priority="5" operator="equal">
      <formula>0</formula>
    </cfRule>
  </conditionalFormatting>
  <conditionalFormatting sqref="F8">
    <cfRule type="cellIs" dxfId="21" priority="3" operator="equal">
      <formula>1</formula>
    </cfRule>
  </conditionalFormatting>
  <conditionalFormatting sqref="F9 F28">
    <cfRule type="cellIs" dxfId="20" priority="7" operator="greaterThan">
      <formula>1</formula>
    </cfRule>
    <cfRule type="cellIs" dxfId="19" priority="10" operator="lessThan">
      <formula>1</formula>
    </cfRule>
    <cfRule type="cellIs" dxfId="18" priority="11" operator="equal">
      <formula>1</formula>
    </cfRule>
  </conditionalFormatting>
  <conditionalFormatting sqref="F11:F27">
    <cfRule type="cellIs" dxfId="17" priority="6" operator="equal">
      <formula>0</formula>
    </cfRule>
    <cfRule type="cellIs" dxfId="16" priority="9" operator="greaterThan">
      <formula>0</formula>
    </cfRule>
  </conditionalFormatting>
  <conditionalFormatting sqref="F32">
    <cfRule type="cellIs" dxfId="15" priority="8" operator="equal">
      <formula>"Check mixen"</formula>
    </cfRule>
  </conditionalFormatting>
  <conditionalFormatting sqref="F101">
    <cfRule type="cellIs" dxfId="14" priority="1" operator="equal">
      <formula>0</formula>
    </cfRule>
    <cfRule type="cellIs" dxfId="13" priority="2" operator="greaterThan">
      <formula>0</formula>
    </cfRule>
  </conditionalFormatting>
  <dataValidations count="3">
    <dataValidation type="list" allowBlank="1" showInputMessage="1" showErrorMessage="1" sqref="F72" xr:uid="{05C84876-5716-4B9F-854E-81513054D9D9}">
      <formula1>"Wmo,Jeugd"</formula1>
    </dataValidation>
    <dataValidation type="custom" allowBlank="1" showInputMessage="1" showErrorMessage="1" errorTitle="Cao-mix lege cel of &gt; 100%!" error="Cao-mix heeft een lege cel of is meer dan 100%! Vul eerst de cao-mix correct in (inclusief 0%)!" sqref="F11:F27" xr:uid="{4E9A70D7-7B4E-4041-956B-4330EB6716FC}">
      <formula1>F$9&lt;&gt;"Cao-mix incompleet!"</formula1>
    </dataValidation>
    <dataValidation type="list" allowBlank="1" showInputMessage="1" showErrorMessage="1" sqref="F91 F104 F106 F108 F114 F110 F112" xr:uid="{6A1FEC8C-2655-4363-A712-CE85CCB2CCBF}">
      <formula1>"Ja,Nee"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CB35550-549E-4AA6-A40C-A025CAED19C5}">
          <x14:formula1>
            <xm:f>Parameters!$B$18:$B$22</xm:f>
          </x14:formula1>
          <xm:sqref>F93</xm:sqref>
        </x14:dataValidation>
        <x14:dataValidation type="list" allowBlank="1" showInputMessage="1" showErrorMessage="1" xr:uid="{542272ED-903E-401A-9E00-60A438F2349D}">
          <x14:formula1>
            <xm:f>ORT!$J$4:$J$12</xm:f>
          </x14:formula1>
          <xm:sqref>F36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308C9-6863-4B42-AF26-AAE39905E737}">
  <sheetPr>
    <tabColor theme="5"/>
  </sheetPr>
  <dimension ref="B1:O28"/>
  <sheetViews>
    <sheetView topLeftCell="A6" zoomScale="85" zoomScaleNormal="85" workbookViewId="0">
      <selection activeCell="C29" sqref="C29"/>
    </sheetView>
  </sheetViews>
  <sheetFormatPr defaultColWidth="8.77734375" defaultRowHeight="14.4"/>
  <cols>
    <col min="1" max="1" width="8.77734375" style="27"/>
    <col min="2" max="2" width="21.77734375" style="27" bestFit="1" customWidth="1"/>
    <col min="3" max="3" width="17.44140625" style="27" bestFit="1" customWidth="1"/>
    <col min="4" max="4" width="18.44140625" style="27" bestFit="1" customWidth="1"/>
    <col min="5" max="7" width="8.77734375" style="27"/>
    <col min="8" max="8" width="9.44140625" style="27" bestFit="1" customWidth="1"/>
    <col min="9" max="14" width="8.77734375" style="27"/>
    <col min="15" max="15" width="9.44140625" style="27" bestFit="1" customWidth="1"/>
    <col min="16" max="16384" width="8.77734375" style="27"/>
  </cols>
  <sheetData>
    <row r="1" spans="2:15" ht="15" thickBot="1"/>
    <row r="2" spans="2:15" ht="15.6" thickBot="1">
      <c r="B2" s="470" t="s">
        <v>352</v>
      </c>
      <c r="C2" s="99"/>
      <c r="D2" s="99"/>
      <c r="E2" s="99"/>
      <c r="F2" s="99"/>
      <c r="G2" s="99"/>
      <c r="H2" s="100"/>
    </row>
    <row r="3" spans="2:15" ht="15" thickBot="1"/>
    <row r="4" spans="2:15">
      <c r="B4" s="28" t="s">
        <v>111</v>
      </c>
      <c r="C4" s="94" t="s">
        <v>0</v>
      </c>
      <c r="D4" s="94" t="s">
        <v>1</v>
      </c>
      <c r="E4" s="94" t="s">
        <v>2</v>
      </c>
      <c r="F4" s="94" t="s">
        <v>3</v>
      </c>
      <c r="G4" s="94" t="s">
        <v>4</v>
      </c>
      <c r="H4" s="95" t="s">
        <v>5</v>
      </c>
      <c r="J4" s="488" t="s">
        <v>261</v>
      </c>
      <c r="K4" s="489">
        <v>9.51</v>
      </c>
    </row>
    <row r="5" spans="2:15">
      <c r="B5" s="96" t="s">
        <v>6</v>
      </c>
      <c r="C5" s="472">
        <v>9.51</v>
      </c>
      <c r="D5" s="472">
        <v>9.51</v>
      </c>
      <c r="E5" s="472">
        <v>21.59</v>
      </c>
      <c r="F5" s="472">
        <v>29.53</v>
      </c>
      <c r="G5" s="472">
        <v>56.91</v>
      </c>
      <c r="H5" s="473">
        <v>56.91</v>
      </c>
      <c r="J5" s="490" t="s">
        <v>256</v>
      </c>
      <c r="K5" s="491">
        <v>21.59</v>
      </c>
    </row>
    <row r="6" spans="2:15">
      <c r="B6" s="96" t="s">
        <v>7</v>
      </c>
      <c r="C6" s="472">
        <v>21.59</v>
      </c>
      <c r="D6" s="472">
        <v>21.59</v>
      </c>
      <c r="E6" s="472">
        <v>29.53</v>
      </c>
      <c r="F6" s="472">
        <v>40.74</v>
      </c>
      <c r="G6" s="472">
        <v>40.74</v>
      </c>
      <c r="H6" s="473">
        <v>56.91</v>
      </c>
      <c r="J6" s="490" t="s">
        <v>257</v>
      </c>
      <c r="K6" s="491">
        <v>29.53</v>
      </c>
    </row>
    <row r="7" spans="2:15">
      <c r="B7" s="96" t="s">
        <v>8</v>
      </c>
      <c r="C7" s="472">
        <v>21.59</v>
      </c>
      <c r="D7" s="472">
        <v>29.53</v>
      </c>
      <c r="E7" s="472">
        <v>40.74</v>
      </c>
      <c r="F7" s="472">
        <v>40.74</v>
      </c>
      <c r="G7" s="472">
        <v>56.91</v>
      </c>
      <c r="H7" s="473">
        <v>78.77</v>
      </c>
      <c r="J7" s="490" t="s">
        <v>258</v>
      </c>
      <c r="K7" s="491">
        <v>40.74</v>
      </c>
    </row>
    <row r="8" spans="2:15" ht="15" thickBot="1">
      <c r="B8" s="97" t="s">
        <v>9</v>
      </c>
      <c r="C8" s="475">
        <v>29.53</v>
      </c>
      <c r="D8" s="475">
        <v>40.74</v>
      </c>
      <c r="E8" s="475">
        <v>56.91</v>
      </c>
      <c r="F8" s="475">
        <v>56.91</v>
      </c>
      <c r="G8" s="475">
        <v>78.77</v>
      </c>
      <c r="H8" s="476">
        <v>116.62</v>
      </c>
      <c r="J8" s="490" t="s">
        <v>259</v>
      </c>
      <c r="K8" s="491">
        <v>56.91</v>
      </c>
    </row>
    <row r="9" spans="2:15" ht="15" thickBot="1">
      <c r="B9" s="75"/>
      <c r="C9" s="72"/>
      <c r="D9" s="72"/>
      <c r="E9" s="72"/>
      <c r="F9" s="72"/>
      <c r="G9" s="72"/>
      <c r="H9" s="72"/>
      <c r="J9" s="490" t="s">
        <v>260</v>
      </c>
      <c r="K9" s="491">
        <v>78.77</v>
      </c>
    </row>
    <row r="10" spans="2:15" ht="15" thickBot="1">
      <c r="B10" s="28" t="s">
        <v>112</v>
      </c>
      <c r="C10" s="94" t="s">
        <v>0</v>
      </c>
      <c r="D10" s="94" t="s">
        <v>1</v>
      </c>
      <c r="E10" s="94" t="s">
        <v>2</v>
      </c>
      <c r="F10" s="94" t="s">
        <v>3</v>
      </c>
      <c r="G10" s="94" t="s">
        <v>4</v>
      </c>
      <c r="H10" s="95" t="s">
        <v>5</v>
      </c>
      <c r="J10" s="487" t="s">
        <v>262</v>
      </c>
      <c r="K10" s="486">
        <v>116.62</v>
      </c>
    </row>
    <row r="11" spans="2:15">
      <c r="B11" s="96" t="s">
        <v>113</v>
      </c>
      <c r="C11" s="472">
        <v>21.59</v>
      </c>
      <c r="D11" s="472">
        <v>29.53</v>
      </c>
      <c r="E11" s="472">
        <v>40.74</v>
      </c>
      <c r="F11" s="472">
        <v>40.74</v>
      </c>
      <c r="G11" s="472">
        <v>56.91</v>
      </c>
      <c r="H11" s="473">
        <v>78.77</v>
      </c>
    </row>
    <row r="12" spans="2:15" ht="15" thickBot="1">
      <c r="B12" s="98" t="s">
        <v>114</v>
      </c>
      <c r="C12" s="478">
        <v>29.53</v>
      </c>
      <c r="D12" s="478">
        <v>29.53</v>
      </c>
      <c r="E12" s="478">
        <v>39.78</v>
      </c>
      <c r="F12" s="478">
        <v>56.91</v>
      </c>
      <c r="G12" s="478">
        <v>78.77</v>
      </c>
      <c r="H12" s="479">
        <v>116.62</v>
      </c>
    </row>
    <row r="14" spans="2:15" ht="15" thickBot="1"/>
    <row r="15" spans="2:15">
      <c r="B15" s="28" t="s">
        <v>111</v>
      </c>
      <c r="C15" s="94" t="s">
        <v>0</v>
      </c>
      <c r="D15" s="94" t="s">
        <v>1</v>
      </c>
      <c r="E15" s="94" t="s">
        <v>2</v>
      </c>
      <c r="F15" s="94" t="s">
        <v>3</v>
      </c>
      <c r="G15" s="94" t="s">
        <v>4</v>
      </c>
      <c r="H15" s="95" t="s">
        <v>5</v>
      </c>
      <c r="J15" s="28" t="s">
        <v>263</v>
      </c>
      <c r="K15" s="94"/>
      <c r="L15" s="94"/>
      <c r="M15" s="94"/>
      <c r="N15" s="94"/>
      <c r="O15" s="94"/>
    </row>
    <row r="16" spans="2:15">
      <c r="B16" s="96" t="s">
        <v>6</v>
      </c>
      <c r="C16" s="480" t="s">
        <v>261</v>
      </c>
      <c r="D16" s="480" t="s">
        <v>261</v>
      </c>
      <c r="E16" s="480" t="s">
        <v>256</v>
      </c>
      <c r="F16" s="480" t="s">
        <v>257</v>
      </c>
      <c r="G16" s="480" t="s">
        <v>259</v>
      </c>
      <c r="H16" s="481" t="s">
        <v>259</v>
      </c>
      <c r="J16" s="471">
        <f>_xlfn.XLOOKUP(C16,$J$4:$J$10,$K$4:$K$10)</f>
        <v>9.51</v>
      </c>
      <c r="K16" s="472">
        <f t="shared" ref="K16:K19" si="0">_xlfn.XLOOKUP(D16,$J$4:$J$10,$K$4:$K$10)</f>
        <v>9.51</v>
      </c>
      <c r="L16" s="472">
        <f t="shared" ref="L16:L19" si="1">_xlfn.XLOOKUP(E16,$J$4:$J$10,$K$4:$K$10)</f>
        <v>21.59</v>
      </c>
      <c r="M16" s="472">
        <f t="shared" ref="M16:M19" si="2">_xlfn.XLOOKUP(F16,$J$4:$J$10,$K$4:$K$10)</f>
        <v>29.53</v>
      </c>
      <c r="N16" s="472">
        <f t="shared" ref="N16:N19" si="3">_xlfn.XLOOKUP(G16,$J$4:$J$10,$K$4:$K$10)</f>
        <v>56.91</v>
      </c>
      <c r="O16" s="473">
        <f t="shared" ref="O16:O19" si="4">_xlfn.XLOOKUP(H16,$J$4:$J$10,$K$4:$K$10)</f>
        <v>56.91</v>
      </c>
    </row>
    <row r="17" spans="2:15">
      <c r="B17" s="96" t="s">
        <v>7</v>
      </c>
      <c r="C17" s="480" t="s">
        <v>256</v>
      </c>
      <c r="D17" s="480" t="s">
        <v>256</v>
      </c>
      <c r="E17" s="480" t="s">
        <v>257</v>
      </c>
      <c r="F17" s="480" t="s">
        <v>258</v>
      </c>
      <c r="G17" s="480" t="s">
        <v>258</v>
      </c>
      <c r="H17" s="481" t="s">
        <v>259</v>
      </c>
      <c r="J17" s="471">
        <f t="shared" ref="J17:J19" si="5">_xlfn.XLOOKUP(C17,$J$4:$J$10,$K$4:$K$10)</f>
        <v>21.59</v>
      </c>
      <c r="K17" s="472">
        <f t="shared" si="0"/>
        <v>21.59</v>
      </c>
      <c r="L17" s="472">
        <f t="shared" si="1"/>
        <v>29.53</v>
      </c>
      <c r="M17" s="472">
        <f t="shared" si="2"/>
        <v>40.74</v>
      </c>
      <c r="N17" s="472">
        <f t="shared" si="3"/>
        <v>40.74</v>
      </c>
      <c r="O17" s="473">
        <f t="shared" si="4"/>
        <v>56.91</v>
      </c>
    </row>
    <row r="18" spans="2:15">
      <c r="B18" s="96" t="s">
        <v>8</v>
      </c>
      <c r="C18" s="480" t="s">
        <v>256</v>
      </c>
      <c r="D18" s="480" t="s">
        <v>257</v>
      </c>
      <c r="E18" s="480" t="s">
        <v>258</v>
      </c>
      <c r="F18" s="480" t="s">
        <v>258</v>
      </c>
      <c r="G18" s="480" t="s">
        <v>259</v>
      </c>
      <c r="H18" s="481" t="s">
        <v>260</v>
      </c>
      <c r="J18" s="471">
        <f t="shared" si="5"/>
        <v>21.59</v>
      </c>
      <c r="K18" s="472">
        <f t="shared" si="0"/>
        <v>29.53</v>
      </c>
      <c r="L18" s="472">
        <f t="shared" si="1"/>
        <v>40.74</v>
      </c>
      <c r="M18" s="472">
        <f t="shared" si="2"/>
        <v>40.74</v>
      </c>
      <c r="N18" s="472">
        <f t="shared" si="3"/>
        <v>56.91</v>
      </c>
      <c r="O18" s="473">
        <f t="shared" si="4"/>
        <v>78.77</v>
      </c>
    </row>
    <row r="19" spans="2:15" ht="15" thickBot="1">
      <c r="B19" s="97" t="s">
        <v>9</v>
      </c>
      <c r="C19" s="482" t="s">
        <v>257</v>
      </c>
      <c r="D19" s="482" t="s">
        <v>258</v>
      </c>
      <c r="E19" s="482" t="s">
        <v>259</v>
      </c>
      <c r="F19" s="482" t="s">
        <v>259</v>
      </c>
      <c r="G19" s="482" t="s">
        <v>260</v>
      </c>
      <c r="H19" s="483" t="s">
        <v>262</v>
      </c>
      <c r="J19" s="474">
        <f t="shared" si="5"/>
        <v>29.53</v>
      </c>
      <c r="K19" s="475">
        <f t="shared" si="0"/>
        <v>40.74</v>
      </c>
      <c r="L19" s="475">
        <f t="shared" si="1"/>
        <v>56.91</v>
      </c>
      <c r="M19" s="475">
        <f t="shared" si="2"/>
        <v>56.91</v>
      </c>
      <c r="N19" s="475">
        <f t="shared" si="3"/>
        <v>78.77</v>
      </c>
      <c r="O19" s="476">
        <f t="shared" si="4"/>
        <v>116.62</v>
      </c>
    </row>
    <row r="20" spans="2:15" ht="15" thickBot="1">
      <c r="B20" s="75"/>
      <c r="C20" s="72"/>
      <c r="D20" s="72"/>
      <c r="E20" s="72"/>
      <c r="F20" s="72"/>
      <c r="G20" s="72"/>
      <c r="H20" s="72"/>
    </row>
    <row r="21" spans="2:15">
      <c r="B21" s="28" t="s">
        <v>112</v>
      </c>
      <c r="C21" s="94" t="s">
        <v>0</v>
      </c>
      <c r="D21" s="94" t="s">
        <v>1</v>
      </c>
      <c r="E21" s="94" t="s">
        <v>2</v>
      </c>
      <c r="F21" s="94" t="s">
        <v>3</v>
      </c>
      <c r="G21" s="94" t="s">
        <v>4</v>
      </c>
      <c r="H21" s="95" t="s">
        <v>5</v>
      </c>
      <c r="J21" s="28"/>
      <c r="K21" s="94"/>
      <c r="L21" s="94"/>
      <c r="M21" s="94"/>
      <c r="N21" s="94"/>
      <c r="O21" s="95"/>
    </row>
    <row r="22" spans="2:15">
      <c r="B22" s="96" t="s">
        <v>113</v>
      </c>
      <c r="C22" s="480" t="str">
        <f>C18</f>
        <v>C1</v>
      </c>
      <c r="D22" s="480" t="str">
        <f t="shared" ref="D22:H22" si="6">D18</f>
        <v>C2</v>
      </c>
      <c r="E22" s="480" t="str">
        <f t="shared" si="6"/>
        <v>C3</v>
      </c>
      <c r="F22" s="480" t="str">
        <f t="shared" si="6"/>
        <v>C3</v>
      </c>
      <c r="G22" s="480" t="str">
        <f t="shared" si="6"/>
        <v>C4</v>
      </c>
      <c r="H22" s="481" t="str">
        <f t="shared" si="6"/>
        <v>C5</v>
      </c>
      <c r="J22" s="471">
        <f>_xlfn.XLOOKUP(C22,$J$4:$J$10,$K$4:$K$10)</f>
        <v>21.59</v>
      </c>
      <c r="K22" s="472">
        <f t="shared" ref="K22:K23" si="7">_xlfn.XLOOKUP(D22,$J$4:$J$10,$K$4:$K$10)</f>
        <v>29.53</v>
      </c>
      <c r="L22" s="472">
        <f t="shared" ref="L22:L23" si="8">_xlfn.XLOOKUP(E22,$J$4:$J$10,$K$4:$K$10)</f>
        <v>40.74</v>
      </c>
      <c r="M22" s="472">
        <f t="shared" ref="M22:M23" si="9">_xlfn.XLOOKUP(F22,$J$4:$J$10,$K$4:$K$10)</f>
        <v>40.74</v>
      </c>
      <c r="N22" s="472">
        <f t="shared" ref="N22:N23" si="10">_xlfn.XLOOKUP(G22,$J$4:$J$10,$K$4:$K$10)</f>
        <v>56.91</v>
      </c>
      <c r="O22" s="473">
        <f t="shared" ref="O22:O23" si="11">_xlfn.XLOOKUP(H22,$J$4:$J$10,$K$4:$K$10)</f>
        <v>78.77</v>
      </c>
    </row>
    <row r="23" spans="2:15" ht="15" thickBot="1">
      <c r="B23" s="98" t="s">
        <v>114</v>
      </c>
      <c r="C23" s="484" t="str">
        <f>D22</f>
        <v>C2</v>
      </c>
      <c r="D23" s="484" t="str">
        <f>D22</f>
        <v>C2</v>
      </c>
      <c r="E23" s="484" t="s">
        <v>258</v>
      </c>
      <c r="F23" s="484" t="str">
        <f>G22</f>
        <v>C4</v>
      </c>
      <c r="G23" s="484" t="str">
        <f>H22</f>
        <v>C5</v>
      </c>
      <c r="H23" s="485" t="str">
        <f>H19</f>
        <v>C6</v>
      </c>
      <c r="J23" s="477">
        <f t="shared" ref="J23" si="12">_xlfn.XLOOKUP(C23,$J$4:$J$10,$K$4:$K$10)</f>
        <v>29.53</v>
      </c>
      <c r="K23" s="478">
        <f t="shared" si="7"/>
        <v>29.53</v>
      </c>
      <c r="L23" s="478">
        <f t="shared" si="8"/>
        <v>40.74</v>
      </c>
      <c r="M23" s="478">
        <f t="shared" si="9"/>
        <v>56.91</v>
      </c>
      <c r="N23" s="478">
        <f t="shared" si="10"/>
        <v>78.77</v>
      </c>
      <c r="O23" s="479">
        <f t="shared" si="11"/>
        <v>116.62</v>
      </c>
    </row>
    <row r="24" spans="2:15" ht="15" thickBot="1"/>
    <row r="25" spans="2:15" ht="16.2" thickBot="1">
      <c r="B25" s="28"/>
      <c r="C25" s="546" t="s">
        <v>276</v>
      </c>
      <c r="D25" s="547" t="s">
        <v>277</v>
      </c>
    </row>
    <row r="26" spans="2:15" ht="24.6" thickBot="1">
      <c r="B26" s="548" t="s">
        <v>0</v>
      </c>
      <c r="C26" s="263">
        <f>AVERAGE(C5:C6)</f>
        <v>15.55</v>
      </c>
      <c r="D26" s="263">
        <f>AVERAGE(C7)</f>
        <v>21.59</v>
      </c>
    </row>
    <row r="27" spans="2:15" ht="24.6" thickBot="1">
      <c r="B27" s="548" t="s">
        <v>1</v>
      </c>
      <c r="C27" s="263">
        <f>AVERAGE(D5:D6)</f>
        <v>15.55</v>
      </c>
      <c r="D27" s="263">
        <f>AVERAGE(D7)</f>
        <v>29.53</v>
      </c>
    </row>
    <row r="28" spans="2:15" ht="24.6" thickBot="1">
      <c r="B28" s="549" t="s">
        <v>2</v>
      </c>
      <c r="C28" s="263">
        <f>AVERAGE(E5:E6)</f>
        <v>25.560000000000002</v>
      </c>
      <c r="D28" s="263">
        <f>AVERAGE(E7)</f>
        <v>40.74</v>
      </c>
    </row>
  </sheetData>
  <phoneticPr fontId="9" type="noConversion"/>
  <hyperlinks>
    <hyperlink ref="B2" r:id="rId1" location="5936e8be-9fcb-4508-8843-ee3a58dbbf3ais" xr:uid="{92A558E0-40DB-4FD2-BF07-73ACD432F2E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A10BD-1BBE-4F19-8F74-529843225CED}">
  <sheetPr>
    <tabColor theme="4"/>
    <pageSetUpPr fitToPage="1"/>
  </sheetPr>
  <dimension ref="A1:R103"/>
  <sheetViews>
    <sheetView zoomScale="70" zoomScaleNormal="70" workbookViewId="0">
      <selection activeCell="Q8" sqref="Q8"/>
    </sheetView>
  </sheetViews>
  <sheetFormatPr defaultColWidth="8.77734375" defaultRowHeight="14.4"/>
  <cols>
    <col min="1" max="1" width="3.77734375" style="1" customWidth="1"/>
    <col min="2" max="2" width="14.44140625" style="1" bestFit="1" customWidth="1"/>
    <col min="3" max="3" width="17.77734375" style="1" bestFit="1" customWidth="1"/>
    <col min="4" max="4" width="21.6640625" style="1" customWidth="1"/>
    <col min="5" max="5" width="22.109375" style="1" bestFit="1" customWidth="1"/>
    <col min="6" max="7" width="7.33203125" style="1" bestFit="1" customWidth="1"/>
    <col min="8" max="8" width="19.109375" style="1" bestFit="1" customWidth="1"/>
    <col min="9" max="9" width="13.109375" style="1" bestFit="1" customWidth="1"/>
    <col min="10" max="10" width="24.77734375" style="1" bestFit="1" customWidth="1"/>
    <col min="11" max="11" width="7.33203125" style="1" bestFit="1" customWidth="1"/>
    <col min="12" max="12" width="23.109375" style="1" customWidth="1"/>
    <col min="13" max="13" width="20.109375" style="1" bestFit="1" customWidth="1"/>
    <col min="14" max="14" width="18.33203125" style="1" bestFit="1" customWidth="1"/>
    <col min="15" max="15" width="21.33203125" style="1" bestFit="1" customWidth="1"/>
    <col min="16" max="16" width="21.109375" style="1" bestFit="1" customWidth="1"/>
    <col min="17" max="17" width="17.109375" style="1" customWidth="1"/>
    <col min="18" max="18" width="16.77734375" style="1" customWidth="1"/>
    <col min="19" max="19" width="21.109375" style="1" customWidth="1"/>
    <col min="20" max="20" width="20.109375" style="1" customWidth="1"/>
    <col min="21" max="21" width="19.44140625" style="1" customWidth="1"/>
    <col min="22" max="22" width="25.109375" style="1" customWidth="1"/>
    <col min="23" max="23" width="17.33203125" style="1" customWidth="1"/>
    <col min="24" max="24" width="13" style="1" customWidth="1"/>
    <col min="25" max="25" width="14.33203125" style="1" customWidth="1"/>
    <col min="26" max="40" width="10" style="1" customWidth="1"/>
    <col min="41" max="41" width="15.109375" style="1" bestFit="1" customWidth="1"/>
    <col min="42" max="43" width="10" style="1" customWidth="1"/>
    <col min="44" max="51" width="10" style="1" bestFit="1" customWidth="1"/>
    <col min="52" max="52" width="12.109375" style="1" customWidth="1"/>
    <col min="53" max="54" width="12.6640625" style="1" bestFit="1" customWidth="1"/>
    <col min="55" max="55" width="2.77734375" style="1" customWidth="1"/>
    <col min="56" max="56" width="13.33203125" style="1" customWidth="1"/>
    <col min="57" max="16384" width="8.77734375" style="1"/>
  </cols>
  <sheetData>
    <row r="1" spans="1:18" ht="15" thickBot="1">
      <c r="A1" s="300"/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2"/>
    </row>
    <row r="2" spans="1:18" ht="21.6" thickBot="1">
      <c r="A2" s="303"/>
      <c r="B2" s="296"/>
      <c r="C2" s="307" t="s">
        <v>62</v>
      </c>
      <c r="D2" s="308" t="s">
        <v>71</v>
      </c>
      <c r="E2" s="309" t="s">
        <v>220</v>
      </c>
      <c r="F2" s="309" t="s">
        <v>225</v>
      </c>
      <c r="G2" s="309" t="s">
        <v>46</v>
      </c>
      <c r="H2" s="310" t="s">
        <v>92</v>
      </c>
      <c r="I2" s="310" t="s">
        <v>47</v>
      </c>
      <c r="J2" s="310" t="s">
        <v>84</v>
      </c>
      <c r="K2" s="310" t="s">
        <v>86</v>
      </c>
      <c r="L2" s="311" t="s">
        <v>250</v>
      </c>
      <c r="M2" s="312" t="s">
        <v>251</v>
      </c>
      <c r="N2" s="313" t="s">
        <v>247</v>
      </c>
      <c r="O2" s="314" t="s">
        <v>249</v>
      </c>
      <c r="P2" s="315" t="s">
        <v>388</v>
      </c>
      <c r="Q2" s="304"/>
    </row>
    <row r="3" spans="1:18" ht="26.4" hidden="1">
      <c r="A3" s="303"/>
      <c r="B3" s="297" t="str" cm="1">
        <f t="array" ref="B3:B101">TRANSPOSE('Producten &amp; tarieven'!F2:CZ2)</f>
        <v>OCO</v>
      </c>
      <c r="C3" s="316" cm="1">
        <f t="array" ref="C3:C101">TRANSPOSE('Producten &amp; tarieven'!F32:CZ32)</f>
        <v>4926.6722</v>
      </c>
      <c r="D3" s="317" t="str" cm="1">
        <f t="array" ref="D3:D101">TRANSPOSE('Producten &amp; tarieven'!F36:CZ36)</f>
        <v>Geen ORT</v>
      </c>
      <c r="E3" s="318" cm="1">
        <f t="array" ref="E3:E101">TRANSPOSE('Producten &amp; tarieven'!$F37:$CZ37)</f>
        <v>0</v>
      </c>
      <c r="F3" s="318" cm="1">
        <f t="array" ref="F3:F101">TRANSPOSE('Producten &amp; tarieven'!$F39:$CZ39)</f>
        <v>0.08</v>
      </c>
      <c r="G3" s="318" cm="1">
        <f t="array" ref="G3:G101">TRANSPOSE('Producten &amp; tarieven'!$F41:$CZ41)</f>
        <v>9.0639999999999998E-2</v>
      </c>
      <c r="H3" s="319" cm="1">
        <f t="array" ref="H3:H101">TRANSPOSE('Producten &amp; tarieven'!$F50:$CZ50)</f>
        <v>0.20099333331479999</v>
      </c>
      <c r="I3" s="319" cm="1">
        <f t="array" ref="I3:I101">TRANSPOSE('Producten &amp; tarieven'!$F62:$CZ62)</f>
        <v>9.8927666495309277E-2</v>
      </c>
      <c r="J3" s="319" cm="1">
        <f t="array" ref="J3:J101">TRANSPOSE('Producten &amp; tarieven'!$F64:$CZ64)</f>
        <v>0.29992099981010928</v>
      </c>
      <c r="K3" s="319" cm="1">
        <f t="array" ref="K3:K101">TRANSPOSE('Producten &amp; tarieven'!$F68:$CZ68)</f>
        <v>0</v>
      </c>
      <c r="L3" s="320" cm="1">
        <f t="array" ref="L3:L101">TRANSPOSE('Producten &amp; tarieven'!$F73:$CZ73)</f>
        <v>0.35099999999999998</v>
      </c>
      <c r="M3" s="321" cm="1">
        <f t="array" ref="M3:M101">TRANSPOSE('Producten &amp; tarieven'!$F95:$CZ95)</f>
        <v>1293.6319333333333</v>
      </c>
      <c r="N3" s="322" cm="1">
        <f t="array" ref="N3:N101">TRANSPOSE('Producten &amp; tarieven'!$F98:$CZ98)</f>
        <v>91.180617846809639</v>
      </c>
      <c r="O3" s="323" cm="1">
        <f t="array" ref="O3:O101">TRANSPOSE('Producten &amp; tarieven'!$F102:$CZ102)</f>
        <v>1</v>
      </c>
      <c r="P3" s="324" cm="1">
        <f t="array" ref="P3:P101">TRANSPOSE('Producten &amp; tarieven'!$F117:$CZ117)</f>
        <v>91.940339352344523</v>
      </c>
      <c r="Q3" s="951" t="s">
        <v>390</v>
      </c>
      <c r="R3" s="938"/>
    </row>
    <row r="4" spans="1:18" ht="26.4">
      <c r="A4" s="303"/>
      <c r="B4" s="298">
        <v>0</v>
      </c>
      <c r="C4" s="325">
        <v>0</v>
      </c>
      <c r="D4" s="326">
        <v>0</v>
      </c>
      <c r="E4" s="327">
        <v>0</v>
      </c>
      <c r="F4" s="327">
        <v>0</v>
      </c>
      <c r="G4" s="327">
        <v>0</v>
      </c>
      <c r="H4" s="328">
        <v>0</v>
      </c>
      <c r="I4" s="328">
        <v>0</v>
      </c>
      <c r="J4" s="328">
        <v>0</v>
      </c>
      <c r="K4" s="328">
        <v>0</v>
      </c>
      <c r="L4" s="329">
        <v>0</v>
      </c>
      <c r="M4" s="330">
        <v>0</v>
      </c>
      <c r="N4" s="331">
        <v>0</v>
      </c>
      <c r="O4" s="332">
        <v>0</v>
      </c>
      <c r="P4" s="333">
        <v>0</v>
      </c>
      <c r="Q4" s="951" t="s">
        <v>392</v>
      </c>
    </row>
    <row r="5" spans="1:18" ht="26.4">
      <c r="A5" s="303"/>
      <c r="B5" s="299">
        <v>0</v>
      </c>
      <c r="C5" s="334">
        <v>0</v>
      </c>
      <c r="D5" s="335">
        <v>0</v>
      </c>
      <c r="E5" s="336">
        <v>0</v>
      </c>
      <c r="F5" s="336">
        <v>0</v>
      </c>
      <c r="G5" s="336">
        <v>0</v>
      </c>
      <c r="H5" s="337">
        <v>0</v>
      </c>
      <c r="I5" s="337">
        <v>0</v>
      </c>
      <c r="J5" s="337">
        <v>0</v>
      </c>
      <c r="K5" s="337">
        <v>0</v>
      </c>
      <c r="L5" s="338">
        <v>0</v>
      </c>
      <c r="M5" s="339">
        <v>0</v>
      </c>
      <c r="N5" s="340">
        <v>0</v>
      </c>
      <c r="O5" s="341">
        <v>0</v>
      </c>
      <c r="P5" s="342">
        <v>0</v>
      </c>
      <c r="Q5" s="951" t="s">
        <v>390</v>
      </c>
    </row>
    <row r="6" spans="1:18" ht="26.4" hidden="1">
      <c r="A6" s="303"/>
      <c r="B6" s="299">
        <v>0</v>
      </c>
      <c r="C6" s="334">
        <v>0</v>
      </c>
      <c r="D6" s="335">
        <v>0</v>
      </c>
      <c r="E6" s="336">
        <v>0</v>
      </c>
      <c r="F6" s="336">
        <v>0</v>
      </c>
      <c r="G6" s="336">
        <v>0</v>
      </c>
      <c r="H6" s="337">
        <v>0</v>
      </c>
      <c r="I6" s="337">
        <v>0</v>
      </c>
      <c r="J6" s="337">
        <v>0</v>
      </c>
      <c r="K6" s="337">
        <v>0</v>
      </c>
      <c r="L6" s="338">
        <v>0</v>
      </c>
      <c r="M6" s="339">
        <v>0</v>
      </c>
      <c r="N6" s="340">
        <v>0</v>
      </c>
      <c r="O6" s="341">
        <v>0</v>
      </c>
      <c r="P6" s="342">
        <v>0</v>
      </c>
      <c r="Q6" s="951" t="s">
        <v>391</v>
      </c>
    </row>
    <row r="7" spans="1:18" ht="26.4" hidden="1">
      <c r="A7" s="303"/>
      <c r="B7" s="299">
        <v>0</v>
      </c>
      <c r="C7" s="334">
        <v>0</v>
      </c>
      <c r="D7" s="335">
        <v>0</v>
      </c>
      <c r="E7" s="336">
        <v>0</v>
      </c>
      <c r="F7" s="336">
        <v>0</v>
      </c>
      <c r="G7" s="336">
        <v>0</v>
      </c>
      <c r="H7" s="337">
        <v>0</v>
      </c>
      <c r="I7" s="337">
        <v>0</v>
      </c>
      <c r="J7" s="337">
        <v>0</v>
      </c>
      <c r="K7" s="337">
        <v>0</v>
      </c>
      <c r="L7" s="338">
        <v>0</v>
      </c>
      <c r="M7" s="339">
        <v>0</v>
      </c>
      <c r="N7" s="340">
        <v>0</v>
      </c>
      <c r="O7" s="341">
        <v>0</v>
      </c>
      <c r="P7" s="342">
        <v>0</v>
      </c>
      <c r="Q7" s="951" t="s">
        <v>390</v>
      </c>
    </row>
    <row r="8" spans="1:18" ht="26.4">
      <c r="A8" s="303"/>
      <c r="B8" s="299">
        <v>0</v>
      </c>
      <c r="C8" s="334">
        <v>0</v>
      </c>
      <c r="D8" s="335">
        <v>0</v>
      </c>
      <c r="E8" s="336">
        <v>0</v>
      </c>
      <c r="F8" s="336">
        <v>0</v>
      </c>
      <c r="G8" s="336">
        <v>0</v>
      </c>
      <c r="H8" s="337">
        <v>0</v>
      </c>
      <c r="I8" s="337">
        <v>0</v>
      </c>
      <c r="J8" s="337">
        <v>0</v>
      </c>
      <c r="K8" s="337">
        <v>0</v>
      </c>
      <c r="L8" s="338">
        <v>0</v>
      </c>
      <c r="M8" s="339">
        <v>0</v>
      </c>
      <c r="N8" s="340">
        <v>0</v>
      </c>
      <c r="O8" s="341">
        <v>0</v>
      </c>
      <c r="P8" s="342">
        <v>0</v>
      </c>
      <c r="Q8" s="304"/>
    </row>
    <row r="9" spans="1:18" ht="26.4">
      <c r="A9" s="303"/>
      <c r="B9" s="299">
        <v>0</v>
      </c>
      <c r="C9" s="334">
        <v>0</v>
      </c>
      <c r="D9" s="335">
        <v>0</v>
      </c>
      <c r="E9" s="336">
        <v>0</v>
      </c>
      <c r="F9" s="336">
        <v>0</v>
      </c>
      <c r="G9" s="336">
        <v>0</v>
      </c>
      <c r="H9" s="337">
        <v>0</v>
      </c>
      <c r="I9" s="337">
        <v>0</v>
      </c>
      <c r="J9" s="337">
        <v>0</v>
      </c>
      <c r="K9" s="337">
        <v>0</v>
      </c>
      <c r="L9" s="338">
        <v>0</v>
      </c>
      <c r="M9" s="339">
        <v>0</v>
      </c>
      <c r="N9" s="340">
        <v>0</v>
      </c>
      <c r="O9" s="341">
        <v>0</v>
      </c>
      <c r="P9" s="342">
        <v>0</v>
      </c>
      <c r="Q9" s="304"/>
    </row>
    <row r="10" spans="1:18" ht="26.4">
      <c r="A10" s="303"/>
      <c r="B10" s="299">
        <v>0</v>
      </c>
      <c r="C10" s="334">
        <v>0</v>
      </c>
      <c r="D10" s="335">
        <v>0</v>
      </c>
      <c r="E10" s="336">
        <v>0</v>
      </c>
      <c r="F10" s="336">
        <v>0</v>
      </c>
      <c r="G10" s="336">
        <v>0</v>
      </c>
      <c r="H10" s="337">
        <v>0</v>
      </c>
      <c r="I10" s="337">
        <v>0</v>
      </c>
      <c r="J10" s="337">
        <v>0</v>
      </c>
      <c r="K10" s="337">
        <v>0</v>
      </c>
      <c r="L10" s="338">
        <v>0</v>
      </c>
      <c r="M10" s="339">
        <v>0</v>
      </c>
      <c r="N10" s="340">
        <v>0</v>
      </c>
      <c r="O10" s="341">
        <v>0</v>
      </c>
      <c r="P10" s="342">
        <v>0</v>
      </c>
      <c r="Q10" s="304"/>
    </row>
    <row r="11" spans="1:18" ht="26.4">
      <c r="A11" s="303"/>
      <c r="B11" s="299" t="str">
        <v>Product 10</v>
      </c>
      <c r="C11" s="334">
        <v>0</v>
      </c>
      <c r="D11" s="335">
        <v>0</v>
      </c>
      <c r="E11" s="336">
        <v>0</v>
      </c>
      <c r="F11" s="336">
        <v>0</v>
      </c>
      <c r="G11" s="336">
        <v>0</v>
      </c>
      <c r="H11" s="337">
        <v>0</v>
      </c>
      <c r="I11" s="337">
        <v>0</v>
      </c>
      <c r="J11" s="337">
        <v>0</v>
      </c>
      <c r="K11" s="337">
        <v>0</v>
      </c>
      <c r="L11" s="338">
        <v>0</v>
      </c>
      <c r="M11" s="339">
        <v>0</v>
      </c>
      <c r="N11" s="340">
        <v>0</v>
      </c>
      <c r="O11" s="341">
        <v>0</v>
      </c>
      <c r="P11" s="342">
        <v>0</v>
      </c>
      <c r="Q11" s="304"/>
    </row>
    <row r="12" spans="1:18" ht="26.4">
      <c r="A12" s="303"/>
      <c r="B12" s="299" t="str">
        <v>Product 11</v>
      </c>
      <c r="C12" s="334">
        <v>0</v>
      </c>
      <c r="D12" s="335">
        <v>0</v>
      </c>
      <c r="E12" s="336">
        <v>0</v>
      </c>
      <c r="F12" s="336">
        <v>0</v>
      </c>
      <c r="G12" s="336">
        <v>0</v>
      </c>
      <c r="H12" s="337">
        <v>0</v>
      </c>
      <c r="I12" s="337">
        <v>0</v>
      </c>
      <c r="J12" s="337">
        <v>0</v>
      </c>
      <c r="K12" s="337">
        <v>0</v>
      </c>
      <c r="L12" s="338">
        <v>0</v>
      </c>
      <c r="M12" s="339">
        <v>0</v>
      </c>
      <c r="N12" s="340">
        <v>0</v>
      </c>
      <c r="O12" s="341">
        <v>0</v>
      </c>
      <c r="P12" s="342">
        <v>0</v>
      </c>
      <c r="Q12" s="304"/>
    </row>
    <row r="13" spans="1:18" ht="26.4">
      <c r="A13" s="303"/>
      <c r="B13" s="299" t="str">
        <v>Product 12</v>
      </c>
      <c r="C13" s="334">
        <v>0</v>
      </c>
      <c r="D13" s="335">
        <v>0</v>
      </c>
      <c r="E13" s="336">
        <v>0</v>
      </c>
      <c r="F13" s="336">
        <v>0</v>
      </c>
      <c r="G13" s="336">
        <v>0</v>
      </c>
      <c r="H13" s="337">
        <v>0</v>
      </c>
      <c r="I13" s="337">
        <v>0</v>
      </c>
      <c r="J13" s="337">
        <v>0</v>
      </c>
      <c r="K13" s="337">
        <v>0</v>
      </c>
      <c r="L13" s="338">
        <v>0</v>
      </c>
      <c r="M13" s="339">
        <v>0</v>
      </c>
      <c r="N13" s="340">
        <v>0</v>
      </c>
      <c r="O13" s="341">
        <v>0</v>
      </c>
      <c r="P13" s="342">
        <v>0</v>
      </c>
      <c r="Q13" s="304"/>
    </row>
    <row r="14" spans="1:18" ht="26.4">
      <c r="A14" s="303"/>
      <c r="B14" s="299" t="str">
        <v>Product 13</v>
      </c>
      <c r="C14" s="334">
        <v>0</v>
      </c>
      <c r="D14" s="335">
        <v>0</v>
      </c>
      <c r="E14" s="336">
        <v>0</v>
      </c>
      <c r="F14" s="336">
        <v>0</v>
      </c>
      <c r="G14" s="336">
        <v>0</v>
      </c>
      <c r="H14" s="337">
        <v>0</v>
      </c>
      <c r="I14" s="337">
        <v>0</v>
      </c>
      <c r="J14" s="337">
        <v>0</v>
      </c>
      <c r="K14" s="337">
        <v>0</v>
      </c>
      <c r="L14" s="338">
        <v>0</v>
      </c>
      <c r="M14" s="339">
        <v>0</v>
      </c>
      <c r="N14" s="340">
        <v>0</v>
      </c>
      <c r="O14" s="341">
        <v>0</v>
      </c>
      <c r="P14" s="342">
        <v>0</v>
      </c>
      <c r="Q14" s="304"/>
    </row>
    <row r="15" spans="1:18" ht="26.4">
      <c r="A15" s="303"/>
      <c r="B15" s="299" t="str">
        <v>Product 14</v>
      </c>
      <c r="C15" s="334">
        <v>0</v>
      </c>
      <c r="D15" s="335">
        <v>0</v>
      </c>
      <c r="E15" s="336">
        <v>0</v>
      </c>
      <c r="F15" s="336">
        <v>0</v>
      </c>
      <c r="G15" s="336">
        <v>0</v>
      </c>
      <c r="H15" s="337">
        <v>0</v>
      </c>
      <c r="I15" s="337">
        <v>0</v>
      </c>
      <c r="J15" s="337">
        <v>0</v>
      </c>
      <c r="K15" s="337">
        <v>0</v>
      </c>
      <c r="L15" s="338">
        <v>0</v>
      </c>
      <c r="M15" s="339">
        <v>0</v>
      </c>
      <c r="N15" s="340">
        <v>0</v>
      </c>
      <c r="O15" s="341">
        <v>0</v>
      </c>
      <c r="P15" s="342">
        <v>0</v>
      </c>
      <c r="Q15" s="304"/>
    </row>
    <row r="16" spans="1:18" ht="26.4">
      <c r="A16" s="303"/>
      <c r="B16" s="299" t="str">
        <v>Product 15</v>
      </c>
      <c r="C16" s="334">
        <v>0</v>
      </c>
      <c r="D16" s="335">
        <v>0</v>
      </c>
      <c r="E16" s="336">
        <v>0</v>
      </c>
      <c r="F16" s="336">
        <v>0</v>
      </c>
      <c r="G16" s="336">
        <v>0</v>
      </c>
      <c r="H16" s="337">
        <v>0</v>
      </c>
      <c r="I16" s="337">
        <v>0</v>
      </c>
      <c r="J16" s="337">
        <v>0</v>
      </c>
      <c r="K16" s="337">
        <v>0</v>
      </c>
      <c r="L16" s="338">
        <v>0</v>
      </c>
      <c r="M16" s="339">
        <v>0</v>
      </c>
      <c r="N16" s="340">
        <v>0</v>
      </c>
      <c r="O16" s="341">
        <v>0</v>
      </c>
      <c r="P16" s="342">
        <v>0</v>
      </c>
      <c r="Q16" s="304"/>
    </row>
    <row r="17" spans="1:17" ht="26.4">
      <c r="A17" s="303"/>
      <c r="B17" s="299" t="str">
        <v>Product 16</v>
      </c>
      <c r="C17" s="334">
        <v>0</v>
      </c>
      <c r="D17" s="335">
        <v>0</v>
      </c>
      <c r="E17" s="336">
        <v>0</v>
      </c>
      <c r="F17" s="336">
        <v>0</v>
      </c>
      <c r="G17" s="336">
        <v>0</v>
      </c>
      <c r="H17" s="337">
        <v>0</v>
      </c>
      <c r="I17" s="337">
        <v>0</v>
      </c>
      <c r="J17" s="337">
        <v>0</v>
      </c>
      <c r="K17" s="337">
        <v>0</v>
      </c>
      <c r="L17" s="338">
        <v>0</v>
      </c>
      <c r="M17" s="339">
        <v>0</v>
      </c>
      <c r="N17" s="340">
        <v>0</v>
      </c>
      <c r="O17" s="341">
        <v>0</v>
      </c>
      <c r="P17" s="342">
        <v>0</v>
      </c>
      <c r="Q17" s="304"/>
    </row>
    <row r="18" spans="1:17" ht="26.4">
      <c r="A18" s="303"/>
      <c r="B18" s="299" t="str">
        <v>Product 17</v>
      </c>
      <c r="C18" s="334">
        <v>0</v>
      </c>
      <c r="D18" s="335">
        <v>0</v>
      </c>
      <c r="E18" s="336">
        <v>0</v>
      </c>
      <c r="F18" s="336">
        <v>0</v>
      </c>
      <c r="G18" s="336">
        <v>0</v>
      </c>
      <c r="H18" s="337">
        <v>0</v>
      </c>
      <c r="I18" s="337">
        <v>0</v>
      </c>
      <c r="J18" s="337">
        <v>0</v>
      </c>
      <c r="K18" s="337">
        <v>0</v>
      </c>
      <c r="L18" s="338">
        <v>0</v>
      </c>
      <c r="M18" s="339">
        <v>0</v>
      </c>
      <c r="N18" s="340">
        <v>0</v>
      </c>
      <c r="O18" s="341">
        <v>0</v>
      </c>
      <c r="P18" s="342">
        <v>0</v>
      </c>
      <c r="Q18" s="304"/>
    </row>
    <row r="19" spans="1:17" ht="26.4">
      <c r="A19" s="303"/>
      <c r="B19" s="299" t="str">
        <v>Product 18</v>
      </c>
      <c r="C19" s="334">
        <v>0</v>
      </c>
      <c r="D19" s="335">
        <v>0</v>
      </c>
      <c r="E19" s="336">
        <v>0</v>
      </c>
      <c r="F19" s="336">
        <v>0</v>
      </c>
      <c r="G19" s="336">
        <v>0</v>
      </c>
      <c r="H19" s="337">
        <v>0</v>
      </c>
      <c r="I19" s="337">
        <v>0</v>
      </c>
      <c r="J19" s="337">
        <v>0</v>
      </c>
      <c r="K19" s="337">
        <v>0</v>
      </c>
      <c r="L19" s="338">
        <v>0</v>
      </c>
      <c r="M19" s="339">
        <v>0</v>
      </c>
      <c r="N19" s="340">
        <v>0</v>
      </c>
      <c r="O19" s="341">
        <v>0</v>
      </c>
      <c r="P19" s="342">
        <v>0</v>
      </c>
      <c r="Q19" s="304"/>
    </row>
    <row r="20" spans="1:17" ht="26.4">
      <c r="A20" s="303"/>
      <c r="B20" s="299" t="str">
        <v>Product 19</v>
      </c>
      <c r="C20" s="334">
        <v>0</v>
      </c>
      <c r="D20" s="335">
        <v>0</v>
      </c>
      <c r="E20" s="336">
        <v>0</v>
      </c>
      <c r="F20" s="336">
        <v>0</v>
      </c>
      <c r="G20" s="336">
        <v>0</v>
      </c>
      <c r="H20" s="337">
        <v>0</v>
      </c>
      <c r="I20" s="337">
        <v>0</v>
      </c>
      <c r="J20" s="337">
        <v>0</v>
      </c>
      <c r="K20" s="337">
        <v>0</v>
      </c>
      <c r="L20" s="338">
        <v>0</v>
      </c>
      <c r="M20" s="339">
        <v>0</v>
      </c>
      <c r="N20" s="340">
        <v>0</v>
      </c>
      <c r="O20" s="341">
        <v>0</v>
      </c>
      <c r="P20" s="342">
        <v>0</v>
      </c>
      <c r="Q20" s="304"/>
    </row>
    <row r="21" spans="1:17" ht="26.4">
      <c r="A21" s="303"/>
      <c r="B21" s="299" t="str">
        <v>Product 20</v>
      </c>
      <c r="C21" s="334">
        <v>0</v>
      </c>
      <c r="D21" s="335">
        <v>0</v>
      </c>
      <c r="E21" s="336">
        <v>0</v>
      </c>
      <c r="F21" s="336">
        <v>0</v>
      </c>
      <c r="G21" s="336">
        <v>0</v>
      </c>
      <c r="H21" s="337">
        <v>0</v>
      </c>
      <c r="I21" s="337">
        <v>0</v>
      </c>
      <c r="J21" s="337">
        <v>0</v>
      </c>
      <c r="K21" s="337">
        <v>0</v>
      </c>
      <c r="L21" s="338">
        <v>0</v>
      </c>
      <c r="M21" s="339">
        <v>0</v>
      </c>
      <c r="N21" s="340">
        <v>0</v>
      </c>
      <c r="O21" s="341">
        <v>0</v>
      </c>
      <c r="P21" s="342">
        <v>0</v>
      </c>
      <c r="Q21" s="304"/>
    </row>
    <row r="22" spans="1:17" ht="26.4">
      <c r="A22" s="303"/>
      <c r="B22" s="299" t="str">
        <v>Product 21</v>
      </c>
      <c r="C22" s="334">
        <v>0</v>
      </c>
      <c r="D22" s="335">
        <v>0</v>
      </c>
      <c r="E22" s="336">
        <v>0</v>
      </c>
      <c r="F22" s="336">
        <v>0</v>
      </c>
      <c r="G22" s="336">
        <v>0</v>
      </c>
      <c r="H22" s="337">
        <v>0</v>
      </c>
      <c r="I22" s="337">
        <v>0</v>
      </c>
      <c r="J22" s="337">
        <v>0</v>
      </c>
      <c r="K22" s="337">
        <v>0</v>
      </c>
      <c r="L22" s="338">
        <v>0</v>
      </c>
      <c r="M22" s="339">
        <v>0</v>
      </c>
      <c r="N22" s="340">
        <v>0</v>
      </c>
      <c r="O22" s="341">
        <v>0</v>
      </c>
      <c r="P22" s="342">
        <v>0</v>
      </c>
      <c r="Q22" s="304"/>
    </row>
    <row r="23" spans="1:17" ht="26.4">
      <c r="A23" s="303"/>
      <c r="B23" s="299" t="str">
        <v>Product 22</v>
      </c>
      <c r="C23" s="334">
        <v>0</v>
      </c>
      <c r="D23" s="335">
        <v>0</v>
      </c>
      <c r="E23" s="336">
        <v>0</v>
      </c>
      <c r="F23" s="336">
        <v>0</v>
      </c>
      <c r="G23" s="336">
        <v>0</v>
      </c>
      <c r="H23" s="337">
        <v>0</v>
      </c>
      <c r="I23" s="337">
        <v>0</v>
      </c>
      <c r="J23" s="337">
        <v>0</v>
      </c>
      <c r="K23" s="337">
        <v>0</v>
      </c>
      <c r="L23" s="338">
        <v>0</v>
      </c>
      <c r="M23" s="339">
        <v>0</v>
      </c>
      <c r="N23" s="340">
        <v>0</v>
      </c>
      <c r="O23" s="341">
        <v>0</v>
      </c>
      <c r="P23" s="342">
        <v>0</v>
      </c>
      <c r="Q23" s="304"/>
    </row>
    <row r="24" spans="1:17" ht="26.4">
      <c r="A24" s="303"/>
      <c r="B24" s="299" t="str">
        <v>Product 23</v>
      </c>
      <c r="C24" s="334">
        <v>0</v>
      </c>
      <c r="D24" s="335">
        <v>0</v>
      </c>
      <c r="E24" s="336">
        <v>0</v>
      </c>
      <c r="F24" s="336">
        <v>0</v>
      </c>
      <c r="G24" s="336">
        <v>0</v>
      </c>
      <c r="H24" s="337">
        <v>0</v>
      </c>
      <c r="I24" s="337">
        <v>0</v>
      </c>
      <c r="J24" s="337">
        <v>0</v>
      </c>
      <c r="K24" s="337">
        <v>0</v>
      </c>
      <c r="L24" s="338">
        <v>0</v>
      </c>
      <c r="M24" s="339">
        <v>0</v>
      </c>
      <c r="N24" s="340">
        <v>0</v>
      </c>
      <c r="O24" s="341">
        <v>0</v>
      </c>
      <c r="P24" s="342">
        <v>0</v>
      </c>
      <c r="Q24" s="304"/>
    </row>
    <row r="25" spans="1:17" ht="26.4">
      <c r="A25" s="303"/>
      <c r="B25" s="299" t="str">
        <v>Product 24</v>
      </c>
      <c r="C25" s="334">
        <v>0</v>
      </c>
      <c r="D25" s="335">
        <v>0</v>
      </c>
      <c r="E25" s="336">
        <v>0</v>
      </c>
      <c r="F25" s="336">
        <v>0</v>
      </c>
      <c r="G25" s="336">
        <v>0</v>
      </c>
      <c r="H25" s="337">
        <v>0</v>
      </c>
      <c r="I25" s="337">
        <v>0</v>
      </c>
      <c r="J25" s="337">
        <v>0</v>
      </c>
      <c r="K25" s="337">
        <v>0</v>
      </c>
      <c r="L25" s="338">
        <v>0</v>
      </c>
      <c r="M25" s="339">
        <v>0</v>
      </c>
      <c r="N25" s="340">
        <v>0</v>
      </c>
      <c r="O25" s="341">
        <v>0</v>
      </c>
      <c r="P25" s="342">
        <v>0</v>
      </c>
      <c r="Q25" s="304"/>
    </row>
    <row r="26" spans="1:17" ht="26.4">
      <c r="A26" s="303"/>
      <c r="B26" s="299" t="str">
        <v>Product 25</v>
      </c>
      <c r="C26" s="334">
        <v>0</v>
      </c>
      <c r="D26" s="335">
        <v>0</v>
      </c>
      <c r="E26" s="336">
        <v>0</v>
      </c>
      <c r="F26" s="336">
        <v>0</v>
      </c>
      <c r="G26" s="336">
        <v>0</v>
      </c>
      <c r="H26" s="337">
        <v>0</v>
      </c>
      <c r="I26" s="337">
        <v>0</v>
      </c>
      <c r="J26" s="337">
        <v>0</v>
      </c>
      <c r="K26" s="337">
        <v>0</v>
      </c>
      <c r="L26" s="338">
        <v>0</v>
      </c>
      <c r="M26" s="339">
        <v>0</v>
      </c>
      <c r="N26" s="340">
        <v>0</v>
      </c>
      <c r="O26" s="341">
        <v>0</v>
      </c>
      <c r="P26" s="342">
        <v>0</v>
      </c>
      <c r="Q26" s="304"/>
    </row>
    <row r="27" spans="1:17" ht="26.4">
      <c r="A27" s="303"/>
      <c r="B27" s="299" t="str">
        <v>Product 26</v>
      </c>
      <c r="C27" s="334">
        <v>0</v>
      </c>
      <c r="D27" s="335">
        <v>0</v>
      </c>
      <c r="E27" s="336">
        <v>0</v>
      </c>
      <c r="F27" s="336">
        <v>0</v>
      </c>
      <c r="G27" s="336">
        <v>0</v>
      </c>
      <c r="H27" s="337">
        <v>0</v>
      </c>
      <c r="I27" s="337">
        <v>0</v>
      </c>
      <c r="J27" s="337">
        <v>0</v>
      </c>
      <c r="K27" s="337">
        <v>0</v>
      </c>
      <c r="L27" s="338">
        <v>0</v>
      </c>
      <c r="M27" s="339">
        <v>0</v>
      </c>
      <c r="N27" s="340">
        <v>0</v>
      </c>
      <c r="O27" s="341">
        <v>0</v>
      </c>
      <c r="P27" s="342">
        <v>0</v>
      </c>
      <c r="Q27" s="304"/>
    </row>
    <row r="28" spans="1:17" ht="26.4">
      <c r="A28" s="303"/>
      <c r="B28" s="299" t="str">
        <v>Product 27</v>
      </c>
      <c r="C28" s="334">
        <v>0</v>
      </c>
      <c r="D28" s="335">
        <v>0</v>
      </c>
      <c r="E28" s="336">
        <v>0</v>
      </c>
      <c r="F28" s="336">
        <v>0</v>
      </c>
      <c r="G28" s="336">
        <v>0</v>
      </c>
      <c r="H28" s="337">
        <v>0</v>
      </c>
      <c r="I28" s="337">
        <v>0</v>
      </c>
      <c r="J28" s="337">
        <v>0</v>
      </c>
      <c r="K28" s="337">
        <v>0</v>
      </c>
      <c r="L28" s="338">
        <v>0</v>
      </c>
      <c r="M28" s="339">
        <v>0</v>
      </c>
      <c r="N28" s="340">
        <v>0</v>
      </c>
      <c r="O28" s="341">
        <v>0</v>
      </c>
      <c r="P28" s="342">
        <v>0</v>
      </c>
      <c r="Q28" s="304"/>
    </row>
    <row r="29" spans="1:17" ht="26.4">
      <c r="A29" s="303"/>
      <c r="B29" s="299" t="str">
        <v>Product 28</v>
      </c>
      <c r="C29" s="334">
        <v>0</v>
      </c>
      <c r="D29" s="335">
        <v>0</v>
      </c>
      <c r="E29" s="336">
        <v>0</v>
      </c>
      <c r="F29" s="336">
        <v>0</v>
      </c>
      <c r="G29" s="336">
        <v>0</v>
      </c>
      <c r="H29" s="337">
        <v>0</v>
      </c>
      <c r="I29" s="337">
        <v>0</v>
      </c>
      <c r="J29" s="337">
        <v>0</v>
      </c>
      <c r="K29" s="337">
        <v>0</v>
      </c>
      <c r="L29" s="338">
        <v>0</v>
      </c>
      <c r="M29" s="339">
        <v>0</v>
      </c>
      <c r="N29" s="340">
        <v>0</v>
      </c>
      <c r="O29" s="341">
        <v>0</v>
      </c>
      <c r="P29" s="342">
        <v>0</v>
      </c>
      <c r="Q29" s="304"/>
    </row>
    <row r="30" spans="1:17" ht="26.4">
      <c r="A30" s="303"/>
      <c r="B30" s="299" t="str">
        <v>Product 29</v>
      </c>
      <c r="C30" s="334">
        <v>0</v>
      </c>
      <c r="D30" s="335">
        <v>0</v>
      </c>
      <c r="E30" s="336">
        <v>0</v>
      </c>
      <c r="F30" s="336">
        <v>0</v>
      </c>
      <c r="G30" s="336">
        <v>0</v>
      </c>
      <c r="H30" s="337">
        <v>0</v>
      </c>
      <c r="I30" s="337">
        <v>0</v>
      </c>
      <c r="J30" s="337">
        <v>0</v>
      </c>
      <c r="K30" s="337">
        <v>0</v>
      </c>
      <c r="L30" s="338">
        <v>0</v>
      </c>
      <c r="M30" s="339">
        <v>0</v>
      </c>
      <c r="N30" s="340">
        <v>0</v>
      </c>
      <c r="O30" s="341">
        <v>0</v>
      </c>
      <c r="P30" s="342">
        <v>0</v>
      </c>
      <c r="Q30" s="304"/>
    </row>
    <row r="31" spans="1:17" ht="26.4">
      <c r="A31" s="303"/>
      <c r="B31" s="299" t="str">
        <v>Product 30</v>
      </c>
      <c r="C31" s="334">
        <v>0</v>
      </c>
      <c r="D31" s="335">
        <v>0</v>
      </c>
      <c r="E31" s="336">
        <v>0</v>
      </c>
      <c r="F31" s="336">
        <v>0</v>
      </c>
      <c r="G31" s="336">
        <v>0</v>
      </c>
      <c r="H31" s="337">
        <v>0</v>
      </c>
      <c r="I31" s="337">
        <v>0</v>
      </c>
      <c r="J31" s="337">
        <v>0</v>
      </c>
      <c r="K31" s="337">
        <v>0</v>
      </c>
      <c r="L31" s="338">
        <v>0</v>
      </c>
      <c r="M31" s="339">
        <v>0</v>
      </c>
      <c r="N31" s="340">
        <v>0</v>
      </c>
      <c r="O31" s="341">
        <v>0</v>
      </c>
      <c r="P31" s="342">
        <v>0</v>
      </c>
      <c r="Q31" s="304"/>
    </row>
    <row r="32" spans="1:17" ht="26.4">
      <c r="A32" s="303"/>
      <c r="B32" s="299" t="str">
        <v>Product 31</v>
      </c>
      <c r="C32" s="334">
        <v>0</v>
      </c>
      <c r="D32" s="335">
        <v>0</v>
      </c>
      <c r="E32" s="336">
        <v>0</v>
      </c>
      <c r="F32" s="336">
        <v>0</v>
      </c>
      <c r="G32" s="336">
        <v>0</v>
      </c>
      <c r="H32" s="337">
        <v>0</v>
      </c>
      <c r="I32" s="337">
        <v>0</v>
      </c>
      <c r="J32" s="337">
        <v>0</v>
      </c>
      <c r="K32" s="337">
        <v>0</v>
      </c>
      <c r="L32" s="338">
        <v>0</v>
      </c>
      <c r="M32" s="339">
        <v>0</v>
      </c>
      <c r="N32" s="340">
        <v>0</v>
      </c>
      <c r="O32" s="341">
        <v>0</v>
      </c>
      <c r="P32" s="342">
        <v>0</v>
      </c>
      <c r="Q32" s="304"/>
    </row>
    <row r="33" spans="1:17" ht="26.4">
      <c r="A33" s="303"/>
      <c r="B33" s="299" t="str">
        <v>Product 32</v>
      </c>
      <c r="C33" s="334">
        <v>0</v>
      </c>
      <c r="D33" s="335">
        <v>0</v>
      </c>
      <c r="E33" s="336">
        <v>0</v>
      </c>
      <c r="F33" s="336">
        <v>0</v>
      </c>
      <c r="G33" s="336">
        <v>0</v>
      </c>
      <c r="H33" s="337">
        <v>0</v>
      </c>
      <c r="I33" s="337">
        <v>0</v>
      </c>
      <c r="J33" s="337">
        <v>0</v>
      </c>
      <c r="K33" s="337">
        <v>0</v>
      </c>
      <c r="L33" s="338">
        <v>0</v>
      </c>
      <c r="M33" s="339">
        <v>0</v>
      </c>
      <c r="N33" s="340">
        <v>0</v>
      </c>
      <c r="O33" s="341">
        <v>0</v>
      </c>
      <c r="P33" s="342">
        <v>0</v>
      </c>
      <c r="Q33" s="304"/>
    </row>
    <row r="34" spans="1:17" ht="26.4">
      <c r="A34" s="303"/>
      <c r="B34" s="299" t="str">
        <v>Product 33</v>
      </c>
      <c r="C34" s="334">
        <v>0</v>
      </c>
      <c r="D34" s="335">
        <v>0</v>
      </c>
      <c r="E34" s="336">
        <v>0</v>
      </c>
      <c r="F34" s="336">
        <v>0</v>
      </c>
      <c r="G34" s="336">
        <v>0</v>
      </c>
      <c r="H34" s="337">
        <v>0</v>
      </c>
      <c r="I34" s="337">
        <v>0</v>
      </c>
      <c r="J34" s="337">
        <v>0</v>
      </c>
      <c r="K34" s="337">
        <v>0</v>
      </c>
      <c r="L34" s="338">
        <v>0</v>
      </c>
      <c r="M34" s="339">
        <v>0</v>
      </c>
      <c r="N34" s="340">
        <v>0</v>
      </c>
      <c r="O34" s="341">
        <v>0</v>
      </c>
      <c r="P34" s="342">
        <v>0</v>
      </c>
      <c r="Q34" s="304"/>
    </row>
    <row r="35" spans="1:17" ht="26.4">
      <c r="A35" s="303"/>
      <c r="B35" s="299" t="str">
        <v>Product 34</v>
      </c>
      <c r="C35" s="334">
        <v>0</v>
      </c>
      <c r="D35" s="335">
        <v>0</v>
      </c>
      <c r="E35" s="336">
        <v>0</v>
      </c>
      <c r="F35" s="336">
        <v>0</v>
      </c>
      <c r="G35" s="336">
        <v>0</v>
      </c>
      <c r="H35" s="337">
        <v>0</v>
      </c>
      <c r="I35" s="337">
        <v>0</v>
      </c>
      <c r="J35" s="337">
        <v>0</v>
      </c>
      <c r="K35" s="337">
        <v>0</v>
      </c>
      <c r="L35" s="338">
        <v>0</v>
      </c>
      <c r="M35" s="339">
        <v>0</v>
      </c>
      <c r="N35" s="340">
        <v>0</v>
      </c>
      <c r="O35" s="341">
        <v>0</v>
      </c>
      <c r="P35" s="342">
        <v>0</v>
      </c>
      <c r="Q35" s="304"/>
    </row>
    <row r="36" spans="1:17" ht="26.4">
      <c r="A36" s="303"/>
      <c r="B36" s="299" t="str">
        <v>Product 35</v>
      </c>
      <c r="C36" s="334">
        <v>0</v>
      </c>
      <c r="D36" s="335">
        <v>0</v>
      </c>
      <c r="E36" s="336">
        <v>0</v>
      </c>
      <c r="F36" s="336">
        <v>0</v>
      </c>
      <c r="G36" s="336">
        <v>0</v>
      </c>
      <c r="H36" s="337">
        <v>0</v>
      </c>
      <c r="I36" s="337">
        <v>0</v>
      </c>
      <c r="J36" s="337">
        <v>0</v>
      </c>
      <c r="K36" s="337">
        <v>0</v>
      </c>
      <c r="L36" s="338">
        <v>0</v>
      </c>
      <c r="M36" s="339">
        <v>0</v>
      </c>
      <c r="N36" s="340">
        <v>0</v>
      </c>
      <c r="O36" s="341">
        <v>0</v>
      </c>
      <c r="P36" s="342">
        <v>0</v>
      </c>
      <c r="Q36" s="304"/>
    </row>
    <row r="37" spans="1:17" ht="26.4">
      <c r="A37" s="303"/>
      <c r="B37" s="299" t="str">
        <v>Product 36</v>
      </c>
      <c r="C37" s="334">
        <v>0</v>
      </c>
      <c r="D37" s="335">
        <v>0</v>
      </c>
      <c r="E37" s="336">
        <v>0</v>
      </c>
      <c r="F37" s="336">
        <v>0</v>
      </c>
      <c r="G37" s="336">
        <v>0</v>
      </c>
      <c r="H37" s="337">
        <v>0</v>
      </c>
      <c r="I37" s="337">
        <v>0</v>
      </c>
      <c r="J37" s="337">
        <v>0</v>
      </c>
      <c r="K37" s="337">
        <v>0</v>
      </c>
      <c r="L37" s="338">
        <v>0</v>
      </c>
      <c r="M37" s="339">
        <v>0</v>
      </c>
      <c r="N37" s="340">
        <v>0</v>
      </c>
      <c r="O37" s="341">
        <v>0</v>
      </c>
      <c r="P37" s="342">
        <v>0</v>
      </c>
      <c r="Q37" s="304"/>
    </row>
    <row r="38" spans="1:17" ht="26.4">
      <c r="A38" s="303"/>
      <c r="B38" s="299" t="str">
        <v>Product 37</v>
      </c>
      <c r="C38" s="334">
        <v>0</v>
      </c>
      <c r="D38" s="335">
        <v>0</v>
      </c>
      <c r="E38" s="336">
        <v>0</v>
      </c>
      <c r="F38" s="336">
        <v>0</v>
      </c>
      <c r="G38" s="336">
        <v>0</v>
      </c>
      <c r="H38" s="337">
        <v>0</v>
      </c>
      <c r="I38" s="337">
        <v>0</v>
      </c>
      <c r="J38" s="337">
        <v>0</v>
      </c>
      <c r="K38" s="337">
        <v>0</v>
      </c>
      <c r="L38" s="338">
        <v>0</v>
      </c>
      <c r="M38" s="339">
        <v>0</v>
      </c>
      <c r="N38" s="340">
        <v>0</v>
      </c>
      <c r="O38" s="341">
        <v>0</v>
      </c>
      <c r="P38" s="342">
        <v>0</v>
      </c>
      <c r="Q38" s="304"/>
    </row>
    <row r="39" spans="1:17" ht="26.4">
      <c r="A39" s="303"/>
      <c r="B39" s="299" t="str">
        <v>Product 38</v>
      </c>
      <c r="C39" s="334">
        <v>0</v>
      </c>
      <c r="D39" s="335">
        <v>0</v>
      </c>
      <c r="E39" s="336">
        <v>0</v>
      </c>
      <c r="F39" s="336">
        <v>0</v>
      </c>
      <c r="G39" s="336">
        <v>0</v>
      </c>
      <c r="H39" s="337">
        <v>0</v>
      </c>
      <c r="I39" s="337">
        <v>0</v>
      </c>
      <c r="J39" s="337">
        <v>0</v>
      </c>
      <c r="K39" s="337">
        <v>0</v>
      </c>
      <c r="L39" s="338">
        <v>0</v>
      </c>
      <c r="M39" s="339">
        <v>0</v>
      </c>
      <c r="N39" s="340">
        <v>0</v>
      </c>
      <c r="O39" s="341">
        <v>0</v>
      </c>
      <c r="P39" s="342">
        <v>0</v>
      </c>
      <c r="Q39" s="304"/>
    </row>
    <row r="40" spans="1:17" ht="26.4">
      <c r="A40" s="303"/>
      <c r="B40" s="299" t="str">
        <v>Product 39</v>
      </c>
      <c r="C40" s="334">
        <v>0</v>
      </c>
      <c r="D40" s="335">
        <v>0</v>
      </c>
      <c r="E40" s="336">
        <v>0</v>
      </c>
      <c r="F40" s="336">
        <v>0</v>
      </c>
      <c r="G40" s="336">
        <v>0</v>
      </c>
      <c r="H40" s="337">
        <v>0</v>
      </c>
      <c r="I40" s="337">
        <v>0</v>
      </c>
      <c r="J40" s="337">
        <v>0</v>
      </c>
      <c r="K40" s="337">
        <v>0</v>
      </c>
      <c r="L40" s="338">
        <v>0</v>
      </c>
      <c r="M40" s="339">
        <v>0</v>
      </c>
      <c r="N40" s="340">
        <v>0</v>
      </c>
      <c r="O40" s="341">
        <v>0</v>
      </c>
      <c r="P40" s="342">
        <v>0</v>
      </c>
      <c r="Q40" s="304"/>
    </row>
    <row r="41" spans="1:17" ht="26.4">
      <c r="A41" s="303"/>
      <c r="B41" s="299" t="str">
        <v>Product 40</v>
      </c>
      <c r="C41" s="334">
        <v>0</v>
      </c>
      <c r="D41" s="335">
        <v>0</v>
      </c>
      <c r="E41" s="336">
        <v>0</v>
      </c>
      <c r="F41" s="336">
        <v>0</v>
      </c>
      <c r="G41" s="336">
        <v>0</v>
      </c>
      <c r="H41" s="337">
        <v>0</v>
      </c>
      <c r="I41" s="337">
        <v>0</v>
      </c>
      <c r="J41" s="337">
        <v>0</v>
      </c>
      <c r="K41" s="337">
        <v>0</v>
      </c>
      <c r="L41" s="338">
        <v>0</v>
      </c>
      <c r="M41" s="339">
        <v>0</v>
      </c>
      <c r="N41" s="340">
        <v>0</v>
      </c>
      <c r="O41" s="341">
        <v>0</v>
      </c>
      <c r="P41" s="342">
        <v>0</v>
      </c>
      <c r="Q41" s="304"/>
    </row>
    <row r="42" spans="1:17" ht="26.4">
      <c r="A42" s="303"/>
      <c r="B42" s="299" t="str">
        <v>Product 41</v>
      </c>
      <c r="C42" s="334">
        <v>0</v>
      </c>
      <c r="D42" s="335">
        <v>0</v>
      </c>
      <c r="E42" s="336">
        <v>0</v>
      </c>
      <c r="F42" s="336">
        <v>0</v>
      </c>
      <c r="G42" s="336">
        <v>0</v>
      </c>
      <c r="H42" s="337">
        <v>0</v>
      </c>
      <c r="I42" s="337">
        <v>0</v>
      </c>
      <c r="J42" s="337">
        <v>0</v>
      </c>
      <c r="K42" s="337">
        <v>0</v>
      </c>
      <c r="L42" s="338">
        <v>0</v>
      </c>
      <c r="M42" s="339">
        <v>0</v>
      </c>
      <c r="N42" s="340">
        <v>0</v>
      </c>
      <c r="O42" s="341">
        <v>0</v>
      </c>
      <c r="P42" s="342">
        <v>0</v>
      </c>
      <c r="Q42" s="304"/>
    </row>
    <row r="43" spans="1:17" ht="26.4">
      <c r="A43" s="303"/>
      <c r="B43" s="299" t="str">
        <v>Product 42</v>
      </c>
      <c r="C43" s="334">
        <v>0</v>
      </c>
      <c r="D43" s="335">
        <v>0</v>
      </c>
      <c r="E43" s="336">
        <v>0</v>
      </c>
      <c r="F43" s="336">
        <v>0</v>
      </c>
      <c r="G43" s="336">
        <v>0</v>
      </c>
      <c r="H43" s="337">
        <v>0</v>
      </c>
      <c r="I43" s="337">
        <v>0</v>
      </c>
      <c r="J43" s="337">
        <v>0</v>
      </c>
      <c r="K43" s="337">
        <v>0</v>
      </c>
      <c r="L43" s="338">
        <v>0</v>
      </c>
      <c r="M43" s="339">
        <v>0</v>
      </c>
      <c r="N43" s="340">
        <v>0</v>
      </c>
      <c r="O43" s="341">
        <v>0</v>
      </c>
      <c r="P43" s="342">
        <v>0</v>
      </c>
      <c r="Q43" s="304"/>
    </row>
    <row r="44" spans="1:17" ht="26.4">
      <c r="A44" s="303"/>
      <c r="B44" s="299" t="str">
        <v>Product 43</v>
      </c>
      <c r="C44" s="334">
        <v>0</v>
      </c>
      <c r="D44" s="335">
        <v>0</v>
      </c>
      <c r="E44" s="336">
        <v>0</v>
      </c>
      <c r="F44" s="336">
        <v>0</v>
      </c>
      <c r="G44" s="336">
        <v>0</v>
      </c>
      <c r="H44" s="337">
        <v>0</v>
      </c>
      <c r="I44" s="337">
        <v>0</v>
      </c>
      <c r="J44" s="337">
        <v>0</v>
      </c>
      <c r="K44" s="337">
        <v>0</v>
      </c>
      <c r="L44" s="338">
        <v>0</v>
      </c>
      <c r="M44" s="339">
        <v>0</v>
      </c>
      <c r="N44" s="340">
        <v>0</v>
      </c>
      <c r="O44" s="341">
        <v>0</v>
      </c>
      <c r="P44" s="342">
        <v>0</v>
      </c>
      <c r="Q44" s="304"/>
    </row>
    <row r="45" spans="1:17" ht="26.4">
      <c r="A45" s="303"/>
      <c r="B45" s="299" t="str">
        <v>Product 44</v>
      </c>
      <c r="C45" s="334">
        <v>0</v>
      </c>
      <c r="D45" s="335">
        <v>0</v>
      </c>
      <c r="E45" s="336">
        <v>0</v>
      </c>
      <c r="F45" s="336">
        <v>0</v>
      </c>
      <c r="G45" s="336">
        <v>0</v>
      </c>
      <c r="H45" s="337">
        <v>0</v>
      </c>
      <c r="I45" s="337">
        <v>0</v>
      </c>
      <c r="J45" s="337">
        <v>0</v>
      </c>
      <c r="K45" s="337">
        <v>0</v>
      </c>
      <c r="L45" s="338">
        <v>0</v>
      </c>
      <c r="M45" s="339">
        <v>0</v>
      </c>
      <c r="N45" s="340">
        <v>0</v>
      </c>
      <c r="O45" s="341">
        <v>0</v>
      </c>
      <c r="P45" s="342">
        <v>0</v>
      </c>
      <c r="Q45" s="304"/>
    </row>
    <row r="46" spans="1:17" ht="26.4">
      <c r="A46" s="303"/>
      <c r="B46" s="299" t="str">
        <v>Product 45</v>
      </c>
      <c r="C46" s="334">
        <v>0</v>
      </c>
      <c r="D46" s="335">
        <v>0</v>
      </c>
      <c r="E46" s="336">
        <v>0</v>
      </c>
      <c r="F46" s="336">
        <v>0</v>
      </c>
      <c r="G46" s="336">
        <v>0</v>
      </c>
      <c r="H46" s="337">
        <v>0</v>
      </c>
      <c r="I46" s="337">
        <v>0</v>
      </c>
      <c r="J46" s="337">
        <v>0</v>
      </c>
      <c r="K46" s="337">
        <v>0</v>
      </c>
      <c r="L46" s="338">
        <v>0</v>
      </c>
      <c r="M46" s="339">
        <v>0</v>
      </c>
      <c r="N46" s="340">
        <v>0</v>
      </c>
      <c r="O46" s="341">
        <v>0</v>
      </c>
      <c r="P46" s="342">
        <v>0</v>
      </c>
      <c r="Q46" s="304"/>
    </row>
    <row r="47" spans="1:17" ht="26.4">
      <c r="A47" s="303"/>
      <c r="B47" s="299" t="str">
        <v>Product 46</v>
      </c>
      <c r="C47" s="334">
        <v>0</v>
      </c>
      <c r="D47" s="335">
        <v>0</v>
      </c>
      <c r="E47" s="336">
        <v>0</v>
      </c>
      <c r="F47" s="336">
        <v>0</v>
      </c>
      <c r="G47" s="336">
        <v>0</v>
      </c>
      <c r="H47" s="337">
        <v>0</v>
      </c>
      <c r="I47" s="337">
        <v>0</v>
      </c>
      <c r="J47" s="337">
        <v>0</v>
      </c>
      <c r="K47" s="337">
        <v>0</v>
      </c>
      <c r="L47" s="338">
        <v>0</v>
      </c>
      <c r="M47" s="339">
        <v>0</v>
      </c>
      <c r="N47" s="340">
        <v>0</v>
      </c>
      <c r="O47" s="341">
        <v>0</v>
      </c>
      <c r="P47" s="342">
        <v>0</v>
      </c>
      <c r="Q47" s="304"/>
    </row>
    <row r="48" spans="1:17" ht="26.4">
      <c r="A48" s="303"/>
      <c r="B48" s="299" t="str">
        <v>Product 47</v>
      </c>
      <c r="C48" s="334">
        <v>0</v>
      </c>
      <c r="D48" s="335">
        <v>0</v>
      </c>
      <c r="E48" s="336">
        <v>0</v>
      </c>
      <c r="F48" s="336">
        <v>0</v>
      </c>
      <c r="G48" s="336">
        <v>0</v>
      </c>
      <c r="H48" s="337">
        <v>0</v>
      </c>
      <c r="I48" s="337">
        <v>0</v>
      </c>
      <c r="J48" s="337">
        <v>0</v>
      </c>
      <c r="K48" s="337">
        <v>0</v>
      </c>
      <c r="L48" s="338">
        <v>0</v>
      </c>
      <c r="M48" s="339">
        <v>0</v>
      </c>
      <c r="N48" s="340">
        <v>0</v>
      </c>
      <c r="O48" s="341">
        <v>0</v>
      </c>
      <c r="P48" s="342">
        <v>0</v>
      </c>
      <c r="Q48" s="304"/>
    </row>
    <row r="49" spans="1:17" ht="26.4">
      <c r="A49" s="303"/>
      <c r="B49" s="299" t="str">
        <v>Product 48</v>
      </c>
      <c r="C49" s="334">
        <v>0</v>
      </c>
      <c r="D49" s="335">
        <v>0</v>
      </c>
      <c r="E49" s="336">
        <v>0</v>
      </c>
      <c r="F49" s="336">
        <v>0</v>
      </c>
      <c r="G49" s="336">
        <v>0</v>
      </c>
      <c r="H49" s="337">
        <v>0</v>
      </c>
      <c r="I49" s="337">
        <v>0</v>
      </c>
      <c r="J49" s="337">
        <v>0</v>
      </c>
      <c r="K49" s="337">
        <v>0</v>
      </c>
      <c r="L49" s="338">
        <v>0</v>
      </c>
      <c r="M49" s="339">
        <v>0</v>
      </c>
      <c r="N49" s="340">
        <v>0</v>
      </c>
      <c r="O49" s="341">
        <v>0</v>
      </c>
      <c r="P49" s="342">
        <v>0</v>
      </c>
      <c r="Q49" s="304"/>
    </row>
    <row r="50" spans="1:17" ht="26.4">
      <c r="A50" s="303"/>
      <c r="B50" s="299" t="str">
        <v>Product 49</v>
      </c>
      <c r="C50" s="334">
        <v>0</v>
      </c>
      <c r="D50" s="335">
        <v>0</v>
      </c>
      <c r="E50" s="336">
        <v>0</v>
      </c>
      <c r="F50" s="336">
        <v>0</v>
      </c>
      <c r="G50" s="336">
        <v>0</v>
      </c>
      <c r="H50" s="337">
        <v>0</v>
      </c>
      <c r="I50" s="337">
        <v>0</v>
      </c>
      <c r="J50" s="337">
        <v>0</v>
      </c>
      <c r="K50" s="337">
        <v>0</v>
      </c>
      <c r="L50" s="338">
        <v>0</v>
      </c>
      <c r="M50" s="339">
        <v>0</v>
      </c>
      <c r="N50" s="340">
        <v>0</v>
      </c>
      <c r="O50" s="341">
        <v>0</v>
      </c>
      <c r="P50" s="342">
        <v>0</v>
      </c>
      <c r="Q50" s="304"/>
    </row>
    <row r="51" spans="1:17" ht="26.4">
      <c r="A51" s="303"/>
      <c r="B51" s="299" t="str">
        <v>Product 50</v>
      </c>
      <c r="C51" s="334">
        <v>0</v>
      </c>
      <c r="D51" s="335">
        <v>0</v>
      </c>
      <c r="E51" s="336">
        <v>0</v>
      </c>
      <c r="F51" s="336">
        <v>0</v>
      </c>
      <c r="G51" s="336">
        <v>0</v>
      </c>
      <c r="H51" s="337">
        <v>0</v>
      </c>
      <c r="I51" s="337">
        <v>0</v>
      </c>
      <c r="J51" s="337">
        <v>0</v>
      </c>
      <c r="K51" s="337">
        <v>0</v>
      </c>
      <c r="L51" s="338">
        <v>0</v>
      </c>
      <c r="M51" s="339">
        <v>0</v>
      </c>
      <c r="N51" s="340">
        <v>0</v>
      </c>
      <c r="O51" s="341">
        <v>0</v>
      </c>
      <c r="P51" s="342">
        <v>0</v>
      </c>
      <c r="Q51" s="304"/>
    </row>
    <row r="52" spans="1:17" ht="26.4">
      <c r="A52" s="303"/>
      <c r="B52" s="299" t="str">
        <v>Product 51</v>
      </c>
      <c r="C52" s="334">
        <v>0</v>
      </c>
      <c r="D52" s="335">
        <v>0</v>
      </c>
      <c r="E52" s="336">
        <v>0</v>
      </c>
      <c r="F52" s="336">
        <v>0</v>
      </c>
      <c r="G52" s="336">
        <v>0</v>
      </c>
      <c r="H52" s="337">
        <v>0</v>
      </c>
      <c r="I52" s="337">
        <v>0</v>
      </c>
      <c r="J52" s="337">
        <v>0</v>
      </c>
      <c r="K52" s="337">
        <v>0</v>
      </c>
      <c r="L52" s="338">
        <v>0</v>
      </c>
      <c r="M52" s="339">
        <v>0</v>
      </c>
      <c r="N52" s="340">
        <v>0</v>
      </c>
      <c r="O52" s="341">
        <v>0</v>
      </c>
      <c r="P52" s="342">
        <v>0</v>
      </c>
      <c r="Q52" s="304"/>
    </row>
    <row r="53" spans="1:17" ht="26.4">
      <c r="A53" s="303"/>
      <c r="B53" s="299" t="str">
        <v>Product 52</v>
      </c>
      <c r="C53" s="334">
        <v>0</v>
      </c>
      <c r="D53" s="335">
        <v>0</v>
      </c>
      <c r="E53" s="336">
        <v>0</v>
      </c>
      <c r="F53" s="336">
        <v>0</v>
      </c>
      <c r="G53" s="336">
        <v>0</v>
      </c>
      <c r="H53" s="337">
        <v>0</v>
      </c>
      <c r="I53" s="337">
        <v>0</v>
      </c>
      <c r="J53" s="337">
        <v>0</v>
      </c>
      <c r="K53" s="337">
        <v>0</v>
      </c>
      <c r="L53" s="338">
        <v>0</v>
      </c>
      <c r="M53" s="339">
        <v>0</v>
      </c>
      <c r="N53" s="340">
        <v>0</v>
      </c>
      <c r="O53" s="341">
        <v>0</v>
      </c>
      <c r="P53" s="342">
        <v>0</v>
      </c>
      <c r="Q53" s="304"/>
    </row>
    <row r="54" spans="1:17" ht="26.4">
      <c r="A54" s="303"/>
      <c r="B54" s="299" t="str">
        <v>Product 53</v>
      </c>
      <c r="C54" s="334">
        <v>0</v>
      </c>
      <c r="D54" s="335">
        <v>0</v>
      </c>
      <c r="E54" s="336">
        <v>0</v>
      </c>
      <c r="F54" s="336">
        <v>0</v>
      </c>
      <c r="G54" s="336">
        <v>0</v>
      </c>
      <c r="H54" s="337">
        <v>0</v>
      </c>
      <c r="I54" s="337">
        <v>0</v>
      </c>
      <c r="J54" s="337">
        <v>0</v>
      </c>
      <c r="K54" s="337">
        <v>0</v>
      </c>
      <c r="L54" s="338">
        <v>0</v>
      </c>
      <c r="M54" s="339">
        <v>0</v>
      </c>
      <c r="N54" s="340">
        <v>0</v>
      </c>
      <c r="O54" s="341">
        <v>0</v>
      </c>
      <c r="P54" s="342">
        <v>0</v>
      </c>
      <c r="Q54" s="304"/>
    </row>
    <row r="55" spans="1:17" ht="26.4">
      <c r="A55" s="303"/>
      <c r="B55" s="299" t="str">
        <v>Product 54</v>
      </c>
      <c r="C55" s="334">
        <v>0</v>
      </c>
      <c r="D55" s="335">
        <v>0</v>
      </c>
      <c r="E55" s="336">
        <v>0</v>
      </c>
      <c r="F55" s="336">
        <v>0</v>
      </c>
      <c r="G55" s="336">
        <v>0</v>
      </c>
      <c r="H55" s="337">
        <v>0</v>
      </c>
      <c r="I55" s="337">
        <v>0</v>
      </c>
      <c r="J55" s="337">
        <v>0</v>
      </c>
      <c r="K55" s="337">
        <v>0</v>
      </c>
      <c r="L55" s="338">
        <v>0</v>
      </c>
      <c r="M55" s="339">
        <v>0</v>
      </c>
      <c r="N55" s="340">
        <v>0</v>
      </c>
      <c r="O55" s="341">
        <v>0</v>
      </c>
      <c r="P55" s="342">
        <v>0</v>
      </c>
      <c r="Q55" s="304"/>
    </row>
    <row r="56" spans="1:17" ht="26.4">
      <c r="A56" s="303"/>
      <c r="B56" s="299" t="str">
        <v>Product 55</v>
      </c>
      <c r="C56" s="334">
        <v>0</v>
      </c>
      <c r="D56" s="335">
        <v>0</v>
      </c>
      <c r="E56" s="336">
        <v>0</v>
      </c>
      <c r="F56" s="336">
        <v>0</v>
      </c>
      <c r="G56" s="336">
        <v>0</v>
      </c>
      <c r="H56" s="337">
        <v>0</v>
      </c>
      <c r="I56" s="337">
        <v>0</v>
      </c>
      <c r="J56" s="337">
        <v>0</v>
      </c>
      <c r="K56" s="337">
        <v>0</v>
      </c>
      <c r="L56" s="338">
        <v>0</v>
      </c>
      <c r="M56" s="339">
        <v>0</v>
      </c>
      <c r="N56" s="340">
        <v>0</v>
      </c>
      <c r="O56" s="341">
        <v>0</v>
      </c>
      <c r="P56" s="342">
        <v>0</v>
      </c>
      <c r="Q56" s="304"/>
    </row>
    <row r="57" spans="1:17" ht="26.4">
      <c r="A57" s="303"/>
      <c r="B57" s="299" t="str">
        <v>Product 56</v>
      </c>
      <c r="C57" s="334">
        <v>0</v>
      </c>
      <c r="D57" s="335">
        <v>0</v>
      </c>
      <c r="E57" s="336">
        <v>0</v>
      </c>
      <c r="F57" s="336">
        <v>0</v>
      </c>
      <c r="G57" s="336">
        <v>0</v>
      </c>
      <c r="H57" s="337">
        <v>0</v>
      </c>
      <c r="I57" s="337">
        <v>0</v>
      </c>
      <c r="J57" s="337">
        <v>0</v>
      </c>
      <c r="K57" s="337">
        <v>0</v>
      </c>
      <c r="L57" s="338">
        <v>0</v>
      </c>
      <c r="M57" s="339">
        <v>0</v>
      </c>
      <c r="N57" s="340">
        <v>0</v>
      </c>
      <c r="O57" s="341">
        <v>0</v>
      </c>
      <c r="P57" s="342">
        <v>0</v>
      </c>
      <c r="Q57" s="304"/>
    </row>
    <row r="58" spans="1:17" ht="26.4">
      <c r="A58" s="303"/>
      <c r="B58" s="299" t="str">
        <v>Product 57</v>
      </c>
      <c r="C58" s="334">
        <v>0</v>
      </c>
      <c r="D58" s="335">
        <v>0</v>
      </c>
      <c r="E58" s="336">
        <v>0</v>
      </c>
      <c r="F58" s="336">
        <v>0</v>
      </c>
      <c r="G58" s="336">
        <v>0</v>
      </c>
      <c r="H58" s="337">
        <v>0</v>
      </c>
      <c r="I58" s="337">
        <v>0</v>
      </c>
      <c r="J58" s="337">
        <v>0</v>
      </c>
      <c r="K58" s="337">
        <v>0</v>
      </c>
      <c r="L58" s="338">
        <v>0</v>
      </c>
      <c r="M58" s="339">
        <v>0</v>
      </c>
      <c r="N58" s="340">
        <v>0</v>
      </c>
      <c r="O58" s="341">
        <v>0</v>
      </c>
      <c r="P58" s="342">
        <v>0</v>
      </c>
      <c r="Q58" s="304"/>
    </row>
    <row r="59" spans="1:17" ht="26.4">
      <c r="A59" s="303"/>
      <c r="B59" s="299" t="str">
        <v>Product 58</v>
      </c>
      <c r="C59" s="334">
        <v>0</v>
      </c>
      <c r="D59" s="335">
        <v>0</v>
      </c>
      <c r="E59" s="336">
        <v>0</v>
      </c>
      <c r="F59" s="336">
        <v>0</v>
      </c>
      <c r="G59" s="336">
        <v>0</v>
      </c>
      <c r="H59" s="337">
        <v>0</v>
      </c>
      <c r="I59" s="337">
        <v>0</v>
      </c>
      <c r="J59" s="337">
        <v>0</v>
      </c>
      <c r="K59" s="337">
        <v>0</v>
      </c>
      <c r="L59" s="338">
        <v>0</v>
      </c>
      <c r="M59" s="339">
        <v>0</v>
      </c>
      <c r="N59" s="340">
        <v>0</v>
      </c>
      <c r="O59" s="341">
        <v>0</v>
      </c>
      <c r="P59" s="342">
        <v>0</v>
      </c>
      <c r="Q59" s="304"/>
    </row>
    <row r="60" spans="1:17" ht="26.4">
      <c r="A60" s="303"/>
      <c r="B60" s="299" t="str">
        <v>Product 59</v>
      </c>
      <c r="C60" s="334">
        <v>0</v>
      </c>
      <c r="D60" s="335">
        <v>0</v>
      </c>
      <c r="E60" s="336">
        <v>0</v>
      </c>
      <c r="F60" s="336">
        <v>0</v>
      </c>
      <c r="G60" s="336">
        <v>0</v>
      </c>
      <c r="H60" s="337">
        <v>0</v>
      </c>
      <c r="I60" s="337">
        <v>0</v>
      </c>
      <c r="J60" s="337">
        <v>0</v>
      </c>
      <c r="K60" s="337">
        <v>0</v>
      </c>
      <c r="L60" s="338">
        <v>0</v>
      </c>
      <c r="M60" s="339">
        <v>0</v>
      </c>
      <c r="N60" s="340">
        <v>0</v>
      </c>
      <c r="O60" s="341">
        <v>0</v>
      </c>
      <c r="P60" s="342">
        <v>0</v>
      </c>
      <c r="Q60" s="304"/>
    </row>
    <row r="61" spans="1:17" ht="26.4">
      <c r="A61" s="303"/>
      <c r="B61" s="299" t="str">
        <v>Product 60</v>
      </c>
      <c r="C61" s="334">
        <v>0</v>
      </c>
      <c r="D61" s="335">
        <v>0</v>
      </c>
      <c r="E61" s="336">
        <v>0</v>
      </c>
      <c r="F61" s="336">
        <v>0</v>
      </c>
      <c r="G61" s="336">
        <v>0</v>
      </c>
      <c r="H61" s="337">
        <v>0</v>
      </c>
      <c r="I61" s="337">
        <v>0</v>
      </c>
      <c r="J61" s="337">
        <v>0</v>
      </c>
      <c r="K61" s="337">
        <v>0</v>
      </c>
      <c r="L61" s="338">
        <v>0</v>
      </c>
      <c r="M61" s="339">
        <v>0</v>
      </c>
      <c r="N61" s="340">
        <v>0</v>
      </c>
      <c r="O61" s="341">
        <v>0</v>
      </c>
      <c r="P61" s="342">
        <v>0</v>
      </c>
      <c r="Q61" s="304"/>
    </row>
    <row r="62" spans="1:17" ht="26.4">
      <c r="A62" s="303"/>
      <c r="B62" s="299" t="str">
        <v>Product 61</v>
      </c>
      <c r="C62" s="334">
        <v>0</v>
      </c>
      <c r="D62" s="335">
        <v>0</v>
      </c>
      <c r="E62" s="336">
        <v>0</v>
      </c>
      <c r="F62" s="336">
        <v>0</v>
      </c>
      <c r="G62" s="336">
        <v>0</v>
      </c>
      <c r="H62" s="337">
        <v>0</v>
      </c>
      <c r="I62" s="337">
        <v>0</v>
      </c>
      <c r="J62" s="337">
        <v>0</v>
      </c>
      <c r="K62" s="337">
        <v>0</v>
      </c>
      <c r="L62" s="338">
        <v>0</v>
      </c>
      <c r="M62" s="339">
        <v>0</v>
      </c>
      <c r="N62" s="340">
        <v>0</v>
      </c>
      <c r="O62" s="341">
        <v>0</v>
      </c>
      <c r="P62" s="342">
        <v>0</v>
      </c>
      <c r="Q62" s="304"/>
    </row>
    <row r="63" spans="1:17" ht="26.4">
      <c r="A63" s="303"/>
      <c r="B63" s="299" t="str">
        <v>Product 62</v>
      </c>
      <c r="C63" s="334">
        <v>0</v>
      </c>
      <c r="D63" s="335">
        <v>0</v>
      </c>
      <c r="E63" s="336">
        <v>0</v>
      </c>
      <c r="F63" s="336">
        <v>0</v>
      </c>
      <c r="G63" s="336">
        <v>0</v>
      </c>
      <c r="H63" s="337">
        <v>0</v>
      </c>
      <c r="I63" s="337">
        <v>0</v>
      </c>
      <c r="J63" s="337">
        <v>0</v>
      </c>
      <c r="K63" s="337">
        <v>0</v>
      </c>
      <c r="L63" s="338">
        <v>0</v>
      </c>
      <c r="M63" s="339">
        <v>0</v>
      </c>
      <c r="N63" s="340">
        <v>0</v>
      </c>
      <c r="O63" s="341">
        <v>0</v>
      </c>
      <c r="P63" s="342">
        <v>0</v>
      </c>
      <c r="Q63" s="304"/>
    </row>
    <row r="64" spans="1:17" ht="26.4">
      <c r="A64" s="303"/>
      <c r="B64" s="299" t="str">
        <v>Product 63</v>
      </c>
      <c r="C64" s="334">
        <v>0</v>
      </c>
      <c r="D64" s="335">
        <v>0</v>
      </c>
      <c r="E64" s="336">
        <v>0</v>
      </c>
      <c r="F64" s="336">
        <v>0</v>
      </c>
      <c r="G64" s="336">
        <v>0</v>
      </c>
      <c r="H64" s="337">
        <v>0</v>
      </c>
      <c r="I64" s="337">
        <v>0</v>
      </c>
      <c r="J64" s="337">
        <v>0</v>
      </c>
      <c r="K64" s="337">
        <v>0</v>
      </c>
      <c r="L64" s="338">
        <v>0</v>
      </c>
      <c r="M64" s="339">
        <v>0</v>
      </c>
      <c r="N64" s="340">
        <v>0</v>
      </c>
      <c r="O64" s="341">
        <v>0</v>
      </c>
      <c r="P64" s="342">
        <v>0</v>
      </c>
      <c r="Q64" s="304"/>
    </row>
    <row r="65" spans="1:17" ht="26.4">
      <c r="A65" s="303"/>
      <c r="B65" s="299" t="str">
        <v>Product 64</v>
      </c>
      <c r="C65" s="334">
        <v>0</v>
      </c>
      <c r="D65" s="335">
        <v>0</v>
      </c>
      <c r="E65" s="336">
        <v>0</v>
      </c>
      <c r="F65" s="336">
        <v>0</v>
      </c>
      <c r="G65" s="336">
        <v>0</v>
      </c>
      <c r="H65" s="337">
        <v>0</v>
      </c>
      <c r="I65" s="337">
        <v>0</v>
      </c>
      <c r="J65" s="337">
        <v>0</v>
      </c>
      <c r="K65" s="337">
        <v>0</v>
      </c>
      <c r="L65" s="338">
        <v>0</v>
      </c>
      <c r="M65" s="339">
        <v>0</v>
      </c>
      <c r="N65" s="340">
        <v>0</v>
      </c>
      <c r="O65" s="341">
        <v>0</v>
      </c>
      <c r="P65" s="342">
        <v>0</v>
      </c>
      <c r="Q65" s="304"/>
    </row>
    <row r="66" spans="1:17" ht="26.4">
      <c r="A66" s="303"/>
      <c r="B66" s="299" t="str">
        <v>Product 65</v>
      </c>
      <c r="C66" s="334">
        <v>0</v>
      </c>
      <c r="D66" s="335">
        <v>0</v>
      </c>
      <c r="E66" s="336">
        <v>0</v>
      </c>
      <c r="F66" s="336">
        <v>0</v>
      </c>
      <c r="G66" s="336">
        <v>0</v>
      </c>
      <c r="H66" s="337">
        <v>0</v>
      </c>
      <c r="I66" s="337">
        <v>0</v>
      </c>
      <c r="J66" s="337">
        <v>0</v>
      </c>
      <c r="K66" s="337">
        <v>0</v>
      </c>
      <c r="L66" s="338">
        <v>0</v>
      </c>
      <c r="M66" s="339">
        <v>0</v>
      </c>
      <c r="N66" s="340">
        <v>0</v>
      </c>
      <c r="O66" s="341">
        <v>0</v>
      </c>
      <c r="P66" s="342">
        <v>0</v>
      </c>
      <c r="Q66" s="304"/>
    </row>
    <row r="67" spans="1:17" ht="26.4">
      <c r="A67" s="303"/>
      <c r="B67" s="299" t="str">
        <v>Product 66</v>
      </c>
      <c r="C67" s="334">
        <v>0</v>
      </c>
      <c r="D67" s="335">
        <v>0</v>
      </c>
      <c r="E67" s="336">
        <v>0</v>
      </c>
      <c r="F67" s="336">
        <v>0</v>
      </c>
      <c r="G67" s="336">
        <v>0</v>
      </c>
      <c r="H67" s="337">
        <v>0</v>
      </c>
      <c r="I67" s="337">
        <v>0</v>
      </c>
      <c r="J67" s="337">
        <v>0</v>
      </c>
      <c r="K67" s="337">
        <v>0</v>
      </c>
      <c r="L67" s="338">
        <v>0</v>
      </c>
      <c r="M67" s="339">
        <v>0</v>
      </c>
      <c r="N67" s="340">
        <v>0</v>
      </c>
      <c r="O67" s="341">
        <v>0</v>
      </c>
      <c r="P67" s="342">
        <v>0</v>
      </c>
      <c r="Q67" s="304"/>
    </row>
    <row r="68" spans="1:17" ht="26.4">
      <c r="A68" s="303"/>
      <c r="B68" s="299" t="str">
        <v>Product 67</v>
      </c>
      <c r="C68" s="334">
        <v>0</v>
      </c>
      <c r="D68" s="335">
        <v>0</v>
      </c>
      <c r="E68" s="336">
        <v>0</v>
      </c>
      <c r="F68" s="336">
        <v>0</v>
      </c>
      <c r="G68" s="336">
        <v>0</v>
      </c>
      <c r="H68" s="337">
        <v>0</v>
      </c>
      <c r="I68" s="337">
        <v>0</v>
      </c>
      <c r="J68" s="337">
        <v>0</v>
      </c>
      <c r="K68" s="337">
        <v>0</v>
      </c>
      <c r="L68" s="338">
        <v>0</v>
      </c>
      <c r="M68" s="339">
        <v>0</v>
      </c>
      <c r="N68" s="340">
        <v>0</v>
      </c>
      <c r="O68" s="341">
        <v>0</v>
      </c>
      <c r="P68" s="342">
        <v>0</v>
      </c>
      <c r="Q68" s="304"/>
    </row>
    <row r="69" spans="1:17" ht="26.4">
      <c r="A69" s="303"/>
      <c r="B69" s="299" t="str">
        <v>Product 68</v>
      </c>
      <c r="C69" s="334">
        <v>0</v>
      </c>
      <c r="D69" s="335">
        <v>0</v>
      </c>
      <c r="E69" s="336">
        <v>0</v>
      </c>
      <c r="F69" s="336">
        <v>0</v>
      </c>
      <c r="G69" s="336">
        <v>0</v>
      </c>
      <c r="H69" s="337">
        <v>0</v>
      </c>
      <c r="I69" s="337">
        <v>0</v>
      </c>
      <c r="J69" s="337">
        <v>0</v>
      </c>
      <c r="K69" s="337">
        <v>0</v>
      </c>
      <c r="L69" s="338">
        <v>0</v>
      </c>
      <c r="M69" s="339">
        <v>0</v>
      </c>
      <c r="N69" s="340">
        <v>0</v>
      </c>
      <c r="O69" s="341">
        <v>0</v>
      </c>
      <c r="P69" s="342">
        <v>0</v>
      </c>
      <c r="Q69" s="304"/>
    </row>
    <row r="70" spans="1:17" ht="26.4">
      <c r="A70" s="303"/>
      <c r="B70" s="299" t="str">
        <v>Product 69</v>
      </c>
      <c r="C70" s="334">
        <v>0</v>
      </c>
      <c r="D70" s="335">
        <v>0</v>
      </c>
      <c r="E70" s="336">
        <v>0</v>
      </c>
      <c r="F70" s="336">
        <v>0</v>
      </c>
      <c r="G70" s="336">
        <v>0</v>
      </c>
      <c r="H70" s="337">
        <v>0</v>
      </c>
      <c r="I70" s="337">
        <v>0</v>
      </c>
      <c r="J70" s="337">
        <v>0</v>
      </c>
      <c r="K70" s="337">
        <v>0</v>
      </c>
      <c r="L70" s="338">
        <v>0</v>
      </c>
      <c r="M70" s="339">
        <v>0</v>
      </c>
      <c r="N70" s="340">
        <v>0</v>
      </c>
      <c r="O70" s="341">
        <v>0</v>
      </c>
      <c r="P70" s="342">
        <v>0</v>
      </c>
      <c r="Q70" s="304"/>
    </row>
    <row r="71" spans="1:17" ht="26.4">
      <c r="A71" s="303"/>
      <c r="B71" s="299" t="str">
        <v>Product 70</v>
      </c>
      <c r="C71" s="334">
        <v>0</v>
      </c>
      <c r="D71" s="335">
        <v>0</v>
      </c>
      <c r="E71" s="336">
        <v>0</v>
      </c>
      <c r="F71" s="336">
        <v>0</v>
      </c>
      <c r="G71" s="336">
        <v>0</v>
      </c>
      <c r="H71" s="337">
        <v>0</v>
      </c>
      <c r="I71" s="337">
        <v>0</v>
      </c>
      <c r="J71" s="337">
        <v>0</v>
      </c>
      <c r="K71" s="337">
        <v>0</v>
      </c>
      <c r="L71" s="338">
        <v>0</v>
      </c>
      <c r="M71" s="339">
        <v>0</v>
      </c>
      <c r="N71" s="340">
        <v>0</v>
      </c>
      <c r="O71" s="341">
        <v>0</v>
      </c>
      <c r="P71" s="342">
        <v>0</v>
      </c>
      <c r="Q71" s="304"/>
    </row>
    <row r="72" spans="1:17" ht="26.4">
      <c r="A72" s="303"/>
      <c r="B72" s="299" t="str">
        <v>Product 71</v>
      </c>
      <c r="C72" s="334">
        <v>0</v>
      </c>
      <c r="D72" s="335">
        <v>0</v>
      </c>
      <c r="E72" s="336">
        <v>0</v>
      </c>
      <c r="F72" s="336">
        <v>0</v>
      </c>
      <c r="G72" s="336">
        <v>0</v>
      </c>
      <c r="H72" s="337">
        <v>0</v>
      </c>
      <c r="I72" s="337">
        <v>0</v>
      </c>
      <c r="J72" s="337">
        <v>0</v>
      </c>
      <c r="K72" s="337">
        <v>0</v>
      </c>
      <c r="L72" s="338">
        <v>0</v>
      </c>
      <c r="M72" s="339">
        <v>0</v>
      </c>
      <c r="N72" s="340">
        <v>0</v>
      </c>
      <c r="O72" s="341">
        <v>0</v>
      </c>
      <c r="P72" s="342">
        <v>0</v>
      </c>
      <c r="Q72" s="304"/>
    </row>
    <row r="73" spans="1:17" ht="26.4">
      <c r="A73" s="303"/>
      <c r="B73" s="299" t="str">
        <v>Product 72</v>
      </c>
      <c r="C73" s="334">
        <v>0</v>
      </c>
      <c r="D73" s="335">
        <v>0</v>
      </c>
      <c r="E73" s="336">
        <v>0</v>
      </c>
      <c r="F73" s="336">
        <v>0</v>
      </c>
      <c r="G73" s="336">
        <v>0</v>
      </c>
      <c r="H73" s="337">
        <v>0</v>
      </c>
      <c r="I73" s="337">
        <v>0</v>
      </c>
      <c r="J73" s="337">
        <v>0</v>
      </c>
      <c r="K73" s="337">
        <v>0</v>
      </c>
      <c r="L73" s="338">
        <v>0</v>
      </c>
      <c r="M73" s="339">
        <v>0</v>
      </c>
      <c r="N73" s="340">
        <v>0</v>
      </c>
      <c r="O73" s="341">
        <v>0</v>
      </c>
      <c r="P73" s="342">
        <v>0</v>
      </c>
      <c r="Q73" s="304"/>
    </row>
    <row r="74" spans="1:17" ht="26.4">
      <c r="A74" s="303"/>
      <c r="B74" s="299" t="str">
        <v>Product 73</v>
      </c>
      <c r="C74" s="334">
        <v>0</v>
      </c>
      <c r="D74" s="335">
        <v>0</v>
      </c>
      <c r="E74" s="336">
        <v>0</v>
      </c>
      <c r="F74" s="336">
        <v>0</v>
      </c>
      <c r="G74" s="336">
        <v>0</v>
      </c>
      <c r="H74" s="337">
        <v>0</v>
      </c>
      <c r="I74" s="337">
        <v>0</v>
      </c>
      <c r="J74" s="337">
        <v>0</v>
      </c>
      <c r="K74" s="337">
        <v>0</v>
      </c>
      <c r="L74" s="338">
        <v>0</v>
      </c>
      <c r="M74" s="339">
        <v>0</v>
      </c>
      <c r="N74" s="340">
        <v>0</v>
      </c>
      <c r="O74" s="341">
        <v>0</v>
      </c>
      <c r="P74" s="342">
        <v>0</v>
      </c>
      <c r="Q74" s="304"/>
    </row>
    <row r="75" spans="1:17" ht="26.4">
      <c r="A75" s="303"/>
      <c r="B75" s="299" t="str">
        <v>Product 74</v>
      </c>
      <c r="C75" s="334">
        <v>0</v>
      </c>
      <c r="D75" s="335">
        <v>0</v>
      </c>
      <c r="E75" s="336">
        <v>0</v>
      </c>
      <c r="F75" s="336">
        <v>0</v>
      </c>
      <c r="G75" s="336">
        <v>0</v>
      </c>
      <c r="H75" s="337">
        <v>0</v>
      </c>
      <c r="I75" s="337">
        <v>0</v>
      </c>
      <c r="J75" s="337">
        <v>0</v>
      </c>
      <c r="K75" s="337">
        <v>0</v>
      </c>
      <c r="L75" s="338">
        <v>0</v>
      </c>
      <c r="M75" s="339">
        <v>0</v>
      </c>
      <c r="N75" s="340">
        <v>0</v>
      </c>
      <c r="O75" s="341">
        <v>0</v>
      </c>
      <c r="P75" s="342">
        <v>0</v>
      </c>
      <c r="Q75" s="304"/>
    </row>
    <row r="76" spans="1:17" ht="26.4">
      <c r="A76" s="303"/>
      <c r="B76" s="299" t="str">
        <v>Product 75</v>
      </c>
      <c r="C76" s="334">
        <v>0</v>
      </c>
      <c r="D76" s="335">
        <v>0</v>
      </c>
      <c r="E76" s="336">
        <v>0</v>
      </c>
      <c r="F76" s="336">
        <v>0</v>
      </c>
      <c r="G76" s="336">
        <v>0</v>
      </c>
      <c r="H76" s="337">
        <v>0</v>
      </c>
      <c r="I76" s="337">
        <v>0</v>
      </c>
      <c r="J76" s="337">
        <v>0</v>
      </c>
      <c r="K76" s="337">
        <v>0</v>
      </c>
      <c r="L76" s="338">
        <v>0</v>
      </c>
      <c r="M76" s="339">
        <v>0</v>
      </c>
      <c r="N76" s="340">
        <v>0</v>
      </c>
      <c r="O76" s="341">
        <v>0</v>
      </c>
      <c r="P76" s="342">
        <v>0</v>
      </c>
      <c r="Q76" s="304"/>
    </row>
    <row r="77" spans="1:17" ht="26.4">
      <c r="A77" s="303"/>
      <c r="B77" s="299" t="str">
        <v>Product 76</v>
      </c>
      <c r="C77" s="334">
        <v>0</v>
      </c>
      <c r="D77" s="335">
        <v>0</v>
      </c>
      <c r="E77" s="336">
        <v>0</v>
      </c>
      <c r="F77" s="336">
        <v>0</v>
      </c>
      <c r="G77" s="336">
        <v>0</v>
      </c>
      <c r="H77" s="337">
        <v>0</v>
      </c>
      <c r="I77" s="337">
        <v>0</v>
      </c>
      <c r="J77" s="337">
        <v>0</v>
      </c>
      <c r="K77" s="337">
        <v>0</v>
      </c>
      <c r="L77" s="338">
        <v>0</v>
      </c>
      <c r="M77" s="339">
        <v>0</v>
      </c>
      <c r="N77" s="340">
        <v>0</v>
      </c>
      <c r="O77" s="341">
        <v>0</v>
      </c>
      <c r="P77" s="342">
        <v>0</v>
      </c>
      <c r="Q77" s="304"/>
    </row>
    <row r="78" spans="1:17" ht="26.4">
      <c r="A78" s="303"/>
      <c r="B78" s="299" t="str">
        <v>Product 77</v>
      </c>
      <c r="C78" s="334">
        <v>0</v>
      </c>
      <c r="D78" s="335">
        <v>0</v>
      </c>
      <c r="E78" s="336">
        <v>0</v>
      </c>
      <c r="F78" s="336">
        <v>0</v>
      </c>
      <c r="G78" s="336">
        <v>0</v>
      </c>
      <c r="H78" s="337">
        <v>0</v>
      </c>
      <c r="I78" s="337">
        <v>0</v>
      </c>
      <c r="J78" s="337">
        <v>0</v>
      </c>
      <c r="K78" s="337">
        <v>0</v>
      </c>
      <c r="L78" s="338">
        <v>0</v>
      </c>
      <c r="M78" s="339">
        <v>0</v>
      </c>
      <c r="N78" s="340">
        <v>0</v>
      </c>
      <c r="O78" s="341">
        <v>0</v>
      </c>
      <c r="P78" s="342">
        <v>0</v>
      </c>
      <c r="Q78" s="304"/>
    </row>
    <row r="79" spans="1:17" ht="26.4">
      <c r="A79" s="303"/>
      <c r="B79" s="299" t="str">
        <v>Product 78</v>
      </c>
      <c r="C79" s="334">
        <v>0</v>
      </c>
      <c r="D79" s="335">
        <v>0</v>
      </c>
      <c r="E79" s="336">
        <v>0</v>
      </c>
      <c r="F79" s="336">
        <v>0</v>
      </c>
      <c r="G79" s="336">
        <v>0</v>
      </c>
      <c r="H79" s="337">
        <v>0</v>
      </c>
      <c r="I79" s="337">
        <v>0</v>
      </c>
      <c r="J79" s="337">
        <v>0</v>
      </c>
      <c r="K79" s="337">
        <v>0</v>
      </c>
      <c r="L79" s="338">
        <v>0</v>
      </c>
      <c r="M79" s="339">
        <v>0</v>
      </c>
      <c r="N79" s="340">
        <v>0</v>
      </c>
      <c r="O79" s="341">
        <v>0</v>
      </c>
      <c r="P79" s="342">
        <v>0</v>
      </c>
      <c r="Q79" s="304"/>
    </row>
    <row r="80" spans="1:17" ht="26.4">
      <c r="A80" s="303"/>
      <c r="B80" s="299" t="str">
        <v>Product 79</v>
      </c>
      <c r="C80" s="334">
        <v>0</v>
      </c>
      <c r="D80" s="335">
        <v>0</v>
      </c>
      <c r="E80" s="336">
        <v>0</v>
      </c>
      <c r="F80" s="336">
        <v>0</v>
      </c>
      <c r="G80" s="336">
        <v>0</v>
      </c>
      <c r="H80" s="337">
        <v>0</v>
      </c>
      <c r="I80" s="337">
        <v>0</v>
      </c>
      <c r="J80" s="337">
        <v>0</v>
      </c>
      <c r="K80" s="337">
        <v>0</v>
      </c>
      <c r="L80" s="338">
        <v>0</v>
      </c>
      <c r="M80" s="339">
        <v>0</v>
      </c>
      <c r="N80" s="340">
        <v>0</v>
      </c>
      <c r="O80" s="341">
        <v>0</v>
      </c>
      <c r="P80" s="342">
        <v>0</v>
      </c>
      <c r="Q80" s="304"/>
    </row>
    <row r="81" spans="1:17" ht="26.4">
      <c r="A81" s="303"/>
      <c r="B81" s="299" t="str">
        <v>Product 80</v>
      </c>
      <c r="C81" s="334">
        <v>0</v>
      </c>
      <c r="D81" s="335">
        <v>0</v>
      </c>
      <c r="E81" s="336">
        <v>0</v>
      </c>
      <c r="F81" s="336">
        <v>0</v>
      </c>
      <c r="G81" s="336">
        <v>0</v>
      </c>
      <c r="H81" s="337">
        <v>0</v>
      </c>
      <c r="I81" s="337">
        <v>0</v>
      </c>
      <c r="J81" s="337">
        <v>0</v>
      </c>
      <c r="K81" s="337">
        <v>0</v>
      </c>
      <c r="L81" s="338">
        <v>0</v>
      </c>
      <c r="M81" s="339">
        <v>0</v>
      </c>
      <c r="N81" s="340">
        <v>0</v>
      </c>
      <c r="O81" s="341">
        <v>0</v>
      </c>
      <c r="P81" s="342">
        <v>0</v>
      </c>
      <c r="Q81" s="304"/>
    </row>
    <row r="82" spans="1:17" ht="26.4">
      <c r="A82" s="303"/>
      <c r="B82" s="299" t="str">
        <v>Product 81</v>
      </c>
      <c r="C82" s="334">
        <v>0</v>
      </c>
      <c r="D82" s="335">
        <v>0</v>
      </c>
      <c r="E82" s="336">
        <v>0</v>
      </c>
      <c r="F82" s="336">
        <v>0</v>
      </c>
      <c r="G82" s="336">
        <v>0</v>
      </c>
      <c r="H82" s="337">
        <v>0</v>
      </c>
      <c r="I82" s="337">
        <v>0</v>
      </c>
      <c r="J82" s="337">
        <v>0</v>
      </c>
      <c r="K82" s="337">
        <v>0</v>
      </c>
      <c r="L82" s="338">
        <v>0</v>
      </c>
      <c r="M82" s="339">
        <v>0</v>
      </c>
      <c r="N82" s="340">
        <v>0</v>
      </c>
      <c r="O82" s="341">
        <v>0</v>
      </c>
      <c r="P82" s="342">
        <v>0</v>
      </c>
      <c r="Q82" s="304"/>
    </row>
    <row r="83" spans="1:17" ht="26.4">
      <c r="A83" s="303"/>
      <c r="B83" s="299" t="str">
        <v>Product 82</v>
      </c>
      <c r="C83" s="334">
        <v>0</v>
      </c>
      <c r="D83" s="335">
        <v>0</v>
      </c>
      <c r="E83" s="336">
        <v>0</v>
      </c>
      <c r="F83" s="336">
        <v>0</v>
      </c>
      <c r="G83" s="336">
        <v>0</v>
      </c>
      <c r="H83" s="337">
        <v>0</v>
      </c>
      <c r="I83" s="337">
        <v>0</v>
      </c>
      <c r="J83" s="337">
        <v>0</v>
      </c>
      <c r="K83" s="337">
        <v>0</v>
      </c>
      <c r="L83" s="338">
        <v>0</v>
      </c>
      <c r="M83" s="339">
        <v>0</v>
      </c>
      <c r="N83" s="340">
        <v>0</v>
      </c>
      <c r="O83" s="341">
        <v>0</v>
      </c>
      <c r="P83" s="342">
        <v>0</v>
      </c>
      <c r="Q83" s="304"/>
    </row>
    <row r="84" spans="1:17" ht="26.4">
      <c r="A84" s="303"/>
      <c r="B84" s="299" t="str">
        <v>Product 83</v>
      </c>
      <c r="C84" s="334">
        <v>0</v>
      </c>
      <c r="D84" s="335">
        <v>0</v>
      </c>
      <c r="E84" s="336">
        <v>0</v>
      </c>
      <c r="F84" s="336">
        <v>0</v>
      </c>
      <c r="G84" s="336">
        <v>0</v>
      </c>
      <c r="H84" s="337">
        <v>0</v>
      </c>
      <c r="I84" s="337">
        <v>0</v>
      </c>
      <c r="J84" s="337">
        <v>0</v>
      </c>
      <c r="K84" s="337">
        <v>0</v>
      </c>
      <c r="L84" s="338">
        <v>0</v>
      </c>
      <c r="M84" s="339">
        <v>0</v>
      </c>
      <c r="N84" s="340">
        <v>0</v>
      </c>
      <c r="O84" s="341">
        <v>0</v>
      </c>
      <c r="P84" s="342">
        <v>0</v>
      </c>
      <c r="Q84" s="304"/>
    </row>
    <row r="85" spans="1:17" ht="26.4">
      <c r="A85" s="303"/>
      <c r="B85" s="299" t="str">
        <v>Product 84</v>
      </c>
      <c r="C85" s="334">
        <v>0</v>
      </c>
      <c r="D85" s="335">
        <v>0</v>
      </c>
      <c r="E85" s="336">
        <v>0</v>
      </c>
      <c r="F85" s="336">
        <v>0</v>
      </c>
      <c r="G85" s="336">
        <v>0</v>
      </c>
      <c r="H85" s="337">
        <v>0</v>
      </c>
      <c r="I85" s="337">
        <v>0</v>
      </c>
      <c r="J85" s="337">
        <v>0</v>
      </c>
      <c r="K85" s="337">
        <v>0</v>
      </c>
      <c r="L85" s="338">
        <v>0</v>
      </c>
      <c r="M85" s="339">
        <v>0</v>
      </c>
      <c r="N85" s="340">
        <v>0</v>
      </c>
      <c r="O85" s="341">
        <v>0</v>
      </c>
      <c r="P85" s="342">
        <v>0</v>
      </c>
      <c r="Q85" s="304"/>
    </row>
    <row r="86" spans="1:17" ht="26.4">
      <c r="A86" s="303"/>
      <c r="B86" s="299" t="str">
        <v>Product 85</v>
      </c>
      <c r="C86" s="334">
        <v>0</v>
      </c>
      <c r="D86" s="335">
        <v>0</v>
      </c>
      <c r="E86" s="336">
        <v>0</v>
      </c>
      <c r="F86" s="336">
        <v>0</v>
      </c>
      <c r="G86" s="336">
        <v>0</v>
      </c>
      <c r="H86" s="337">
        <v>0</v>
      </c>
      <c r="I86" s="337">
        <v>0</v>
      </c>
      <c r="J86" s="337">
        <v>0</v>
      </c>
      <c r="K86" s="337">
        <v>0</v>
      </c>
      <c r="L86" s="338">
        <v>0</v>
      </c>
      <c r="M86" s="339">
        <v>0</v>
      </c>
      <c r="N86" s="340">
        <v>0</v>
      </c>
      <c r="O86" s="341">
        <v>0</v>
      </c>
      <c r="P86" s="342">
        <v>0</v>
      </c>
      <c r="Q86" s="304"/>
    </row>
    <row r="87" spans="1:17" ht="26.4">
      <c r="A87" s="303"/>
      <c r="B87" s="299" t="str">
        <v>Product 86</v>
      </c>
      <c r="C87" s="334">
        <v>0</v>
      </c>
      <c r="D87" s="335">
        <v>0</v>
      </c>
      <c r="E87" s="336">
        <v>0</v>
      </c>
      <c r="F87" s="336">
        <v>0</v>
      </c>
      <c r="G87" s="336">
        <v>0</v>
      </c>
      <c r="H87" s="337">
        <v>0</v>
      </c>
      <c r="I87" s="337">
        <v>0</v>
      </c>
      <c r="J87" s="337">
        <v>0</v>
      </c>
      <c r="K87" s="337">
        <v>0</v>
      </c>
      <c r="L87" s="338">
        <v>0</v>
      </c>
      <c r="M87" s="339">
        <v>0</v>
      </c>
      <c r="N87" s="340">
        <v>0</v>
      </c>
      <c r="O87" s="341">
        <v>0</v>
      </c>
      <c r="P87" s="342">
        <v>0</v>
      </c>
      <c r="Q87" s="304"/>
    </row>
    <row r="88" spans="1:17" ht="26.4">
      <c r="A88" s="303"/>
      <c r="B88" s="299" t="str">
        <v>Product 87</v>
      </c>
      <c r="C88" s="334">
        <v>0</v>
      </c>
      <c r="D88" s="335">
        <v>0</v>
      </c>
      <c r="E88" s="336">
        <v>0</v>
      </c>
      <c r="F88" s="336">
        <v>0</v>
      </c>
      <c r="G88" s="336">
        <v>0</v>
      </c>
      <c r="H88" s="337">
        <v>0</v>
      </c>
      <c r="I88" s="337">
        <v>0</v>
      </c>
      <c r="J88" s="337">
        <v>0</v>
      </c>
      <c r="K88" s="337">
        <v>0</v>
      </c>
      <c r="L88" s="338">
        <v>0</v>
      </c>
      <c r="M88" s="339">
        <v>0</v>
      </c>
      <c r="N88" s="340">
        <v>0</v>
      </c>
      <c r="O88" s="341">
        <v>0</v>
      </c>
      <c r="P88" s="342">
        <v>0</v>
      </c>
      <c r="Q88" s="304"/>
    </row>
    <row r="89" spans="1:17" ht="26.4">
      <c r="A89" s="303"/>
      <c r="B89" s="299" t="str">
        <v>Product 88</v>
      </c>
      <c r="C89" s="334">
        <v>0</v>
      </c>
      <c r="D89" s="335">
        <v>0</v>
      </c>
      <c r="E89" s="336">
        <v>0</v>
      </c>
      <c r="F89" s="336">
        <v>0</v>
      </c>
      <c r="G89" s="336">
        <v>0</v>
      </c>
      <c r="H89" s="337">
        <v>0</v>
      </c>
      <c r="I89" s="337">
        <v>0</v>
      </c>
      <c r="J89" s="337">
        <v>0</v>
      </c>
      <c r="K89" s="337">
        <v>0</v>
      </c>
      <c r="L89" s="338">
        <v>0</v>
      </c>
      <c r="M89" s="339">
        <v>0</v>
      </c>
      <c r="N89" s="340">
        <v>0</v>
      </c>
      <c r="O89" s="341">
        <v>0</v>
      </c>
      <c r="P89" s="342">
        <v>0</v>
      </c>
      <c r="Q89" s="304"/>
    </row>
    <row r="90" spans="1:17" ht="26.4">
      <c r="A90" s="303"/>
      <c r="B90" s="299" t="str">
        <v>Product 89</v>
      </c>
      <c r="C90" s="334">
        <v>0</v>
      </c>
      <c r="D90" s="335">
        <v>0</v>
      </c>
      <c r="E90" s="336">
        <v>0</v>
      </c>
      <c r="F90" s="336">
        <v>0</v>
      </c>
      <c r="G90" s="336">
        <v>0</v>
      </c>
      <c r="H90" s="337">
        <v>0</v>
      </c>
      <c r="I90" s="337">
        <v>0</v>
      </c>
      <c r="J90" s="337">
        <v>0</v>
      </c>
      <c r="K90" s="337">
        <v>0</v>
      </c>
      <c r="L90" s="338">
        <v>0</v>
      </c>
      <c r="M90" s="339">
        <v>0</v>
      </c>
      <c r="N90" s="340">
        <v>0</v>
      </c>
      <c r="O90" s="341">
        <v>0</v>
      </c>
      <c r="P90" s="342">
        <v>0</v>
      </c>
      <c r="Q90" s="304"/>
    </row>
    <row r="91" spans="1:17" ht="26.4">
      <c r="A91" s="303"/>
      <c r="B91" s="299" t="str">
        <v>Product 90</v>
      </c>
      <c r="C91" s="334">
        <v>0</v>
      </c>
      <c r="D91" s="335">
        <v>0</v>
      </c>
      <c r="E91" s="336">
        <v>0</v>
      </c>
      <c r="F91" s="336">
        <v>0</v>
      </c>
      <c r="G91" s="336">
        <v>0</v>
      </c>
      <c r="H91" s="337">
        <v>0</v>
      </c>
      <c r="I91" s="337">
        <v>0</v>
      </c>
      <c r="J91" s="337">
        <v>0</v>
      </c>
      <c r="K91" s="337">
        <v>0</v>
      </c>
      <c r="L91" s="338">
        <v>0</v>
      </c>
      <c r="M91" s="339">
        <v>0</v>
      </c>
      <c r="N91" s="340">
        <v>0</v>
      </c>
      <c r="O91" s="341">
        <v>0</v>
      </c>
      <c r="P91" s="342">
        <v>0</v>
      </c>
      <c r="Q91" s="304"/>
    </row>
    <row r="92" spans="1:17" ht="26.4">
      <c r="A92" s="303"/>
      <c r="B92" s="299" t="str">
        <v>Product 91</v>
      </c>
      <c r="C92" s="334">
        <v>0</v>
      </c>
      <c r="D92" s="335">
        <v>0</v>
      </c>
      <c r="E92" s="336">
        <v>0</v>
      </c>
      <c r="F92" s="336">
        <v>0</v>
      </c>
      <c r="G92" s="336">
        <v>0</v>
      </c>
      <c r="H92" s="337">
        <v>0</v>
      </c>
      <c r="I92" s="337">
        <v>0</v>
      </c>
      <c r="J92" s="337">
        <v>0</v>
      </c>
      <c r="K92" s="337">
        <v>0</v>
      </c>
      <c r="L92" s="338">
        <v>0</v>
      </c>
      <c r="M92" s="339">
        <v>0</v>
      </c>
      <c r="N92" s="340">
        <v>0</v>
      </c>
      <c r="O92" s="341">
        <v>0</v>
      </c>
      <c r="P92" s="342">
        <v>0</v>
      </c>
      <c r="Q92" s="304"/>
    </row>
    <row r="93" spans="1:17" ht="26.4">
      <c r="A93" s="303"/>
      <c r="B93" s="299" t="str">
        <v>Product 92</v>
      </c>
      <c r="C93" s="334">
        <v>0</v>
      </c>
      <c r="D93" s="335">
        <v>0</v>
      </c>
      <c r="E93" s="336">
        <v>0</v>
      </c>
      <c r="F93" s="336">
        <v>0</v>
      </c>
      <c r="G93" s="336">
        <v>0</v>
      </c>
      <c r="H93" s="337">
        <v>0</v>
      </c>
      <c r="I93" s="337">
        <v>0</v>
      </c>
      <c r="J93" s="337">
        <v>0</v>
      </c>
      <c r="K93" s="337">
        <v>0</v>
      </c>
      <c r="L93" s="338">
        <v>0</v>
      </c>
      <c r="M93" s="339">
        <v>0</v>
      </c>
      <c r="N93" s="340">
        <v>0</v>
      </c>
      <c r="O93" s="341">
        <v>0</v>
      </c>
      <c r="P93" s="342">
        <v>0</v>
      </c>
      <c r="Q93" s="304"/>
    </row>
    <row r="94" spans="1:17" ht="26.4">
      <c r="A94" s="303"/>
      <c r="B94" s="299" t="str">
        <v>Product 93</v>
      </c>
      <c r="C94" s="334">
        <v>0</v>
      </c>
      <c r="D94" s="335">
        <v>0</v>
      </c>
      <c r="E94" s="336">
        <v>0</v>
      </c>
      <c r="F94" s="336">
        <v>0</v>
      </c>
      <c r="G94" s="336">
        <v>0</v>
      </c>
      <c r="H94" s="337">
        <v>0</v>
      </c>
      <c r="I94" s="337">
        <v>0</v>
      </c>
      <c r="J94" s="337">
        <v>0</v>
      </c>
      <c r="K94" s="337">
        <v>0</v>
      </c>
      <c r="L94" s="338">
        <v>0</v>
      </c>
      <c r="M94" s="339">
        <v>0</v>
      </c>
      <c r="N94" s="340">
        <v>0</v>
      </c>
      <c r="O94" s="341">
        <v>0</v>
      </c>
      <c r="P94" s="342">
        <v>0</v>
      </c>
      <c r="Q94" s="304"/>
    </row>
    <row r="95" spans="1:17" ht="26.4">
      <c r="A95" s="303"/>
      <c r="B95" s="299" t="str">
        <v>Product 94</v>
      </c>
      <c r="C95" s="334">
        <v>0</v>
      </c>
      <c r="D95" s="335">
        <v>0</v>
      </c>
      <c r="E95" s="336">
        <v>0</v>
      </c>
      <c r="F95" s="336">
        <v>0</v>
      </c>
      <c r="G95" s="336">
        <v>0</v>
      </c>
      <c r="H95" s="337">
        <v>0</v>
      </c>
      <c r="I95" s="337">
        <v>0</v>
      </c>
      <c r="J95" s="337">
        <v>0</v>
      </c>
      <c r="K95" s="337">
        <v>0</v>
      </c>
      <c r="L95" s="338">
        <v>0</v>
      </c>
      <c r="M95" s="339">
        <v>0</v>
      </c>
      <c r="N95" s="340">
        <v>0</v>
      </c>
      <c r="O95" s="341">
        <v>0</v>
      </c>
      <c r="P95" s="342">
        <v>0</v>
      </c>
      <c r="Q95" s="304"/>
    </row>
    <row r="96" spans="1:17" ht="26.4">
      <c r="A96" s="303"/>
      <c r="B96" s="299" t="str">
        <v>Product 95</v>
      </c>
      <c r="C96" s="334">
        <v>0</v>
      </c>
      <c r="D96" s="335">
        <v>0</v>
      </c>
      <c r="E96" s="336">
        <v>0</v>
      </c>
      <c r="F96" s="336">
        <v>0</v>
      </c>
      <c r="G96" s="336">
        <v>0</v>
      </c>
      <c r="H96" s="337">
        <v>0</v>
      </c>
      <c r="I96" s="337">
        <v>0</v>
      </c>
      <c r="J96" s="337">
        <v>0</v>
      </c>
      <c r="K96" s="337">
        <v>0</v>
      </c>
      <c r="L96" s="338">
        <v>0</v>
      </c>
      <c r="M96" s="339">
        <v>0</v>
      </c>
      <c r="N96" s="340">
        <v>0</v>
      </c>
      <c r="O96" s="341">
        <v>0</v>
      </c>
      <c r="P96" s="342">
        <v>0</v>
      </c>
      <c r="Q96" s="304"/>
    </row>
    <row r="97" spans="1:17" ht="26.4">
      <c r="A97" s="303"/>
      <c r="B97" s="299" t="str">
        <v>Product 96</v>
      </c>
      <c r="C97" s="334">
        <v>0</v>
      </c>
      <c r="D97" s="335">
        <v>0</v>
      </c>
      <c r="E97" s="336">
        <v>0</v>
      </c>
      <c r="F97" s="336">
        <v>0</v>
      </c>
      <c r="G97" s="336">
        <v>0</v>
      </c>
      <c r="H97" s="337">
        <v>0</v>
      </c>
      <c r="I97" s="337">
        <v>0</v>
      </c>
      <c r="J97" s="337">
        <v>0</v>
      </c>
      <c r="K97" s="337">
        <v>0</v>
      </c>
      <c r="L97" s="338">
        <v>0</v>
      </c>
      <c r="M97" s="339">
        <v>0</v>
      </c>
      <c r="N97" s="340">
        <v>0</v>
      </c>
      <c r="O97" s="341">
        <v>0</v>
      </c>
      <c r="P97" s="342">
        <v>0</v>
      </c>
      <c r="Q97" s="304"/>
    </row>
    <row r="98" spans="1:17" ht="26.4">
      <c r="A98" s="303"/>
      <c r="B98" s="299" t="str">
        <v>Product 97</v>
      </c>
      <c r="C98" s="334">
        <v>0</v>
      </c>
      <c r="D98" s="335">
        <v>0</v>
      </c>
      <c r="E98" s="336">
        <v>0</v>
      </c>
      <c r="F98" s="336">
        <v>0</v>
      </c>
      <c r="G98" s="336">
        <v>0</v>
      </c>
      <c r="H98" s="337">
        <v>0</v>
      </c>
      <c r="I98" s="337">
        <v>0</v>
      </c>
      <c r="J98" s="337">
        <v>0</v>
      </c>
      <c r="K98" s="337">
        <v>0</v>
      </c>
      <c r="L98" s="338">
        <v>0</v>
      </c>
      <c r="M98" s="339">
        <v>0</v>
      </c>
      <c r="N98" s="340">
        <v>0</v>
      </c>
      <c r="O98" s="341">
        <v>0</v>
      </c>
      <c r="P98" s="342">
        <v>0</v>
      </c>
      <c r="Q98" s="304"/>
    </row>
    <row r="99" spans="1:17" ht="26.4">
      <c r="A99" s="303"/>
      <c r="B99" s="299" t="str">
        <v>Product 98</v>
      </c>
      <c r="C99" s="334">
        <v>0</v>
      </c>
      <c r="D99" s="335">
        <v>0</v>
      </c>
      <c r="E99" s="336">
        <v>0</v>
      </c>
      <c r="F99" s="336">
        <v>0</v>
      </c>
      <c r="G99" s="336">
        <v>0</v>
      </c>
      <c r="H99" s="337">
        <v>0</v>
      </c>
      <c r="I99" s="337">
        <v>0</v>
      </c>
      <c r="J99" s="337">
        <v>0</v>
      </c>
      <c r="K99" s="337">
        <v>0</v>
      </c>
      <c r="L99" s="338">
        <v>0</v>
      </c>
      <c r="M99" s="339">
        <v>0</v>
      </c>
      <c r="N99" s="340">
        <v>0</v>
      </c>
      <c r="O99" s="341">
        <v>0</v>
      </c>
      <c r="P99" s="342">
        <v>0</v>
      </c>
      <c r="Q99" s="304"/>
    </row>
    <row r="100" spans="1:17" ht="26.4">
      <c r="A100" s="303"/>
      <c r="B100" s="299" t="str">
        <v>Product 99</v>
      </c>
      <c r="C100" s="334">
        <v>0</v>
      </c>
      <c r="D100" s="335">
        <v>0</v>
      </c>
      <c r="E100" s="336">
        <v>0</v>
      </c>
      <c r="F100" s="336">
        <v>0</v>
      </c>
      <c r="G100" s="336">
        <v>0</v>
      </c>
      <c r="H100" s="337">
        <v>0</v>
      </c>
      <c r="I100" s="337">
        <v>0</v>
      </c>
      <c r="J100" s="337">
        <v>0</v>
      </c>
      <c r="K100" s="337">
        <v>0</v>
      </c>
      <c r="L100" s="338">
        <v>0</v>
      </c>
      <c r="M100" s="339">
        <v>0</v>
      </c>
      <c r="N100" s="340">
        <v>0</v>
      </c>
      <c r="O100" s="341">
        <v>0</v>
      </c>
      <c r="P100" s="342">
        <v>0</v>
      </c>
      <c r="Q100" s="304"/>
    </row>
    <row r="101" spans="1:17" ht="26.4">
      <c r="A101" s="303"/>
      <c r="B101" s="299">
        <v>0</v>
      </c>
      <c r="C101" s="334">
        <v>0</v>
      </c>
      <c r="D101" s="335">
        <v>0</v>
      </c>
      <c r="E101" s="336">
        <v>0</v>
      </c>
      <c r="F101" s="336">
        <v>0</v>
      </c>
      <c r="G101" s="336">
        <v>0</v>
      </c>
      <c r="H101" s="337">
        <v>0</v>
      </c>
      <c r="I101" s="337">
        <v>0</v>
      </c>
      <c r="J101" s="337">
        <v>0</v>
      </c>
      <c r="K101" s="337">
        <v>0</v>
      </c>
      <c r="L101" s="338">
        <v>0</v>
      </c>
      <c r="M101" s="339">
        <v>0</v>
      </c>
      <c r="N101" s="340">
        <v>0</v>
      </c>
      <c r="O101" s="341">
        <v>0</v>
      </c>
      <c r="P101" s="342">
        <v>0</v>
      </c>
      <c r="Q101" s="304"/>
    </row>
    <row r="102" spans="1:17" ht="27" thickBot="1">
      <c r="A102" s="303"/>
      <c r="B102" s="213"/>
      <c r="C102" s="343"/>
      <c r="D102" s="344"/>
      <c r="E102" s="345"/>
      <c r="F102" s="345"/>
      <c r="G102" s="345"/>
      <c r="H102" s="346"/>
      <c r="I102" s="346"/>
      <c r="J102" s="346"/>
      <c r="K102" s="346"/>
      <c r="L102" s="347"/>
      <c r="M102" s="348"/>
      <c r="N102" s="349"/>
      <c r="O102" s="350"/>
      <c r="P102" s="351"/>
      <c r="Q102" s="304"/>
    </row>
    <row r="103" spans="1:17" ht="15" thickBot="1">
      <c r="A103" s="305"/>
      <c r="B103" s="270"/>
      <c r="C103" s="270"/>
      <c r="D103" s="270"/>
      <c r="E103" s="270"/>
      <c r="F103" s="270"/>
      <c r="G103" s="270"/>
      <c r="H103" s="270"/>
      <c r="I103" s="270"/>
      <c r="J103" s="270"/>
      <c r="K103" s="270"/>
      <c r="L103" s="270"/>
      <c r="M103" s="270"/>
      <c r="N103" s="270"/>
      <c r="O103" s="270"/>
      <c r="P103" s="270"/>
      <c r="Q103" s="306"/>
    </row>
  </sheetData>
  <conditionalFormatting sqref="C2:C102">
    <cfRule type="cellIs" dxfId="12" priority="1" operator="equal">
      <formula>"Check mixen"</formula>
    </cfRule>
  </conditionalFormatting>
  <pageMargins left="0.7" right="0.7" top="0.75" bottom="0.75" header="0.3" footer="0.3"/>
  <pageSetup paperSize="9" scale="32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95ABC-4F06-4116-944F-A63B6078731C}">
  <sheetPr>
    <tabColor theme="9" tint="0.79998168889431442"/>
  </sheetPr>
  <dimension ref="A1:X52"/>
  <sheetViews>
    <sheetView zoomScale="85" zoomScaleNormal="115" workbookViewId="0">
      <selection activeCell="E18" sqref="E18"/>
    </sheetView>
  </sheetViews>
  <sheetFormatPr defaultColWidth="8.77734375" defaultRowHeight="14.4"/>
  <cols>
    <col min="1" max="1" width="5.44140625" style="1" customWidth="1"/>
    <col min="2" max="2" width="24.44140625" style="1" bestFit="1" customWidth="1"/>
    <col min="3" max="3" width="28.77734375" style="1" bestFit="1" customWidth="1"/>
    <col min="4" max="4" width="21.109375" style="1" customWidth="1"/>
    <col min="5" max="5" width="28.77734375" style="1" bestFit="1" customWidth="1"/>
    <col min="6" max="6" width="19.44140625" style="1" bestFit="1" customWidth="1"/>
    <col min="7" max="7" width="12.33203125" style="1" bestFit="1" customWidth="1"/>
    <col min="8" max="8" width="10" style="1" customWidth="1"/>
    <col min="9" max="9" width="19" style="1" bestFit="1" customWidth="1"/>
    <col min="10" max="10" width="10" style="1" customWidth="1"/>
    <col min="11" max="11" width="19" style="1" bestFit="1" customWidth="1"/>
    <col min="12" max="12" width="2.77734375" style="1" customWidth="1"/>
    <col min="13" max="13" width="30.109375" style="1" customWidth="1"/>
    <col min="14" max="14" width="5.44140625" style="1" bestFit="1" customWidth="1"/>
    <col min="15" max="15" width="5.77734375" style="1" bestFit="1" customWidth="1"/>
    <col min="16" max="16" width="11.109375" style="1" customWidth="1"/>
    <col min="17" max="18" width="7.44140625" style="1" bestFit="1" customWidth="1"/>
    <col min="19" max="19" width="3.109375" style="1" customWidth="1"/>
    <col min="20" max="20" width="22.77734375" style="1" customWidth="1"/>
    <col min="21" max="21" width="16.77734375" style="1" customWidth="1"/>
    <col min="22" max="22" width="21.109375" style="1" customWidth="1"/>
    <col min="23" max="23" width="20.109375" style="1" customWidth="1"/>
    <col min="24" max="24" width="19.44140625" style="1" customWidth="1"/>
    <col min="25" max="25" width="25.109375" style="1" customWidth="1"/>
    <col min="26" max="26" width="17.33203125" style="1" customWidth="1"/>
    <col min="27" max="27" width="13" style="1" customWidth="1"/>
    <col min="28" max="28" width="14.33203125" style="1" customWidth="1"/>
    <col min="29" max="43" width="10" style="1" customWidth="1"/>
    <col min="44" max="44" width="15.109375" style="1" bestFit="1" customWidth="1"/>
    <col min="45" max="46" width="10" style="1" customWidth="1"/>
    <col min="47" max="54" width="10" style="1" bestFit="1" customWidth="1"/>
    <col min="55" max="55" width="12.109375" style="1" customWidth="1"/>
    <col min="56" max="57" width="12.6640625" style="1" bestFit="1" customWidth="1"/>
    <col min="58" max="58" width="2.77734375" style="1" customWidth="1"/>
    <col min="59" max="59" width="13.33203125" style="1" customWidth="1"/>
    <col min="60" max="16384" width="8.77734375" style="1"/>
  </cols>
  <sheetData>
    <row r="1" spans="1:24" ht="15" thickBot="1">
      <c r="A1" s="300"/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2"/>
      <c r="U1" s="1">
        <v>2025</v>
      </c>
    </row>
    <row r="2" spans="1:24" ht="17.399999999999999">
      <c r="A2" s="303"/>
      <c r="B2" s="377"/>
      <c r="C2" s="1061" t="s">
        <v>350</v>
      </c>
      <c r="D2" s="1062"/>
      <c r="E2" s="1061" t="s">
        <v>14</v>
      </c>
      <c r="F2" s="1062"/>
      <c r="G2" s="378"/>
      <c r="H2" s="378"/>
      <c r="I2" s="360" t="s">
        <v>234</v>
      </c>
      <c r="J2" s="378"/>
      <c r="K2" s="361" t="s">
        <v>234</v>
      </c>
      <c r="L2" s="231"/>
      <c r="M2" s="377"/>
      <c r="N2" s="380"/>
      <c r="O2" s="380"/>
      <c r="P2" s="380"/>
      <c r="Q2" s="380"/>
      <c r="R2" s="381"/>
      <c r="S2" s="304"/>
      <c r="U2" s="1061" t="s">
        <v>350</v>
      </c>
      <c r="V2" s="1062"/>
      <c r="W2" s="1061" t="s">
        <v>14</v>
      </c>
      <c r="X2" s="1062"/>
    </row>
    <row r="3" spans="1:24" ht="18" thickBot="1">
      <c r="A3" s="303"/>
      <c r="B3" s="374"/>
      <c r="C3" s="827" t="s">
        <v>349</v>
      </c>
      <c r="D3" s="376"/>
      <c r="E3" s="827" t="s">
        <v>349</v>
      </c>
      <c r="F3" s="376"/>
      <c r="G3" s="375" t="s">
        <v>225</v>
      </c>
      <c r="H3" s="375" t="s">
        <v>46</v>
      </c>
      <c r="I3" s="375" t="s">
        <v>235</v>
      </c>
      <c r="J3" s="375" t="s">
        <v>125</v>
      </c>
      <c r="K3" s="376" t="s">
        <v>93</v>
      </c>
      <c r="L3" s="231"/>
      <c r="M3" s="379" t="s">
        <v>252</v>
      </c>
      <c r="N3" s="382"/>
      <c r="O3" s="382"/>
      <c r="P3" s="382"/>
      <c r="Q3" s="382"/>
      <c r="R3" s="383"/>
      <c r="S3" s="304"/>
      <c r="U3" s="827" t="s">
        <v>349</v>
      </c>
      <c r="V3" s="376"/>
      <c r="W3" s="827" t="s">
        <v>349</v>
      </c>
      <c r="X3" s="376"/>
    </row>
    <row r="4" spans="1:24" ht="17.399999999999999">
      <c r="A4" s="303"/>
      <c r="B4" s="362" t="s">
        <v>11</v>
      </c>
      <c r="C4" s="828">
        <v>0.35</v>
      </c>
      <c r="D4" s="841"/>
      <c r="E4" s="830">
        <v>0.35899999999999999</v>
      </c>
      <c r="F4" s="841"/>
      <c r="G4" s="352">
        <v>0.08</v>
      </c>
      <c r="H4" s="352">
        <v>8.3299999999999999E-2</v>
      </c>
      <c r="I4" s="352">
        <v>0.10100000000000001</v>
      </c>
      <c r="J4" s="353">
        <f>N13</f>
        <v>259</v>
      </c>
      <c r="K4" s="363"/>
      <c r="L4" s="231"/>
      <c r="M4" s="384"/>
      <c r="N4" s="396" t="s">
        <v>11</v>
      </c>
      <c r="O4" s="397" t="s">
        <v>12</v>
      </c>
      <c r="P4" s="398" t="s">
        <v>13</v>
      </c>
      <c r="Q4" s="399" t="s">
        <v>10</v>
      </c>
      <c r="R4" s="400" t="s">
        <v>94</v>
      </c>
      <c r="S4" s="304"/>
      <c r="U4" s="828">
        <v>0.33300000000000002</v>
      </c>
      <c r="V4" s="841">
        <v>0.35</v>
      </c>
      <c r="W4" s="830">
        <v>0.34200000000000003</v>
      </c>
      <c r="X4" s="841">
        <v>0.35899999999999999</v>
      </c>
    </row>
    <row r="5" spans="1:24" ht="17.399999999999999">
      <c r="A5" s="303"/>
      <c r="B5" s="364" t="s">
        <v>12</v>
      </c>
      <c r="C5" s="828">
        <v>0.28499999999999998</v>
      </c>
      <c r="D5" s="841"/>
      <c r="E5" s="830">
        <v>0.29399999999999998</v>
      </c>
      <c r="F5" s="841"/>
      <c r="G5" s="354">
        <v>0.08</v>
      </c>
      <c r="H5" s="354">
        <v>8.3299999999999999E-2</v>
      </c>
      <c r="I5" s="354">
        <v>0.11700000000000001</v>
      </c>
      <c r="J5" s="355">
        <f>O13</f>
        <v>259</v>
      </c>
      <c r="K5" s="365">
        <v>0.08</v>
      </c>
      <c r="L5" s="231"/>
      <c r="M5" s="177" t="s">
        <v>126</v>
      </c>
      <c r="N5" s="401">
        <v>144</v>
      </c>
      <c r="O5" s="402">
        <v>144</v>
      </c>
      <c r="P5" s="403">
        <v>144</v>
      </c>
      <c r="Q5" s="404">
        <v>144</v>
      </c>
      <c r="R5" s="405">
        <v>144</v>
      </c>
      <c r="S5" s="304"/>
      <c r="U5" s="828">
        <v>0.26300000000000001</v>
      </c>
      <c r="V5" s="841">
        <v>0.28499999999999998</v>
      </c>
      <c r="W5" s="830">
        <v>0.27100000000000002</v>
      </c>
      <c r="X5" s="841">
        <v>0.29399999999999998</v>
      </c>
    </row>
    <row r="6" spans="1:24" ht="17.399999999999999">
      <c r="A6" s="303"/>
      <c r="B6" s="366" t="s">
        <v>13</v>
      </c>
      <c r="C6" s="828">
        <v>0.35099999999999998</v>
      </c>
      <c r="D6" s="841"/>
      <c r="E6" s="830">
        <v>0.36099999999999999</v>
      </c>
      <c r="F6" s="841"/>
      <c r="G6" s="356">
        <v>0.08</v>
      </c>
      <c r="H6" s="356">
        <f>8.964%+0.1%</f>
        <v>9.0639999999999998E-2</v>
      </c>
      <c r="I6" s="530">
        <f>I4</f>
        <v>0.10100000000000001</v>
      </c>
      <c r="J6" s="357">
        <f>P13</f>
        <v>247.8</v>
      </c>
      <c r="K6" s="367">
        <v>7.1300000000000002E-2</v>
      </c>
      <c r="L6" s="231"/>
      <c r="M6" s="177" t="s">
        <v>127</v>
      </c>
      <c r="N6" s="401">
        <v>22</v>
      </c>
      <c r="O6" s="402"/>
      <c r="P6" s="403">
        <v>26</v>
      </c>
      <c r="Q6" s="404">
        <v>58.4</v>
      </c>
      <c r="R6" s="405">
        <v>56</v>
      </c>
      <c r="S6" s="304"/>
      <c r="U6" s="828">
        <v>0.33300000000000002</v>
      </c>
      <c r="V6" s="841">
        <v>0.35099999999999998</v>
      </c>
      <c r="W6" s="830">
        <v>0.34200000000000003</v>
      </c>
      <c r="X6" s="841">
        <v>0.36099999999999999</v>
      </c>
    </row>
    <row r="7" spans="1:24" ht="17.399999999999999">
      <c r="A7" s="303"/>
      <c r="B7" s="368" t="s">
        <v>10</v>
      </c>
      <c r="C7" s="828">
        <v>0.26900000000000002</v>
      </c>
      <c r="D7" s="841"/>
      <c r="E7" s="830">
        <v>0.27700000000000002</v>
      </c>
      <c r="F7" s="841"/>
      <c r="G7" s="358">
        <v>0.08</v>
      </c>
      <c r="H7" s="358">
        <v>8.3299999999999999E-2</v>
      </c>
      <c r="I7" s="358">
        <v>0.105</v>
      </c>
      <c r="J7" s="359">
        <f>Q13</f>
        <v>245.4</v>
      </c>
      <c r="K7" s="369"/>
      <c r="L7" s="231"/>
      <c r="M7" s="177" t="s">
        <v>128</v>
      </c>
      <c r="N7" s="401"/>
      <c r="O7" s="402"/>
      <c r="P7" s="403"/>
      <c r="Q7" s="404">
        <v>35</v>
      </c>
      <c r="R7" s="405"/>
      <c r="S7" s="304"/>
      <c r="U7" s="828">
        <v>0.255</v>
      </c>
      <c r="V7" s="841">
        <v>0.26900000000000002</v>
      </c>
      <c r="W7" s="830">
        <v>0.26300000000000001</v>
      </c>
      <c r="X7" s="841">
        <v>0.27700000000000002</v>
      </c>
    </row>
    <row r="8" spans="1:24" ht="18" thickBot="1">
      <c r="A8" s="303"/>
      <c r="B8" s="370" t="s">
        <v>94</v>
      </c>
      <c r="C8" s="829">
        <v>0.35</v>
      </c>
      <c r="D8" s="842"/>
      <c r="E8" s="831">
        <v>0.35899999999999999</v>
      </c>
      <c r="F8" s="842"/>
      <c r="G8" s="371">
        <v>0.08</v>
      </c>
      <c r="H8" s="371">
        <v>8.9640000000000011E-2</v>
      </c>
      <c r="I8" s="371">
        <v>0.13200000000000001</v>
      </c>
      <c r="J8" s="372">
        <f>R13</f>
        <v>277.8</v>
      </c>
      <c r="K8" s="373"/>
      <c r="L8" s="231"/>
      <c r="M8" s="177" t="s">
        <v>129</v>
      </c>
      <c r="N8" s="401">
        <v>35</v>
      </c>
      <c r="O8" s="402"/>
      <c r="P8" s="403"/>
      <c r="Q8" s="404"/>
      <c r="R8" s="405"/>
      <c r="S8" s="304"/>
      <c r="U8" s="829">
        <v>0.33300000000000002</v>
      </c>
      <c r="V8" s="842">
        <v>0.35</v>
      </c>
      <c r="W8" s="831">
        <v>0.34200000000000003</v>
      </c>
      <c r="X8" s="842">
        <v>0.35899999999999999</v>
      </c>
    </row>
    <row r="9" spans="1:24" ht="17.399999999999999">
      <c r="A9" s="303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177" t="s">
        <v>130</v>
      </c>
      <c r="N9" s="401"/>
      <c r="O9" s="402">
        <v>57</v>
      </c>
      <c r="P9" s="403"/>
      <c r="Q9" s="404"/>
      <c r="R9" s="405"/>
      <c r="S9" s="304"/>
    </row>
    <row r="10" spans="1:24" ht="18" thickBot="1">
      <c r="A10" s="303"/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177" t="s">
        <v>131</v>
      </c>
      <c r="N10" s="401"/>
      <c r="O10" s="402"/>
      <c r="P10" s="416">
        <f>P23</f>
        <v>19.8</v>
      </c>
      <c r="Q10" s="404"/>
      <c r="R10" s="417">
        <f>P23</f>
        <v>19.8</v>
      </c>
      <c r="S10" s="304"/>
    </row>
    <row r="11" spans="1:24" ht="17.399999999999999">
      <c r="A11" s="303"/>
      <c r="B11" s="767" t="s">
        <v>68</v>
      </c>
      <c r="C11" s="985">
        <f>113/3</f>
        <v>37.666666666666664</v>
      </c>
      <c r="D11" s="381"/>
      <c r="E11" s="231"/>
      <c r="F11" s="231"/>
      <c r="G11" s="231"/>
      <c r="H11" s="231"/>
      <c r="I11" s="231"/>
      <c r="J11" s="231"/>
      <c r="K11" s="231"/>
      <c r="L11" s="231"/>
      <c r="M11" s="386" t="s">
        <v>132</v>
      </c>
      <c r="N11" s="401">
        <v>8</v>
      </c>
      <c r="O11" s="402">
        <v>8</v>
      </c>
      <c r="P11" s="403">
        <v>8</v>
      </c>
      <c r="Q11" s="404">
        <v>8</v>
      </c>
      <c r="R11" s="405">
        <v>8</v>
      </c>
      <c r="S11" s="304"/>
    </row>
    <row r="12" spans="1:24" ht="18" thickBot="1">
      <c r="A12" s="303"/>
      <c r="B12" s="569" t="s">
        <v>396</v>
      </c>
      <c r="C12" s="979"/>
      <c r="D12" s="766"/>
      <c r="E12" s="231"/>
      <c r="F12" s="231"/>
      <c r="G12" s="231"/>
      <c r="H12" s="231"/>
      <c r="I12" s="231"/>
      <c r="J12" s="231"/>
      <c r="K12" s="231"/>
      <c r="L12" s="231"/>
      <c r="M12" s="177" t="s">
        <v>133</v>
      </c>
      <c r="N12" s="401">
        <v>50</v>
      </c>
      <c r="O12" s="402">
        <v>50</v>
      </c>
      <c r="P12" s="403">
        <v>50</v>
      </c>
      <c r="Q12" s="404"/>
      <c r="R12" s="405">
        <v>50</v>
      </c>
      <c r="S12" s="304"/>
    </row>
    <row r="13" spans="1:24" ht="18" thickBot="1">
      <c r="A13" s="303"/>
      <c r="B13" s="190" t="s">
        <v>359</v>
      </c>
      <c r="C13" s="980">
        <f>13*5*0.36*42</f>
        <v>982.8</v>
      </c>
      <c r="D13" s="766"/>
      <c r="E13" s="231"/>
      <c r="F13" s="231"/>
      <c r="G13" s="231"/>
      <c r="H13" s="231"/>
      <c r="I13" s="231"/>
      <c r="J13" s="231"/>
      <c r="K13" s="231"/>
      <c r="L13" s="231"/>
      <c r="M13" s="406"/>
      <c r="N13" s="407">
        <f>SUM(N5:N12)</f>
        <v>259</v>
      </c>
      <c r="O13" s="408">
        <f>SUM(O5:O12)</f>
        <v>259</v>
      </c>
      <c r="P13" s="409">
        <f>SUM(P5:P12)</f>
        <v>247.8</v>
      </c>
      <c r="Q13" s="410">
        <f>SUM(Q5:Q12)</f>
        <v>245.4</v>
      </c>
      <c r="R13" s="411">
        <f>SUM(R5:R12)</f>
        <v>277.8</v>
      </c>
      <c r="S13" s="304"/>
    </row>
    <row r="14" spans="1:24" ht="17.399999999999999">
      <c r="A14" s="303"/>
      <c r="B14" s="570" t="s">
        <v>295</v>
      </c>
      <c r="C14" s="979"/>
      <c r="D14" s="766"/>
      <c r="E14" s="231"/>
      <c r="F14" s="231"/>
      <c r="G14" s="231"/>
      <c r="H14" s="231"/>
      <c r="I14" s="231"/>
      <c r="J14" s="231"/>
      <c r="K14" s="231"/>
      <c r="L14" s="231"/>
      <c r="M14" s="177"/>
      <c r="N14" s="184"/>
      <c r="O14" s="184"/>
      <c r="P14" s="184"/>
      <c r="Q14" s="184"/>
      <c r="R14" s="385"/>
      <c r="S14" s="304"/>
    </row>
    <row r="15" spans="1:24" ht="17.399999999999999">
      <c r="A15" s="303"/>
      <c r="B15" s="190" t="s">
        <v>358</v>
      </c>
      <c r="C15" s="981">
        <f>10*10*0.23*42</f>
        <v>966</v>
      </c>
      <c r="D15" s="766"/>
      <c r="E15" s="231"/>
      <c r="F15" s="231"/>
      <c r="G15" s="231"/>
      <c r="H15" s="231"/>
      <c r="I15" s="231"/>
      <c r="J15" s="231"/>
      <c r="K15" s="231"/>
      <c r="L15" s="231"/>
      <c r="M15" s="177"/>
      <c r="N15" s="184"/>
      <c r="O15" s="184"/>
      <c r="P15" s="184"/>
      <c r="Q15" s="184"/>
      <c r="R15" s="385"/>
      <c r="S15" s="304"/>
    </row>
    <row r="16" spans="1:24" ht="17.399999999999999">
      <c r="A16" s="303"/>
      <c r="B16" s="570" t="s">
        <v>295</v>
      </c>
      <c r="C16" s="979"/>
      <c r="D16" s="766"/>
      <c r="E16" s="231"/>
      <c r="F16" s="231"/>
      <c r="G16" s="231"/>
      <c r="H16" s="231"/>
      <c r="I16" s="231"/>
      <c r="J16" s="231"/>
      <c r="K16" s="231"/>
      <c r="L16" s="231"/>
      <c r="M16" s="177"/>
      <c r="N16" s="184"/>
      <c r="O16" s="184"/>
      <c r="P16" s="184"/>
      <c r="Q16" s="184"/>
      <c r="R16" s="385"/>
      <c r="S16" s="304"/>
    </row>
    <row r="17" spans="1:19" ht="17.399999999999999">
      <c r="A17" s="303"/>
      <c r="B17" s="151" t="s">
        <v>69</v>
      </c>
      <c r="C17" s="979"/>
      <c r="D17" s="766"/>
      <c r="E17" s="231"/>
      <c r="F17" s="231"/>
      <c r="G17" s="231"/>
      <c r="H17" s="231"/>
      <c r="I17" s="231"/>
      <c r="J17" s="231"/>
      <c r="K17" s="231"/>
      <c r="L17" s="231"/>
      <c r="M17" s="392" t="s">
        <v>253</v>
      </c>
      <c r="N17" s="412" t="s">
        <v>254</v>
      </c>
      <c r="O17" s="412" t="s">
        <v>255</v>
      </c>
      <c r="P17" s="393"/>
      <c r="Q17" s="394"/>
      <c r="R17" s="395"/>
      <c r="S17" s="304"/>
    </row>
    <row r="18" spans="1:19" ht="17.399999999999999">
      <c r="A18" s="303"/>
      <c r="B18" s="768" t="s">
        <v>266</v>
      </c>
      <c r="C18" s="982">
        <v>75</v>
      </c>
      <c r="D18" s="766"/>
      <c r="E18" s="231"/>
      <c r="F18" s="231"/>
      <c r="G18" s="231"/>
      <c r="H18" s="231"/>
      <c r="I18" s="231"/>
      <c r="J18" s="231"/>
      <c r="K18" s="231"/>
      <c r="L18" s="231"/>
      <c r="M18" s="390" t="s">
        <v>134</v>
      </c>
      <c r="N18" s="413">
        <v>5</v>
      </c>
      <c r="O18" s="413">
        <v>0</v>
      </c>
      <c r="P18" s="389"/>
      <c r="Q18" s="184"/>
      <c r="R18" s="385"/>
      <c r="S18" s="304"/>
    </row>
    <row r="19" spans="1:19" ht="17.399999999999999">
      <c r="A19" s="303"/>
      <c r="B19" s="768" t="s">
        <v>267</v>
      </c>
      <c r="C19" s="982">
        <v>100</v>
      </c>
      <c r="D19" s="766"/>
      <c r="E19" s="231"/>
      <c r="F19" s="231"/>
      <c r="G19" s="231"/>
      <c r="H19" s="231"/>
      <c r="I19" s="231"/>
      <c r="J19" s="231"/>
      <c r="K19" s="231"/>
      <c r="L19" s="231"/>
      <c r="M19" s="390" t="s">
        <v>135</v>
      </c>
      <c r="N19" s="413">
        <v>10</v>
      </c>
      <c r="O19" s="413">
        <v>7.2</v>
      </c>
      <c r="P19" s="389"/>
      <c r="Q19" s="184"/>
      <c r="R19" s="385"/>
      <c r="S19" s="304"/>
    </row>
    <row r="20" spans="1:19" ht="17.399999999999999">
      <c r="A20" s="303"/>
      <c r="B20" s="768" t="s">
        <v>268</v>
      </c>
      <c r="C20" s="982">
        <v>150</v>
      </c>
      <c r="D20" s="766"/>
      <c r="E20" s="231"/>
      <c r="F20" s="231"/>
      <c r="G20" s="231"/>
      <c r="H20" s="231"/>
      <c r="I20" s="231"/>
      <c r="J20" s="231"/>
      <c r="K20" s="231"/>
      <c r="L20" s="231"/>
      <c r="M20" s="390" t="s">
        <v>136</v>
      </c>
      <c r="N20" s="413">
        <v>5</v>
      </c>
      <c r="O20" s="413">
        <v>14.4</v>
      </c>
      <c r="P20" s="389"/>
      <c r="Q20" s="184"/>
      <c r="R20" s="385"/>
      <c r="S20" s="304"/>
    </row>
    <row r="21" spans="1:19" ht="17.399999999999999">
      <c r="A21" s="303"/>
      <c r="B21" s="768" t="s">
        <v>278</v>
      </c>
      <c r="C21" s="982">
        <v>75</v>
      </c>
      <c r="D21" s="766"/>
      <c r="E21" s="231"/>
      <c r="F21" s="231"/>
      <c r="G21" s="231"/>
      <c r="H21" s="231"/>
      <c r="I21" s="231"/>
      <c r="J21" s="231"/>
      <c r="K21" s="231"/>
      <c r="L21" s="231"/>
      <c r="M21" s="390" t="s">
        <v>137</v>
      </c>
      <c r="N21" s="413">
        <v>5</v>
      </c>
      <c r="O21" s="413">
        <v>21.6</v>
      </c>
      <c r="P21" s="389"/>
      <c r="Q21" s="184"/>
      <c r="R21" s="385"/>
      <c r="S21" s="304"/>
    </row>
    <row r="22" spans="1:19" ht="18" thickBot="1">
      <c r="A22" s="303"/>
      <c r="B22" s="769" t="s">
        <v>279</v>
      </c>
      <c r="C22" s="983">
        <v>60</v>
      </c>
      <c r="D22" s="383"/>
      <c r="E22" s="231"/>
      <c r="F22" s="231"/>
      <c r="G22" s="231"/>
      <c r="H22" s="231"/>
      <c r="I22" s="231"/>
      <c r="J22" s="231"/>
      <c r="K22" s="231"/>
      <c r="L22" s="231"/>
      <c r="M22" s="390" t="s">
        <v>138</v>
      </c>
      <c r="N22" s="413">
        <v>15</v>
      </c>
      <c r="O22" s="413">
        <v>36</v>
      </c>
      <c r="P22" s="389"/>
      <c r="Q22" s="184"/>
      <c r="R22" s="385"/>
      <c r="S22" s="304"/>
    </row>
    <row r="23" spans="1:19" ht="18" thickBot="1">
      <c r="A23" s="303"/>
      <c r="B23" s="231"/>
      <c r="C23" s="231"/>
      <c r="D23" s="231"/>
      <c r="E23" s="231"/>
      <c r="F23" s="231"/>
      <c r="G23" s="231"/>
      <c r="H23" s="231"/>
      <c r="I23" s="231"/>
      <c r="J23" s="231"/>
      <c r="K23" s="231"/>
      <c r="L23" s="231"/>
      <c r="M23" s="391"/>
      <c r="N23" s="414">
        <f>SUM(N18:N22)</f>
        <v>40</v>
      </c>
      <c r="O23" s="414">
        <f>SUM(O18:O22)</f>
        <v>79.2</v>
      </c>
      <c r="P23" s="415">
        <f>SUMPRODUCT(N18:N22,O18:O22)/N23</f>
        <v>19.8</v>
      </c>
      <c r="Q23" s="387"/>
      <c r="R23" s="388"/>
      <c r="S23" s="304"/>
    </row>
    <row r="24" spans="1:19" ht="15" thickBot="1">
      <c r="A24" s="305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306"/>
    </row>
    <row r="27" spans="1:19">
      <c r="D27" s="838" t="s">
        <v>353</v>
      </c>
      <c r="K27" s="848" t="s">
        <v>360</v>
      </c>
      <c r="L27" s="848"/>
      <c r="M27" s="848"/>
      <c r="N27" s="849" t="s">
        <v>361</v>
      </c>
      <c r="O27" s="848"/>
      <c r="P27" s="848" t="s">
        <v>250</v>
      </c>
    </row>
    <row r="28" spans="1:19">
      <c r="C28" s="1" t="s">
        <v>354</v>
      </c>
      <c r="D28" s="1">
        <v>30.5</v>
      </c>
      <c r="E28" s="1">
        <v>27.5</v>
      </c>
      <c r="F28" s="1">
        <v>23.4</v>
      </c>
      <c r="G28" s="1">
        <v>25</v>
      </c>
      <c r="H28" s="1">
        <v>24</v>
      </c>
      <c r="I28" s="1">
        <v>16.100000000000001</v>
      </c>
      <c r="K28" s="839">
        <f>AVERAGE(D28:I28)</f>
        <v>24.416666666666668</v>
      </c>
      <c r="N28" s="839">
        <f>K28+1.5</f>
        <v>25.916666666666668</v>
      </c>
      <c r="O28" s="838"/>
      <c r="P28" s="840">
        <f>N28/(100-N28)</f>
        <v>0.34983127109111367</v>
      </c>
    </row>
    <row r="29" spans="1:19">
      <c r="C29" s="1" t="s">
        <v>355</v>
      </c>
      <c r="D29" s="1">
        <v>2.9</v>
      </c>
      <c r="E29" s="1">
        <v>5</v>
      </c>
      <c r="F29" s="1">
        <v>6.6</v>
      </c>
      <c r="G29" s="1">
        <v>3.9</v>
      </c>
      <c r="H29" s="1">
        <v>5.9</v>
      </c>
      <c r="I29" s="1">
        <v>4.0999999999999996</v>
      </c>
    </row>
    <row r="30" spans="1:19">
      <c r="C30" s="1" t="s">
        <v>356</v>
      </c>
      <c r="D30" s="1">
        <f>SUM(D28:D29)</f>
        <v>33.4</v>
      </c>
      <c r="E30" s="1">
        <f>SUM(E28:E29)</f>
        <v>32.5</v>
      </c>
      <c r="F30" s="1">
        <f t="shared" ref="F30:I30" si="0">SUM(F28:F29)</f>
        <v>30</v>
      </c>
      <c r="G30" s="1">
        <f t="shared" si="0"/>
        <v>28.9</v>
      </c>
      <c r="H30" s="1">
        <f t="shared" si="0"/>
        <v>29.9</v>
      </c>
      <c r="I30" s="1">
        <f t="shared" si="0"/>
        <v>20.200000000000003</v>
      </c>
      <c r="K30" s="838">
        <f>AVERAGE(D30:I30)</f>
        <v>29.150000000000006</v>
      </c>
      <c r="N30" s="838">
        <f>K30+1.5</f>
        <v>30.650000000000006</v>
      </c>
      <c r="O30" s="838"/>
      <c r="P30" s="840">
        <f>N30/(100-N30)</f>
        <v>0.44196106705118976</v>
      </c>
    </row>
    <row r="34" spans="3:16">
      <c r="C34" s="1" t="s">
        <v>356</v>
      </c>
      <c r="D34" s="836">
        <f>D30/(100-D30)</f>
        <v>0.50150150150150152</v>
      </c>
      <c r="E34" s="836">
        <f t="shared" ref="E34:H34" si="1">E30/(100-E30)</f>
        <v>0.48148148148148145</v>
      </c>
      <c r="F34" s="836">
        <f t="shared" si="1"/>
        <v>0.42857142857142855</v>
      </c>
      <c r="G34" s="836">
        <f t="shared" si="1"/>
        <v>0.40646976090014064</v>
      </c>
      <c r="H34" s="836">
        <f t="shared" si="1"/>
        <v>0.42653352353780316</v>
      </c>
      <c r="I34" s="836">
        <f>I30/(100-I30)</f>
        <v>0.25313283208020054</v>
      </c>
      <c r="J34" s="836"/>
      <c r="K34" s="836">
        <f>AVERAGE(D34:I34)</f>
        <v>0.41628175467875939</v>
      </c>
    </row>
    <row r="35" spans="3:16">
      <c r="C35" s="1" t="s">
        <v>354</v>
      </c>
      <c r="D35" s="836">
        <f t="shared" ref="D35:I35" si="2">D28/(100-D28)</f>
        <v>0.43884892086330934</v>
      </c>
      <c r="E35" s="836">
        <f t="shared" si="2"/>
        <v>0.37931034482758619</v>
      </c>
      <c r="F35" s="836">
        <f t="shared" si="2"/>
        <v>0.30548302872062666</v>
      </c>
      <c r="G35" s="836">
        <f t="shared" si="2"/>
        <v>0.33333333333333331</v>
      </c>
      <c r="H35" s="836">
        <f t="shared" si="2"/>
        <v>0.31578947368421051</v>
      </c>
      <c r="I35" s="836">
        <f t="shared" si="2"/>
        <v>0.19189511323003577</v>
      </c>
      <c r="J35" s="836"/>
      <c r="K35" s="836">
        <f>AVERAGE(D35:I35)</f>
        <v>0.32744336910985034</v>
      </c>
    </row>
    <row r="40" spans="3:16">
      <c r="D40" s="838" t="s">
        <v>357</v>
      </c>
    </row>
    <row r="41" spans="3:16">
      <c r="C41" s="1" t="s">
        <v>354</v>
      </c>
      <c r="E41" s="1">
        <v>30.7</v>
      </c>
      <c r="F41" s="1">
        <v>27.6</v>
      </c>
      <c r="G41" s="1">
        <v>22.9</v>
      </c>
      <c r="H41" s="1">
        <v>23.7</v>
      </c>
      <c r="I41" s="1">
        <v>20.7</v>
      </c>
      <c r="K41" s="838">
        <f>AVERAGE(E41:I41)</f>
        <v>25.119999999999997</v>
      </c>
      <c r="N41" s="839">
        <f>K41+1.5</f>
        <v>26.619999999999997</v>
      </c>
      <c r="O41" s="838"/>
      <c r="P41" s="840">
        <f>N41/(100-N41)</f>
        <v>0.36276914690651402</v>
      </c>
    </row>
    <row r="42" spans="3:16">
      <c r="C42" s="1" t="s">
        <v>355</v>
      </c>
      <c r="E42" s="1">
        <v>1</v>
      </c>
      <c r="F42" s="1">
        <v>1.2</v>
      </c>
      <c r="G42" s="1">
        <v>1.4</v>
      </c>
      <c r="H42" s="1">
        <v>0.8</v>
      </c>
      <c r="I42" s="1">
        <v>1.6</v>
      </c>
    </row>
    <row r="43" spans="3:16">
      <c r="C43" s="1" t="s">
        <v>356</v>
      </c>
      <c r="E43" s="1">
        <f>SUM(E41:E42)</f>
        <v>31.7</v>
      </c>
      <c r="F43" s="1">
        <f>SUM(F41:F42)</f>
        <v>28.8</v>
      </c>
      <c r="G43" s="1">
        <f>SUM(G41:G42)</f>
        <v>24.299999999999997</v>
      </c>
      <c r="H43" s="1">
        <f>SUM(H41:H42)</f>
        <v>24.5</v>
      </c>
      <c r="I43" s="1">
        <f>SUM(I41:I42)</f>
        <v>22.3</v>
      </c>
      <c r="K43" s="838">
        <f>AVERAGE(E43:I43)</f>
        <v>26.32</v>
      </c>
      <c r="N43" s="838">
        <f>K43+1.5</f>
        <v>27.82</v>
      </c>
      <c r="O43" s="838"/>
      <c r="P43" s="840">
        <f>N43/(100-N43)</f>
        <v>0.38542532557495146</v>
      </c>
    </row>
    <row r="47" spans="3:16">
      <c r="C47" s="1" t="s">
        <v>356</v>
      </c>
      <c r="E47" s="836">
        <f t="shared" ref="E47:I47" si="3">E43/(100-E43)</f>
        <v>0.46412884333821375</v>
      </c>
      <c r="F47" s="836">
        <f t="shared" si="3"/>
        <v>0.4044943820224719</v>
      </c>
      <c r="G47" s="836">
        <f t="shared" si="3"/>
        <v>0.32100396301188899</v>
      </c>
      <c r="H47" s="836">
        <f t="shared" si="3"/>
        <v>0.32450331125827814</v>
      </c>
      <c r="I47" s="836">
        <f t="shared" si="3"/>
        <v>0.28700128700128702</v>
      </c>
      <c r="J47" s="836"/>
      <c r="K47" s="836">
        <f>AVERAGE(E47:I47)</f>
        <v>0.36022635732642799</v>
      </c>
    </row>
    <row r="48" spans="3:16">
      <c r="C48" s="1" t="s">
        <v>354</v>
      </c>
      <c r="E48" s="836">
        <f t="shared" ref="E48:I48" si="4">E41/(100-E41)</f>
        <v>0.44300144300144301</v>
      </c>
      <c r="F48" s="836">
        <f t="shared" si="4"/>
        <v>0.38121546961325964</v>
      </c>
      <c r="G48" s="836">
        <f t="shared" si="4"/>
        <v>0.29701686121919585</v>
      </c>
      <c r="H48" s="836">
        <f t="shared" si="4"/>
        <v>0.31061598951507208</v>
      </c>
      <c r="I48" s="836">
        <f t="shared" si="4"/>
        <v>0.2610340479192938</v>
      </c>
      <c r="J48" s="836"/>
      <c r="K48" s="836">
        <f>AVERAGE(E48:I48)</f>
        <v>0.33857676225365285</v>
      </c>
    </row>
    <row r="51" spans="6:6">
      <c r="F51" s="837"/>
    </row>
    <row r="52" spans="6:6">
      <c r="F52" s="837"/>
    </row>
  </sheetData>
  <sheetProtection algorithmName="SHA-512" hashValue="GIUk4KbgazG8URMjV3WsXSWxrbQZRguzIN0gyO8jwHpBgNHxDT2R3Elle1awKxl6FTNABt6ryFqt3hyl2DbWMA==" saltValue="uep4L0y0jfcvDFneNNXyHw==" spinCount="100000" sheet="1" objects="1" scenarios="1"/>
  <mergeCells count="4">
    <mergeCell ref="C2:D2"/>
    <mergeCell ref="E2:F2"/>
    <mergeCell ref="U2:V2"/>
    <mergeCell ref="W2:X2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DCBE5-19A6-41A9-BBFF-448BB2D27C63}">
  <sheetPr>
    <tabColor theme="9" tint="0.79998168889431442"/>
  </sheetPr>
  <dimension ref="A1:DF54"/>
  <sheetViews>
    <sheetView zoomScale="83" zoomScaleNormal="145" workbookViewId="0">
      <selection activeCell="T4" sqref="T4"/>
    </sheetView>
  </sheetViews>
  <sheetFormatPr defaultColWidth="8.77734375" defaultRowHeight="15"/>
  <cols>
    <col min="1" max="1" width="4" style="27" customWidth="1"/>
    <col min="2" max="2" width="18.77734375" style="27" bestFit="1" customWidth="1"/>
    <col min="3" max="3" width="14.6640625" style="27" bestFit="1" customWidth="1"/>
    <col min="4" max="4" width="13" style="27" bestFit="1" customWidth="1"/>
    <col min="5" max="5" width="14.44140625" style="27" bestFit="1" customWidth="1"/>
    <col min="6" max="7" width="13" style="27" bestFit="1" customWidth="1"/>
    <col min="8" max="8" width="14.109375" style="27" bestFit="1" customWidth="1"/>
    <col min="9" max="9" width="12.33203125" style="27" bestFit="1" customWidth="1"/>
    <col min="10" max="12" width="11.77734375" style="27" bestFit="1" customWidth="1"/>
    <col min="13" max="13" width="12.109375" style="27" customWidth="1"/>
    <col min="14" max="15" width="11.77734375" style="27" bestFit="1" customWidth="1"/>
    <col min="16" max="16" width="12.109375" style="27" bestFit="1" customWidth="1"/>
    <col min="17" max="17" width="10.77734375" style="27" bestFit="1" customWidth="1"/>
    <col min="18" max="18" width="9.44140625" style="27" bestFit="1" customWidth="1"/>
    <col min="19" max="19" width="12.109375" style="27" bestFit="1" customWidth="1"/>
    <col min="20" max="20" width="11.77734375" style="27" bestFit="1" customWidth="1"/>
    <col min="21" max="28" width="12.109375" style="27" bestFit="1" customWidth="1"/>
    <col min="29" max="30" width="22.33203125" style="27" bestFit="1" customWidth="1"/>
    <col min="31" max="31" width="22.44140625" style="27" bestFit="1" customWidth="1"/>
    <col min="32" max="32" width="12" style="27" bestFit="1" customWidth="1"/>
    <col min="33" max="33" width="17.109375" style="27" bestFit="1" customWidth="1"/>
    <col min="34" max="35" width="12" style="27" bestFit="1" customWidth="1"/>
    <col min="36" max="36" width="17.77734375" style="27" bestFit="1" customWidth="1"/>
    <col min="37" max="37" width="22.109375" style="27" bestFit="1" customWidth="1"/>
    <col min="38" max="38" width="17.77734375" style="27" bestFit="1" customWidth="1"/>
    <col min="39" max="39" width="14.109375" style="27" bestFit="1" customWidth="1"/>
    <col min="40" max="40" width="15.6640625" style="27" bestFit="1" customWidth="1"/>
    <col min="41" max="41" width="12.109375" style="27" bestFit="1" customWidth="1"/>
    <col min="42" max="42" width="11.77734375" style="27" bestFit="1" customWidth="1"/>
    <col min="43" max="43" width="13.109375" style="27" bestFit="1" customWidth="1"/>
    <col min="44" max="44" width="18.77734375" style="27" bestFit="1" customWidth="1"/>
    <col min="45" max="46" width="12" style="27" bestFit="1" customWidth="1"/>
    <col min="47" max="53" width="10.6640625" style="27" bestFit="1" customWidth="1"/>
    <col min="54" max="58" width="12" style="27" bestFit="1" customWidth="1"/>
    <col min="59" max="59" width="13.109375" style="27" bestFit="1" customWidth="1"/>
    <col min="60" max="60" width="5.44140625" style="1" customWidth="1"/>
    <col min="61" max="84" width="8.77734375" style="27"/>
    <col min="85" max="85" width="12.33203125" style="27" bestFit="1" customWidth="1"/>
    <col min="86" max="97" width="8.77734375" style="27"/>
    <col min="98" max="98" width="12" style="27" bestFit="1" customWidth="1"/>
    <col min="99" max="104" width="8.77734375" style="27"/>
    <col min="105" max="106" width="10.77734375" style="27" bestFit="1" customWidth="1"/>
    <col min="107" max="107" width="13.109375" style="27" bestFit="1" customWidth="1"/>
    <col min="108" max="16384" width="8.77734375" style="27"/>
  </cols>
  <sheetData>
    <row r="1" spans="1:110" ht="15.6" thickBot="1">
      <c r="A1" s="444"/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  <c r="AG1" s="445"/>
      <c r="AH1" s="445"/>
      <c r="AI1" s="445"/>
      <c r="AJ1" s="445"/>
      <c r="AK1" s="445"/>
      <c r="AL1" s="445"/>
      <c r="AM1" s="445"/>
      <c r="AN1" s="445"/>
      <c r="AO1" s="445"/>
      <c r="AP1" s="445"/>
      <c r="AQ1" s="445"/>
      <c r="AR1" s="445"/>
      <c r="AS1" s="445"/>
      <c r="AT1" s="445"/>
      <c r="AU1" s="445"/>
      <c r="AV1" s="445"/>
      <c r="AW1" s="445"/>
      <c r="AX1" s="445"/>
      <c r="AY1" s="445"/>
      <c r="AZ1" s="445"/>
      <c r="BA1" s="445"/>
      <c r="BB1" s="445"/>
      <c r="BC1" s="445"/>
      <c r="BD1" s="445"/>
      <c r="BE1" s="445"/>
      <c r="BF1" s="445"/>
      <c r="BG1" s="445"/>
      <c r="BH1" s="301"/>
      <c r="BI1" s="445"/>
      <c r="BJ1" s="445"/>
      <c r="BK1" s="445"/>
      <c r="BL1" s="445"/>
      <c r="BM1" s="445"/>
      <c r="BN1" s="445"/>
      <c r="BO1" s="445"/>
      <c r="BP1" s="445"/>
      <c r="BQ1" s="445"/>
      <c r="BR1" s="445"/>
      <c r="BS1" s="445"/>
      <c r="BT1" s="445"/>
      <c r="BU1" s="445"/>
      <c r="BV1" s="445"/>
      <c r="BW1" s="445"/>
      <c r="BX1" s="445"/>
      <c r="BY1" s="445"/>
      <c r="BZ1" s="445"/>
      <c r="CA1" s="445"/>
      <c r="CB1" s="445"/>
      <c r="CC1" s="445"/>
      <c r="CD1" s="445"/>
      <c r="CE1" s="445"/>
      <c r="CF1" s="445"/>
      <c r="CG1" s="445"/>
      <c r="CH1" s="445"/>
      <c r="CI1" s="445"/>
      <c r="CJ1" s="445"/>
      <c r="CK1" s="445"/>
      <c r="CL1" s="445"/>
      <c r="CM1" s="445"/>
      <c r="CN1" s="445"/>
      <c r="CO1" s="445"/>
      <c r="CP1" s="445"/>
      <c r="CQ1" s="445"/>
      <c r="CR1" s="445"/>
      <c r="CS1" s="445"/>
      <c r="CT1" s="445"/>
      <c r="CU1" s="445"/>
      <c r="CV1" s="445"/>
      <c r="CW1" s="445"/>
      <c r="CX1" s="445"/>
      <c r="CY1" s="445"/>
      <c r="CZ1" s="445"/>
      <c r="DA1" s="445"/>
      <c r="DB1" s="445"/>
      <c r="DC1" s="445"/>
      <c r="DD1" s="445"/>
      <c r="DE1" s="445"/>
      <c r="DF1" s="446"/>
    </row>
    <row r="2" spans="1:110" ht="15.6" thickBot="1">
      <c r="A2" s="447"/>
      <c r="B2" s="110"/>
      <c r="C2" s="516" t="s">
        <v>18</v>
      </c>
      <c r="D2" s="111" t="s">
        <v>22</v>
      </c>
      <c r="E2" s="111" t="s">
        <v>27</v>
      </c>
      <c r="F2" s="111" t="s">
        <v>32</v>
      </c>
      <c r="G2" s="111" t="s">
        <v>37</v>
      </c>
      <c r="H2" s="111" t="s">
        <v>40</v>
      </c>
      <c r="I2" s="111" t="s">
        <v>98</v>
      </c>
      <c r="J2" s="112" t="s">
        <v>99</v>
      </c>
      <c r="K2" s="442"/>
      <c r="L2" s="1063" t="s">
        <v>386</v>
      </c>
      <c r="M2" s="1064"/>
      <c r="N2" s="1064"/>
      <c r="O2" s="1064"/>
      <c r="P2" s="1065"/>
      <c r="Q2" s="442"/>
      <c r="R2" s="940"/>
      <c r="S2" s="948">
        <v>2024</v>
      </c>
      <c r="T2" s="949">
        <v>2025</v>
      </c>
      <c r="U2" s="442"/>
      <c r="V2" s="442"/>
      <c r="W2" s="442"/>
      <c r="X2" s="442"/>
      <c r="Y2" s="442"/>
      <c r="Z2" s="442"/>
      <c r="AA2" s="442"/>
      <c r="AB2" s="442"/>
      <c r="AC2" s="442"/>
      <c r="AD2" s="442"/>
      <c r="AE2" s="442"/>
      <c r="AF2" s="442"/>
      <c r="AG2" s="442"/>
      <c r="AH2" s="442"/>
      <c r="AI2" s="442"/>
      <c r="AJ2" s="442"/>
      <c r="AK2" s="442"/>
      <c r="AL2" s="442"/>
      <c r="AM2" s="442"/>
      <c r="AN2" s="442"/>
      <c r="AO2" s="442"/>
      <c r="AP2" s="442"/>
      <c r="AQ2" s="442"/>
      <c r="AR2" s="442"/>
      <c r="AS2" s="442"/>
      <c r="AT2" s="442"/>
      <c r="AU2" s="442"/>
      <c r="AV2" s="442"/>
      <c r="AW2" s="442"/>
      <c r="AX2" s="442"/>
      <c r="AY2" s="442"/>
      <c r="AZ2" s="442"/>
      <c r="BA2" s="442"/>
      <c r="BB2" s="231"/>
      <c r="BC2" s="442"/>
      <c r="BD2" s="442"/>
      <c r="BE2" s="442"/>
      <c r="BF2" s="442"/>
      <c r="BG2" s="442"/>
      <c r="BH2" s="442"/>
      <c r="BI2" s="442"/>
      <c r="BJ2" s="442"/>
      <c r="BK2" s="442"/>
      <c r="BL2" s="442"/>
      <c r="BM2" s="442"/>
      <c r="BN2" s="442"/>
      <c r="BO2" s="442"/>
      <c r="BP2" s="442"/>
      <c r="BQ2" s="442"/>
      <c r="BR2" s="442"/>
      <c r="BS2" s="442"/>
      <c r="BT2" s="442"/>
      <c r="BU2" s="442"/>
      <c r="BV2" s="442"/>
      <c r="BW2" s="442"/>
      <c r="BX2" s="442"/>
      <c r="BY2" s="442"/>
      <c r="BZ2" s="442"/>
      <c r="CA2" s="442"/>
      <c r="CB2" s="442"/>
      <c r="CC2" s="442"/>
      <c r="CD2" s="442"/>
      <c r="CE2" s="442"/>
      <c r="CF2" s="442"/>
      <c r="CG2" s="442"/>
      <c r="CH2" s="442"/>
      <c r="CI2" s="442"/>
      <c r="CJ2" s="442"/>
      <c r="CK2" s="442"/>
      <c r="CL2" s="442"/>
      <c r="CM2" s="442"/>
      <c r="CN2" s="442"/>
      <c r="CO2" s="442"/>
      <c r="CP2" s="442"/>
      <c r="CQ2" s="442"/>
      <c r="CR2" s="442"/>
      <c r="CS2" s="442"/>
      <c r="CT2" s="442"/>
      <c r="CU2" s="442"/>
      <c r="CV2" s="442"/>
      <c r="CW2" s="442"/>
      <c r="CX2" s="442"/>
      <c r="CY2" s="442"/>
      <c r="CZ2" s="442"/>
      <c r="DA2" s="442"/>
      <c r="DB2" s="442"/>
      <c r="DC2" s="442"/>
      <c r="DD2" s="442"/>
      <c r="DE2" s="442"/>
      <c r="DF2" s="448"/>
    </row>
    <row r="3" spans="1:110">
      <c r="A3" s="447"/>
      <c r="B3" s="22" t="s">
        <v>11</v>
      </c>
      <c r="C3" s="517">
        <f>AVERAGE($D$13:$D$14)</f>
        <v>3045.7022999999999</v>
      </c>
      <c r="D3" s="449">
        <f>SUMPRODUCT($D$15:$D$16,$T$15:$T$16)</f>
        <v>3371.7857000000004</v>
      </c>
      <c r="E3" s="449">
        <f>SUMPRODUCT($D$17:$D$18,$T$17:$T$18)</f>
        <v>4010.4090999999999</v>
      </c>
      <c r="F3" s="449">
        <f>SUMPRODUCT($D$19:$D$20,$T$19:$T$20)</f>
        <v>4732.4806800000006</v>
      </c>
      <c r="G3" s="449">
        <f>SUMPRODUCT($D$21:$D$22,$T$21:$T$22)</f>
        <v>5482.4724999999999</v>
      </c>
      <c r="H3" s="449">
        <f>SUMPRODUCT($D$23:$D$24,$T$23:$T$24)</f>
        <v>6277.8868000000002</v>
      </c>
      <c r="I3" s="449">
        <f>SUMPRODUCT($D$25:$D$26,$T$25:$T$26)</f>
        <v>7377.5066999999999</v>
      </c>
      <c r="J3" s="23">
        <f>SUMPRODUCT($D$27:$D$28,$T$27:$T$28)</f>
        <v>9138.6696000000011</v>
      </c>
      <c r="K3" s="442"/>
      <c r="L3" s="1066"/>
      <c r="M3" s="1067"/>
      <c r="N3" s="1067"/>
      <c r="O3" s="1067"/>
      <c r="P3" s="1068"/>
      <c r="Q3" s="463"/>
      <c r="R3" s="941"/>
      <c r="S3" s="1" t="s">
        <v>389</v>
      </c>
      <c r="T3" s="942"/>
      <c r="U3" s="442"/>
      <c r="V3" s="442"/>
      <c r="W3" s="442"/>
      <c r="X3" s="442"/>
      <c r="Y3" s="442"/>
      <c r="Z3" s="442"/>
      <c r="AA3" s="442"/>
      <c r="AB3" s="442"/>
      <c r="AC3" s="442"/>
      <c r="AD3" s="442"/>
      <c r="AE3" s="442"/>
      <c r="AF3" s="442"/>
      <c r="AG3" s="442"/>
      <c r="AH3" s="442"/>
      <c r="AI3" s="442"/>
      <c r="AJ3" s="442"/>
      <c r="AK3" s="442"/>
      <c r="AL3" s="442"/>
      <c r="AM3" s="442"/>
      <c r="AN3" s="442"/>
      <c r="AO3" s="442"/>
      <c r="AP3" s="442"/>
      <c r="AQ3" s="442"/>
      <c r="AR3" s="442"/>
      <c r="AS3" s="442"/>
      <c r="AT3" s="442"/>
      <c r="AU3" s="442"/>
      <c r="AV3" s="442"/>
      <c r="AW3" s="442"/>
      <c r="AX3" s="442"/>
      <c r="AY3" s="442"/>
      <c r="AZ3" s="442"/>
      <c r="BA3" s="442"/>
      <c r="BB3" s="231"/>
      <c r="BC3" s="442"/>
      <c r="BD3" s="442"/>
      <c r="BE3" s="442"/>
      <c r="BF3" s="442"/>
      <c r="BG3" s="442"/>
      <c r="BH3" s="442"/>
      <c r="BI3" s="442"/>
      <c r="BJ3" s="442"/>
      <c r="BK3" s="442"/>
      <c r="BL3" s="442"/>
      <c r="BM3" s="442"/>
      <c r="BN3" s="442"/>
      <c r="BO3" s="442"/>
      <c r="BP3" s="442"/>
      <c r="BQ3" s="442"/>
      <c r="BR3" s="442"/>
      <c r="BS3" s="442"/>
      <c r="BT3" s="442"/>
      <c r="BU3" s="442"/>
      <c r="BV3" s="442"/>
      <c r="BW3" s="442"/>
      <c r="BX3" s="442"/>
      <c r="BY3" s="442"/>
      <c r="BZ3" s="442"/>
      <c r="CA3" s="442"/>
      <c r="CB3" s="442"/>
      <c r="CC3" s="442"/>
      <c r="CD3" s="442"/>
      <c r="CE3" s="442"/>
      <c r="CF3" s="442"/>
      <c r="CG3" s="442"/>
      <c r="CH3" s="442"/>
      <c r="CI3" s="442"/>
      <c r="CJ3" s="442"/>
      <c r="CK3" s="442"/>
      <c r="CL3" s="442"/>
      <c r="CM3" s="442"/>
      <c r="CN3" s="442"/>
      <c r="CO3" s="442"/>
      <c r="CP3" s="442"/>
      <c r="CQ3" s="442"/>
      <c r="CR3" s="442"/>
      <c r="CS3" s="442"/>
      <c r="CT3" s="442"/>
      <c r="CU3" s="442"/>
      <c r="CV3" s="442"/>
      <c r="CW3" s="442"/>
      <c r="CX3" s="442"/>
      <c r="CY3" s="442"/>
      <c r="CZ3" s="442"/>
      <c r="DA3" s="442"/>
      <c r="DB3" s="442"/>
      <c r="DC3" s="442"/>
      <c r="DD3" s="442"/>
      <c r="DE3" s="442"/>
      <c r="DF3" s="448"/>
    </row>
    <row r="4" spans="1:110">
      <c r="A4" s="447"/>
      <c r="B4" s="9" t="s">
        <v>12</v>
      </c>
      <c r="C4" s="517">
        <f>AVERAGE(G13:G14)</f>
        <v>3075.9144999999999</v>
      </c>
      <c r="D4" s="450">
        <f>SUMPRODUCT($G$15:$G$16,$V$15:$V$16)</f>
        <v>3447.3162000000002</v>
      </c>
      <c r="E4" s="450">
        <f>SUMPRODUCT($G$17:$G$18,$V$17:$V$18)</f>
        <v>4008.3254999999999</v>
      </c>
      <c r="F4" s="450">
        <f>SUMPRODUCT($G$19:$G$20,$V$19:$V$20)</f>
        <v>4718.5205600000008</v>
      </c>
      <c r="G4" s="450">
        <f>SUMPRODUCT($G$21:$G$22,$V$21:$V$22)</f>
        <v>5463.7201000000005</v>
      </c>
      <c r="H4" s="450">
        <f>SUMPRODUCT($G$23:$G$24,$V$23:$V$24)</f>
        <v>6335.1858000000002</v>
      </c>
      <c r="I4" s="450">
        <f>SUMPRODUCT($G$25:$G$26,$V$25:$V$26)</f>
        <v>7561.3844000000008</v>
      </c>
      <c r="J4" s="8">
        <f>SUMPRODUCT($G$27:$G$28,$V$27:$V$28)</f>
        <v>9577.7883000000002</v>
      </c>
      <c r="K4" s="442"/>
      <c r="L4" s="1069">
        <v>4.1799999999999997E-2</v>
      </c>
      <c r="M4" s="1070"/>
      <c r="N4" s="1070"/>
      <c r="O4" s="1070"/>
      <c r="P4" s="1071"/>
      <c r="Q4" s="442"/>
      <c r="R4" s="950" t="s">
        <v>225</v>
      </c>
      <c r="S4" s="939">
        <v>2397.66</v>
      </c>
      <c r="T4" s="943">
        <f>S4*(1+L4)</f>
        <v>2497.882188</v>
      </c>
      <c r="U4" s="442"/>
      <c r="V4" s="442"/>
      <c r="W4" s="442"/>
      <c r="X4" s="442"/>
      <c r="Y4" s="442"/>
      <c r="Z4" s="442"/>
      <c r="AA4" s="442"/>
      <c r="AB4" s="442"/>
      <c r="AC4" s="442"/>
      <c r="AD4" s="442"/>
      <c r="AE4" s="442"/>
      <c r="AF4" s="442"/>
      <c r="AG4" s="442"/>
      <c r="AH4" s="442"/>
      <c r="AI4" s="442"/>
      <c r="AJ4" s="442"/>
      <c r="AK4" s="442"/>
      <c r="AL4" s="442"/>
      <c r="AM4" s="442"/>
      <c r="AN4" s="442"/>
      <c r="AO4" s="442"/>
      <c r="AP4" s="442"/>
      <c r="AQ4" s="442"/>
      <c r="AR4" s="442"/>
      <c r="AS4" s="442"/>
      <c r="AT4" s="442"/>
      <c r="AU4" s="442"/>
      <c r="AV4" s="442"/>
      <c r="AW4" s="442"/>
      <c r="AX4" s="442"/>
      <c r="AY4" s="442"/>
      <c r="AZ4" s="442"/>
      <c r="BA4" s="442"/>
      <c r="BB4" s="231"/>
      <c r="BC4" s="442"/>
      <c r="BD4" s="442"/>
      <c r="BE4" s="442"/>
      <c r="BF4" s="442"/>
      <c r="BG4" s="442"/>
      <c r="BH4" s="442"/>
      <c r="BI4" s="442"/>
      <c r="BJ4" s="442"/>
      <c r="BK4" s="442"/>
      <c r="BL4" s="442"/>
      <c r="BM4" s="442"/>
      <c r="BN4" s="442"/>
      <c r="BO4" s="442"/>
      <c r="BP4" s="442"/>
      <c r="BQ4" s="442"/>
      <c r="BR4" s="442"/>
      <c r="BS4" s="442"/>
      <c r="BT4" s="442"/>
      <c r="BU4" s="442"/>
      <c r="BV4" s="442"/>
      <c r="BW4" s="442"/>
      <c r="BX4" s="442"/>
      <c r="BY4" s="442"/>
      <c r="BZ4" s="442"/>
      <c r="CA4" s="442"/>
      <c r="CB4" s="442"/>
      <c r="CC4" s="442"/>
      <c r="CD4" s="442"/>
      <c r="CE4" s="442"/>
      <c r="CF4" s="442"/>
      <c r="CG4" s="442"/>
      <c r="CH4" s="442"/>
      <c r="CI4" s="442"/>
      <c r="CJ4" s="442"/>
      <c r="CK4" s="442"/>
      <c r="CL4" s="442"/>
      <c r="CM4" s="442"/>
      <c r="CN4" s="442"/>
      <c r="CO4" s="442"/>
      <c r="CP4" s="442"/>
      <c r="CQ4" s="442"/>
      <c r="CR4" s="442"/>
      <c r="CS4" s="442"/>
      <c r="CT4" s="442"/>
      <c r="CU4" s="442"/>
      <c r="CV4" s="442"/>
      <c r="CW4" s="442"/>
      <c r="CX4" s="442"/>
      <c r="CY4" s="442"/>
      <c r="CZ4" s="442"/>
      <c r="DA4" s="442"/>
      <c r="DB4" s="442"/>
      <c r="DC4" s="442"/>
      <c r="DD4" s="442"/>
      <c r="DE4" s="442"/>
      <c r="DF4" s="448"/>
    </row>
    <row r="5" spans="1:110">
      <c r="A5" s="447"/>
      <c r="B5" s="24" t="s">
        <v>13</v>
      </c>
      <c r="C5" s="517">
        <f>AVERAGE(J14)</f>
        <v>3214.9948000000004</v>
      </c>
      <c r="D5" s="451">
        <f>SUMPRODUCT($J$15:$J$16,$X$15:$X$16)</f>
        <v>3631.7148000000002</v>
      </c>
      <c r="E5" s="451">
        <f>SUMPRODUCT($J$17:$J$18,$X$17:$X$18)</f>
        <v>4316.1774000000005</v>
      </c>
      <c r="F5" s="451">
        <f>SUMPRODUCT($J$19:$J$20,$X$19:$X$20)</f>
        <v>5025.2264800000003</v>
      </c>
      <c r="G5" s="451">
        <f>SUMPRODUCT($J$21:$J$22,$X$21:$X$22)</f>
        <v>5679.8936000000003</v>
      </c>
      <c r="H5" s="451">
        <f>SUMPRODUCT($J$23:$J$24,$X$23:$X$24)</f>
        <v>6263.3016000000007</v>
      </c>
      <c r="I5" s="451">
        <f>SUMPRODUCT($J$25:$J$26,$X$25:$X$26)</f>
        <v>6949.8478000000005</v>
      </c>
      <c r="J5" s="25">
        <f>SUMPRODUCT($J$27:$J$28,$X$27:$X$28)</f>
        <v>0</v>
      </c>
      <c r="K5" s="442"/>
      <c r="L5" s="1069"/>
      <c r="M5" s="1070"/>
      <c r="N5" s="1070"/>
      <c r="O5" s="1070"/>
      <c r="P5" s="1071"/>
      <c r="Q5" s="442"/>
      <c r="R5" s="950" t="s">
        <v>46</v>
      </c>
      <c r="S5" s="939">
        <v>2535.6799999999998</v>
      </c>
      <c r="T5" s="943">
        <f>S5*(1+L4)</f>
        <v>2641.6714240000001</v>
      </c>
      <c r="U5" s="442"/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/>
      <c r="AL5" s="442"/>
      <c r="AM5" s="442"/>
      <c r="AN5" s="442"/>
      <c r="AO5" s="442"/>
      <c r="AP5" s="442"/>
      <c r="AQ5" s="442"/>
      <c r="AR5" s="442"/>
      <c r="AS5" s="442"/>
      <c r="AT5" s="442"/>
      <c r="AU5" s="442"/>
      <c r="AV5" s="442"/>
      <c r="AW5" s="442"/>
      <c r="AX5" s="442"/>
      <c r="AY5" s="442"/>
      <c r="AZ5" s="442"/>
      <c r="BA5" s="442"/>
      <c r="BB5" s="231"/>
      <c r="BC5" s="442"/>
      <c r="BD5" s="442"/>
      <c r="BE5" s="442"/>
      <c r="BF5" s="442"/>
      <c r="BG5" s="442"/>
      <c r="BH5" s="442"/>
      <c r="BI5" s="442"/>
      <c r="BJ5" s="442"/>
      <c r="BK5" s="442"/>
      <c r="BL5" s="442"/>
      <c r="BM5" s="442"/>
      <c r="BN5" s="442"/>
      <c r="BO5" s="442"/>
      <c r="BP5" s="442"/>
      <c r="BQ5" s="442"/>
      <c r="BR5" s="442"/>
      <c r="BS5" s="442"/>
      <c r="BT5" s="442"/>
      <c r="BU5" s="442"/>
      <c r="BV5" s="442"/>
      <c r="BW5" s="442"/>
      <c r="BX5" s="442"/>
      <c r="BY5" s="442"/>
      <c r="BZ5" s="442"/>
      <c r="CA5" s="442"/>
      <c r="CB5" s="442"/>
      <c r="CC5" s="442"/>
      <c r="CD5" s="442"/>
      <c r="CE5" s="442"/>
      <c r="CF5" s="442"/>
      <c r="CG5" s="442"/>
      <c r="CH5" s="442"/>
      <c r="CI5" s="442"/>
      <c r="CJ5" s="442"/>
      <c r="CK5" s="442"/>
      <c r="CL5" s="442"/>
      <c r="CM5" s="442"/>
      <c r="CN5" s="442"/>
      <c r="CO5" s="442"/>
      <c r="CP5" s="442"/>
      <c r="CQ5" s="442"/>
      <c r="CR5" s="442"/>
      <c r="CS5" s="442"/>
      <c r="CT5" s="442"/>
      <c r="CU5" s="442"/>
      <c r="CV5" s="442"/>
      <c r="CW5" s="442"/>
      <c r="CX5" s="442"/>
      <c r="CY5" s="442"/>
      <c r="CZ5" s="442"/>
      <c r="DA5" s="442"/>
      <c r="DB5" s="442"/>
      <c r="DC5" s="442"/>
      <c r="DD5" s="442"/>
      <c r="DE5" s="442"/>
      <c r="DF5" s="448"/>
    </row>
    <row r="6" spans="1:110">
      <c r="A6" s="447"/>
      <c r="B6" s="20" t="s">
        <v>10</v>
      </c>
      <c r="C6" s="517">
        <f>AVERAGE(M13:M14)</f>
        <v>3047.7233920000003</v>
      </c>
      <c r="D6" s="452">
        <f>SUMPRODUCT($M$15:$M$16,$Z$15:$Z$16)</f>
        <v>3347.7617920000002</v>
      </c>
      <c r="E6" s="452">
        <f>SUMPRODUCT($M$17:$M$18,$Z$17:$Z$18)</f>
        <v>3924.7835580000001</v>
      </c>
      <c r="F6" s="452">
        <f>SUMPRODUCT($M$19:$M$20,$Z$19:$Z$20)</f>
        <v>4781.8599164000007</v>
      </c>
      <c r="G6" s="452">
        <f>SUMPRODUCT($M$21:$M$22,$Z$21:$Z$22)</f>
        <v>5606.0143530000005</v>
      </c>
      <c r="H6" s="452">
        <f>SUMPRODUCT($M$23:$M$24,$Z$23:$Z$24)</f>
        <v>6501.5560510000005</v>
      </c>
      <c r="I6" s="452">
        <f>0</f>
        <v>0</v>
      </c>
      <c r="J6" s="21">
        <f>SUMPRODUCT($M$27:$M$28,$Z$27:$Z$28)</f>
        <v>0</v>
      </c>
      <c r="K6" s="442"/>
      <c r="L6" s="1069"/>
      <c r="M6" s="1070"/>
      <c r="N6" s="1070"/>
      <c r="O6" s="1070"/>
      <c r="P6" s="1071"/>
      <c r="Q6" s="442"/>
      <c r="R6" s="944"/>
      <c r="T6" s="942"/>
      <c r="U6" s="442"/>
      <c r="V6" s="442"/>
      <c r="W6" s="442"/>
      <c r="X6" s="442"/>
      <c r="Y6" s="442"/>
      <c r="Z6" s="442"/>
      <c r="AA6" s="442"/>
      <c r="AB6" s="442"/>
      <c r="AC6" s="442"/>
      <c r="AD6" s="442"/>
      <c r="AE6" s="442"/>
      <c r="AF6" s="442"/>
      <c r="AG6" s="442"/>
      <c r="AH6" s="442"/>
      <c r="AI6" s="442"/>
      <c r="AJ6" s="442"/>
      <c r="AK6" s="442"/>
      <c r="AL6" s="442"/>
      <c r="AM6" s="442"/>
      <c r="AN6" s="442"/>
      <c r="AO6" s="442"/>
      <c r="AP6" s="442"/>
      <c r="AQ6" s="442"/>
      <c r="AR6" s="442"/>
      <c r="AS6" s="442"/>
      <c r="AT6" s="442"/>
      <c r="AU6" s="442"/>
      <c r="AV6" s="442"/>
      <c r="AW6" s="442"/>
      <c r="AX6" s="442"/>
      <c r="AY6" s="442"/>
      <c r="AZ6" s="442"/>
      <c r="BA6" s="442"/>
      <c r="BB6" s="231"/>
      <c r="BC6" s="442"/>
      <c r="BD6" s="442"/>
      <c r="BE6" s="442"/>
      <c r="BF6" s="442"/>
      <c r="BG6" s="442"/>
      <c r="BH6" s="442"/>
      <c r="BI6" s="442"/>
      <c r="BJ6" s="442"/>
      <c r="BK6" s="442"/>
      <c r="BL6" s="442"/>
      <c r="BM6" s="442"/>
      <c r="BN6" s="442"/>
      <c r="BO6" s="442"/>
      <c r="BP6" s="442"/>
      <c r="BQ6" s="442"/>
      <c r="BR6" s="442"/>
      <c r="BS6" s="442"/>
      <c r="BT6" s="442"/>
      <c r="BU6" s="442"/>
      <c r="BV6" s="442"/>
      <c r="BW6" s="442"/>
      <c r="BX6" s="442"/>
      <c r="BY6" s="442"/>
      <c r="BZ6" s="442"/>
      <c r="CA6" s="442"/>
      <c r="CB6" s="442"/>
      <c r="CC6" s="442"/>
      <c r="CD6" s="442"/>
      <c r="CE6" s="442"/>
      <c r="CF6" s="442"/>
      <c r="CG6" s="442"/>
      <c r="CH6" s="442"/>
      <c r="CI6" s="442"/>
      <c r="CJ6" s="442"/>
      <c r="CK6" s="442"/>
      <c r="CL6" s="442"/>
      <c r="CM6" s="442"/>
      <c r="CN6" s="442"/>
      <c r="CO6" s="442"/>
      <c r="CP6" s="442"/>
      <c r="CQ6" s="442"/>
      <c r="CR6" s="442"/>
      <c r="CS6" s="442"/>
      <c r="CT6" s="442"/>
      <c r="CU6" s="442"/>
      <c r="CV6" s="442"/>
      <c r="CW6" s="442"/>
      <c r="CX6" s="442"/>
      <c r="CY6" s="442"/>
      <c r="CZ6" s="442"/>
      <c r="DA6" s="442"/>
      <c r="DB6" s="442"/>
      <c r="DC6" s="442"/>
      <c r="DD6" s="442"/>
      <c r="DE6" s="442"/>
      <c r="DF6" s="448"/>
    </row>
    <row r="7" spans="1:110" ht="15.6" thickBot="1">
      <c r="A7" s="447"/>
      <c r="B7" s="84" t="s">
        <v>94</v>
      </c>
      <c r="C7" s="518">
        <f>AVERAGE(P14)</f>
        <v>3023.3107311210001</v>
      </c>
      <c r="D7" s="85">
        <f>SUMPRODUCT($P$15:$P$16,$AB$15:$AB$16)</f>
        <v>3353.2254548010001</v>
      </c>
      <c r="E7" s="85">
        <f>SUMPRODUCT($P$17:$P$18,$AB$17:$AB$18)</f>
        <v>4050.2500531560008</v>
      </c>
      <c r="F7" s="85">
        <f>SUMPRODUCT($P$19:$P$20,$AB$19:$AB$20)</f>
        <v>4478.4830099592009</v>
      </c>
      <c r="G7" s="85">
        <f>SUMPRODUCT($P$21:$P$22,$AB$21:$AB$22)</f>
        <v>5155.9838564688007</v>
      </c>
      <c r="H7" s="85">
        <f>SUMPRODUCT($P$23:$P$24,$AB$23:$AB$24)</f>
        <v>6213.5473760244004</v>
      </c>
      <c r="I7" s="85">
        <f>SUMPRODUCT($P$25:$P$26,$AB$25:$AB$26)</f>
        <v>6924.1308315660008</v>
      </c>
      <c r="J7" s="86">
        <f>SUMPRODUCT($P$27:$P$28,$AB$27:$AB$28)</f>
        <v>0</v>
      </c>
      <c r="K7" s="442"/>
      <c r="L7" s="1072"/>
      <c r="M7" s="1073"/>
      <c r="N7" s="1073"/>
      <c r="O7" s="1073"/>
      <c r="P7" s="1074"/>
      <c r="Q7" s="442"/>
      <c r="R7" s="945"/>
      <c r="S7" s="946"/>
      <c r="T7" s="947"/>
      <c r="U7" s="442"/>
      <c r="V7" s="442"/>
      <c r="W7" s="442"/>
      <c r="X7" s="442"/>
      <c r="Y7" s="442"/>
      <c r="Z7" s="442"/>
      <c r="AA7" s="442"/>
      <c r="AB7" s="442"/>
      <c r="AC7" s="442"/>
      <c r="AD7" s="442"/>
      <c r="AE7" s="442"/>
      <c r="AF7" s="442"/>
      <c r="AG7" s="442"/>
      <c r="AH7" s="442"/>
      <c r="AI7" s="442"/>
      <c r="AJ7" s="442"/>
      <c r="AK7" s="442"/>
      <c r="AL7" s="442"/>
      <c r="AM7" s="442"/>
      <c r="AN7" s="442"/>
      <c r="AO7" s="442"/>
      <c r="AP7" s="442"/>
      <c r="AQ7" s="442"/>
      <c r="AR7" s="442"/>
      <c r="AS7" s="442"/>
      <c r="AT7" s="231"/>
      <c r="AU7" s="442"/>
      <c r="AV7" s="442"/>
      <c r="AW7" s="442"/>
      <c r="AX7" s="442"/>
      <c r="AY7" s="442"/>
      <c r="AZ7" s="442"/>
      <c r="BA7" s="442"/>
      <c r="BB7" s="442"/>
      <c r="BC7" s="442"/>
      <c r="BD7" s="442"/>
      <c r="BE7" s="442"/>
      <c r="BF7" s="442"/>
      <c r="BG7" s="442"/>
      <c r="BH7" s="442"/>
      <c r="BI7" s="442"/>
      <c r="BJ7" s="442"/>
      <c r="BK7" s="442"/>
      <c r="BL7" s="442"/>
      <c r="BM7" s="442"/>
      <c r="BN7" s="442"/>
      <c r="BO7" s="442"/>
      <c r="BP7" s="442"/>
      <c r="BQ7" s="442"/>
      <c r="BR7" s="442"/>
      <c r="BS7" s="442"/>
      <c r="BT7" s="442"/>
      <c r="BU7" s="442"/>
      <c r="BV7" s="442"/>
      <c r="BW7" s="442"/>
      <c r="BX7" s="442"/>
      <c r="BY7" s="442"/>
      <c r="BZ7" s="442"/>
      <c r="CA7" s="442"/>
      <c r="CB7" s="442"/>
      <c r="CC7" s="442"/>
      <c r="CD7" s="442"/>
      <c r="CE7" s="442"/>
      <c r="CF7" s="442"/>
      <c r="CG7" s="442"/>
      <c r="CH7" s="442"/>
      <c r="CI7" s="442"/>
      <c r="CJ7" s="442"/>
      <c r="CK7" s="442"/>
      <c r="CL7" s="442"/>
      <c r="CM7" s="442"/>
      <c r="CN7" s="442"/>
      <c r="CO7" s="442"/>
      <c r="CP7" s="442"/>
      <c r="CQ7" s="442"/>
      <c r="CR7" s="442"/>
      <c r="CS7" s="442"/>
      <c r="CT7" s="442"/>
      <c r="CU7" s="442"/>
      <c r="CV7" s="442"/>
      <c r="CW7" s="442"/>
      <c r="CX7" s="442"/>
      <c r="CY7" s="442"/>
      <c r="CZ7" s="442"/>
      <c r="DA7" s="442"/>
      <c r="DB7" s="442"/>
      <c r="DC7" s="442"/>
      <c r="DD7" s="442"/>
      <c r="DE7" s="442"/>
      <c r="DF7" s="448"/>
    </row>
    <row r="8" spans="1:110" ht="15.6" thickBot="1">
      <c r="A8" s="447"/>
      <c r="B8" s="442"/>
      <c r="C8" s="442"/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442"/>
      <c r="O8" s="442"/>
      <c r="P8" s="442"/>
      <c r="Q8" s="442"/>
      <c r="R8" s="442"/>
      <c r="S8" s="442"/>
      <c r="T8" s="442"/>
      <c r="U8" s="442"/>
      <c r="V8" s="442"/>
      <c r="W8" s="442"/>
      <c r="X8" s="442"/>
      <c r="Y8" s="442"/>
      <c r="Z8" s="442"/>
      <c r="AA8" s="442"/>
      <c r="AB8" s="442"/>
      <c r="AC8" s="442"/>
      <c r="AD8" s="442"/>
      <c r="AE8" s="442"/>
      <c r="AF8" s="442"/>
      <c r="AG8" s="442"/>
      <c r="AH8" s="442"/>
      <c r="AI8" s="442"/>
      <c r="AJ8" s="442"/>
      <c r="AK8" s="442"/>
      <c r="AL8" s="442"/>
      <c r="AM8" s="442"/>
      <c r="AN8" s="442"/>
      <c r="AO8" s="442"/>
      <c r="AP8" s="442"/>
      <c r="AQ8" s="442"/>
      <c r="AR8" s="442"/>
      <c r="AS8" s="442"/>
      <c r="AT8" s="442"/>
      <c r="AU8" s="442"/>
      <c r="AV8" s="442"/>
      <c r="AW8" s="442"/>
      <c r="AX8" s="442"/>
      <c r="AY8" s="442"/>
      <c r="AZ8" s="231"/>
      <c r="BA8" s="442"/>
      <c r="BB8" s="442"/>
      <c r="BC8" s="442"/>
      <c r="BD8" s="442"/>
      <c r="BE8" s="442"/>
      <c r="BF8" s="442"/>
      <c r="BG8" s="442"/>
      <c r="BH8" s="442"/>
      <c r="BI8" s="442"/>
      <c r="BJ8" s="442"/>
      <c r="BK8" s="442"/>
      <c r="BL8" s="442"/>
      <c r="BM8" s="442"/>
      <c r="BN8" s="442"/>
      <c r="BO8" s="442"/>
      <c r="BP8" s="442"/>
      <c r="BQ8" s="442"/>
      <c r="BR8" s="442"/>
      <c r="BS8" s="442"/>
      <c r="BT8" s="442"/>
      <c r="BU8" s="442"/>
      <c r="BV8" s="442"/>
      <c r="BW8" s="442"/>
      <c r="BX8" s="442"/>
      <c r="BY8" s="442"/>
      <c r="BZ8" s="442"/>
      <c r="CA8" s="442"/>
      <c r="CB8" s="442"/>
      <c r="CC8" s="442"/>
      <c r="CD8" s="442"/>
      <c r="CE8" s="442"/>
      <c r="CF8" s="442"/>
      <c r="CG8" s="442"/>
      <c r="CH8" s="442"/>
      <c r="CI8" s="442"/>
      <c r="CJ8" s="442"/>
      <c r="CK8" s="442"/>
      <c r="CL8" s="442"/>
      <c r="CM8" s="442"/>
      <c r="CN8" s="442"/>
      <c r="CO8" s="442"/>
      <c r="CP8" s="442"/>
      <c r="CQ8" s="442"/>
      <c r="CR8" s="442"/>
      <c r="CS8" s="442"/>
      <c r="CT8" s="442"/>
      <c r="CU8" s="442"/>
      <c r="CV8" s="442"/>
      <c r="CW8" s="442"/>
      <c r="CX8" s="442"/>
      <c r="CY8" s="442"/>
      <c r="CZ8" s="442"/>
      <c r="DA8" s="442"/>
      <c r="DB8" s="442"/>
      <c r="DC8" s="442"/>
      <c r="DD8" s="442"/>
      <c r="DE8" s="442"/>
      <c r="DF8" s="448"/>
    </row>
    <row r="9" spans="1:110">
      <c r="A9" s="447"/>
      <c r="B9" s="69"/>
      <c r="C9" s="13" t="s">
        <v>11</v>
      </c>
      <c r="D9" s="14"/>
      <c r="E9" s="6"/>
      <c r="F9" s="4" t="s">
        <v>12</v>
      </c>
      <c r="G9" s="7"/>
      <c r="H9" s="15"/>
      <c r="I9" s="5" t="s">
        <v>13</v>
      </c>
      <c r="J9" s="16"/>
      <c r="K9" s="11"/>
      <c r="L9" s="3" t="s">
        <v>10</v>
      </c>
      <c r="M9" s="12"/>
      <c r="N9" s="17"/>
      <c r="O9" s="18" t="s">
        <v>14</v>
      </c>
      <c r="P9" s="19"/>
      <c r="Q9" s="442"/>
      <c r="R9" s="442"/>
      <c r="S9" s="442"/>
      <c r="T9" s="442"/>
      <c r="U9" s="442"/>
      <c r="V9" s="442"/>
      <c r="W9" s="442"/>
      <c r="X9" s="442"/>
      <c r="Y9" s="442"/>
      <c r="Z9" s="442"/>
      <c r="AA9" s="442"/>
      <c r="AB9" s="442"/>
      <c r="AC9" s="442"/>
      <c r="AD9" s="442"/>
      <c r="AE9" s="442"/>
      <c r="AF9" s="442"/>
      <c r="AG9" s="442"/>
      <c r="AH9" s="442"/>
      <c r="AI9" s="442"/>
      <c r="AJ9" s="442"/>
      <c r="AK9" s="442"/>
      <c r="AL9" s="442"/>
      <c r="AM9" s="442"/>
      <c r="AN9" s="442"/>
      <c r="AO9" s="442"/>
      <c r="AP9" s="442"/>
      <c r="AQ9" s="442"/>
      <c r="AR9" s="442"/>
      <c r="AS9" s="442"/>
      <c r="AT9" s="442"/>
      <c r="AU9" s="442"/>
      <c r="AV9" s="442"/>
      <c r="AW9" s="442"/>
      <c r="AX9" s="442"/>
      <c r="AY9" s="442"/>
      <c r="AZ9" s="231"/>
      <c r="BA9" s="442"/>
      <c r="BB9" s="442"/>
      <c r="BC9" s="442"/>
      <c r="BD9" s="442"/>
      <c r="BE9" s="442"/>
      <c r="BF9" s="442"/>
      <c r="BG9" s="442"/>
      <c r="BH9" s="442"/>
      <c r="BI9" s="442"/>
      <c r="BJ9" s="442"/>
      <c r="BK9" s="442"/>
      <c r="BL9" s="442"/>
      <c r="BM9" s="442"/>
      <c r="BN9" s="442"/>
      <c r="BO9" s="442"/>
      <c r="BP9" s="442"/>
      <c r="BQ9" s="442"/>
      <c r="BR9" s="442"/>
      <c r="BS9" s="442"/>
      <c r="BT9" s="442"/>
      <c r="BU9" s="442"/>
      <c r="BV9" s="442"/>
      <c r="BW9" s="442"/>
      <c r="BX9" s="442"/>
      <c r="BY9" s="442"/>
      <c r="BZ9" s="442"/>
      <c r="CA9" s="442"/>
      <c r="CB9" s="442"/>
      <c r="CC9" s="442"/>
      <c r="CD9" s="442"/>
      <c r="CE9" s="442"/>
      <c r="CF9" s="442"/>
      <c r="CG9" s="442"/>
      <c r="CH9" s="442"/>
      <c r="CI9" s="442"/>
      <c r="CJ9" s="442"/>
      <c r="CK9" s="442"/>
      <c r="CL9" s="442"/>
      <c r="CM9" s="442"/>
      <c r="CN9" s="442"/>
      <c r="CO9" s="442"/>
      <c r="CP9" s="442"/>
      <c r="CQ9" s="442"/>
      <c r="CR9" s="442"/>
      <c r="CS9" s="442"/>
      <c r="CT9" s="442"/>
      <c r="CU9" s="442"/>
      <c r="CV9" s="442"/>
      <c r="CW9" s="442"/>
      <c r="CX9" s="442"/>
      <c r="CY9" s="442"/>
      <c r="CZ9" s="442"/>
      <c r="DA9" s="442"/>
      <c r="DB9" s="442"/>
      <c r="DC9" s="442"/>
      <c r="DD9" s="442"/>
      <c r="DE9" s="442"/>
      <c r="DF9" s="448"/>
    </row>
    <row r="10" spans="1:110">
      <c r="A10" s="447"/>
      <c r="B10" s="1078" t="s">
        <v>119</v>
      </c>
      <c r="C10" s="1079"/>
      <c r="D10" s="1080"/>
      <c r="E10" s="1075" t="s">
        <v>16</v>
      </c>
      <c r="F10" s="1076"/>
      <c r="G10" s="1077"/>
      <c r="H10" s="1075" t="s">
        <v>16</v>
      </c>
      <c r="I10" s="1076"/>
      <c r="J10" s="1077"/>
      <c r="K10" s="1081" t="s">
        <v>15</v>
      </c>
      <c r="L10" s="1082"/>
      <c r="M10" s="1083"/>
      <c r="N10" s="1075" t="s">
        <v>119</v>
      </c>
      <c r="O10" s="1076"/>
      <c r="P10" s="1077"/>
      <c r="Q10" s="442"/>
      <c r="R10" s="442"/>
      <c r="S10" s="442"/>
      <c r="T10" s="442"/>
      <c r="U10" s="442"/>
      <c r="V10" s="442"/>
      <c r="W10" s="442"/>
      <c r="X10" s="442"/>
      <c r="Y10" s="442"/>
      <c r="Z10" s="442"/>
      <c r="AA10" s="442"/>
      <c r="AB10" s="442"/>
      <c r="AC10" s="442"/>
      <c r="AD10" s="442"/>
      <c r="AE10" s="442"/>
      <c r="AF10" s="442"/>
      <c r="AG10" s="442"/>
      <c r="AH10" s="442"/>
      <c r="AI10" s="442"/>
      <c r="AJ10" s="442"/>
      <c r="AK10" s="442"/>
      <c r="AL10" s="442"/>
      <c r="AM10" s="442"/>
      <c r="AN10" s="442"/>
      <c r="AO10" s="442"/>
      <c r="AP10" s="442"/>
      <c r="AQ10" s="442"/>
      <c r="AR10" s="442"/>
      <c r="AS10" s="442"/>
      <c r="AT10" s="442"/>
      <c r="AU10" s="442"/>
      <c r="AV10" s="442"/>
      <c r="AW10" s="442"/>
      <c r="AX10" s="442"/>
      <c r="AY10" s="442"/>
      <c r="AZ10" s="231"/>
      <c r="BA10" s="442"/>
      <c r="BB10" s="442"/>
      <c r="BC10" s="442"/>
      <c r="BD10" s="442"/>
      <c r="BE10" s="442"/>
      <c r="BF10" s="442"/>
      <c r="BG10" s="442"/>
      <c r="BH10" s="442"/>
      <c r="BI10" s="442"/>
      <c r="BJ10" s="442"/>
      <c r="BK10" s="442"/>
      <c r="BL10" s="442"/>
      <c r="BM10" s="442"/>
      <c r="BN10" s="442"/>
      <c r="BO10" s="442"/>
      <c r="BP10" s="442"/>
      <c r="BQ10" s="442"/>
      <c r="BR10" s="442"/>
      <c r="BS10" s="442"/>
      <c r="BT10" s="442"/>
      <c r="BU10" s="442"/>
      <c r="BV10" s="442"/>
      <c r="BW10" s="442"/>
      <c r="BX10" s="442"/>
      <c r="BY10" s="442"/>
      <c r="BZ10" s="442"/>
      <c r="CA10" s="442"/>
      <c r="CB10" s="442"/>
      <c r="CC10" s="442"/>
      <c r="CD10" s="442"/>
      <c r="CE10" s="442"/>
      <c r="CF10" s="442"/>
      <c r="CG10" s="442"/>
      <c r="CH10" s="442"/>
      <c r="CI10" s="442"/>
      <c r="CJ10" s="442"/>
      <c r="CK10" s="442"/>
      <c r="CL10" s="442"/>
      <c r="CM10" s="442"/>
      <c r="CN10" s="442"/>
      <c r="CO10" s="442"/>
      <c r="CP10" s="442"/>
      <c r="CQ10" s="442"/>
      <c r="CR10" s="442"/>
      <c r="CS10" s="442"/>
      <c r="CT10" s="442"/>
      <c r="CU10" s="442"/>
      <c r="CV10" s="442"/>
      <c r="CW10" s="442"/>
      <c r="CX10" s="442"/>
      <c r="CY10" s="442"/>
      <c r="CZ10" s="442"/>
      <c r="DA10" s="442"/>
      <c r="DB10" s="442"/>
      <c r="DC10" s="442"/>
      <c r="DD10" s="442"/>
      <c r="DE10" s="442"/>
      <c r="DF10" s="448"/>
    </row>
    <row r="11" spans="1:110">
      <c r="A11" s="447"/>
      <c r="B11" s="61"/>
      <c r="D11" s="39"/>
      <c r="G11" s="39"/>
      <c r="J11" s="39"/>
      <c r="K11" s="59"/>
      <c r="L11" s="60" t="s">
        <v>44</v>
      </c>
      <c r="M11" s="10">
        <f>'Salaris cao'!M11 * (1+Salarissen!$L$4)</f>
        <v>2767.3333400000001</v>
      </c>
      <c r="P11" s="39"/>
      <c r="Q11" s="442"/>
      <c r="R11" s="442">
        <f>4883*(1+L4)</f>
        <v>5087.1094000000003</v>
      </c>
      <c r="S11" s="442"/>
      <c r="T11" s="442"/>
      <c r="U11" s="442"/>
      <c r="V11" s="442"/>
      <c r="W11" s="442"/>
      <c r="X11" s="442"/>
      <c r="Y11" s="442"/>
      <c r="Z11" s="442"/>
      <c r="AA11" s="442"/>
      <c r="AB11" s="442"/>
      <c r="AC11" s="442"/>
      <c r="AD11" s="442"/>
      <c r="AE11" s="442"/>
      <c r="AF11" s="442"/>
      <c r="AG11" s="442"/>
      <c r="AH11" s="442"/>
      <c r="AI11" s="442"/>
      <c r="AJ11" s="442"/>
      <c r="AK11" s="442"/>
      <c r="AL11" s="442"/>
      <c r="AM11" s="442"/>
      <c r="AN11" s="442"/>
      <c r="AO11" s="442"/>
      <c r="AP11" s="442"/>
      <c r="AQ11" s="442"/>
      <c r="AR11" s="442"/>
      <c r="AS11" s="442"/>
      <c r="AT11" s="442"/>
      <c r="AU11" s="442"/>
      <c r="AV11" s="442"/>
      <c r="AW11" s="442"/>
      <c r="AX11" s="442"/>
      <c r="AY11" s="442"/>
      <c r="AZ11" s="231"/>
      <c r="BA11" s="442"/>
      <c r="BB11" s="442"/>
      <c r="BC11" s="442"/>
      <c r="BD11" s="442"/>
      <c r="BE11" s="442"/>
      <c r="BF11" s="442"/>
      <c r="BG11" s="442"/>
      <c r="BH11" s="442"/>
      <c r="BI11" s="442"/>
      <c r="BJ11" s="442"/>
      <c r="BK11" s="442"/>
      <c r="BL11" s="442"/>
      <c r="BM11" s="442"/>
      <c r="BN11" s="442"/>
      <c r="BO11" s="442"/>
      <c r="BP11" s="442"/>
      <c r="BQ11" s="442"/>
      <c r="BR11" s="442"/>
      <c r="BS11" s="442"/>
      <c r="BT11" s="442"/>
      <c r="BU11" s="442"/>
      <c r="BV11" s="442"/>
      <c r="BW11" s="442"/>
      <c r="BX11" s="442"/>
      <c r="BY11" s="442"/>
      <c r="BZ11" s="442"/>
      <c r="CA11" s="442"/>
      <c r="CB11" s="442"/>
      <c r="CC11" s="442"/>
      <c r="CD11" s="442"/>
      <c r="CE11" s="442"/>
      <c r="CF11" s="442"/>
      <c r="CG11" s="442"/>
      <c r="CH11" s="442"/>
      <c r="CI11" s="442"/>
      <c r="CJ11" s="442"/>
      <c r="CK11" s="442"/>
      <c r="CL11" s="442"/>
      <c r="CM11" s="442"/>
      <c r="CN11" s="442"/>
      <c r="CO11" s="442"/>
      <c r="CP11" s="442"/>
      <c r="CQ11" s="442"/>
      <c r="CR11" s="442"/>
      <c r="CS11" s="442"/>
      <c r="CT11" s="442"/>
      <c r="CU11" s="442"/>
      <c r="CV11" s="442"/>
      <c r="CW11" s="442"/>
      <c r="CX11" s="442"/>
      <c r="CY11" s="442"/>
      <c r="CZ11" s="442"/>
      <c r="DA11" s="442"/>
      <c r="DB11" s="442"/>
      <c r="DC11" s="442"/>
      <c r="DD11" s="442"/>
      <c r="DE11" s="442"/>
      <c r="DF11" s="448"/>
    </row>
    <row r="12" spans="1:110">
      <c r="A12" s="447"/>
      <c r="B12" s="62"/>
      <c r="C12" s="63"/>
      <c r="D12" s="64"/>
      <c r="E12" s="62"/>
      <c r="F12" s="63"/>
      <c r="G12" s="64"/>
      <c r="H12" s="63"/>
      <c r="I12" s="63"/>
      <c r="J12" s="64"/>
      <c r="K12" s="59"/>
      <c r="L12" s="60" t="s">
        <v>17</v>
      </c>
      <c r="M12" s="49">
        <f>'Salaris cao'!M12 * (1+Salarissen!$L$4)</f>
        <v>2803.6400700000004</v>
      </c>
      <c r="N12" s="63"/>
      <c r="O12" s="63"/>
      <c r="P12" s="64"/>
      <c r="Q12" s="442"/>
      <c r="R12" s="442"/>
      <c r="S12" s="442"/>
      <c r="T12" s="442"/>
      <c r="U12" s="442"/>
      <c r="V12" s="442"/>
      <c r="W12" s="442"/>
      <c r="X12" s="442"/>
      <c r="Y12" s="442"/>
      <c r="Z12" s="442"/>
      <c r="AA12" s="442"/>
      <c r="AB12" s="442"/>
      <c r="AC12" s="442"/>
      <c r="AD12" s="442"/>
      <c r="AE12" s="442"/>
      <c r="AF12" s="442"/>
      <c r="AG12" s="442"/>
      <c r="AH12" s="442"/>
      <c r="AI12" s="442"/>
      <c r="AJ12" s="442"/>
      <c r="AK12" s="442"/>
      <c r="AL12" s="442"/>
      <c r="AM12" s="442"/>
      <c r="AN12" s="442"/>
      <c r="AO12" s="442"/>
      <c r="AP12" s="442"/>
      <c r="AQ12" s="442"/>
      <c r="AR12" s="442"/>
      <c r="AS12" s="442"/>
      <c r="AT12" s="442"/>
      <c r="AU12" s="442"/>
      <c r="AV12" s="442"/>
      <c r="AW12" s="442"/>
      <c r="AX12" s="442"/>
      <c r="AY12" s="442"/>
      <c r="AZ12" s="231"/>
      <c r="BA12" s="442"/>
      <c r="BB12" s="442"/>
      <c r="BC12" s="442"/>
      <c r="BD12" s="442"/>
      <c r="BE12" s="442"/>
      <c r="BF12" s="442"/>
      <c r="BG12" s="442"/>
      <c r="BH12" s="442"/>
      <c r="BI12" s="442"/>
      <c r="BJ12" s="442"/>
      <c r="BK12" s="442"/>
      <c r="BL12" s="442"/>
      <c r="BM12" s="442"/>
      <c r="BN12" s="442"/>
      <c r="BO12" s="442"/>
      <c r="BP12" s="442"/>
      <c r="BQ12" s="442"/>
      <c r="BR12" s="442"/>
      <c r="BS12" s="442"/>
      <c r="BT12" s="442"/>
      <c r="BU12" s="442"/>
      <c r="BV12" s="442"/>
      <c r="BW12" s="442"/>
      <c r="BX12" s="442"/>
      <c r="BY12" s="442"/>
      <c r="BZ12" s="442"/>
      <c r="CA12" s="442"/>
      <c r="CB12" s="442"/>
      <c r="CC12" s="442"/>
      <c r="CD12" s="442"/>
      <c r="CE12" s="442"/>
      <c r="CF12" s="442"/>
      <c r="CG12" s="442"/>
      <c r="CH12" s="442"/>
      <c r="CI12" s="442"/>
      <c r="CJ12" s="442"/>
      <c r="CK12" s="442"/>
      <c r="CL12" s="442"/>
      <c r="CM12" s="442"/>
      <c r="CN12" s="442"/>
      <c r="CO12" s="442"/>
      <c r="CP12" s="442"/>
      <c r="CQ12" s="442"/>
      <c r="CR12" s="442"/>
      <c r="CS12" s="442"/>
      <c r="CT12" s="442"/>
      <c r="CU12" s="442"/>
      <c r="CV12" s="442"/>
      <c r="CW12" s="442"/>
      <c r="CX12" s="442"/>
      <c r="CY12" s="442"/>
      <c r="CZ12" s="442"/>
      <c r="DA12" s="442"/>
      <c r="DB12" s="442"/>
      <c r="DC12" s="442"/>
      <c r="DD12" s="442"/>
      <c r="DE12" s="442"/>
      <c r="DF12" s="448"/>
    </row>
    <row r="13" spans="1:110" ht="15.6" thickBot="1">
      <c r="A13" s="447"/>
      <c r="B13" s="61" t="s">
        <v>18</v>
      </c>
      <c r="C13" s="60" t="s">
        <v>19</v>
      </c>
      <c r="D13" s="56">
        <f>'Salaris cao'!D13 * (1+Salarissen!$L$4)</f>
        <v>2976.4226000000003</v>
      </c>
      <c r="E13" s="27" t="s">
        <v>18</v>
      </c>
      <c r="F13" s="60" t="s">
        <v>19</v>
      </c>
      <c r="G13" s="55">
        <f>'Salaris cao'!G13 * (1+Salarissen!$L$4)</f>
        <v>2997.2586000000001</v>
      </c>
      <c r="H13" s="27" t="s">
        <v>18</v>
      </c>
      <c r="I13" s="60"/>
      <c r="J13" s="65"/>
      <c r="K13" s="61" t="s">
        <v>18</v>
      </c>
      <c r="L13" s="60" t="s">
        <v>19</v>
      </c>
      <c r="M13" s="49">
        <f>'Salaris cao'!M13 * (1+Salarissen!$L$4)</f>
        <v>2966.0254360000004</v>
      </c>
      <c r="N13" s="27" t="s">
        <v>18</v>
      </c>
      <c r="O13" s="60"/>
      <c r="P13" s="65"/>
      <c r="Q13" s="442"/>
      <c r="R13" s="442"/>
      <c r="S13" s="442"/>
      <c r="T13" s="442"/>
      <c r="U13" s="442"/>
      <c r="V13" s="442"/>
      <c r="W13" s="442"/>
      <c r="X13" s="442"/>
      <c r="Y13" s="442"/>
      <c r="Z13" s="442"/>
      <c r="AA13" s="442"/>
      <c r="AB13" s="442"/>
      <c r="AC13" s="442"/>
      <c r="AD13" s="442"/>
      <c r="AE13" s="442"/>
      <c r="AF13" s="442"/>
      <c r="AG13" s="442"/>
      <c r="AH13" s="442"/>
      <c r="AI13" s="442"/>
      <c r="AJ13" s="442"/>
      <c r="AK13" s="442"/>
      <c r="AL13" s="442"/>
      <c r="AM13" s="442"/>
      <c r="AN13" s="442"/>
      <c r="AO13" s="442"/>
      <c r="AP13" s="442"/>
      <c r="AQ13" s="442"/>
      <c r="AR13" s="442"/>
      <c r="AS13" s="442"/>
      <c r="AT13" s="442"/>
      <c r="AU13" s="442"/>
      <c r="AV13" s="442"/>
      <c r="AW13" s="442"/>
      <c r="AX13" s="442"/>
      <c r="AY13" s="442"/>
      <c r="AZ13" s="231"/>
      <c r="BA13" s="442"/>
      <c r="BB13" s="442"/>
      <c r="BC13" s="442"/>
      <c r="BD13" s="442"/>
      <c r="BE13" s="442"/>
      <c r="BF13" s="442"/>
      <c r="BG13" s="442"/>
      <c r="BH13" s="442"/>
      <c r="BI13" s="442"/>
      <c r="BJ13" s="442"/>
      <c r="BK13" s="442"/>
      <c r="BL13" s="442"/>
      <c r="BM13" s="442"/>
      <c r="BN13" s="442"/>
      <c r="BO13" s="442"/>
      <c r="BP13" s="442"/>
      <c r="BQ13" s="442"/>
      <c r="BR13" s="442"/>
      <c r="BS13" s="442"/>
      <c r="BT13" s="442"/>
      <c r="BU13" s="442"/>
      <c r="BV13" s="442"/>
      <c r="BW13" s="442"/>
      <c r="BX13" s="442"/>
      <c r="BY13" s="442"/>
      <c r="BZ13" s="442"/>
      <c r="CA13" s="442"/>
      <c r="CB13" s="442"/>
      <c r="CC13" s="442"/>
      <c r="CD13" s="442"/>
      <c r="CE13" s="442"/>
      <c r="CF13" s="442"/>
      <c r="CG13" s="442"/>
      <c r="CH13" s="442"/>
      <c r="CI13" s="442"/>
      <c r="CJ13" s="442"/>
      <c r="CK13" s="442"/>
      <c r="CL13" s="442"/>
      <c r="CM13" s="442"/>
      <c r="CN13" s="442"/>
      <c r="CO13" s="442"/>
      <c r="CP13" s="442"/>
      <c r="CQ13" s="442"/>
      <c r="CR13" s="442"/>
      <c r="CS13" s="442"/>
      <c r="CT13" s="442"/>
      <c r="CU13" s="442"/>
      <c r="CV13" s="442"/>
      <c r="CW13" s="442"/>
      <c r="CX13" s="442"/>
      <c r="CY13" s="442"/>
      <c r="CZ13" s="442"/>
      <c r="DA13" s="442"/>
      <c r="DB13" s="442"/>
      <c r="DC13" s="442"/>
      <c r="DD13" s="442"/>
      <c r="DE13" s="442"/>
      <c r="DF13" s="448"/>
    </row>
    <row r="14" spans="1:110" ht="15.6" thickBot="1">
      <c r="A14" s="447"/>
      <c r="B14" s="62"/>
      <c r="C14" s="63" t="s">
        <v>21</v>
      </c>
      <c r="D14" s="51">
        <f>'Salaris cao'!D14 * (1+Salarissen!$L$4)</f>
        <v>3114.982</v>
      </c>
      <c r="E14" s="63"/>
      <c r="F14" s="63" t="s">
        <v>21</v>
      </c>
      <c r="G14" s="52">
        <f>'Salaris cao'!G14 * (1+Salarissen!$L$4)</f>
        <v>3154.5704000000001</v>
      </c>
      <c r="H14" s="63"/>
      <c r="I14" s="63" t="s">
        <v>20</v>
      </c>
      <c r="J14" s="53">
        <f>'Salaris cao'!J14 * (1+Salarissen!$L$4)</f>
        <v>3214.9948000000004</v>
      </c>
      <c r="K14" s="62"/>
      <c r="L14" s="63" t="s">
        <v>21</v>
      </c>
      <c r="M14" s="50">
        <f>'Salaris cao'!M14 * (1+Salarissen!$L$4)</f>
        <v>3129.4213480000003</v>
      </c>
      <c r="N14" s="63"/>
      <c r="O14" s="63" t="s">
        <v>20</v>
      </c>
      <c r="P14" s="54">
        <f>'Salaris cao'!P14 * (1+Salarissen!$L$4)</f>
        <v>3023.3107311210001</v>
      </c>
      <c r="Q14" s="442"/>
      <c r="R14" s="442"/>
      <c r="S14" s="515"/>
      <c r="T14" s="494" t="s">
        <v>11</v>
      </c>
      <c r="U14" s="497"/>
      <c r="V14" s="91" t="s">
        <v>12</v>
      </c>
      <c r="W14" s="500"/>
      <c r="X14" s="92" t="s">
        <v>13</v>
      </c>
      <c r="Y14" s="11"/>
      <c r="Z14" s="93" t="s">
        <v>10</v>
      </c>
      <c r="AA14" s="502"/>
      <c r="AB14" s="90" t="s">
        <v>14</v>
      </c>
      <c r="AC14" s="442"/>
      <c r="AD14" s="442"/>
      <c r="AE14" s="442"/>
      <c r="AF14" s="442"/>
      <c r="AG14" s="442"/>
      <c r="AH14" s="442"/>
      <c r="AI14" s="442"/>
      <c r="AJ14" s="442"/>
      <c r="AK14" s="442"/>
      <c r="AL14" s="442"/>
      <c r="AM14" s="442"/>
      <c r="AN14" s="442"/>
      <c r="AO14" s="442"/>
      <c r="AP14" s="442"/>
      <c r="AQ14" s="442"/>
      <c r="AR14" s="442"/>
      <c r="AS14" s="442"/>
      <c r="AT14" s="442"/>
      <c r="AU14" s="442"/>
      <c r="AV14" s="442"/>
      <c r="AW14" s="442"/>
      <c r="AX14" s="442"/>
      <c r="AY14" s="442"/>
      <c r="AZ14" s="231"/>
      <c r="BA14" s="442"/>
      <c r="BB14" s="442"/>
      <c r="BC14" s="442"/>
      <c r="BD14" s="442"/>
      <c r="BE14" s="442"/>
      <c r="BF14" s="442"/>
      <c r="BG14" s="442"/>
      <c r="BH14" s="442"/>
      <c r="BI14" s="442"/>
      <c r="BJ14" s="442"/>
      <c r="BK14" s="442"/>
      <c r="BL14" s="442"/>
      <c r="BM14" s="442"/>
      <c r="BN14" s="442"/>
      <c r="BO14" s="442"/>
      <c r="BP14" s="442"/>
      <c r="BQ14" s="442"/>
      <c r="BR14" s="442"/>
      <c r="BS14" s="442"/>
      <c r="BT14" s="442"/>
      <c r="BU14" s="442"/>
      <c r="BV14" s="442"/>
      <c r="BW14" s="442"/>
      <c r="BX14" s="442"/>
      <c r="BY14" s="442"/>
      <c r="BZ14" s="442"/>
      <c r="CA14" s="442"/>
      <c r="CB14" s="442"/>
      <c r="CC14" s="442"/>
      <c r="CD14" s="442"/>
      <c r="CE14" s="442"/>
      <c r="CF14" s="442"/>
      <c r="CG14" s="442"/>
      <c r="CH14" s="442"/>
      <c r="CI14" s="442"/>
      <c r="CJ14" s="442"/>
      <c r="CK14" s="442"/>
      <c r="CL14" s="442"/>
      <c r="CM14" s="442"/>
      <c r="CN14" s="442"/>
      <c r="CO14" s="442"/>
      <c r="CP14" s="442"/>
      <c r="CQ14" s="442"/>
      <c r="CR14" s="442"/>
      <c r="CS14" s="442"/>
      <c r="CT14" s="442"/>
      <c r="CU14" s="442"/>
      <c r="CV14" s="442"/>
      <c r="CW14" s="442"/>
      <c r="CX14" s="442"/>
      <c r="CY14" s="442"/>
      <c r="CZ14" s="442"/>
      <c r="DA14" s="442"/>
      <c r="DB14" s="442"/>
      <c r="DC14" s="442"/>
      <c r="DD14" s="442"/>
      <c r="DE14" s="442"/>
      <c r="DF14" s="448"/>
    </row>
    <row r="15" spans="1:110">
      <c r="A15" s="447"/>
      <c r="B15" s="61" t="s">
        <v>22</v>
      </c>
      <c r="C15" s="60" t="s">
        <v>24</v>
      </c>
      <c r="D15" s="56">
        <f>'Salaris cao'!D15 * (1+Salarissen!$L$4)</f>
        <v>3257.7086000000004</v>
      </c>
      <c r="E15" s="27" t="s">
        <v>22</v>
      </c>
      <c r="F15" s="60" t="s">
        <v>24</v>
      </c>
      <c r="G15" s="55">
        <f>'Salaris cao'!G15 * (1+Salarissen!$L$4)</f>
        <v>3324.3838000000001</v>
      </c>
      <c r="H15" s="27" t="s">
        <v>22</v>
      </c>
      <c r="I15" s="60" t="s">
        <v>23</v>
      </c>
      <c r="J15" s="57">
        <f>'Salaris cao'!J15 * (1+Salarissen!$L$4)</f>
        <v>3521.2840000000001</v>
      </c>
      <c r="K15" s="61" t="s">
        <v>22</v>
      </c>
      <c r="L15" s="60" t="s">
        <v>24</v>
      </c>
      <c r="M15" s="49">
        <f>'Salaris cao'!M15 * (1+Salarissen!$L$4)</f>
        <v>3218.0576920000003</v>
      </c>
      <c r="N15" s="27" t="s">
        <v>22</v>
      </c>
      <c r="O15" s="60" t="s">
        <v>23</v>
      </c>
      <c r="P15" s="58">
        <f>'Salaris cao'!P15 * (1+Salarissen!$L$4)</f>
        <v>3234.0528745380002</v>
      </c>
      <c r="Q15" s="442"/>
      <c r="R15" s="504" t="s">
        <v>22</v>
      </c>
      <c r="S15" s="505" t="s">
        <v>24</v>
      </c>
      <c r="T15" s="508">
        <v>0.5</v>
      </c>
      <c r="U15" s="505" t="s">
        <v>24</v>
      </c>
      <c r="V15" s="509">
        <v>0.5</v>
      </c>
      <c r="W15" s="505" t="s">
        <v>23</v>
      </c>
      <c r="X15" s="511">
        <v>0.5</v>
      </c>
      <c r="Y15" s="505" t="s">
        <v>24</v>
      </c>
      <c r="Z15" s="510">
        <v>0.5</v>
      </c>
      <c r="AA15" s="505" t="s">
        <v>23</v>
      </c>
      <c r="AB15" s="512">
        <v>0.5</v>
      </c>
      <c r="AC15" s="442"/>
      <c r="AD15" s="442"/>
      <c r="AE15" s="442"/>
      <c r="AF15" s="442"/>
      <c r="AG15" s="442"/>
      <c r="AH15" s="442"/>
      <c r="AI15" s="442"/>
      <c r="AJ15" s="442"/>
      <c r="AK15" s="442"/>
      <c r="AL15" s="442"/>
      <c r="AM15" s="442"/>
      <c r="AN15" s="442"/>
      <c r="AO15" s="442"/>
      <c r="AP15" s="442"/>
      <c r="AQ15" s="442"/>
      <c r="AR15" s="442"/>
      <c r="AS15" s="442"/>
      <c r="AT15" s="442"/>
      <c r="AU15" s="442"/>
      <c r="AV15" s="442"/>
      <c r="AW15" s="442"/>
      <c r="AX15" s="442"/>
      <c r="AY15" s="442"/>
      <c r="AZ15" s="231"/>
      <c r="BA15" s="442"/>
      <c r="BB15" s="442"/>
      <c r="BC15" s="442"/>
      <c r="BD15" s="442"/>
      <c r="BE15" s="442"/>
      <c r="BF15" s="442"/>
      <c r="BG15" s="442"/>
      <c r="BH15" s="442"/>
      <c r="BI15" s="442"/>
      <c r="BJ15" s="442"/>
      <c r="BK15" s="442"/>
      <c r="BL15" s="442"/>
      <c r="BM15" s="442"/>
      <c r="BN15" s="442"/>
      <c r="BO15" s="442"/>
      <c r="BP15" s="442"/>
      <c r="BQ15" s="442"/>
      <c r="BR15" s="442"/>
      <c r="BS15" s="442"/>
      <c r="BT15" s="442"/>
      <c r="BU15" s="442"/>
      <c r="BV15" s="442"/>
      <c r="BW15" s="442"/>
      <c r="BX15" s="442"/>
      <c r="BY15" s="442"/>
      <c r="BZ15" s="442"/>
      <c r="CA15" s="442"/>
      <c r="CB15" s="442"/>
      <c r="CC15" s="442"/>
      <c r="CD15" s="442"/>
      <c r="CE15" s="442"/>
      <c r="CF15" s="442"/>
      <c r="CG15" s="442"/>
      <c r="CH15" s="442"/>
      <c r="CI15" s="442"/>
      <c r="CJ15" s="442"/>
      <c r="CK15" s="442"/>
      <c r="CL15" s="442"/>
      <c r="CM15" s="442"/>
      <c r="CN15" s="442"/>
      <c r="CO15" s="442"/>
      <c r="CP15" s="442"/>
      <c r="CQ15" s="442"/>
      <c r="CR15" s="442"/>
      <c r="CS15" s="442"/>
      <c r="CT15" s="442"/>
      <c r="CU15" s="442"/>
      <c r="CV15" s="442"/>
      <c r="CW15" s="442"/>
      <c r="CX15" s="442"/>
      <c r="CY15" s="442"/>
      <c r="CZ15" s="442"/>
      <c r="DA15" s="442"/>
      <c r="DB15" s="442"/>
      <c r="DC15" s="442"/>
      <c r="DD15" s="442"/>
      <c r="DE15" s="442"/>
      <c r="DF15" s="448"/>
    </row>
    <row r="16" spans="1:110" ht="15.6" thickBot="1">
      <c r="A16" s="447"/>
      <c r="B16" s="62"/>
      <c r="C16" s="63" t="s">
        <v>26</v>
      </c>
      <c r="D16" s="51">
        <f>'Salaris cao'!D16 * (1+Salarissen!$L$4)</f>
        <v>3485.8628000000003</v>
      </c>
      <c r="E16" s="63"/>
      <c r="F16" s="63" t="s">
        <v>26</v>
      </c>
      <c r="G16" s="52">
        <f>'Salaris cao'!G16 * (1+Salarissen!$L$4)</f>
        <v>3570.2486000000004</v>
      </c>
      <c r="H16" s="63"/>
      <c r="I16" s="63" t="s">
        <v>25</v>
      </c>
      <c r="J16" s="53">
        <f>'Salaris cao'!J16 * (1+Salarissen!$L$4)</f>
        <v>3742.1456000000003</v>
      </c>
      <c r="K16" s="62"/>
      <c r="L16" s="63" t="s">
        <v>26</v>
      </c>
      <c r="M16" s="50">
        <f>'Salaris cao'!M16 * (1+Salarissen!$L$4)</f>
        <v>3477.4658920000002</v>
      </c>
      <c r="N16" s="63"/>
      <c r="O16" s="63" t="s">
        <v>25</v>
      </c>
      <c r="P16" s="54">
        <f>'Salaris cao'!P16 * (1+Salarissen!$L$4)</f>
        <v>3472.3980350639999</v>
      </c>
      <c r="Q16" s="442"/>
      <c r="R16" s="495"/>
      <c r="S16" s="495" t="s">
        <v>26</v>
      </c>
      <c r="T16" s="496">
        <v>0.5</v>
      </c>
      <c r="U16" s="495" t="s">
        <v>26</v>
      </c>
      <c r="V16" s="498">
        <v>0.5</v>
      </c>
      <c r="W16" s="495" t="s">
        <v>25</v>
      </c>
      <c r="X16" s="506">
        <v>0.5</v>
      </c>
      <c r="Y16" s="495" t="s">
        <v>26</v>
      </c>
      <c r="Z16" s="499">
        <v>0.5</v>
      </c>
      <c r="AA16" s="495" t="s">
        <v>25</v>
      </c>
      <c r="AB16" s="507">
        <v>0.5</v>
      </c>
      <c r="AC16" s="442"/>
      <c r="AD16" s="442"/>
      <c r="AE16" s="442"/>
      <c r="AF16" s="442"/>
      <c r="AG16" s="442"/>
      <c r="AH16" s="442"/>
      <c r="AI16" s="442"/>
      <c r="AJ16" s="442"/>
      <c r="AK16" s="442"/>
      <c r="AL16" s="442"/>
      <c r="AM16" s="442"/>
      <c r="AN16" s="442"/>
      <c r="AO16" s="442"/>
      <c r="AP16" s="442"/>
      <c r="AQ16" s="442"/>
      <c r="AR16" s="442"/>
      <c r="AS16" s="442"/>
      <c r="AT16" s="442"/>
      <c r="AU16" s="442"/>
      <c r="AV16" s="442"/>
      <c r="AW16" s="442"/>
      <c r="AX16" s="442"/>
      <c r="AY16" s="442"/>
      <c r="AZ16" s="231"/>
      <c r="BA16" s="442"/>
      <c r="BB16" s="442"/>
      <c r="BC16" s="442"/>
      <c r="BD16" s="442"/>
      <c r="BE16" s="442"/>
      <c r="BF16" s="442"/>
      <c r="BG16" s="442"/>
      <c r="BH16" s="442"/>
      <c r="BI16" s="442"/>
      <c r="BJ16" s="442"/>
      <c r="BK16" s="442"/>
      <c r="BL16" s="442"/>
      <c r="BM16" s="442"/>
      <c r="BN16" s="442"/>
      <c r="BO16" s="442"/>
      <c r="BP16" s="442"/>
      <c r="BQ16" s="442"/>
      <c r="BR16" s="442"/>
      <c r="BS16" s="442"/>
      <c r="BT16" s="442"/>
      <c r="BU16" s="442"/>
      <c r="BV16" s="442"/>
      <c r="BW16" s="442"/>
      <c r="BX16" s="442"/>
      <c r="BY16" s="442"/>
      <c r="BZ16" s="442"/>
      <c r="CA16" s="442"/>
      <c r="CB16" s="442"/>
      <c r="CC16" s="442"/>
      <c r="CD16" s="442"/>
      <c r="CE16" s="442"/>
      <c r="CF16" s="442"/>
      <c r="CG16" s="442"/>
      <c r="CH16" s="442"/>
      <c r="CI16" s="442"/>
      <c r="CJ16" s="442"/>
      <c r="CK16" s="442"/>
      <c r="CL16" s="442"/>
      <c r="CM16" s="442"/>
      <c r="CN16" s="442"/>
      <c r="CO16" s="442"/>
      <c r="CP16" s="442"/>
      <c r="CQ16" s="442"/>
      <c r="CR16" s="442"/>
      <c r="CS16" s="442"/>
      <c r="CT16" s="442"/>
      <c r="CU16" s="442"/>
      <c r="CV16" s="442"/>
      <c r="CW16" s="442"/>
      <c r="CX16" s="442"/>
      <c r="CY16" s="442"/>
      <c r="CZ16" s="442"/>
      <c r="DA16" s="442"/>
      <c r="DB16" s="442"/>
      <c r="DC16" s="442"/>
      <c r="DD16" s="442"/>
      <c r="DE16" s="442"/>
      <c r="DF16" s="448"/>
    </row>
    <row r="17" spans="1:110">
      <c r="A17" s="447"/>
      <c r="B17" s="61" t="s">
        <v>27</v>
      </c>
      <c r="C17" s="63" t="s">
        <v>29</v>
      </c>
      <c r="D17" s="51">
        <f>'Salaris cao'!D17 * (1+Salarissen!$L$4)</f>
        <v>3835.9076</v>
      </c>
      <c r="E17" s="27" t="s">
        <v>27</v>
      </c>
      <c r="F17" s="63" t="s">
        <v>29</v>
      </c>
      <c r="G17" s="52">
        <f>'Salaris cao'!G17 * (1+Salarissen!$L$4)</f>
        <v>3831.7404000000001</v>
      </c>
      <c r="H17" s="27" t="s">
        <v>27</v>
      </c>
      <c r="I17" s="63" t="s">
        <v>28</v>
      </c>
      <c r="J17" s="53">
        <f>'Salaris cao'!J17 * (1+Salarissen!$L$4)</f>
        <v>4179.7016000000003</v>
      </c>
      <c r="K17" s="61" t="s">
        <v>27</v>
      </c>
      <c r="L17" s="60" t="s">
        <v>29</v>
      </c>
      <c r="M17" s="49">
        <f>'Salaris cao'!M17 * (1+Salarissen!$L$4)</f>
        <v>3740.207852</v>
      </c>
      <c r="N17" s="27" t="s">
        <v>27</v>
      </c>
      <c r="O17" s="63" t="s">
        <v>28</v>
      </c>
      <c r="P17" s="54">
        <f>'Salaris cao'!P17 * (1+Salarissen!$L$4)</f>
        <v>3743.7232758750001</v>
      </c>
      <c r="Q17" s="442"/>
      <c r="R17" s="504" t="s">
        <v>27</v>
      </c>
      <c r="S17" s="505" t="s">
        <v>29</v>
      </c>
      <c r="T17" s="508">
        <v>0.5</v>
      </c>
      <c r="U17" s="505" t="s">
        <v>29</v>
      </c>
      <c r="V17" s="509">
        <v>0.5</v>
      </c>
      <c r="W17" s="505" t="s">
        <v>28</v>
      </c>
      <c r="X17" s="511">
        <v>0.5</v>
      </c>
      <c r="Y17" s="505" t="s">
        <v>29</v>
      </c>
      <c r="Z17" s="510">
        <v>0.5</v>
      </c>
      <c r="AA17" s="505" t="s">
        <v>28</v>
      </c>
      <c r="AB17" s="512">
        <v>0</v>
      </c>
      <c r="AC17" s="442"/>
      <c r="AD17" s="442"/>
      <c r="AE17" s="442"/>
      <c r="AF17" s="442"/>
      <c r="AG17" s="442"/>
      <c r="AH17" s="442"/>
      <c r="AI17" s="442"/>
      <c r="AJ17" s="442"/>
      <c r="AK17" s="442"/>
      <c r="AL17" s="442"/>
      <c r="AM17" s="442"/>
      <c r="AN17" s="442"/>
      <c r="AO17" s="442"/>
      <c r="AP17" s="442"/>
      <c r="AQ17" s="442"/>
      <c r="AR17" s="442"/>
      <c r="AS17" s="442"/>
      <c r="AT17" s="442"/>
      <c r="AU17" s="442"/>
      <c r="AV17" s="442"/>
      <c r="AW17" s="442"/>
      <c r="AX17" s="442"/>
      <c r="AY17" s="442"/>
      <c r="AZ17" s="231"/>
      <c r="BA17" s="442"/>
      <c r="BB17" s="442"/>
      <c r="BC17" s="442"/>
      <c r="BD17" s="442"/>
      <c r="BE17" s="442"/>
      <c r="BF17" s="442"/>
      <c r="BG17" s="442"/>
      <c r="BH17" s="442"/>
      <c r="BI17" s="442"/>
      <c r="BJ17" s="442"/>
      <c r="BK17" s="442"/>
      <c r="BL17" s="442"/>
      <c r="BM17" s="442"/>
      <c r="BN17" s="442"/>
      <c r="BO17" s="442"/>
      <c r="BP17" s="442"/>
      <c r="BQ17" s="442"/>
      <c r="BR17" s="442"/>
      <c r="BS17" s="442"/>
      <c r="BT17" s="442"/>
      <c r="BU17" s="442"/>
      <c r="BV17" s="442"/>
      <c r="BW17" s="442"/>
      <c r="BX17" s="442"/>
      <c r="BY17" s="442"/>
      <c r="BZ17" s="442"/>
      <c r="CA17" s="442"/>
      <c r="CB17" s="442"/>
      <c r="CC17" s="442"/>
      <c r="CD17" s="442"/>
      <c r="CE17" s="442"/>
      <c r="CF17" s="442"/>
      <c r="CG17" s="442"/>
      <c r="CH17" s="442"/>
      <c r="CI17" s="442"/>
      <c r="CJ17" s="442"/>
      <c r="CK17" s="442"/>
      <c r="CL17" s="442"/>
      <c r="CM17" s="442"/>
      <c r="CN17" s="442"/>
      <c r="CO17" s="442"/>
      <c r="CP17" s="442"/>
      <c r="CQ17" s="442"/>
      <c r="CR17" s="442"/>
      <c r="CS17" s="442"/>
      <c r="CT17" s="442"/>
      <c r="CU17" s="442"/>
      <c r="CV17" s="442"/>
      <c r="CW17" s="442"/>
      <c r="CX17" s="442"/>
      <c r="CY17" s="442"/>
      <c r="CZ17" s="442"/>
      <c r="DA17" s="442"/>
      <c r="DB17" s="442"/>
      <c r="DC17" s="442"/>
      <c r="DD17" s="442"/>
      <c r="DE17" s="442"/>
      <c r="DF17" s="448"/>
    </row>
    <row r="18" spans="1:110" ht="15.6" thickBot="1">
      <c r="A18" s="447"/>
      <c r="B18" s="62"/>
      <c r="C18" s="63" t="s">
        <v>31</v>
      </c>
      <c r="D18" s="51">
        <f>'Salaris cao'!D18 * (1+Salarissen!$L$4)</f>
        <v>4184.9106000000002</v>
      </c>
      <c r="E18" s="63"/>
      <c r="F18" s="63" t="s">
        <v>31</v>
      </c>
      <c r="G18" s="52">
        <f>'Salaris cao'!G18 * (1+Salarissen!$L$4)</f>
        <v>4184.9106000000002</v>
      </c>
      <c r="H18" s="63"/>
      <c r="I18" s="63" t="s">
        <v>30</v>
      </c>
      <c r="J18" s="53">
        <f>'Salaris cao'!J18 * (1+Salarissen!$L$4)</f>
        <v>4452.6532000000007</v>
      </c>
      <c r="K18" s="62"/>
      <c r="L18" s="63" t="s">
        <v>31</v>
      </c>
      <c r="M18" s="50">
        <f>'Salaris cao'!M18 * (1+Salarissen!$L$4)</f>
        <v>4109.3592640000006</v>
      </c>
      <c r="N18" s="63"/>
      <c r="O18" s="63" t="s">
        <v>30</v>
      </c>
      <c r="P18" s="54">
        <f>'Salaris cao'!P18 * (1+Salarissen!$L$4)</f>
        <v>4050.2500531560008</v>
      </c>
      <c r="Q18" s="442"/>
      <c r="R18" s="495" t="s">
        <v>345</v>
      </c>
      <c r="S18" s="495" t="s">
        <v>31</v>
      </c>
      <c r="T18" s="496">
        <v>0.5</v>
      </c>
      <c r="U18" s="495" t="s">
        <v>31</v>
      </c>
      <c r="V18" s="498">
        <v>0.5</v>
      </c>
      <c r="W18" s="495" t="s">
        <v>30</v>
      </c>
      <c r="X18" s="506">
        <v>0.5</v>
      </c>
      <c r="Y18" s="495" t="s">
        <v>31</v>
      </c>
      <c r="Z18" s="499">
        <v>0.5</v>
      </c>
      <c r="AA18" s="495" t="s">
        <v>30</v>
      </c>
      <c r="AB18" s="507">
        <v>1</v>
      </c>
      <c r="AC18" s="442"/>
      <c r="AD18" s="442"/>
      <c r="AE18" s="442"/>
      <c r="AF18" s="442"/>
      <c r="AG18" s="442"/>
      <c r="AH18" s="442"/>
      <c r="AI18" s="442"/>
      <c r="AJ18" s="442"/>
      <c r="AK18" s="442"/>
      <c r="AL18" s="442"/>
      <c r="AM18" s="442"/>
      <c r="AN18" s="442"/>
      <c r="AO18" s="442"/>
      <c r="AP18" s="442"/>
      <c r="AQ18" s="442"/>
      <c r="AR18" s="442"/>
      <c r="AS18" s="442"/>
      <c r="AT18" s="442"/>
      <c r="AU18" s="442"/>
      <c r="AV18" s="442"/>
      <c r="AW18" s="442"/>
      <c r="AX18" s="442"/>
      <c r="AY18" s="442"/>
      <c r="AZ18" s="231"/>
      <c r="BA18" s="442"/>
      <c r="BB18" s="442"/>
      <c r="BC18" s="442"/>
      <c r="BD18" s="442"/>
      <c r="BE18" s="442"/>
      <c r="BF18" s="442"/>
      <c r="BG18" s="442"/>
      <c r="BH18" s="442"/>
      <c r="BI18" s="442"/>
      <c r="BJ18" s="442"/>
      <c r="BK18" s="442"/>
      <c r="BL18" s="442"/>
      <c r="BM18" s="442"/>
      <c r="BN18" s="442"/>
      <c r="BO18" s="442"/>
      <c r="BP18" s="442"/>
      <c r="BQ18" s="442"/>
      <c r="BR18" s="442"/>
      <c r="BS18" s="442"/>
      <c r="BT18" s="442"/>
      <c r="BU18" s="442"/>
      <c r="BV18" s="442"/>
      <c r="BW18" s="442"/>
      <c r="BX18" s="442"/>
      <c r="BY18" s="442"/>
      <c r="BZ18" s="442"/>
      <c r="CA18" s="442"/>
      <c r="CB18" s="442"/>
      <c r="CC18" s="442"/>
      <c r="CD18" s="442"/>
      <c r="CE18" s="442"/>
      <c r="CF18" s="442"/>
      <c r="CG18" s="442"/>
      <c r="CH18" s="442"/>
      <c r="CI18" s="442"/>
      <c r="CJ18" s="442"/>
      <c r="CK18" s="442"/>
      <c r="CL18" s="442"/>
      <c r="CM18" s="442"/>
      <c r="CN18" s="442"/>
      <c r="CO18" s="442"/>
      <c r="CP18" s="442"/>
      <c r="CQ18" s="442"/>
      <c r="CR18" s="442"/>
      <c r="CS18" s="442"/>
      <c r="CT18" s="442"/>
      <c r="CU18" s="442"/>
      <c r="CV18" s="442"/>
      <c r="CW18" s="442"/>
      <c r="CX18" s="442"/>
      <c r="CY18" s="442"/>
      <c r="CZ18" s="442"/>
      <c r="DA18" s="442"/>
      <c r="DB18" s="442"/>
      <c r="DC18" s="442"/>
      <c r="DD18" s="442"/>
      <c r="DE18" s="442"/>
      <c r="DF18" s="448"/>
    </row>
    <row r="19" spans="1:110">
      <c r="A19" s="447"/>
      <c r="B19" s="61" t="s">
        <v>32</v>
      </c>
      <c r="C19" s="63" t="s">
        <v>34</v>
      </c>
      <c r="D19" s="51">
        <f>'Salaris cao'!D19 * (1+Salarissen!$L$4)</f>
        <v>4619.3411999999998</v>
      </c>
      <c r="E19" s="27" t="s">
        <v>32</v>
      </c>
      <c r="F19" s="63" t="s">
        <v>34</v>
      </c>
      <c r="G19" s="52">
        <f>'Salaris cao'!G19 * (1+Salarissen!$L$4)</f>
        <v>4621.4248000000007</v>
      </c>
      <c r="H19" s="27" t="s">
        <v>32</v>
      </c>
      <c r="I19" s="63" t="s">
        <v>33</v>
      </c>
      <c r="J19" s="53">
        <f>'Salaris cao'!J19 * (1+Salarissen!$L$4)</f>
        <v>4926.6722</v>
      </c>
      <c r="K19" s="61" t="s">
        <v>32</v>
      </c>
      <c r="L19" s="60" t="s">
        <v>34</v>
      </c>
      <c r="M19" s="49">
        <f>'Salaris cao'!M19 * (1+Salarissen!$L$4)</f>
        <v>4667.4827780000005</v>
      </c>
      <c r="N19" s="27" t="s">
        <v>32</v>
      </c>
      <c r="O19" s="63" t="s">
        <v>33</v>
      </c>
      <c r="P19" s="54">
        <f>'Salaris cao'!P19 * (1+Salarissen!$L$4)</f>
        <v>4399.6908070980007</v>
      </c>
      <c r="Q19" s="442"/>
      <c r="R19" s="504" t="s">
        <v>32</v>
      </c>
      <c r="S19" s="505" t="s">
        <v>34</v>
      </c>
      <c r="T19" s="508">
        <v>0.8</v>
      </c>
      <c r="U19" s="505" t="s">
        <v>34</v>
      </c>
      <c r="V19" s="509">
        <v>0.8</v>
      </c>
      <c r="W19" s="505" t="s">
        <v>33</v>
      </c>
      <c r="X19" s="511">
        <v>0.8</v>
      </c>
      <c r="Y19" s="505" t="s">
        <v>34</v>
      </c>
      <c r="Z19" s="510">
        <v>0.8</v>
      </c>
      <c r="AA19" s="505" t="s">
        <v>33</v>
      </c>
      <c r="AB19" s="512">
        <v>0.8</v>
      </c>
      <c r="AC19" s="442"/>
      <c r="AD19" s="442"/>
      <c r="AE19" s="442"/>
      <c r="AF19" s="442"/>
      <c r="AG19" s="442"/>
      <c r="AH19" s="442"/>
      <c r="AI19" s="442"/>
      <c r="AJ19" s="442"/>
      <c r="AK19" s="442"/>
      <c r="AL19" s="442"/>
      <c r="AM19" s="442"/>
      <c r="AN19" s="442"/>
      <c r="AO19" s="442"/>
      <c r="AP19" s="442"/>
      <c r="AQ19" s="442"/>
      <c r="AR19" s="442"/>
      <c r="AS19" s="442"/>
      <c r="AT19" s="442"/>
      <c r="AU19" s="442"/>
      <c r="AV19" s="442"/>
      <c r="AW19" s="442"/>
      <c r="AX19" s="442"/>
      <c r="AY19" s="442"/>
      <c r="AZ19" s="231"/>
      <c r="BA19" s="442"/>
      <c r="BB19" s="442"/>
      <c r="BC19" s="442"/>
      <c r="BD19" s="442"/>
      <c r="BE19" s="442"/>
      <c r="BF19" s="442"/>
      <c r="BG19" s="442"/>
      <c r="BH19" s="442"/>
      <c r="BI19" s="442"/>
      <c r="BJ19" s="442"/>
      <c r="BK19" s="442"/>
      <c r="BL19" s="442"/>
      <c r="BM19" s="442"/>
      <c r="BN19" s="442"/>
      <c r="BO19" s="442"/>
      <c r="BP19" s="442"/>
      <c r="BQ19" s="442"/>
      <c r="BR19" s="442"/>
      <c r="BS19" s="442"/>
      <c r="BT19" s="442"/>
      <c r="BU19" s="442"/>
      <c r="BV19" s="442"/>
      <c r="BW19" s="442"/>
      <c r="BX19" s="442"/>
      <c r="BY19" s="442"/>
      <c r="BZ19" s="442"/>
      <c r="CA19" s="442"/>
      <c r="CB19" s="442"/>
      <c r="CC19" s="442"/>
      <c r="CD19" s="442"/>
      <c r="CE19" s="442"/>
      <c r="CF19" s="442"/>
      <c r="CG19" s="442"/>
      <c r="CH19" s="442"/>
      <c r="CI19" s="442"/>
      <c r="CJ19" s="442"/>
      <c r="CK19" s="442"/>
      <c r="CL19" s="442"/>
      <c r="CM19" s="442"/>
      <c r="CN19" s="442"/>
      <c r="CO19" s="442"/>
      <c r="CP19" s="442"/>
      <c r="CQ19" s="442"/>
      <c r="CR19" s="442"/>
      <c r="CS19" s="442"/>
      <c r="CT19" s="442"/>
      <c r="CU19" s="442"/>
      <c r="CV19" s="442"/>
      <c r="CW19" s="442"/>
      <c r="CX19" s="442"/>
      <c r="CY19" s="442"/>
      <c r="CZ19" s="442"/>
      <c r="DA19" s="442"/>
      <c r="DB19" s="442"/>
      <c r="DC19" s="442"/>
      <c r="DD19" s="442"/>
      <c r="DE19" s="442"/>
      <c r="DF19" s="448"/>
    </row>
    <row r="20" spans="1:110" ht="15.6" thickBot="1">
      <c r="A20" s="447"/>
      <c r="B20" s="62"/>
      <c r="C20" s="63" t="s">
        <v>36</v>
      </c>
      <c r="D20" s="51">
        <f>'Salaris cao'!D20 * (1+Salarissen!$L$4)</f>
        <v>5185.0385999999999</v>
      </c>
      <c r="E20" s="63"/>
      <c r="F20" s="63" t="s">
        <v>36</v>
      </c>
      <c r="G20" s="52">
        <f>'Salaris cao'!G20 * (1+Salarissen!$L$4)</f>
        <v>5106.9036000000006</v>
      </c>
      <c r="H20" s="63"/>
      <c r="I20" s="63" t="s">
        <v>35</v>
      </c>
      <c r="J20" s="53">
        <f>'Salaris cao'!J20 * (1+Salarissen!$L$4)</f>
        <v>5419.4436000000005</v>
      </c>
      <c r="K20" s="62"/>
      <c r="L20" s="63" t="s">
        <v>36</v>
      </c>
      <c r="M20" s="50">
        <f>'Salaris cao'!M20 * (1+Salarissen!$L$4)</f>
        <v>5239.3684700000003</v>
      </c>
      <c r="N20" s="63"/>
      <c r="O20" s="63" t="s">
        <v>35</v>
      </c>
      <c r="P20" s="54">
        <f>'Salaris cao'!P20 * (1+Salarissen!$L$4)</f>
        <v>4793.6518214040007</v>
      </c>
      <c r="Q20" s="442"/>
      <c r="R20" s="495"/>
      <c r="S20" s="495" t="s">
        <v>36</v>
      </c>
      <c r="T20" s="496">
        <v>0.2</v>
      </c>
      <c r="U20" s="495" t="s">
        <v>36</v>
      </c>
      <c r="V20" s="498">
        <v>0.2</v>
      </c>
      <c r="W20" s="495" t="s">
        <v>35</v>
      </c>
      <c r="X20" s="506">
        <v>0.2</v>
      </c>
      <c r="Y20" s="495" t="s">
        <v>36</v>
      </c>
      <c r="Z20" s="499">
        <v>0.2</v>
      </c>
      <c r="AA20" s="495" t="s">
        <v>35</v>
      </c>
      <c r="AB20" s="507">
        <v>0.2</v>
      </c>
      <c r="AC20" s="442"/>
      <c r="AD20" s="442"/>
      <c r="AE20" s="442"/>
      <c r="AF20" s="442"/>
      <c r="AG20" s="442"/>
      <c r="AH20" s="442"/>
      <c r="AI20" s="442"/>
      <c r="AJ20" s="442"/>
      <c r="AK20" s="442"/>
      <c r="AL20" s="442"/>
      <c r="AM20" s="442"/>
      <c r="AN20" s="442"/>
      <c r="AO20" s="442"/>
      <c r="AP20" s="442"/>
      <c r="AQ20" s="442"/>
      <c r="AR20" s="442"/>
      <c r="AS20" s="442"/>
      <c r="AT20" s="442"/>
      <c r="AU20" s="442"/>
      <c r="AV20" s="442"/>
      <c r="AW20" s="442"/>
      <c r="AX20" s="442"/>
      <c r="AY20" s="442"/>
      <c r="AZ20" s="231"/>
      <c r="BA20" s="442"/>
      <c r="BB20" s="442"/>
      <c r="BC20" s="442"/>
      <c r="BD20" s="442"/>
      <c r="BE20" s="442"/>
      <c r="BF20" s="442"/>
      <c r="BG20" s="442"/>
      <c r="BH20" s="442"/>
      <c r="BI20" s="442"/>
      <c r="BJ20" s="442"/>
      <c r="BK20" s="442"/>
      <c r="BL20" s="442"/>
      <c r="BM20" s="442"/>
      <c r="BN20" s="442"/>
      <c r="BO20" s="442"/>
      <c r="BP20" s="442"/>
      <c r="BQ20" s="442"/>
      <c r="BR20" s="442"/>
      <c r="BS20" s="442"/>
      <c r="BT20" s="442"/>
      <c r="BU20" s="442"/>
      <c r="BV20" s="442"/>
      <c r="BW20" s="442"/>
      <c r="BX20" s="442"/>
      <c r="BY20" s="442"/>
      <c r="BZ20" s="442"/>
      <c r="CA20" s="442"/>
      <c r="CB20" s="442"/>
      <c r="CC20" s="442"/>
      <c r="CD20" s="442"/>
      <c r="CE20" s="442"/>
      <c r="CF20" s="442"/>
      <c r="CG20" s="442"/>
      <c r="CH20" s="442"/>
      <c r="CI20" s="442"/>
      <c r="CJ20" s="442"/>
      <c r="CK20" s="442"/>
      <c r="CL20" s="442"/>
      <c r="CM20" s="442"/>
      <c r="CN20" s="442"/>
      <c r="CO20" s="442"/>
      <c r="CP20" s="442"/>
      <c r="CQ20" s="442"/>
      <c r="CR20" s="442"/>
      <c r="CS20" s="442"/>
      <c r="CT20" s="442"/>
      <c r="CU20" s="442"/>
      <c r="CV20" s="442"/>
      <c r="CW20" s="442"/>
      <c r="CX20" s="442"/>
      <c r="CY20" s="442"/>
      <c r="CZ20" s="442"/>
      <c r="DA20" s="442"/>
      <c r="DB20" s="442"/>
      <c r="DC20" s="442"/>
      <c r="DD20" s="442"/>
      <c r="DE20" s="442"/>
      <c r="DF20" s="448"/>
    </row>
    <row r="21" spans="1:110">
      <c r="A21" s="447"/>
      <c r="B21" s="61" t="s">
        <v>37</v>
      </c>
      <c r="C21" s="63" t="s">
        <v>36</v>
      </c>
      <c r="D21" s="51">
        <f>'Salaris cao'!D21 * (1+Salarissen!$L$4)</f>
        <v>5185.0385999999999</v>
      </c>
      <c r="E21" s="27" t="s">
        <v>37</v>
      </c>
      <c r="F21" s="63" t="s">
        <v>36</v>
      </c>
      <c r="G21" s="52">
        <f>'Salaris cao'!G21 * (1+Salarissen!$L$4)</f>
        <v>5106.9036000000006</v>
      </c>
      <c r="H21" s="27" t="s">
        <v>37</v>
      </c>
      <c r="I21" s="63" t="s">
        <v>35</v>
      </c>
      <c r="J21" s="53">
        <f>'Salaris cao'!J21 * (1+Salarissen!$L$4)</f>
        <v>5419.4436000000005</v>
      </c>
      <c r="K21" s="61" t="s">
        <v>37</v>
      </c>
      <c r="L21" s="60" t="s">
        <v>36</v>
      </c>
      <c r="M21" s="49">
        <f>'Salaris cao'!M21 * (1+Salarissen!$L$4)</f>
        <v>5239.3684700000003</v>
      </c>
      <c r="N21" s="27" t="s">
        <v>37</v>
      </c>
      <c r="O21" s="63" t="s">
        <v>35</v>
      </c>
      <c r="P21" s="54">
        <f>'Salaris cao'!P21 * (1+Salarissen!$L$4)</f>
        <v>4793.6518214040007</v>
      </c>
      <c r="Q21" s="442"/>
      <c r="R21" s="504" t="s">
        <v>37</v>
      </c>
      <c r="S21" s="505" t="s">
        <v>36</v>
      </c>
      <c r="T21" s="508">
        <v>0.5</v>
      </c>
      <c r="U21" s="505" t="s">
        <v>36</v>
      </c>
      <c r="V21" s="509">
        <v>0.5</v>
      </c>
      <c r="W21" s="505" t="s">
        <v>35</v>
      </c>
      <c r="X21" s="511">
        <v>0.5</v>
      </c>
      <c r="Y21" s="505" t="s">
        <v>36</v>
      </c>
      <c r="Z21" s="510">
        <v>0.5</v>
      </c>
      <c r="AA21" s="505" t="s">
        <v>35</v>
      </c>
      <c r="AB21" s="512">
        <v>0.2</v>
      </c>
      <c r="AC21" s="442"/>
      <c r="AD21" s="442"/>
      <c r="AE21" s="442"/>
      <c r="AF21" s="442"/>
      <c r="AG21" s="442"/>
      <c r="AH21" s="442"/>
      <c r="AI21" s="442"/>
      <c r="AJ21" s="442"/>
      <c r="AK21" s="442"/>
      <c r="AL21" s="442"/>
      <c r="AM21" s="442"/>
      <c r="AN21" s="442"/>
      <c r="AO21" s="442"/>
      <c r="AP21" s="442"/>
      <c r="AQ21" s="442"/>
      <c r="AR21" s="442"/>
      <c r="AS21" s="442"/>
      <c r="AT21" s="442"/>
      <c r="AU21" s="442"/>
      <c r="AV21" s="442"/>
      <c r="AW21" s="442"/>
      <c r="AX21" s="442"/>
      <c r="AY21" s="442"/>
      <c r="AZ21" s="231"/>
      <c r="BA21" s="442"/>
      <c r="BB21" s="442"/>
      <c r="BC21" s="442"/>
      <c r="BD21" s="442"/>
      <c r="BE21" s="442"/>
      <c r="BF21" s="442"/>
      <c r="BG21" s="442"/>
      <c r="BH21" s="442"/>
      <c r="BI21" s="442"/>
      <c r="BJ21" s="442"/>
      <c r="BK21" s="442"/>
      <c r="BL21" s="442"/>
      <c r="BM21" s="442"/>
      <c r="BN21" s="442"/>
      <c r="BO21" s="442"/>
      <c r="BP21" s="442"/>
      <c r="BQ21" s="442"/>
      <c r="BR21" s="442"/>
      <c r="BS21" s="442"/>
      <c r="BT21" s="442"/>
      <c r="BU21" s="442"/>
      <c r="BV21" s="442"/>
      <c r="BW21" s="442"/>
      <c r="BX21" s="442"/>
      <c r="BY21" s="442"/>
      <c r="BZ21" s="442"/>
      <c r="CA21" s="442"/>
      <c r="CB21" s="442"/>
      <c r="CC21" s="442"/>
      <c r="CD21" s="442"/>
      <c r="CE21" s="442"/>
      <c r="CF21" s="442"/>
      <c r="CG21" s="442"/>
      <c r="CH21" s="442"/>
      <c r="CI21" s="442"/>
      <c r="CJ21" s="442"/>
      <c r="CK21" s="442"/>
      <c r="CL21" s="442"/>
      <c r="CM21" s="442"/>
      <c r="CN21" s="442"/>
      <c r="CO21" s="442"/>
      <c r="CP21" s="442"/>
      <c r="CQ21" s="442"/>
      <c r="CR21" s="442"/>
      <c r="CS21" s="442"/>
      <c r="CT21" s="442"/>
      <c r="CU21" s="442"/>
      <c r="CV21" s="442"/>
      <c r="CW21" s="442"/>
      <c r="CX21" s="442"/>
      <c r="CY21" s="442"/>
      <c r="CZ21" s="442"/>
      <c r="DA21" s="442"/>
      <c r="DB21" s="442"/>
      <c r="DC21" s="442"/>
      <c r="DD21" s="442"/>
      <c r="DE21" s="442"/>
      <c r="DF21" s="448"/>
    </row>
    <row r="22" spans="1:110" ht="15.6" thickBot="1">
      <c r="A22" s="447"/>
      <c r="B22" s="62"/>
      <c r="C22" s="63" t="s">
        <v>39</v>
      </c>
      <c r="D22" s="51">
        <f>'Salaris cao'!D22 * (1+Salarissen!$L$4)</f>
        <v>5779.9064000000008</v>
      </c>
      <c r="E22" s="63"/>
      <c r="F22" s="63" t="s">
        <v>39</v>
      </c>
      <c r="G22" s="52">
        <f>'Salaris cao'!G22 * (1+Salarissen!$L$4)</f>
        <v>5820.5366000000004</v>
      </c>
      <c r="H22" s="63"/>
      <c r="I22" s="63" t="s">
        <v>38</v>
      </c>
      <c r="J22" s="53">
        <f>'Salaris cao'!J22 * (1+Salarissen!$L$4)</f>
        <v>5940.3436000000002</v>
      </c>
      <c r="K22" s="62"/>
      <c r="L22" s="63" t="s">
        <v>39</v>
      </c>
      <c r="M22" s="50">
        <f>'Salaris cao'!M22 * (1+Salarissen!$L$4)</f>
        <v>5972.6602360000006</v>
      </c>
      <c r="N22" s="63"/>
      <c r="O22" s="63" t="s">
        <v>38</v>
      </c>
      <c r="P22" s="54">
        <f>'Salaris cao'!P22 * (1+Salarissen!$L$4)</f>
        <v>5246.5668652350005</v>
      </c>
      <c r="Q22" s="442"/>
      <c r="R22" s="495"/>
      <c r="S22" s="495" t="s">
        <v>39</v>
      </c>
      <c r="T22" s="496">
        <v>0.5</v>
      </c>
      <c r="U22" s="495" t="s">
        <v>39</v>
      </c>
      <c r="V22" s="498">
        <v>0.5</v>
      </c>
      <c r="W22" s="495" t="s">
        <v>38</v>
      </c>
      <c r="X22" s="506">
        <v>0.5</v>
      </c>
      <c r="Y22" s="495" t="s">
        <v>39</v>
      </c>
      <c r="Z22" s="499">
        <v>0.5</v>
      </c>
      <c r="AA22" s="495" t="s">
        <v>38</v>
      </c>
      <c r="AB22" s="507">
        <v>0.8</v>
      </c>
      <c r="AC22" s="442"/>
      <c r="AD22" s="442"/>
      <c r="AE22" s="442"/>
      <c r="AF22" s="442"/>
      <c r="AG22" s="442"/>
      <c r="AH22" s="442"/>
      <c r="AI22" s="442"/>
      <c r="AJ22" s="442"/>
      <c r="AK22" s="442"/>
      <c r="AL22" s="442"/>
      <c r="AM22" s="442"/>
      <c r="AN22" s="442"/>
      <c r="AO22" s="442"/>
      <c r="AP22" s="442"/>
      <c r="AQ22" s="442"/>
      <c r="AR22" s="442"/>
      <c r="AS22" s="442"/>
      <c r="AT22" s="442"/>
      <c r="AU22" s="442"/>
      <c r="AV22" s="442"/>
      <c r="AW22" s="442"/>
      <c r="AX22" s="442"/>
      <c r="AY22" s="442"/>
      <c r="AZ22" s="231"/>
      <c r="BA22" s="442"/>
      <c r="BB22" s="442"/>
      <c r="BC22" s="442"/>
      <c r="BD22" s="442"/>
      <c r="BE22" s="442"/>
      <c r="BF22" s="442"/>
      <c r="BG22" s="442"/>
      <c r="BH22" s="442"/>
      <c r="BI22" s="442"/>
      <c r="BJ22" s="442"/>
      <c r="BK22" s="442"/>
      <c r="BL22" s="442"/>
      <c r="BM22" s="442"/>
      <c r="BN22" s="442"/>
      <c r="BO22" s="442"/>
      <c r="BP22" s="442"/>
      <c r="BQ22" s="442"/>
      <c r="BR22" s="442"/>
      <c r="BS22" s="442"/>
      <c r="BT22" s="442"/>
      <c r="BU22" s="442"/>
      <c r="BV22" s="442"/>
      <c r="BW22" s="442"/>
      <c r="BX22" s="442"/>
      <c r="BY22" s="442"/>
      <c r="BZ22" s="442"/>
      <c r="CA22" s="442"/>
      <c r="CB22" s="442"/>
      <c r="CC22" s="442"/>
      <c r="CD22" s="442"/>
      <c r="CE22" s="442"/>
      <c r="CF22" s="442"/>
      <c r="CG22" s="442"/>
      <c r="CH22" s="442"/>
      <c r="CI22" s="442"/>
      <c r="CJ22" s="442"/>
      <c r="CK22" s="442"/>
      <c r="CL22" s="442"/>
      <c r="CM22" s="442"/>
      <c r="CN22" s="442"/>
      <c r="CO22" s="442"/>
      <c r="CP22" s="442"/>
      <c r="CQ22" s="442"/>
      <c r="CR22" s="442"/>
      <c r="CS22" s="442"/>
      <c r="CT22" s="442"/>
      <c r="CU22" s="442"/>
      <c r="CV22" s="442"/>
      <c r="CW22" s="442"/>
      <c r="CX22" s="442"/>
      <c r="CY22" s="442"/>
      <c r="CZ22" s="442"/>
      <c r="DA22" s="442"/>
      <c r="DB22" s="442"/>
      <c r="DC22" s="442"/>
      <c r="DD22" s="442"/>
      <c r="DE22" s="442"/>
      <c r="DF22" s="448"/>
    </row>
    <row r="23" spans="1:110">
      <c r="A23" s="447"/>
      <c r="B23" s="61" t="s">
        <v>40</v>
      </c>
      <c r="C23" s="63" t="s">
        <v>39</v>
      </c>
      <c r="D23" s="51">
        <f>'Salaris cao'!D23 * (1+Salarissen!$L$4)</f>
        <v>5779.9064000000008</v>
      </c>
      <c r="E23" s="27" t="s">
        <v>40</v>
      </c>
      <c r="F23" s="63" t="s">
        <v>39</v>
      </c>
      <c r="G23" s="52">
        <f>'Salaris cao'!G23 * (1+Salarissen!$L$4)</f>
        <v>5820.5366000000004</v>
      </c>
      <c r="H23" s="27" t="s">
        <v>40</v>
      </c>
      <c r="I23" s="63" t="s">
        <v>38</v>
      </c>
      <c r="J23" s="53">
        <f>'Salaris cao'!J23 * (1+Salarissen!$L$4)</f>
        <v>5940.3436000000002</v>
      </c>
      <c r="K23" s="27" t="s">
        <v>40</v>
      </c>
      <c r="L23" s="60" t="s">
        <v>39</v>
      </c>
      <c r="M23" s="49">
        <f>'Salaris cao'!M23 * (1+Salarissen!$L$4)</f>
        <v>5972.6602360000006</v>
      </c>
      <c r="N23" s="27" t="s">
        <v>40</v>
      </c>
      <c r="O23" s="63" t="s">
        <v>41</v>
      </c>
      <c r="P23" s="54">
        <f>'Salaris cao'!P23 * (1+Salarissen!$L$4)</f>
        <v>6035.9015121390003</v>
      </c>
      <c r="Q23" s="442"/>
      <c r="R23" s="504" t="s">
        <v>40</v>
      </c>
      <c r="S23" s="505" t="s">
        <v>39</v>
      </c>
      <c r="T23" s="508">
        <v>0.5</v>
      </c>
      <c r="U23" s="505" t="s">
        <v>39</v>
      </c>
      <c r="V23" s="509">
        <v>0.5</v>
      </c>
      <c r="W23" s="505" t="s">
        <v>38</v>
      </c>
      <c r="X23" s="511">
        <v>0.5</v>
      </c>
      <c r="Y23" s="505" t="s">
        <v>39</v>
      </c>
      <c r="Z23" s="510">
        <v>0.5</v>
      </c>
      <c r="AA23" s="505" t="s">
        <v>41</v>
      </c>
      <c r="AB23" s="512">
        <v>0.8</v>
      </c>
      <c r="AC23" s="442"/>
      <c r="AD23" s="442"/>
      <c r="AE23" s="442"/>
      <c r="AF23" s="442"/>
      <c r="AG23" s="442"/>
      <c r="AH23" s="442"/>
      <c r="AI23" s="442"/>
      <c r="AJ23" s="442"/>
      <c r="AK23" s="442"/>
      <c r="AL23" s="442"/>
      <c r="AM23" s="442"/>
      <c r="AN23" s="442"/>
      <c r="AO23" s="442"/>
      <c r="AP23" s="442"/>
      <c r="AQ23" s="442"/>
      <c r="AR23" s="442"/>
      <c r="AS23" s="442"/>
      <c r="AT23" s="442"/>
      <c r="AU23" s="442"/>
      <c r="AV23" s="442"/>
      <c r="AW23" s="442"/>
      <c r="AX23" s="442"/>
      <c r="AY23" s="442"/>
      <c r="AZ23" s="231"/>
      <c r="BA23" s="442"/>
      <c r="BB23" s="442"/>
      <c r="BC23" s="442"/>
      <c r="BD23" s="442"/>
      <c r="BE23" s="442"/>
      <c r="BF23" s="442"/>
      <c r="BG23" s="442"/>
      <c r="BH23" s="442"/>
      <c r="BI23" s="442"/>
      <c r="BJ23" s="442"/>
      <c r="BK23" s="442"/>
      <c r="BL23" s="442"/>
      <c r="BM23" s="442"/>
      <c r="BN23" s="442"/>
      <c r="BO23" s="442"/>
      <c r="BP23" s="442"/>
      <c r="BQ23" s="442"/>
      <c r="BR23" s="442"/>
      <c r="BS23" s="442"/>
      <c r="BT23" s="442"/>
      <c r="BU23" s="442"/>
      <c r="BV23" s="442"/>
      <c r="BW23" s="442"/>
      <c r="BX23" s="442"/>
      <c r="BY23" s="442"/>
      <c r="BZ23" s="442"/>
      <c r="CA23" s="442"/>
      <c r="CB23" s="442"/>
      <c r="CC23" s="442"/>
      <c r="CD23" s="442"/>
      <c r="CE23" s="442"/>
      <c r="CF23" s="442"/>
      <c r="CG23" s="442"/>
      <c r="CH23" s="442"/>
      <c r="CI23" s="442"/>
      <c r="CJ23" s="442"/>
      <c r="CK23" s="442"/>
      <c r="CL23" s="442"/>
      <c r="CM23" s="442"/>
      <c r="CN23" s="442"/>
      <c r="CO23" s="442"/>
      <c r="CP23" s="442"/>
      <c r="CQ23" s="442"/>
      <c r="CR23" s="442"/>
      <c r="CS23" s="442"/>
      <c r="CT23" s="442"/>
      <c r="CU23" s="442"/>
      <c r="CV23" s="442"/>
      <c r="CW23" s="442"/>
      <c r="CX23" s="442"/>
      <c r="CY23" s="442"/>
      <c r="CZ23" s="442"/>
      <c r="DA23" s="442"/>
      <c r="DB23" s="442"/>
      <c r="DC23" s="442"/>
      <c r="DD23" s="442"/>
      <c r="DE23" s="442"/>
      <c r="DF23" s="448"/>
    </row>
    <row r="24" spans="1:110" ht="15.6" thickBot="1">
      <c r="A24" s="447"/>
      <c r="B24" s="62"/>
      <c r="C24" s="63" t="s">
        <v>43</v>
      </c>
      <c r="D24" s="51">
        <f>'Salaris cao'!D24 * (1+Salarissen!$L$4)</f>
        <v>6775.8672000000006</v>
      </c>
      <c r="E24" s="63"/>
      <c r="F24" s="63" t="s">
        <v>43</v>
      </c>
      <c r="G24" s="52">
        <f>'Salaris cao'!G24 * (1+Salarissen!$L$4)</f>
        <v>6849.835</v>
      </c>
      <c r="H24" s="63"/>
      <c r="I24" s="63" t="s">
        <v>41</v>
      </c>
      <c r="J24" s="53">
        <f>'Salaris cao'!J24 * (1+Salarissen!$L$4)</f>
        <v>6586.2596000000003</v>
      </c>
      <c r="K24" s="63"/>
      <c r="L24" s="63" t="s">
        <v>43</v>
      </c>
      <c r="M24" s="50">
        <f>'Salaris cao'!M24 * (1+Salarissen!$L$4)</f>
        <v>7030.4518660000003</v>
      </c>
      <c r="N24" s="63"/>
      <c r="O24" s="63" t="s">
        <v>42</v>
      </c>
      <c r="P24" s="54">
        <f>'Salaris cao'!P24 * (1+Salarissen!$L$4)</f>
        <v>6924.1308315660008</v>
      </c>
      <c r="Q24" s="442"/>
      <c r="R24" s="495"/>
      <c r="S24" s="495" t="s">
        <v>43</v>
      </c>
      <c r="T24" s="496">
        <v>0.5</v>
      </c>
      <c r="U24" s="495" t="s">
        <v>43</v>
      </c>
      <c r="V24" s="498">
        <v>0.5</v>
      </c>
      <c r="W24" s="495" t="s">
        <v>41</v>
      </c>
      <c r="X24" s="506">
        <v>0.5</v>
      </c>
      <c r="Y24" s="495" t="s">
        <v>43</v>
      </c>
      <c r="Z24" s="499">
        <v>0.5</v>
      </c>
      <c r="AA24" s="495" t="s">
        <v>42</v>
      </c>
      <c r="AB24" s="507">
        <v>0.2</v>
      </c>
      <c r="AC24" s="442"/>
      <c r="AD24" s="442"/>
      <c r="AE24" s="442"/>
      <c r="AF24" s="442"/>
      <c r="AG24" s="442"/>
      <c r="AH24" s="442"/>
      <c r="AI24" s="442"/>
      <c r="AJ24" s="442"/>
      <c r="AK24" s="442"/>
      <c r="AL24" s="442"/>
      <c r="AM24" s="442"/>
      <c r="AN24" s="442"/>
      <c r="AO24" s="442"/>
      <c r="AP24" s="442"/>
      <c r="AQ24" s="442"/>
      <c r="AR24" s="442"/>
      <c r="AS24" s="442"/>
      <c r="AT24" s="442"/>
      <c r="AU24" s="442"/>
      <c r="AV24" s="442"/>
      <c r="AW24" s="442"/>
      <c r="AX24" s="442"/>
      <c r="AY24" s="442"/>
      <c r="AZ24" s="231"/>
      <c r="BA24" s="442"/>
      <c r="BB24" s="442"/>
      <c r="BC24" s="442"/>
      <c r="BD24" s="442"/>
      <c r="BE24" s="442"/>
      <c r="BF24" s="442"/>
      <c r="BG24" s="442"/>
      <c r="BH24" s="442"/>
      <c r="BI24" s="442"/>
      <c r="BJ24" s="442"/>
      <c r="BK24" s="442"/>
      <c r="BL24" s="442"/>
      <c r="BM24" s="442"/>
      <c r="BN24" s="442"/>
      <c r="BO24" s="442"/>
      <c r="BP24" s="442"/>
      <c r="BQ24" s="442"/>
      <c r="BR24" s="442"/>
      <c r="BS24" s="442"/>
      <c r="BT24" s="442"/>
      <c r="BU24" s="442"/>
      <c r="BV24" s="442"/>
      <c r="BW24" s="442"/>
      <c r="BX24" s="442"/>
      <c r="BY24" s="442"/>
      <c r="BZ24" s="442"/>
      <c r="CA24" s="442"/>
      <c r="CB24" s="442"/>
      <c r="CC24" s="442"/>
      <c r="CD24" s="442"/>
      <c r="CE24" s="442"/>
      <c r="CF24" s="442"/>
      <c r="CG24" s="442"/>
      <c r="CH24" s="442"/>
      <c r="CI24" s="442"/>
      <c r="CJ24" s="442"/>
      <c r="CK24" s="442"/>
      <c r="CL24" s="442"/>
      <c r="CM24" s="442"/>
      <c r="CN24" s="442"/>
      <c r="CO24" s="442"/>
      <c r="CP24" s="442"/>
      <c r="CQ24" s="442"/>
      <c r="CR24" s="442"/>
      <c r="CS24" s="442"/>
      <c r="CT24" s="442"/>
      <c r="CU24" s="442"/>
      <c r="CV24" s="442"/>
      <c r="CW24" s="442"/>
      <c r="CX24" s="442"/>
      <c r="CY24" s="442"/>
      <c r="CZ24" s="442"/>
      <c r="DA24" s="442"/>
      <c r="DB24" s="442"/>
      <c r="DC24" s="442"/>
      <c r="DD24" s="442"/>
      <c r="DE24" s="442"/>
      <c r="DF24" s="448"/>
    </row>
    <row r="25" spans="1:110">
      <c r="A25" s="447"/>
      <c r="B25" s="61" t="s">
        <v>98</v>
      </c>
      <c r="C25" s="63" t="s">
        <v>43</v>
      </c>
      <c r="D25" s="51">
        <f>'Salaris cao'!D25 * (1+Salarissen!$L$4)</f>
        <v>6775.8672000000006</v>
      </c>
      <c r="E25" s="61" t="s">
        <v>98</v>
      </c>
      <c r="F25" s="63" t="s">
        <v>43</v>
      </c>
      <c r="G25" s="52">
        <f>'Salaris cao'!G25 * (1+Salarissen!$L$4)</f>
        <v>6849.835</v>
      </c>
      <c r="H25" s="27" t="s">
        <v>98</v>
      </c>
      <c r="I25" s="63" t="s">
        <v>41</v>
      </c>
      <c r="J25" s="53">
        <f>'Salaris cao'!J25 * (1+Salarissen!$L$4)</f>
        <v>6586.2596000000003</v>
      </c>
      <c r="K25" s="61" t="s">
        <v>98</v>
      </c>
      <c r="L25" s="63" t="s">
        <v>43</v>
      </c>
      <c r="M25" s="50">
        <f>'Salaris cao'!M25 * (1+Salarissen!$L$4)</f>
        <v>7030.4518660000003</v>
      </c>
      <c r="N25" s="27" t="s">
        <v>98</v>
      </c>
      <c r="O25" s="60" t="s">
        <v>42</v>
      </c>
      <c r="P25" s="54">
        <f>'Salaris cao'!P25 * (1+Salarissen!$L$4)</f>
        <v>6924.1308315660008</v>
      </c>
      <c r="Q25" s="442"/>
      <c r="R25" s="504" t="s">
        <v>98</v>
      </c>
      <c r="S25" s="505" t="s">
        <v>43</v>
      </c>
      <c r="T25" s="508">
        <v>0.5</v>
      </c>
      <c r="U25" s="505" t="s">
        <v>43</v>
      </c>
      <c r="V25" s="509">
        <v>0.5</v>
      </c>
      <c r="W25" s="505" t="s">
        <v>41</v>
      </c>
      <c r="X25" s="511">
        <v>0.5</v>
      </c>
      <c r="Y25" s="505" t="s">
        <v>43</v>
      </c>
      <c r="Z25" s="510">
        <v>0.5</v>
      </c>
      <c r="AA25" s="505" t="s">
        <v>42</v>
      </c>
      <c r="AB25" s="512">
        <v>1</v>
      </c>
      <c r="AC25" s="442"/>
      <c r="AD25" s="442"/>
      <c r="AE25" s="442"/>
      <c r="AF25" s="442"/>
      <c r="AG25" s="442"/>
      <c r="AH25" s="442"/>
      <c r="AI25" s="442"/>
      <c r="AJ25" s="442"/>
      <c r="AK25" s="442"/>
      <c r="AL25" s="442"/>
      <c r="AM25" s="442"/>
      <c r="AN25" s="442"/>
      <c r="AO25" s="442"/>
      <c r="AP25" s="442"/>
      <c r="AQ25" s="442"/>
      <c r="AR25" s="442"/>
      <c r="AS25" s="442"/>
      <c r="AT25" s="442"/>
      <c r="AU25" s="442"/>
      <c r="AV25" s="442"/>
      <c r="AW25" s="442"/>
      <c r="AX25" s="442"/>
      <c r="AY25" s="442"/>
      <c r="AZ25" s="231"/>
      <c r="BA25" s="442"/>
      <c r="BB25" s="442"/>
      <c r="BC25" s="442"/>
      <c r="BD25" s="442"/>
      <c r="BE25" s="442"/>
      <c r="BF25" s="442"/>
      <c r="BG25" s="442"/>
      <c r="BH25" s="442"/>
      <c r="BI25" s="442"/>
      <c r="BJ25" s="442"/>
      <c r="BK25" s="442"/>
      <c r="BL25" s="442"/>
      <c r="BM25" s="442"/>
      <c r="BN25" s="442"/>
      <c r="BO25" s="442"/>
      <c r="BP25" s="442"/>
      <c r="BQ25" s="442"/>
      <c r="BR25" s="442"/>
      <c r="BS25" s="442"/>
      <c r="BT25" s="442"/>
      <c r="BU25" s="442"/>
      <c r="BV25" s="442"/>
      <c r="BW25" s="442"/>
      <c r="BX25" s="442"/>
      <c r="BY25" s="442"/>
      <c r="BZ25" s="442"/>
      <c r="CA25" s="442"/>
      <c r="CB25" s="442"/>
      <c r="CC25" s="442"/>
      <c r="CD25" s="442"/>
      <c r="CE25" s="442"/>
      <c r="CF25" s="442"/>
      <c r="CG25" s="442"/>
      <c r="CH25" s="442"/>
      <c r="CI25" s="442"/>
      <c r="CJ25" s="442"/>
      <c r="CK25" s="442"/>
      <c r="CL25" s="442"/>
      <c r="CM25" s="442"/>
      <c r="CN25" s="442"/>
      <c r="CO25" s="442"/>
      <c r="CP25" s="442"/>
      <c r="CQ25" s="442"/>
      <c r="CR25" s="442"/>
      <c r="CS25" s="442"/>
      <c r="CT25" s="442"/>
      <c r="CU25" s="442"/>
      <c r="CV25" s="442"/>
      <c r="CW25" s="442"/>
      <c r="CX25" s="442"/>
      <c r="CY25" s="442"/>
      <c r="CZ25" s="442"/>
      <c r="DA25" s="442"/>
      <c r="DB25" s="442"/>
      <c r="DC25" s="442"/>
      <c r="DD25" s="442"/>
      <c r="DE25" s="442"/>
      <c r="DF25" s="448"/>
    </row>
    <row r="26" spans="1:110" ht="15.6" thickBot="1">
      <c r="A26" s="447"/>
      <c r="B26" s="62"/>
      <c r="C26" s="63" t="s">
        <v>96</v>
      </c>
      <c r="D26" s="83">
        <f>'Salaris cao'!D26 * (1+Salarissen!$L$4)</f>
        <v>7979.1462000000001</v>
      </c>
      <c r="E26" s="62"/>
      <c r="F26" s="63" t="s">
        <v>96</v>
      </c>
      <c r="G26" s="89">
        <f>'Salaris cao'!G26 * (1+Salarissen!$L$4)</f>
        <v>8272.9338000000007</v>
      </c>
      <c r="H26" s="63"/>
      <c r="I26" s="63" t="s">
        <v>42</v>
      </c>
      <c r="J26" s="53">
        <f>'Salaris cao'!J26 * (1+Salarissen!$L$4)</f>
        <v>7313.4360000000006</v>
      </c>
      <c r="K26" s="62"/>
      <c r="L26" s="60" t="s">
        <v>96</v>
      </c>
      <c r="M26" s="519"/>
      <c r="N26" s="63"/>
      <c r="O26" s="63" t="s">
        <v>95</v>
      </c>
      <c r="P26" s="54">
        <f>'Salaris cao'!P26 * (1+Salarissen!$L$4)</f>
        <v>7943.4032817420011</v>
      </c>
      <c r="Q26" s="442"/>
      <c r="R26" s="495"/>
      <c r="S26" s="495" t="s">
        <v>96</v>
      </c>
      <c r="T26" s="496">
        <v>0.5</v>
      </c>
      <c r="U26" s="495" t="s">
        <v>96</v>
      </c>
      <c r="V26" s="498">
        <v>0.5</v>
      </c>
      <c r="W26" s="495" t="s">
        <v>42</v>
      </c>
      <c r="X26" s="506">
        <v>0.5</v>
      </c>
      <c r="Y26" s="495" t="s">
        <v>96</v>
      </c>
      <c r="Z26" s="499">
        <v>0.5</v>
      </c>
      <c r="AA26" s="495"/>
      <c r="AB26" s="503"/>
      <c r="AC26" s="442"/>
      <c r="AD26" s="442"/>
      <c r="AE26" s="442"/>
      <c r="AF26" s="442"/>
      <c r="AG26" s="442"/>
      <c r="AH26" s="442"/>
      <c r="AI26" s="442"/>
      <c r="AJ26" s="442"/>
      <c r="AK26" s="442"/>
      <c r="AL26" s="442"/>
      <c r="AM26" s="442"/>
      <c r="AN26" s="442"/>
      <c r="AO26" s="442"/>
      <c r="AP26" s="442"/>
      <c r="AQ26" s="442"/>
      <c r="AR26" s="442"/>
      <c r="AS26" s="442"/>
      <c r="AT26" s="442"/>
      <c r="AU26" s="442"/>
      <c r="AV26" s="442"/>
      <c r="AW26" s="442"/>
      <c r="AX26" s="442"/>
      <c r="AY26" s="442"/>
      <c r="AZ26" s="231"/>
      <c r="BA26" s="442"/>
      <c r="BB26" s="442"/>
      <c r="BC26" s="442"/>
      <c r="BD26" s="442"/>
      <c r="BE26" s="442"/>
      <c r="BF26" s="442"/>
      <c r="BG26" s="442"/>
      <c r="BH26" s="442"/>
      <c r="BI26" s="442"/>
      <c r="BJ26" s="442"/>
      <c r="BK26" s="442"/>
      <c r="BL26" s="442"/>
      <c r="BM26" s="442"/>
      <c r="BN26" s="442"/>
      <c r="BO26" s="442"/>
      <c r="BP26" s="442"/>
      <c r="BQ26" s="442"/>
      <c r="BR26" s="442"/>
      <c r="BS26" s="442"/>
      <c r="BT26" s="442"/>
      <c r="BU26" s="442"/>
      <c r="BV26" s="442"/>
      <c r="BW26" s="442"/>
      <c r="BX26" s="442"/>
      <c r="BY26" s="442"/>
      <c r="BZ26" s="442"/>
      <c r="CA26" s="442"/>
      <c r="CB26" s="442"/>
      <c r="CC26" s="442"/>
      <c r="CD26" s="442"/>
      <c r="CE26" s="442"/>
      <c r="CF26" s="442"/>
      <c r="CG26" s="442"/>
      <c r="CH26" s="442"/>
      <c r="CI26" s="442"/>
      <c r="CJ26" s="442"/>
      <c r="CK26" s="442"/>
      <c r="CL26" s="442"/>
      <c r="CM26" s="442"/>
      <c r="CN26" s="442"/>
      <c r="CO26" s="442"/>
      <c r="CP26" s="442"/>
      <c r="CQ26" s="442"/>
      <c r="CR26" s="442"/>
      <c r="CS26" s="442"/>
      <c r="CT26" s="442"/>
      <c r="CU26" s="442"/>
      <c r="CV26" s="442"/>
      <c r="CW26" s="442"/>
      <c r="CX26" s="442"/>
      <c r="CY26" s="442"/>
      <c r="CZ26" s="442"/>
      <c r="DA26" s="442"/>
      <c r="DB26" s="442"/>
      <c r="DC26" s="442"/>
      <c r="DD26" s="442"/>
      <c r="DE26" s="442"/>
      <c r="DF26" s="448"/>
    </row>
    <row r="27" spans="1:110">
      <c r="A27" s="447"/>
      <c r="B27" s="61" t="s">
        <v>99</v>
      </c>
      <c r="C27" s="63" t="s">
        <v>96</v>
      </c>
      <c r="D27" s="83">
        <f>'Salaris cao'!D27 * (1+Salarissen!$L$4)</f>
        <v>7979.1462000000001</v>
      </c>
      <c r="E27" s="61" t="s">
        <v>99</v>
      </c>
      <c r="F27" s="63" t="s">
        <v>96</v>
      </c>
      <c r="G27" s="89">
        <f>'Salaris cao'!G27 * (1+Salarissen!$L$4)</f>
        <v>8272.9338000000007</v>
      </c>
      <c r="K27" s="61" t="s">
        <v>99</v>
      </c>
      <c r="L27" s="60" t="s">
        <v>96</v>
      </c>
      <c r="M27" s="519"/>
      <c r="N27" s="453"/>
      <c r="P27" s="87"/>
      <c r="Q27" s="442"/>
      <c r="R27" s="504" t="s">
        <v>99</v>
      </c>
      <c r="S27" s="505" t="s">
        <v>96</v>
      </c>
      <c r="T27" s="508">
        <v>0.25</v>
      </c>
      <c r="U27" s="505" t="s">
        <v>96</v>
      </c>
      <c r="V27" s="509">
        <v>0.25</v>
      </c>
      <c r="W27" s="505"/>
      <c r="X27" s="513"/>
      <c r="Y27" s="505" t="s">
        <v>96</v>
      </c>
      <c r="Z27" s="510">
        <v>0.25</v>
      </c>
      <c r="AA27" s="505"/>
      <c r="AB27" s="514"/>
      <c r="AC27" s="442"/>
      <c r="AD27" s="442"/>
      <c r="AE27" s="442"/>
      <c r="AF27" s="442"/>
      <c r="AG27" s="442"/>
      <c r="AH27" s="442"/>
      <c r="AI27" s="442"/>
      <c r="AJ27" s="442"/>
      <c r="AK27" s="442"/>
      <c r="AL27" s="442"/>
      <c r="AM27" s="442"/>
      <c r="AN27" s="442"/>
      <c r="AO27" s="442"/>
      <c r="AP27" s="442"/>
      <c r="AQ27" s="442"/>
      <c r="AR27" s="442"/>
      <c r="AS27" s="442"/>
      <c r="AT27" s="442"/>
      <c r="AU27" s="442"/>
      <c r="AV27" s="442"/>
      <c r="AW27" s="442"/>
      <c r="AX27" s="442"/>
      <c r="AY27" s="442"/>
      <c r="AZ27" s="231"/>
      <c r="BA27" s="442"/>
      <c r="BB27" s="442"/>
      <c r="BC27" s="442"/>
      <c r="BD27" s="442"/>
      <c r="BE27" s="442"/>
      <c r="BF27" s="442"/>
      <c r="BG27" s="442"/>
      <c r="BH27" s="442"/>
      <c r="BI27" s="442"/>
      <c r="BJ27" s="442"/>
      <c r="BK27" s="442"/>
      <c r="BL27" s="442"/>
      <c r="BM27" s="442"/>
      <c r="BN27" s="442"/>
      <c r="BO27" s="442"/>
      <c r="BP27" s="442"/>
      <c r="BQ27" s="442"/>
      <c r="BR27" s="442"/>
      <c r="BS27" s="442"/>
      <c r="BT27" s="442"/>
      <c r="BU27" s="442"/>
      <c r="BV27" s="442"/>
      <c r="BW27" s="442"/>
      <c r="BX27" s="442"/>
      <c r="BY27" s="442"/>
      <c r="BZ27" s="442"/>
      <c r="CA27" s="442"/>
      <c r="CB27" s="442"/>
      <c r="CC27" s="442"/>
      <c r="CD27" s="442"/>
      <c r="CE27" s="442"/>
      <c r="CF27" s="442"/>
      <c r="CG27" s="442"/>
      <c r="CH27" s="442"/>
      <c r="CI27" s="442"/>
      <c r="CJ27" s="442"/>
      <c r="CK27" s="442"/>
      <c r="CL27" s="442"/>
      <c r="CM27" s="442"/>
      <c r="CN27" s="442"/>
      <c r="CO27" s="442"/>
      <c r="CP27" s="442"/>
      <c r="CQ27" s="442"/>
      <c r="CR27" s="442"/>
      <c r="CS27" s="442"/>
      <c r="CT27" s="442"/>
      <c r="CU27" s="442"/>
      <c r="CV27" s="442"/>
      <c r="CW27" s="442"/>
      <c r="CX27" s="442"/>
      <c r="CY27" s="442"/>
      <c r="CZ27" s="442"/>
      <c r="DA27" s="442"/>
      <c r="DB27" s="442"/>
      <c r="DC27" s="442"/>
      <c r="DD27" s="442"/>
      <c r="DE27" s="442"/>
      <c r="DF27" s="448"/>
    </row>
    <row r="28" spans="1:110" ht="15.6" thickBot="1">
      <c r="A28" s="447"/>
      <c r="B28" s="62"/>
      <c r="C28" s="63" t="s">
        <v>97</v>
      </c>
      <c r="D28" s="83">
        <f>'Salaris cao'!D28 * (1+Salarissen!$L$4)</f>
        <v>9525.1774000000005</v>
      </c>
      <c r="E28" s="62"/>
      <c r="F28" s="63" t="s">
        <v>97</v>
      </c>
      <c r="G28" s="52">
        <f>'Salaris cao'!G28 * (1+Salarissen!$L$4)</f>
        <v>10012.739800000001</v>
      </c>
      <c r="K28" s="62"/>
      <c r="L28" s="60" t="s">
        <v>97</v>
      </c>
      <c r="M28" s="519"/>
      <c r="P28" s="87"/>
      <c r="Q28" s="442"/>
      <c r="R28" s="495"/>
      <c r="S28" s="495" t="s">
        <v>97</v>
      </c>
      <c r="T28" s="496">
        <v>0.75</v>
      </c>
      <c r="U28" s="495" t="s">
        <v>97</v>
      </c>
      <c r="V28" s="498">
        <v>0.75</v>
      </c>
      <c r="W28" s="495"/>
      <c r="X28" s="501"/>
      <c r="Y28" s="495" t="s">
        <v>97</v>
      </c>
      <c r="Z28" s="499">
        <v>0.75</v>
      </c>
      <c r="AA28" s="495"/>
      <c r="AB28" s="503"/>
      <c r="AC28" s="442"/>
      <c r="AD28" s="442"/>
      <c r="AE28" s="442"/>
      <c r="AF28" s="442"/>
      <c r="AG28" s="442"/>
      <c r="AH28" s="442"/>
      <c r="AI28" s="442"/>
      <c r="AJ28" s="442"/>
      <c r="AK28" s="442"/>
      <c r="AL28" s="442"/>
      <c r="AM28" s="442"/>
      <c r="AN28" s="442"/>
      <c r="AO28" s="442"/>
      <c r="AP28" s="442"/>
      <c r="AQ28" s="442"/>
      <c r="AR28" s="442"/>
      <c r="AS28" s="442"/>
      <c r="AT28" s="442"/>
      <c r="AU28" s="442"/>
      <c r="AV28" s="442"/>
      <c r="AW28" s="442"/>
      <c r="AX28" s="442"/>
      <c r="AY28" s="442"/>
      <c r="AZ28" s="231"/>
      <c r="BA28" s="442"/>
      <c r="BB28" s="442"/>
      <c r="BC28" s="442"/>
      <c r="BD28" s="442"/>
      <c r="BE28" s="442"/>
      <c r="BF28" s="442"/>
      <c r="BG28" s="442"/>
      <c r="BH28" s="442"/>
      <c r="BI28" s="442"/>
      <c r="BJ28" s="442"/>
      <c r="BK28" s="442"/>
      <c r="BL28" s="442"/>
      <c r="BM28" s="442"/>
      <c r="BN28" s="442"/>
      <c r="BO28" s="442"/>
      <c r="BP28" s="442"/>
      <c r="BQ28" s="442"/>
      <c r="BR28" s="442"/>
      <c r="BS28" s="442"/>
      <c r="BT28" s="442"/>
      <c r="BU28" s="442"/>
      <c r="BV28" s="442"/>
      <c r="BW28" s="442"/>
      <c r="BX28" s="442"/>
      <c r="BY28" s="442"/>
      <c r="BZ28" s="442"/>
      <c r="CA28" s="442"/>
      <c r="CB28" s="442"/>
      <c r="CC28" s="442"/>
      <c r="CD28" s="442"/>
      <c r="CE28" s="442"/>
      <c r="CF28" s="442"/>
      <c r="CG28" s="442"/>
      <c r="CH28" s="442"/>
      <c r="CI28" s="442"/>
      <c r="CJ28" s="442"/>
      <c r="CK28" s="442"/>
      <c r="CL28" s="442"/>
      <c r="CM28" s="442"/>
      <c r="CN28" s="442"/>
      <c r="CO28" s="442"/>
      <c r="CP28" s="442"/>
      <c r="CQ28" s="442"/>
      <c r="CR28" s="442"/>
      <c r="CS28" s="442"/>
      <c r="CT28" s="442"/>
      <c r="CU28" s="442"/>
      <c r="CV28" s="442"/>
      <c r="CW28" s="442"/>
      <c r="CX28" s="442"/>
      <c r="CY28" s="442"/>
      <c r="CZ28" s="442"/>
      <c r="DA28" s="442"/>
      <c r="DB28" s="442"/>
      <c r="DC28" s="442"/>
      <c r="DD28" s="442"/>
      <c r="DE28" s="442"/>
      <c r="DF28" s="448"/>
    </row>
    <row r="29" spans="1:110" ht="15.6" thickBot="1">
      <c r="A29" s="447"/>
      <c r="B29" s="70" t="s">
        <v>100</v>
      </c>
      <c r="C29" s="42"/>
      <c r="D29" s="88">
        <f>'Salaris cao'!D29 * (1+Salarissen!$L$4)</f>
        <v>11040.9964</v>
      </c>
      <c r="E29" s="70"/>
      <c r="F29" s="42"/>
      <c r="G29" s="42"/>
      <c r="H29" s="42"/>
      <c r="I29" s="42"/>
      <c r="J29" s="43"/>
      <c r="K29" s="42"/>
      <c r="L29" s="42"/>
      <c r="M29" s="43"/>
      <c r="N29" s="42"/>
      <c r="O29" s="42"/>
      <c r="P29" s="43"/>
      <c r="Q29" s="442"/>
      <c r="R29" s="442"/>
      <c r="S29" s="442"/>
      <c r="T29" s="442"/>
      <c r="U29" s="442"/>
      <c r="V29" s="442"/>
      <c r="W29" s="442"/>
      <c r="X29" s="442"/>
      <c r="Y29" s="442"/>
      <c r="Z29" s="442"/>
      <c r="AA29" s="442"/>
      <c r="AB29" s="442"/>
      <c r="AC29" s="442"/>
      <c r="AD29" s="442"/>
      <c r="AE29" s="442"/>
      <c r="AF29" s="442"/>
      <c r="AG29" s="442"/>
      <c r="AH29" s="442"/>
      <c r="AI29" s="442"/>
      <c r="AJ29" s="442"/>
      <c r="AK29" s="442"/>
      <c r="AL29" s="442"/>
      <c r="AM29" s="442"/>
      <c r="AN29" s="442"/>
      <c r="AO29" s="442"/>
      <c r="AP29" s="442"/>
      <c r="AQ29" s="442"/>
      <c r="AR29" s="442"/>
      <c r="AS29" s="442"/>
      <c r="AT29" s="442"/>
      <c r="AU29" s="442"/>
      <c r="AV29" s="442"/>
      <c r="AW29" s="442"/>
      <c r="AX29" s="442"/>
      <c r="AY29" s="442"/>
      <c r="AZ29" s="442"/>
      <c r="BA29" s="442"/>
      <c r="BB29" s="442"/>
      <c r="BC29" s="442"/>
      <c r="BD29" s="442"/>
      <c r="BE29" s="442"/>
      <c r="BF29" s="442"/>
      <c r="BG29" s="442"/>
      <c r="BH29" s="231"/>
      <c r="BI29" s="442"/>
      <c r="BJ29" s="442"/>
      <c r="BK29" s="442"/>
      <c r="BL29" s="442"/>
      <c r="BM29" s="442"/>
      <c r="BN29" s="442"/>
      <c r="BO29" s="442"/>
      <c r="BP29" s="442"/>
      <c r="BQ29" s="442"/>
      <c r="BR29" s="442"/>
      <c r="BS29" s="442"/>
      <c r="BT29" s="442"/>
      <c r="BU29" s="442"/>
      <c r="BV29" s="442"/>
      <c r="BW29" s="442"/>
      <c r="BX29" s="442"/>
      <c r="BY29" s="442"/>
      <c r="BZ29" s="442"/>
      <c r="CA29" s="442"/>
      <c r="CB29" s="442"/>
      <c r="CC29" s="442"/>
      <c r="CD29" s="442"/>
      <c r="CE29" s="442"/>
      <c r="CF29" s="442"/>
      <c r="CG29" s="442"/>
      <c r="CH29" s="442"/>
      <c r="CI29" s="442"/>
      <c r="CJ29" s="442"/>
      <c r="CK29" s="442"/>
      <c r="CL29" s="442"/>
      <c r="CM29" s="442"/>
      <c r="CN29" s="442"/>
      <c r="CO29" s="442"/>
      <c r="CP29" s="442"/>
      <c r="CQ29" s="442"/>
      <c r="CR29" s="442"/>
      <c r="CS29" s="442"/>
      <c r="CT29" s="442"/>
      <c r="CU29" s="442"/>
      <c r="CV29" s="442"/>
      <c r="CW29" s="442"/>
      <c r="CX29" s="442"/>
      <c r="CY29" s="442"/>
      <c r="CZ29" s="442"/>
      <c r="DA29" s="442"/>
      <c r="DB29" s="442"/>
      <c r="DC29" s="442"/>
      <c r="DD29" s="442"/>
      <c r="DE29" s="442"/>
      <c r="DF29" s="448"/>
    </row>
    <row r="30" spans="1:110" ht="15.6" thickBot="1">
      <c r="A30" s="447"/>
      <c r="B30" s="442"/>
      <c r="C30" s="442"/>
      <c r="D30" s="442"/>
      <c r="E30" s="442"/>
      <c r="F30" s="442"/>
      <c r="G30" s="442"/>
      <c r="H30" s="442"/>
      <c r="I30" s="442"/>
      <c r="J30" s="442"/>
      <c r="K30" s="442"/>
      <c r="L30" s="442"/>
      <c r="M30" s="442"/>
      <c r="N30" s="442"/>
      <c r="O30" s="442"/>
      <c r="P30" s="442"/>
      <c r="Q30" s="442"/>
      <c r="R30" s="442"/>
      <c r="S30" s="442"/>
      <c r="T30" s="442"/>
      <c r="U30" s="442"/>
      <c r="V30" s="442"/>
      <c r="W30" s="442"/>
      <c r="X30" s="442"/>
      <c r="Y30" s="442"/>
      <c r="Z30" s="442"/>
      <c r="AA30" s="442"/>
      <c r="AB30" s="442"/>
      <c r="AC30" s="442"/>
      <c r="AD30" s="442"/>
      <c r="AE30" s="442"/>
      <c r="AF30" s="442"/>
      <c r="AG30" s="442"/>
      <c r="AH30" s="442"/>
      <c r="AI30" s="442"/>
      <c r="AJ30" s="442"/>
      <c r="AK30" s="442"/>
      <c r="AL30" s="442"/>
      <c r="AM30" s="442"/>
      <c r="AN30" s="442"/>
      <c r="AO30" s="442"/>
      <c r="AP30" s="442"/>
      <c r="AQ30" s="442"/>
      <c r="AR30" s="442"/>
      <c r="AS30" s="442"/>
      <c r="AT30" s="442"/>
      <c r="AU30" s="442"/>
      <c r="AV30" s="442"/>
      <c r="AW30" s="442"/>
      <c r="AX30" s="442"/>
      <c r="AY30" s="442"/>
      <c r="AZ30" s="442"/>
      <c r="BA30" s="442"/>
      <c r="BB30" s="442"/>
      <c r="BC30" s="442"/>
      <c r="BD30" s="442"/>
      <c r="BE30" s="442"/>
      <c r="BF30" s="442"/>
      <c r="BG30" s="442"/>
      <c r="BH30" s="231"/>
      <c r="BI30" s="442"/>
      <c r="BJ30" s="442"/>
      <c r="BK30" s="442"/>
      <c r="BL30" s="442"/>
      <c r="BM30" s="442"/>
      <c r="BN30" s="442"/>
      <c r="BO30" s="442"/>
      <c r="BP30" s="442"/>
      <c r="BQ30" s="442"/>
      <c r="BR30" s="442"/>
      <c r="BS30" s="442"/>
      <c r="BT30" s="442"/>
      <c r="BU30" s="442"/>
      <c r="BV30" s="442"/>
      <c r="BW30" s="442"/>
      <c r="BX30" s="442"/>
      <c r="BY30" s="442"/>
      <c r="BZ30" s="442"/>
      <c r="CA30" s="442"/>
      <c r="CB30" s="442"/>
      <c r="CC30" s="442"/>
      <c r="CD30" s="442"/>
      <c r="CE30" s="442"/>
      <c r="CF30" s="442"/>
      <c r="CG30" s="442"/>
      <c r="CH30" s="442"/>
      <c r="CI30" s="442"/>
      <c r="CJ30" s="442"/>
      <c r="CK30" s="442"/>
      <c r="CL30" s="442"/>
      <c r="CM30" s="442"/>
      <c r="CN30" s="442"/>
      <c r="CO30" s="442"/>
      <c r="CP30" s="442"/>
      <c r="CQ30" s="442"/>
      <c r="CR30" s="442"/>
      <c r="CS30" s="442"/>
      <c r="CT30" s="442"/>
      <c r="CU30" s="442"/>
      <c r="CV30" s="442"/>
      <c r="CW30" s="442"/>
      <c r="CX30" s="442"/>
      <c r="CY30" s="442"/>
      <c r="CZ30" s="442"/>
      <c r="DA30" s="442"/>
      <c r="DB30" s="442"/>
      <c r="DC30" s="442"/>
      <c r="DD30" s="442"/>
      <c r="DE30" s="442"/>
      <c r="DF30" s="448"/>
    </row>
    <row r="31" spans="1:110" ht="15.6" thickBot="1">
      <c r="A31" s="447"/>
      <c r="B31" s="442"/>
      <c r="C31" s="442"/>
      <c r="D31" s="443"/>
      <c r="E31" s="80" t="s">
        <v>11</v>
      </c>
      <c r="F31" s="81" t="s">
        <v>12</v>
      </c>
      <c r="G31" s="82" t="s">
        <v>13</v>
      </c>
      <c r="H31" s="427" t="s">
        <v>10</v>
      </c>
      <c r="I31" s="430" t="s">
        <v>94</v>
      </c>
      <c r="J31" s="136" t="str">
        <f>'Producten &amp; tarieven'!F2</f>
        <v>OCO</v>
      </c>
      <c r="K31" s="418">
        <f>'Producten &amp; tarieven'!G2</f>
        <v>0</v>
      </c>
      <c r="L31" s="418" t="e">
        <f>'Producten &amp; tarieven'!#REF!</f>
        <v>#REF!</v>
      </c>
      <c r="M31" s="418">
        <f>'Producten &amp; tarieven'!H2</f>
        <v>0</v>
      </c>
      <c r="N31" s="418">
        <f>'Producten &amp; tarieven'!I2</f>
        <v>0</v>
      </c>
      <c r="O31" s="418">
        <f>'Producten &amp; tarieven'!J2</f>
        <v>0</v>
      </c>
      <c r="P31" s="418">
        <f>'Producten &amp; tarieven'!K2</f>
        <v>0</v>
      </c>
      <c r="Q31" s="418">
        <f>'Producten &amp; tarieven'!L2</f>
        <v>0</v>
      </c>
      <c r="R31" s="418">
        <f>'Producten &amp; tarieven'!M2</f>
        <v>0</v>
      </c>
      <c r="S31" s="418" t="str">
        <f>'Producten &amp; tarieven'!N2</f>
        <v>Product 10</v>
      </c>
      <c r="T31" s="418" t="str">
        <f>'Producten &amp; tarieven'!O2</f>
        <v>Product 11</v>
      </c>
      <c r="U31" s="418" t="str">
        <f>'Producten &amp; tarieven'!P2</f>
        <v>Product 12</v>
      </c>
      <c r="V31" s="418" t="str">
        <f>'Producten &amp; tarieven'!Q2</f>
        <v>Product 13</v>
      </c>
      <c r="W31" s="418" t="str">
        <f>'Producten &amp; tarieven'!R2</f>
        <v>Product 14</v>
      </c>
      <c r="X31" s="418" t="str">
        <f>'Producten &amp; tarieven'!S2</f>
        <v>Product 15</v>
      </c>
      <c r="Y31" s="418" t="str">
        <f>'Producten &amp; tarieven'!T2</f>
        <v>Product 16</v>
      </c>
      <c r="Z31" s="418" t="str">
        <f>'Producten &amp; tarieven'!U2</f>
        <v>Product 17</v>
      </c>
      <c r="AA31" s="418" t="str">
        <f>'Producten &amp; tarieven'!V2</f>
        <v>Product 18</v>
      </c>
      <c r="AB31" s="418" t="str">
        <f>'Producten &amp; tarieven'!W2</f>
        <v>Product 19</v>
      </c>
      <c r="AC31" s="418" t="str">
        <f>'Producten &amp; tarieven'!X2</f>
        <v>Product 20</v>
      </c>
      <c r="AD31" s="418" t="str">
        <f>'Producten &amp; tarieven'!Y2</f>
        <v>Product 21</v>
      </c>
      <c r="AE31" s="418" t="str">
        <f>'Producten &amp; tarieven'!Z2</f>
        <v>Product 22</v>
      </c>
      <c r="AF31" s="418" t="str">
        <f>'Producten &amp; tarieven'!AA2</f>
        <v>Product 23</v>
      </c>
      <c r="AG31" s="418" t="str">
        <f>'Producten &amp; tarieven'!AB2</f>
        <v>Product 24</v>
      </c>
      <c r="AH31" s="418" t="str">
        <f>'Producten &amp; tarieven'!AC2</f>
        <v>Product 25</v>
      </c>
      <c r="AI31" s="418" t="str">
        <f>'Producten &amp; tarieven'!AD2</f>
        <v>Product 26</v>
      </c>
      <c r="AJ31" s="418" t="str">
        <f>'Producten &amp; tarieven'!AE2</f>
        <v>Product 27</v>
      </c>
      <c r="AK31" s="418" t="str">
        <f>'Producten &amp; tarieven'!AF2</f>
        <v>Product 28</v>
      </c>
      <c r="AL31" s="418" t="str">
        <f>'Producten &amp; tarieven'!AG2</f>
        <v>Product 29</v>
      </c>
      <c r="AM31" s="418" t="str">
        <f>'Producten &amp; tarieven'!AH2</f>
        <v>Product 30</v>
      </c>
      <c r="AN31" s="418" t="str">
        <f>'Producten &amp; tarieven'!AI2</f>
        <v>Product 31</v>
      </c>
      <c r="AO31" s="418" t="str">
        <f>'Producten &amp; tarieven'!AJ2</f>
        <v>Product 32</v>
      </c>
      <c r="AP31" s="418" t="str">
        <f>'Producten &amp; tarieven'!AK2</f>
        <v>Product 33</v>
      </c>
      <c r="AQ31" s="418" t="str">
        <f>'Producten &amp; tarieven'!AL2</f>
        <v>Product 34</v>
      </c>
      <c r="AR31" s="418" t="str">
        <f>'Producten &amp; tarieven'!AM2</f>
        <v>Product 35</v>
      </c>
      <c r="AS31" s="418" t="str">
        <f>'Producten &amp; tarieven'!AN2</f>
        <v>Product 36</v>
      </c>
      <c r="AT31" s="418" t="str">
        <f>'Producten &amp; tarieven'!AO2</f>
        <v>Product 37</v>
      </c>
      <c r="AU31" s="418" t="str">
        <f>'Producten &amp; tarieven'!AP2</f>
        <v>Product 38</v>
      </c>
      <c r="AV31" s="418" t="str">
        <f>'Producten &amp; tarieven'!AQ2</f>
        <v>Product 39</v>
      </c>
      <c r="AW31" s="418" t="str">
        <f>'Producten &amp; tarieven'!AR2</f>
        <v>Product 40</v>
      </c>
      <c r="AX31" s="418" t="str">
        <f>'Producten &amp; tarieven'!AS2</f>
        <v>Product 41</v>
      </c>
      <c r="AY31" s="418" t="str">
        <f>'Producten &amp; tarieven'!AT2</f>
        <v>Product 42</v>
      </c>
      <c r="AZ31" s="418" t="str">
        <f>'Producten &amp; tarieven'!AU2</f>
        <v>Product 43</v>
      </c>
      <c r="BA31" s="418" t="str">
        <f>'Producten &amp; tarieven'!AV2</f>
        <v>Product 44</v>
      </c>
      <c r="BB31" s="418" t="str">
        <f>'Producten &amp; tarieven'!AW2</f>
        <v>Product 45</v>
      </c>
      <c r="BC31" s="418" t="str">
        <f>'Producten &amp; tarieven'!AX2</f>
        <v>Product 46</v>
      </c>
      <c r="BD31" s="418" t="str">
        <f>'Producten &amp; tarieven'!AY2</f>
        <v>Product 47</v>
      </c>
      <c r="BE31" s="418" t="str">
        <f>'Producten &amp; tarieven'!AZ2</f>
        <v>Product 48</v>
      </c>
      <c r="BF31" s="418" t="str">
        <f>'Producten &amp; tarieven'!BA2</f>
        <v>Product 49</v>
      </c>
      <c r="BG31" s="418" t="str">
        <f>'Producten &amp; tarieven'!BB2</f>
        <v>Product 50</v>
      </c>
      <c r="BH31" s="418" t="str">
        <f>'Producten &amp; tarieven'!BC2</f>
        <v>Product 51</v>
      </c>
      <c r="BI31" s="418" t="str">
        <f>'Producten &amp; tarieven'!BD2</f>
        <v>Product 52</v>
      </c>
      <c r="BJ31" s="418" t="str">
        <f>'Producten &amp; tarieven'!BE2</f>
        <v>Product 53</v>
      </c>
      <c r="BK31" s="418" t="str">
        <f>'Producten &amp; tarieven'!BF2</f>
        <v>Product 54</v>
      </c>
      <c r="BL31" s="418" t="str">
        <f>'Producten &amp; tarieven'!BG2</f>
        <v>Product 55</v>
      </c>
      <c r="BM31" s="418" t="str">
        <f>'Producten &amp; tarieven'!BH2</f>
        <v>Product 56</v>
      </c>
      <c r="BN31" s="418" t="str">
        <f>'Producten &amp; tarieven'!BI2</f>
        <v>Product 57</v>
      </c>
      <c r="BO31" s="418" t="str">
        <f>'Producten &amp; tarieven'!BJ2</f>
        <v>Product 58</v>
      </c>
      <c r="BP31" s="418" t="str">
        <f>'Producten &amp; tarieven'!BK2</f>
        <v>Product 59</v>
      </c>
      <c r="BQ31" s="418" t="str">
        <f>'Producten &amp; tarieven'!BL2</f>
        <v>Product 60</v>
      </c>
      <c r="BR31" s="418" t="str">
        <f>'Producten &amp; tarieven'!BM2</f>
        <v>Product 61</v>
      </c>
      <c r="BS31" s="418" t="str">
        <f>'Producten &amp; tarieven'!BN2</f>
        <v>Product 62</v>
      </c>
      <c r="BT31" s="418" t="str">
        <f>'Producten &amp; tarieven'!BO2</f>
        <v>Product 63</v>
      </c>
      <c r="BU31" s="418" t="str">
        <f>'Producten &amp; tarieven'!BP2</f>
        <v>Product 64</v>
      </c>
      <c r="BV31" s="418" t="str">
        <f>'Producten &amp; tarieven'!BQ2</f>
        <v>Product 65</v>
      </c>
      <c r="BW31" s="418" t="str">
        <f>'Producten &amp; tarieven'!BR2</f>
        <v>Product 66</v>
      </c>
      <c r="BX31" s="418" t="str">
        <f>'Producten &amp; tarieven'!BS2</f>
        <v>Product 67</v>
      </c>
      <c r="BY31" s="418" t="str">
        <f>'Producten &amp; tarieven'!BT2</f>
        <v>Product 68</v>
      </c>
      <c r="BZ31" s="418" t="str">
        <f>'Producten &amp; tarieven'!BU2</f>
        <v>Product 69</v>
      </c>
      <c r="CA31" s="418" t="str">
        <f>'Producten &amp; tarieven'!BV2</f>
        <v>Product 70</v>
      </c>
      <c r="CB31" s="418" t="str">
        <f>'Producten &amp; tarieven'!BW2</f>
        <v>Product 71</v>
      </c>
      <c r="CC31" s="418" t="str">
        <f>'Producten &amp; tarieven'!BX2</f>
        <v>Product 72</v>
      </c>
      <c r="CD31" s="418" t="str">
        <f>'Producten &amp; tarieven'!BY2</f>
        <v>Product 73</v>
      </c>
      <c r="CE31" s="418" t="str">
        <f>'Producten &amp; tarieven'!BZ2</f>
        <v>Product 74</v>
      </c>
      <c r="CF31" s="418" t="str">
        <f>'Producten &amp; tarieven'!CA2</f>
        <v>Product 75</v>
      </c>
      <c r="CG31" s="418" t="str">
        <f>'Producten &amp; tarieven'!CB2</f>
        <v>Product 76</v>
      </c>
      <c r="CH31" s="418" t="str">
        <f>'Producten &amp; tarieven'!CC2</f>
        <v>Product 77</v>
      </c>
      <c r="CI31" s="418" t="str">
        <f>'Producten &amp; tarieven'!CD2</f>
        <v>Product 78</v>
      </c>
      <c r="CJ31" s="418" t="str">
        <f>'Producten &amp; tarieven'!CE2</f>
        <v>Product 79</v>
      </c>
      <c r="CK31" s="418" t="str">
        <f>'Producten &amp; tarieven'!CF2</f>
        <v>Product 80</v>
      </c>
      <c r="CL31" s="418" t="str">
        <f>'Producten &amp; tarieven'!CG2</f>
        <v>Product 81</v>
      </c>
      <c r="CM31" s="418" t="str">
        <f>'Producten &amp; tarieven'!CH2</f>
        <v>Product 82</v>
      </c>
      <c r="CN31" s="418" t="str">
        <f>'Producten &amp; tarieven'!CI2</f>
        <v>Product 83</v>
      </c>
      <c r="CO31" s="418" t="str">
        <f>'Producten &amp; tarieven'!CJ2</f>
        <v>Product 84</v>
      </c>
      <c r="CP31" s="418" t="str">
        <f>'Producten &amp; tarieven'!CK2</f>
        <v>Product 85</v>
      </c>
      <c r="CQ31" s="418" t="str">
        <f>'Producten &amp; tarieven'!CL2</f>
        <v>Product 86</v>
      </c>
      <c r="CR31" s="418" t="str">
        <f>'Producten &amp; tarieven'!CM2</f>
        <v>Product 87</v>
      </c>
      <c r="CS31" s="418" t="str">
        <f>'Producten &amp; tarieven'!CN2</f>
        <v>Product 88</v>
      </c>
      <c r="CT31" s="418" t="str">
        <f>'Producten &amp; tarieven'!CO2</f>
        <v>Product 89</v>
      </c>
      <c r="CU31" s="418" t="str">
        <f>'Producten &amp; tarieven'!CP2</f>
        <v>Product 90</v>
      </c>
      <c r="CV31" s="418" t="str">
        <f>'Producten &amp; tarieven'!CQ2</f>
        <v>Product 91</v>
      </c>
      <c r="CW31" s="418" t="str">
        <f>'Producten &amp; tarieven'!CR2</f>
        <v>Product 92</v>
      </c>
      <c r="CX31" s="418" t="str">
        <f>'Producten &amp; tarieven'!CS2</f>
        <v>Product 93</v>
      </c>
      <c r="CY31" s="418" t="str">
        <f>'Producten &amp; tarieven'!CT2</f>
        <v>Product 94</v>
      </c>
      <c r="CZ31" s="418" t="str">
        <f>'Producten &amp; tarieven'!CU2</f>
        <v>Product 95</v>
      </c>
      <c r="DA31" s="418" t="str">
        <f>'Producten &amp; tarieven'!CV2</f>
        <v>Product 96</v>
      </c>
      <c r="DB31" s="418" t="str">
        <f>'Producten &amp; tarieven'!CW2</f>
        <v>Product 97</v>
      </c>
      <c r="DC31" s="418" t="str">
        <f>'Producten &amp; tarieven'!CX2</f>
        <v>Product 98</v>
      </c>
      <c r="DD31" s="418" t="str">
        <f>'Producten &amp; tarieven'!CY2</f>
        <v>Product 99</v>
      </c>
      <c r="DE31" s="418">
        <f>'Producten &amp; tarieven'!CZ2</f>
        <v>0</v>
      </c>
      <c r="DF31" s="448"/>
    </row>
    <row r="32" spans="1:110" ht="17.399999999999999">
      <c r="A32" s="447"/>
      <c r="B32" s="149"/>
      <c r="C32" s="433" t="s">
        <v>44</v>
      </c>
      <c r="D32" s="434"/>
      <c r="E32" s="435"/>
      <c r="F32" s="436"/>
      <c r="G32" s="425"/>
      <c r="H32" s="437">
        <f>M11</f>
        <v>2767.3333400000001</v>
      </c>
      <c r="I32" s="426"/>
      <c r="J32" s="438" t="str" cm="1">
        <f t="array" ref="J32">IFERROR(MMULT($E32:$I32,'Producten &amp; tarieven'!F$3:F$7),"")</f>
        <v/>
      </c>
      <c r="K32" s="438" t="str" cm="1">
        <f t="array" ref="K32">IFERROR(MMULT($E32:$I32,'Producten &amp; tarieven'!G$3:G$7),"")</f>
        <v/>
      </c>
      <c r="L32" s="438" t="str" cm="1">
        <f t="array" ref="L32">IFERROR(MMULT($E32:$I32,'Producten &amp; tarieven'!#REF!),"")</f>
        <v/>
      </c>
      <c r="M32" s="438" t="str" cm="1">
        <f t="array" ref="M32">IFERROR(MMULT($E32:$I32,'Producten &amp; tarieven'!H$3:H$7),"")</f>
        <v/>
      </c>
      <c r="N32" s="438" t="str" cm="1">
        <f t="array" ref="N32">IFERROR(MMULT($E32:$I32,'Producten &amp; tarieven'!I$3:I$7),"")</f>
        <v/>
      </c>
      <c r="O32" s="438" t="str" cm="1">
        <f t="array" ref="O32">IFERROR(MMULT($E32:$I32,'Producten &amp; tarieven'!J$3:J$7),"")</f>
        <v/>
      </c>
      <c r="P32" s="438" t="str" cm="1">
        <f t="array" ref="P32">IFERROR(MMULT($E32:$I32,'Producten &amp; tarieven'!K$3:K$7),"")</f>
        <v/>
      </c>
      <c r="Q32" s="438" t="str" cm="1">
        <f t="array" ref="Q32">IFERROR(MMULT($E32:$I32,'Producten &amp; tarieven'!L$3:L$7),"")</f>
        <v/>
      </c>
      <c r="R32" s="438" t="str" cm="1">
        <f t="array" ref="R32">IFERROR(MMULT($E32:$I32,'Producten &amp; tarieven'!M$3:M$7),"")</f>
        <v/>
      </c>
      <c r="S32" s="438" t="str" cm="1">
        <f t="array" ref="S32">IFERROR(MMULT($E32:$I32,'Producten &amp; tarieven'!N$3:N$7),"")</f>
        <v/>
      </c>
      <c r="T32" s="438" t="str" cm="1">
        <f t="array" ref="T32">IFERROR(MMULT($E32:$I32,'Producten &amp; tarieven'!O$3:O$7),"")</f>
        <v/>
      </c>
      <c r="U32" s="438" t="str" cm="1">
        <f t="array" ref="U32">IFERROR(MMULT($E32:$I32,'Producten &amp; tarieven'!P$3:P$7),"")</f>
        <v/>
      </c>
      <c r="V32" s="438" t="str" cm="1">
        <f t="array" ref="V32">IFERROR(MMULT($E32:$I32,'Producten &amp; tarieven'!Q$3:Q$7),"")</f>
        <v/>
      </c>
      <c r="W32" s="438" t="str" cm="1">
        <f t="array" ref="W32">IFERROR(MMULT($E32:$I32,'Producten &amp; tarieven'!R$3:R$7),"")</f>
        <v/>
      </c>
      <c r="X32" s="438" t="str" cm="1">
        <f t="array" ref="X32">IFERROR(MMULT($E32:$I32,'Producten &amp; tarieven'!S$3:S$7),"")</f>
        <v/>
      </c>
      <c r="Y32" s="438" t="str" cm="1">
        <f t="array" ref="Y32">IFERROR(MMULT($E32:$I32,'Producten &amp; tarieven'!T$3:T$7),"")</f>
        <v/>
      </c>
      <c r="Z32" s="438" t="str" cm="1">
        <f t="array" ref="Z32">IFERROR(MMULT($E32:$I32,'Producten &amp; tarieven'!U$3:U$7),"")</f>
        <v/>
      </c>
      <c r="AA32" s="438" t="str" cm="1">
        <f t="array" ref="AA32">IFERROR(MMULT($E32:$I32,'Producten &amp; tarieven'!V$3:V$7),"")</f>
        <v/>
      </c>
      <c r="AB32" s="438" t="str" cm="1">
        <f t="array" ref="AB32">IFERROR(MMULT($E32:$I32,'Producten &amp; tarieven'!W$3:W$7),"")</f>
        <v/>
      </c>
      <c r="AC32" s="438" t="str" cm="1">
        <f t="array" ref="AC32">IFERROR(MMULT($E32:$I32,'Producten &amp; tarieven'!X$3:X$7),"")</f>
        <v/>
      </c>
      <c r="AD32" s="438" t="str" cm="1">
        <f t="array" ref="AD32">IFERROR(MMULT($E32:$I32,'Producten &amp; tarieven'!Y$3:Y$7),"")</f>
        <v/>
      </c>
      <c r="AE32" s="438" t="str" cm="1">
        <f t="array" ref="AE32">IFERROR(MMULT($E32:$I32,'Producten &amp; tarieven'!Z$3:Z$7),"")</f>
        <v/>
      </c>
      <c r="AF32" s="438" t="str" cm="1">
        <f t="array" ref="AF32">IFERROR(MMULT($E32:$I32,'Producten &amp; tarieven'!AA$3:AA$7),"")</f>
        <v/>
      </c>
      <c r="AG32" s="438" t="str" cm="1">
        <f t="array" ref="AG32">IFERROR(MMULT($E32:$I32,'Producten &amp; tarieven'!AB$3:AB$7),"")</f>
        <v/>
      </c>
      <c r="AH32" s="438" t="str" cm="1">
        <f t="array" ref="AH32">IFERROR(MMULT($E32:$I32,'Producten &amp; tarieven'!AC$3:AC$7),"")</f>
        <v/>
      </c>
      <c r="AI32" s="438" t="str" cm="1">
        <f t="array" ref="AI32">IFERROR(MMULT($E32:$I32,'Producten &amp; tarieven'!AD$3:AD$7),"")</f>
        <v/>
      </c>
      <c r="AJ32" s="438" t="str" cm="1">
        <f t="array" ref="AJ32">IFERROR(MMULT($E32:$I32,'Producten &amp; tarieven'!AE$3:AE$7),"")</f>
        <v/>
      </c>
      <c r="AK32" s="438" t="str" cm="1">
        <f t="array" ref="AK32">IFERROR(MMULT($E32:$I32,'Producten &amp; tarieven'!AF$3:AF$7),"")</f>
        <v/>
      </c>
      <c r="AL32" s="438" t="str" cm="1">
        <f t="array" ref="AL32">IFERROR(MMULT($E32:$I32,'Producten &amp; tarieven'!AG$3:AG$7),"")</f>
        <v/>
      </c>
      <c r="AM32" s="438" t="str" cm="1">
        <f t="array" ref="AM32">IFERROR(MMULT($E32:$I32,'Producten &amp; tarieven'!AH$3:AH$7),"")</f>
        <v/>
      </c>
      <c r="AN32" s="438" t="str" cm="1">
        <f t="array" ref="AN32">IFERROR(MMULT($E32:$I32,'Producten &amp; tarieven'!AI$3:AI$7),"")</f>
        <v/>
      </c>
      <c r="AO32" s="438" t="str" cm="1">
        <f t="array" ref="AO32">IFERROR(MMULT($E32:$I32,'Producten &amp; tarieven'!AJ$3:AJ$7),"")</f>
        <v/>
      </c>
      <c r="AP32" s="438" t="str" cm="1">
        <f t="array" ref="AP32">IFERROR(MMULT($E32:$I32,'Producten &amp; tarieven'!AK$3:AK$7),"")</f>
        <v/>
      </c>
      <c r="AQ32" s="438" t="str" cm="1">
        <f t="array" ref="AQ32">IFERROR(MMULT($E32:$I32,'Producten &amp; tarieven'!AL$3:AL$7),"")</f>
        <v/>
      </c>
      <c r="AR32" s="438" t="str" cm="1">
        <f t="array" ref="AR32">IFERROR(MMULT($E32:$I32,'Producten &amp; tarieven'!AM$3:AM$7),"")</f>
        <v/>
      </c>
      <c r="AS32" s="438" t="str" cm="1">
        <f t="array" ref="AS32">IFERROR(MMULT($E32:$I32,'Producten &amp; tarieven'!AN$3:AN$7),"")</f>
        <v/>
      </c>
      <c r="AT32" s="438" t="str" cm="1">
        <f t="array" ref="AT32">IFERROR(MMULT($E32:$I32,'Producten &amp; tarieven'!AO$3:AO$7),"")</f>
        <v/>
      </c>
      <c r="AU32" s="438" t="str" cm="1">
        <f t="array" ref="AU32">IFERROR(MMULT($E32:$I32,'Producten &amp; tarieven'!AP$3:AP$7),"")</f>
        <v/>
      </c>
      <c r="AV32" s="438" t="str" cm="1">
        <f t="array" ref="AV32">IFERROR(MMULT($E32:$I32,'Producten &amp; tarieven'!AQ$3:AQ$7),"")</f>
        <v/>
      </c>
      <c r="AW32" s="438" t="str" cm="1">
        <f t="array" ref="AW32">IFERROR(MMULT($E32:$I32,'Producten &amp; tarieven'!AR$3:AR$7),"")</f>
        <v/>
      </c>
      <c r="AX32" s="438" t="str" cm="1">
        <f t="array" ref="AX32">IFERROR(MMULT($E32:$I32,'Producten &amp; tarieven'!AS$3:AS$7),"")</f>
        <v/>
      </c>
      <c r="AY32" s="438" t="str" cm="1">
        <f t="array" ref="AY32">IFERROR(MMULT($E32:$I32,'Producten &amp; tarieven'!AT$3:AT$7),"")</f>
        <v/>
      </c>
      <c r="AZ32" s="438" t="str" cm="1">
        <f t="array" ref="AZ32">IFERROR(MMULT($E32:$I32,'Producten &amp; tarieven'!AU$3:AU$7),"")</f>
        <v/>
      </c>
      <c r="BA32" s="438" t="str" cm="1">
        <f t="array" ref="BA32">IFERROR(MMULT($E32:$I32,'Producten &amp; tarieven'!AV$3:AV$7),"")</f>
        <v/>
      </c>
      <c r="BB32" s="438" t="str" cm="1">
        <f t="array" ref="BB32">IFERROR(MMULT($E32:$I32,'Producten &amp; tarieven'!AW$3:AW$7),"")</f>
        <v/>
      </c>
      <c r="BC32" s="438" t="str" cm="1">
        <f t="array" ref="BC32">IFERROR(MMULT($E32:$I32,'Producten &amp; tarieven'!AX$3:AX$7),"")</f>
        <v/>
      </c>
      <c r="BD32" s="438" t="str" cm="1">
        <f t="array" ref="BD32">IFERROR(MMULT($E32:$I32,'Producten &amp; tarieven'!AY$3:AY$7),"")</f>
        <v/>
      </c>
      <c r="BE32" s="438" t="str" cm="1">
        <f t="array" ref="BE32">IFERROR(MMULT($E32:$I32,'Producten &amp; tarieven'!AZ$3:AZ$7),"")</f>
        <v/>
      </c>
      <c r="BF32" s="438" t="str" cm="1">
        <f t="array" ref="BF32">IFERROR(MMULT($E32:$I32,'Producten &amp; tarieven'!BA$3:BA$7),"")</f>
        <v/>
      </c>
      <c r="BG32" s="438" t="str" cm="1">
        <f t="array" ref="BG32">IFERROR(MMULT($E32:$I32,'Producten &amp; tarieven'!BB$3:BB$7),"")</f>
        <v/>
      </c>
      <c r="BH32" s="438" t="str" cm="1">
        <f t="array" ref="BH32">IFERROR(MMULT($E32:$I32,'Producten &amp; tarieven'!BC$3:BC$7),"")</f>
        <v/>
      </c>
      <c r="BI32" s="438" t="str" cm="1">
        <f t="array" ref="BI32">IFERROR(MMULT($E32:$I32,'Producten &amp; tarieven'!BD$3:BD$7),"")</f>
        <v/>
      </c>
      <c r="BJ32" s="438" t="str" cm="1">
        <f t="array" ref="BJ32">IFERROR(MMULT($E32:$I32,'Producten &amp; tarieven'!BE$3:BE$7),"")</f>
        <v/>
      </c>
      <c r="BK32" s="438" t="str" cm="1">
        <f t="array" ref="BK32">IFERROR(MMULT($E32:$I32,'Producten &amp; tarieven'!BF$3:BF$7),"")</f>
        <v/>
      </c>
      <c r="BL32" s="438" t="str" cm="1">
        <f t="array" ref="BL32">IFERROR(MMULT($E32:$I32,'Producten &amp; tarieven'!BG$3:BG$7),"")</f>
        <v/>
      </c>
      <c r="BM32" s="438" t="str" cm="1">
        <f t="array" ref="BM32">IFERROR(MMULT($E32:$I32,'Producten &amp; tarieven'!BH$3:BH$7),"")</f>
        <v/>
      </c>
      <c r="BN32" s="438" t="str" cm="1">
        <f t="array" ref="BN32">IFERROR(MMULT($E32:$I32,'Producten &amp; tarieven'!BI$3:BI$7),"")</f>
        <v/>
      </c>
      <c r="BO32" s="438" t="str" cm="1">
        <f t="array" ref="BO32">IFERROR(MMULT($E32:$I32,'Producten &amp; tarieven'!BJ$3:BJ$7),"")</f>
        <v/>
      </c>
      <c r="BP32" s="438" t="str" cm="1">
        <f t="array" ref="BP32">IFERROR(MMULT($E32:$I32,'Producten &amp; tarieven'!BK$3:BK$7),"")</f>
        <v/>
      </c>
      <c r="BQ32" s="438" t="str" cm="1">
        <f t="array" ref="BQ32">IFERROR(MMULT($E32:$I32,'Producten &amp; tarieven'!BL$3:BL$7),"")</f>
        <v/>
      </c>
      <c r="BR32" s="438" t="str" cm="1">
        <f t="array" ref="BR32">IFERROR(MMULT($E32:$I32,'Producten &amp; tarieven'!BM$3:BM$7),"")</f>
        <v/>
      </c>
      <c r="BS32" s="438" t="str" cm="1">
        <f t="array" ref="BS32">IFERROR(MMULT($E32:$I32,'Producten &amp; tarieven'!BN$3:BN$7),"")</f>
        <v/>
      </c>
      <c r="BT32" s="438" t="str" cm="1">
        <f t="array" ref="BT32">IFERROR(MMULT($E32:$I32,'Producten &amp; tarieven'!BO$3:BO$7),"")</f>
        <v/>
      </c>
      <c r="BU32" s="438" t="str" cm="1">
        <f t="array" ref="BU32">IFERROR(MMULT($E32:$I32,'Producten &amp; tarieven'!BP$3:BP$7),"")</f>
        <v/>
      </c>
      <c r="BV32" s="438" t="str" cm="1">
        <f t="array" ref="BV32">IFERROR(MMULT($E32:$I32,'Producten &amp; tarieven'!BQ$3:BQ$7),"")</f>
        <v/>
      </c>
      <c r="BW32" s="438" t="str" cm="1">
        <f t="array" ref="BW32">IFERROR(MMULT($E32:$I32,'Producten &amp; tarieven'!BR$3:BR$7),"")</f>
        <v/>
      </c>
      <c r="BX32" s="438" t="str" cm="1">
        <f t="array" ref="BX32">IFERROR(MMULT($E32:$I32,'Producten &amp; tarieven'!BS$3:BS$7),"")</f>
        <v/>
      </c>
      <c r="BY32" s="438" t="str" cm="1">
        <f t="array" ref="BY32">IFERROR(MMULT($E32:$I32,'Producten &amp; tarieven'!BT$3:BT$7),"")</f>
        <v/>
      </c>
      <c r="BZ32" s="438" t="str" cm="1">
        <f t="array" ref="BZ32">IFERROR(MMULT($E32:$I32,'Producten &amp; tarieven'!BU$3:BU$7),"")</f>
        <v/>
      </c>
      <c r="CA32" s="438" t="str" cm="1">
        <f t="array" ref="CA32">IFERROR(MMULT($E32:$I32,'Producten &amp; tarieven'!BV$3:BV$7),"")</f>
        <v/>
      </c>
      <c r="CB32" s="438" t="str" cm="1">
        <f t="array" ref="CB32">IFERROR(MMULT($E32:$I32,'Producten &amp; tarieven'!BW$3:BW$7),"")</f>
        <v/>
      </c>
      <c r="CC32" s="438" t="str" cm="1">
        <f t="array" ref="CC32">IFERROR(MMULT($E32:$I32,'Producten &amp; tarieven'!BX$3:BX$7),"")</f>
        <v/>
      </c>
      <c r="CD32" s="438" t="str" cm="1">
        <f t="array" ref="CD32">IFERROR(MMULT($E32:$I32,'Producten &amp; tarieven'!BY$3:BY$7),"")</f>
        <v/>
      </c>
      <c r="CE32" s="438" t="str" cm="1">
        <f t="array" ref="CE32">IFERROR(MMULT($E32:$I32,'Producten &amp; tarieven'!BZ$3:BZ$7),"")</f>
        <v/>
      </c>
      <c r="CF32" s="438" t="str" cm="1">
        <f t="array" ref="CF32">IFERROR(MMULT($E32:$I32,'Producten &amp; tarieven'!CA$3:CA$7),"")</f>
        <v/>
      </c>
      <c r="CG32" s="438" t="str" cm="1">
        <f t="array" ref="CG32">IFERROR(MMULT($E32:$I32,'Producten &amp; tarieven'!CB$3:CB$7),"")</f>
        <v/>
      </c>
      <c r="CH32" s="438" t="str" cm="1">
        <f t="array" ref="CH32">IFERROR(MMULT($E32:$I32,'Producten &amp; tarieven'!CC$3:CC$7),"")</f>
        <v/>
      </c>
      <c r="CI32" s="438" t="str" cm="1">
        <f t="array" ref="CI32">IFERROR(MMULT($E32:$I32,'Producten &amp; tarieven'!CD$3:CD$7),"")</f>
        <v/>
      </c>
      <c r="CJ32" s="438" t="str" cm="1">
        <f t="array" ref="CJ32">IFERROR(MMULT($E32:$I32,'Producten &amp; tarieven'!CE$3:CE$7),"")</f>
        <v/>
      </c>
      <c r="CK32" s="438" t="str" cm="1">
        <f t="array" ref="CK32">IFERROR(MMULT($E32:$I32,'Producten &amp; tarieven'!CF$3:CF$7),"")</f>
        <v/>
      </c>
      <c r="CL32" s="438" t="str" cm="1">
        <f t="array" ref="CL32">IFERROR(MMULT($E32:$I32,'Producten &amp; tarieven'!CG$3:CG$7),"")</f>
        <v/>
      </c>
      <c r="CM32" s="438" t="str" cm="1">
        <f t="array" ref="CM32">IFERROR(MMULT($E32:$I32,'Producten &amp; tarieven'!CH$3:CH$7),"")</f>
        <v/>
      </c>
      <c r="CN32" s="438" t="str" cm="1">
        <f t="array" ref="CN32">IFERROR(MMULT($E32:$I32,'Producten &amp; tarieven'!CI$3:CI$7),"")</f>
        <v/>
      </c>
      <c r="CO32" s="438" t="str" cm="1">
        <f t="array" ref="CO32">IFERROR(MMULT($E32:$I32,'Producten &amp; tarieven'!CJ$3:CJ$7),"")</f>
        <v/>
      </c>
      <c r="CP32" s="438" t="str" cm="1">
        <f t="array" ref="CP32">IFERROR(MMULT($E32:$I32,'Producten &amp; tarieven'!CK$3:CK$7),"")</f>
        <v/>
      </c>
      <c r="CQ32" s="438" t="str" cm="1">
        <f t="array" ref="CQ32">IFERROR(MMULT($E32:$I32,'Producten &amp; tarieven'!CL$3:CL$7),"")</f>
        <v/>
      </c>
      <c r="CR32" s="438" t="str" cm="1">
        <f t="array" ref="CR32">IFERROR(MMULT($E32:$I32,'Producten &amp; tarieven'!CM$3:CM$7),"")</f>
        <v/>
      </c>
      <c r="CS32" s="438" t="str" cm="1">
        <f t="array" ref="CS32">IFERROR(MMULT($E32:$I32,'Producten &amp; tarieven'!CN$3:CN$7),"")</f>
        <v/>
      </c>
      <c r="CT32" s="438" t="str" cm="1">
        <f t="array" ref="CT32">IFERROR(MMULT($E32:$I32,'Producten &amp; tarieven'!CO$3:CO$7),"")</f>
        <v/>
      </c>
      <c r="CU32" s="438" t="str" cm="1">
        <f t="array" ref="CU32">IFERROR(MMULT($E32:$I32,'Producten &amp; tarieven'!CP$3:CP$7),"")</f>
        <v/>
      </c>
      <c r="CV32" s="438" t="str" cm="1">
        <f t="array" ref="CV32">IFERROR(MMULT($E32:$I32,'Producten &amp; tarieven'!CQ$3:CQ$7),"")</f>
        <v/>
      </c>
      <c r="CW32" s="438" t="str" cm="1">
        <f t="array" ref="CW32">IFERROR(MMULT($E32:$I32,'Producten &amp; tarieven'!CR$3:CR$7),"")</f>
        <v/>
      </c>
      <c r="CX32" s="438" t="str" cm="1">
        <f t="array" ref="CX32">IFERROR(MMULT($E32:$I32,'Producten &amp; tarieven'!CS$3:CS$7),"")</f>
        <v/>
      </c>
      <c r="CY32" s="438" t="str" cm="1">
        <f t="array" ref="CY32">IFERROR(MMULT($E32:$I32,'Producten &amp; tarieven'!CT$3:CT$7),"")</f>
        <v/>
      </c>
      <c r="CZ32" s="438" t="str" cm="1">
        <f t="array" ref="CZ32">IFERROR(MMULT($E32:$I32,'Producten &amp; tarieven'!CU$3:CU$7),"")</f>
        <v/>
      </c>
      <c r="DA32" s="438" t="str" cm="1">
        <f t="array" ref="DA32">IFERROR(MMULT($E32:$I32,'Producten &amp; tarieven'!CV$3:CV$7),"")</f>
        <v/>
      </c>
      <c r="DB32" s="438" t="str" cm="1">
        <f t="array" ref="DB32">IFERROR(MMULT($E32:$I32,'Producten &amp; tarieven'!CW$3:CW$7),"")</f>
        <v/>
      </c>
      <c r="DC32" s="438" t="str" cm="1">
        <f t="array" ref="DC32">IFERROR(MMULT($E32:$I32,'Producten &amp; tarieven'!CX$3:CX$7),"")</f>
        <v/>
      </c>
      <c r="DD32" s="438" t="str" cm="1">
        <f t="array" ref="DD32">IFERROR(MMULT($E32:$I32,'Producten &amp; tarieven'!CY$3:CY$7),"")</f>
        <v/>
      </c>
      <c r="DE32" s="439" t="str" cm="1">
        <f t="array" ref="DE32">IFERROR(MMULT($E32:$I32,'Producten &amp; tarieven'!CZ$3:CZ$7),"")</f>
        <v/>
      </c>
      <c r="DF32" s="448"/>
    </row>
    <row r="33" spans="1:110" ht="18" thickBot="1">
      <c r="A33" s="447"/>
      <c r="B33" s="250"/>
      <c r="C33" s="153" t="s">
        <v>17</v>
      </c>
      <c r="D33" s="244"/>
      <c r="E33" s="421"/>
      <c r="F33" s="421"/>
      <c r="G33" s="421"/>
      <c r="H33" s="428">
        <f t="shared" ref="H33:H44" si="0">M12</f>
        <v>2803.6400700000004</v>
      </c>
      <c r="I33" s="538"/>
      <c r="J33" s="78" t="str" cm="1">
        <f t="array" ref="J33">IFERROR(MMULT($E33:$I33,'Producten &amp; tarieven'!F$3:F$7),"")</f>
        <v/>
      </c>
      <c r="K33" s="78" t="str" cm="1">
        <f t="array" ref="K33">IFERROR(MMULT($E33:$I33,'Producten &amp; tarieven'!G$3:G$7),"")</f>
        <v/>
      </c>
      <c r="L33" s="78" t="str" cm="1">
        <f t="array" ref="L33">IFERROR(MMULT($E33:$I33,'Producten &amp; tarieven'!#REF!),"")</f>
        <v/>
      </c>
      <c r="M33" s="78" t="str" cm="1">
        <f t="array" ref="M33">IFERROR(MMULT($E33:$I33,'Producten &amp; tarieven'!H$3:H$7),"")</f>
        <v/>
      </c>
      <c r="N33" s="78" t="str" cm="1">
        <f t="array" ref="N33">IFERROR(MMULT($E33:$I33,'Producten &amp; tarieven'!I$3:I$7),"")</f>
        <v/>
      </c>
      <c r="O33" s="78" t="str" cm="1">
        <f t="array" ref="O33">IFERROR(MMULT($E33:$I33,'Producten &amp; tarieven'!J$3:J$7),"")</f>
        <v/>
      </c>
      <c r="P33" s="78" t="str" cm="1">
        <f t="array" ref="P33">IFERROR(MMULT($E33:$I33,'Producten &amp; tarieven'!K$3:K$7),"")</f>
        <v/>
      </c>
      <c r="Q33" s="78" t="str" cm="1">
        <f t="array" ref="Q33">IFERROR(MMULT($E33:$I33,'Producten &amp; tarieven'!L$3:L$7),"")</f>
        <v/>
      </c>
      <c r="R33" s="78" t="str" cm="1">
        <f t="array" ref="R33">IFERROR(MMULT($E33:$I33,'Producten &amp; tarieven'!M$3:M$7),"")</f>
        <v/>
      </c>
      <c r="S33" s="78" t="str" cm="1">
        <f t="array" ref="S33">IFERROR(MMULT($E33:$I33,'Producten &amp; tarieven'!N$3:N$7),"")</f>
        <v/>
      </c>
      <c r="T33" s="78" t="str" cm="1">
        <f t="array" ref="T33">IFERROR(MMULT($E33:$I33,'Producten &amp; tarieven'!O$3:O$7),"")</f>
        <v/>
      </c>
      <c r="U33" s="78" t="str" cm="1">
        <f t="array" ref="U33">IFERROR(MMULT($E33:$I33,'Producten &amp; tarieven'!P$3:P$7),"")</f>
        <v/>
      </c>
      <c r="V33" s="78" t="str" cm="1">
        <f t="array" ref="V33">IFERROR(MMULT($E33:$I33,'Producten &amp; tarieven'!Q$3:Q$7),"")</f>
        <v/>
      </c>
      <c r="W33" s="78" t="str" cm="1">
        <f t="array" ref="W33">IFERROR(MMULT($E33:$I33,'Producten &amp; tarieven'!R$3:R$7),"")</f>
        <v/>
      </c>
      <c r="X33" s="78" t="str" cm="1">
        <f t="array" ref="X33">IFERROR(MMULT($E33:$I33,'Producten &amp; tarieven'!S$3:S$7),"")</f>
        <v/>
      </c>
      <c r="Y33" s="78" t="str" cm="1">
        <f t="array" ref="Y33">IFERROR(MMULT($E33:$I33,'Producten &amp; tarieven'!T$3:T$7),"")</f>
        <v/>
      </c>
      <c r="Z33" s="78" t="str" cm="1">
        <f t="array" ref="Z33">IFERROR(MMULT($E33:$I33,'Producten &amp; tarieven'!U$3:U$7),"")</f>
        <v/>
      </c>
      <c r="AA33" s="78" t="str" cm="1">
        <f t="array" ref="AA33">IFERROR(MMULT($E33:$I33,'Producten &amp; tarieven'!V$3:V$7),"")</f>
        <v/>
      </c>
      <c r="AB33" s="78" t="str" cm="1">
        <f t="array" ref="AB33">IFERROR(MMULT($E33:$I33,'Producten &amp; tarieven'!W$3:W$7),"")</f>
        <v/>
      </c>
      <c r="AC33" s="78" t="str" cm="1">
        <f t="array" ref="AC33">IFERROR(MMULT($E33:$I33,'Producten &amp; tarieven'!X$3:X$7),"")</f>
        <v/>
      </c>
      <c r="AD33" s="78" t="str" cm="1">
        <f t="array" ref="AD33">IFERROR(MMULT($E33:$I33,'Producten &amp; tarieven'!Y$3:Y$7),"")</f>
        <v/>
      </c>
      <c r="AE33" s="78" t="str" cm="1">
        <f t="array" ref="AE33">IFERROR(MMULT($E33:$I33,'Producten &amp; tarieven'!Z$3:Z$7),"")</f>
        <v/>
      </c>
      <c r="AF33" s="78" t="str" cm="1">
        <f t="array" ref="AF33">IFERROR(MMULT($E33:$I33,'Producten &amp; tarieven'!AA$3:AA$7),"")</f>
        <v/>
      </c>
      <c r="AG33" s="78" t="str" cm="1">
        <f t="array" ref="AG33">IFERROR(MMULT($E33:$I33,'Producten &amp; tarieven'!AB$3:AB$7),"")</f>
        <v/>
      </c>
      <c r="AH33" s="78" t="str" cm="1">
        <f t="array" ref="AH33">IFERROR(MMULT($E33:$I33,'Producten &amp; tarieven'!AC$3:AC$7),"")</f>
        <v/>
      </c>
      <c r="AI33" s="78" t="str" cm="1">
        <f t="array" ref="AI33">IFERROR(MMULT($E33:$I33,'Producten &amp; tarieven'!AD$3:AD$7),"")</f>
        <v/>
      </c>
      <c r="AJ33" s="78" t="str" cm="1">
        <f t="array" ref="AJ33">IFERROR(MMULT($E33:$I33,'Producten &amp; tarieven'!AE$3:AE$7),"")</f>
        <v/>
      </c>
      <c r="AK33" s="78" t="str" cm="1">
        <f t="array" ref="AK33">IFERROR(MMULT($E33:$I33,'Producten &amp; tarieven'!AF$3:AF$7),"")</f>
        <v/>
      </c>
      <c r="AL33" s="78" t="str" cm="1">
        <f t="array" ref="AL33">IFERROR(MMULT($E33:$I33,'Producten &amp; tarieven'!AG$3:AG$7),"")</f>
        <v/>
      </c>
      <c r="AM33" s="78" t="str" cm="1">
        <f t="array" ref="AM33">IFERROR(MMULT($E33:$I33,'Producten &amp; tarieven'!AH$3:AH$7),"")</f>
        <v/>
      </c>
      <c r="AN33" s="78" t="str" cm="1">
        <f t="array" ref="AN33">IFERROR(MMULT($E33:$I33,'Producten &amp; tarieven'!AI$3:AI$7),"")</f>
        <v/>
      </c>
      <c r="AO33" s="78" t="str" cm="1">
        <f t="array" ref="AO33">IFERROR(MMULT($E33:$I33,'Producten &amp; tarieven'!AJ$3:AJ$7),"")</f>
        <v/>
      </c>
      <c r="AP33" s="78" t="str" cm="1">
        <f t="array" ref="AP33">IFERROR(MMULT($E33:$I33,'Producten &amp; tarieven'!AK$3:AK$7),"")</f>
        <v/>
      </c>
      <c r="AQ33" s="78" t="str" cm="1">
        <f t="array" ref="AQ33">IFERROR(MMULT($E33:$I33,'Producten &amp; tarieven'!AL$3:AL$7),"")</f>
        <v/>
      </c>
      <c r="AR33" s="78" t="str" cm="1">
        <f t="array" ref="AR33">IFERROR(MMULT($E33:$I33,'Producten &amp; tarieven'!AM$3:AM$7),"")</f>
        <v/>
      </c>
      <c r="AS33" s="78" t="str" cm="1">
        <f t="array" ref="AS33">IFERROR(MMULT($E33:$I33,'Producten &amp; tarieven'!AN$3:AN$7),"")</f>
        <v/>
      </c>
      <c r="AT33" s="78" t="str" cm="1">
        <f t="array" ref="AT33">IFERROR(MMULT($E33:$I33,'Producten &amp; tarieven'!AO$3:AO$7),"")</f>
        <v/>
      </c>
      <c r="AU33" s="78" t="str" cm="1">
        <f t="array" ref="AU33">IFERROR(MMULT($E33:$I33,'Producten &amp; tarieven'!AP$3:AP$7),"")</f>
        <v/>
      </c>
      <c r="AV33" s="78" t="str" cm="1">
        <f t="array" ref="AV33">IFERROR(MMULT($E33:$I33,'Producten &amp; tarieven'!AQ$3:AQ$7),"")</f>
        <v/>
      </c>
      <c r="AW33" s="78" t="str" cm="1">
        <f t="array" ref="AW33">IFERROR(MMULT($E33:$I33,'Producten &amp; tarieven'!AR$3:AR$7),"")</f>
        <v/>
      </c>
      <c r="AX33" s="78" t="str" cm="1">
        <f t="array" ref="AX33">IFERROR(MMULT($E33:$I33,'Producten &amp; tarieven'!AS$3:AS$7),"")</f>
        <v/>
      </c>
      <c r="AY33" s="78" t="str" cm="1">
        <f t="array" ref="AY33">IFERROR(MMULT($E33:$I33,'Producten &amp; tarieven'!AT$3:AT$7),"")</f>
        <v/>
      </c>
      <c r="AZ33" s="78" t="str" cm="1">
        <f t="array" ref="AZ33">IFERROR(MMULT($E33:$I33,'Producten &amp; tarieven'!AU$3:AU$7),"")</f>
        <v/>
      </c>
      <c r="BA33" s="78" t="str" cm="1">
        <f t="array" ref="BA33">IFERROR(MMULT($E33:$I33,'Producten &amp; tarieven'!AV$3:AV$7),"")</f>
        <v/>
      </c>
      <c r="BB33" s="78" t="str" cm="1">
        <f t="array" ref="BB33">IFERROR(MMULT($E33:$I33,'Producten &amp; tarieven'!AW$3:AW$7),"")</f>
        <v/>
      </c>
      <c r="BC33" s="78" t="str" cm="1">
        <f t="array" ref="BC33">IFERROR(MMULT($E33:$I33,'Producten &amp; tarieven'!AX$3:AX$7),"")</f>
        <v/>
      </c>
      <c r="BD33" s="78" t="str" cm="1">
        <f t="array" ref="BD33">IFERROR(MMULT($E33:$I33,'Producten &amp; tarieven'!AY$3:AY$7),"")</f>
        <v/>
      </c>
      <c r="BE33" s="78" t="str" cm="1">
        <f t="array" ref="BE33">IFERROR(MMULT($E33:$I33,'Producten &amp; tarieven'!AZ$3:AZ$7),"")</f>
        <v/>
      </c>
      <c r="BF33" s="78" t="str" cm="1">
        <f t="array" ref="BF33">IFERROR(MMULT($E33:$I33,'Producten &amp; tarieven'!BA$3:BA$7),"")</f>
        <v/>
      </c>
      <c r="BG33" s="78" t="str" cm="1">
        <f t="array" ref="BG33">IFERROR(MMULT($E33:$I33,'Producten &amp; tarieven'!BB$3:BB$7),"")</f>
        <v/>
      </c>
      <c r="BH33" s="78" t="str" cm="1">
        <f t="array" ref="BH33">IFERROR(MMULT($E33:$I33,'Producten &amp; tarieven'!BC$3:BC$7),"")</f>
        <v/>
      </c>
      <c r="BI33" s="78" t="str" cm="1">
        <f t="array" ref="BI33">IFERROR(MMULT($E33:$I33,'Producten &amp; tarieven'!BD$3:BD$7),"")</f>
        <v/>
      </c>
      <c r="BJ33" s="78" t="str" cm="1">
        <f t="array" ref="BJ33">IFERROR(MMULT($E33:$I33,'Producten &amp; tarieven'!BE$3:BE$7),"")</f>
        <v/>
      </c>
      <c r="BK33" s="78" t="str" cm="1">
        <f t="array" ref="BK33">IFERROR(MMULT($E33:$I33,'Producten &amp; tarieven'!BF$3:BF$7),"")</f>
        <v/>
      </c>
      <c r="BL33" s="78" t="str" cm="1">
        <f t="array" ref="BL33">IFERROR(MMULT($E33:$I33,'Producten &amp; tarieven'!BG$3:BG$7),"")</f>
        <v/>
      </c>
      <c r="BM33" s="78" t="str" cm="1">
        <f t="array" ref="BM33">IFERROR(MMULT($E33:$I33,'Producten &amp; tarieven'!BH$3:BH$7),"")</f>
        <v/>
      </c>
      <c r="BN33" s="78" t="str" cm="1">
        <f t="array" ref="BN33">IFERROR(MMULT($E33:$I33,'Producten &amp; tarieven'!BI$3:BI$7),"")</f>
        <v/>
      </c>
      <c r="BO33" s="78" t="str" cm="1">
        <f t="array" ref="BO33">IFERROR(MMULT($E33:$I33,'Producten &amp; tarieven'!BJ$3:BJ$7),"")</f>
        <v/>
      </c>
      <c r="BP33" s="78" t="str" cm="1">
        <f t="array" ref="BP33">IFERROR(MMULT($E33:$I33,'Producten &amp; tarieven'!BK$3:BK$7),"")</f>
        <v/>
      </c>
      <c r="BQ33" s="78" t="str" cm="1">
        <f t="array" ref="BQ33">IFERROR(MMULT($E33:$I33,'Producten &amp; tarieven'!BL$3:BL$7),"")</f>
        <v/>
      </c>
      <c r="BR33" s="78" t="str" cm="1">
        <f t="array" ref="BR33">IFERROR(MMULT($E33:$I33,'Producten &amp; tarieven'!BM$3:BM$7),"")</f>
        <v/>
      </c>
      <c r="BS33" s="78" t="str" cm="1">
        <f t="array" ref="BS33">IFERROR(MMULT($E33:$I33,'Producten &amp; tarieven'!BN$3:BN$7),"")</f>
        <v/>
      </c>
      <c r="BT33" s="78" t="str" cm="1">
        <f t="array" ref="BT33">IFERROR(MMULT($E33:$I33,'Producten &amp; tarieven'!BO$3:BO$7),"")</f>
        <v/>
      </c>
      <c r="BU33" s="78" t="str" cm="1">
        <f t="array" ref="BU33">IFERROR(MMULT($E33:$I33,'Producten &amp; tarieven'!BP$3:BP$7),"")</f>
        <v/>
      </c>
      <c r="BV33" s="78" t="str" cm="1">
        <f t="array" ref="BV33">IFERROR(MMULT($E33:$I33,'Producten &amp; tarieven'!BQ$3:BQ$7),"")</f>
        <v/>
      </c>
      <c r="BW33" s="78" t="str" cm="1">
        <f t="array" ref="BW33">IFERROR(MMULT($E33:$I33,'Producten &amp; tarieven'!BR$3:BR$7),"")</f>
        <v/>
      </c>
      <c r="BX33" s="78" t="str" cm="1">
        <f t="array" ref="BX33">IFERROR(MMULT($E33:$I33,'Producten &amp; tarieven'!BS$3:BS$7),"")</f>
        <v/>
      </c>
      <c r="BY33" s="78" t="str" cm="1">
        <f t="array" ref="BY33">IFERROR(MMULT($E33:$I33,'Producten &amp; tarieven'!BT$3:BT$7),"")</f>
        <v/>
      </c>
      <c r="BZ33" s="78" t="str" cm="1">
        <f t="array" ref="BZ33">IFERROR(MMULT($E33:$I33,'Producten &amp; tarieven'!BU$3:BU$7),"")</f>
        <v/>
      </c>
      <c r="CA33" s="78" t="str" cm="1">
        <f t="array" ref="CA33">IFERROR(MMULT($E33:$I33,'Producten &amp; tarieven'!BV$3:BV$7),"")</f>
        <v/>
      </c>
      <c r="CB33" s="78" t="str" cm="1">
        <f t="array" ref="CB33">IFERROR(MMULT($E33:$I33,'Producten &amp; tarieven'!BW$3:BW$7),"")</f>
        <v/>
      </c>
      <c r="CC33" s="78" t="str" cm="1">
        <f t="array" ref="CC33">IFERROR(MMULT($E33:$I33,'Producten &amp; tarieven'!BX$3:BX$7),"")</f>
        <v/>
      </c>
      <c r="CD33" s="78" t="str" cm="1">
        <f t="array" ref="CD33">IFERROR(MMULT($E33:$I33,'Producten &amp; tarieven'!BY$3:BY$7),"")</f>
        <v/>
      </c>
      <c r="CE33" s="78" t="str" cm="1">
        <f t="array" ref="CE33">IFERROR(MMULT($E33:$I33,'Producten &amp; tarieven'!BZ$3:BZ$7),"")</f>
        <v/>
      </c>
      <c r="CF33" s="78" t="str" cm="1">
        <f t="array" ref="CF33">IFERROR(MMULT($E33:$I33,'Producten &amp; tarieven'!CA$3:CA$7),"")</f>
        <v/>
      </c>
      <c r="CG33" s="78" t="str" cm="1">
        <f t="array" ref="CG33">IFERROR(MMULT($E33:$I33,'Producten &amp; tarieven'!CB$3:CB$7),"")</f>
        <v/>
      </c>
      <c r="CH33" s="78" t="str" cm="1">
        <f t="array" ref="CH33">IFERROR(MMULT($E33:$I33,'Producten &amp; tarieven'!CC$3:CC$7),"")</f>
        <v/>
      </c>
      <c r="CI33" s="78" t="str" cm="1">
        <f t="array" ref="CI33">IFERROR(MMULT($E33:$I33,'Producten &amp; tarieven'!CD$3:CD$7),"")</f>
        <v/>
      </c>
      <c r="CJ33" s="78" t="str" cm="1">
        <f t="array" ref="CJ33">IFERROR(MMULT($E33:$I33,'Producten &amp; tarieven'!CE$3:CE$7),"")</f>
        <v/>
      </c>
      <c r="CK33" s="78" t="str" cm="1">
        <f t="array" ref="CK33">IFERROR(MMULT($E33:$I33,'Producten &amp; tarieven'!CF$3:CF$7),"")</f>
        <v/>
      </c>
      <c r="CL33" s="78" t="str" cm="1">
        <f t="array" ref="CL33">IFERROR(MMULT($E33:$I33,'Producten &amp; tarieven'!CG$3:CG$7),"")</f>
        <v/>
      </c>
      <c r="CM33" s="78" t="str" cm="1">
        <f t="array" ref="CM33">IFERROR(MMULT($E33:$I33,'Producten &amp; tarieven'!CH$3:CH$7),"")</f>
        <v/>
      </c>
      <c r="CN33" s="78" t="str" cm="1">
        <f t="array" ref="CN33">IFERROR(MMULT($E33:$I33,'Producten &amp; tarieven'!CI$3:CI$7),"")</f>
        <v/>
      </c>
      <c r="CO33" s="78" t="str" cm="1">
        <f t="array" ref="CO33">IFERROR(MMULT($E33:$I33,'Producten &amp; tarieven'!CJ$3:CJ$7),"")</f>
        <v/>
      </c>
      <c r="CP33" s="78" t="str" cm="1">
        <f t="array" ref="CP33">IFERROR(MMULT($E33:$I33,'Producten &amp; tarieven'!CK$3:CK$7),"")</f>
        <v/>
      </c>
      <c r="CQ33" s="78" t="str" cm="1">
        <f t="array" ref="CQ33">IFERROR(MMULT($E33:$I33,'Producten &amp; tarieven'!CL$3:CL$7),"")</f>
        <v/>
      </c>
      <c r="CR33" s="78" t="str" cm="1">
        <f t="array" ref="CR33">IFERROR(MMULT($E33:$I33,'Producten &amp; tarieven'!CM$3:CM$7),"")</f>
        <v/>
      </c>
      <c r="CS33" s="78" t="str" cm="1">
        <f t="array" ref="CS33">IFERROR(MMULT($E33:$I33,'Producten &amp; tarieven'!CN$3:CN$7),"")</f>
        <v/>
      </c>
      <c r="CT33" s="78" t="str" cm="1">
        <f t="array" ref="CT33">IFERROR(MMULT($E33:$I33,'Producten &amp; tarieven'!CO$3:CO$7),"")</f>
        <v/>
      </c>
      <c r="CU33" s="78" t="str" cm="1">
        <f t="array" ref="CU33">IFERROR(MMULT($E33:$I33,'Producten &amp; tarieven'!CP$3:CP$7),"")</f>
        <v/>
      </c>
      <c r="CV33" s="78" t="str" cm="1">
        <f t="array" ref="CV33">IFERROR(MMULT($E33:$I33,'Producten &amp; tarieven'!CQ$3:CQ$7),"")</f>
        <v/>
      </c>
      <c r="CW33" s="78" t="str" cm="1">
        <f t="array" ref="CW33">IFERROR(MMULT($E33:$I33,'Producten &amp; tarieven'!CR$3:CR$7),"")</f>
        <v/>
      </c>
      <c r="CX33" s="78" t="str" cm="1">
        <f t="array" ref="CX33">IFERROR(MMULT($E33:$I33,'Producten &amp; tarieven'!CS$3:CS$7),"")</f>
        <v/>
      </c>
      <c r="CY33" s="78" t="str" cm="1">
        <f t="array" ref="CY33">IFERROR(MMULT($E33:$I33,'Producten &amp; tarieven'!CT$3:CT$7),"")</f>
        <v/>
      </c>
      <c r="CZ33" s="78" t="str" cm="1">
        <f t="array" ref="CZ33">IFERROR(MMULT($E33:$I33,'Producten &amp; tarieven'!CU$3:CU$7),"")</f>
        <v/>
      </c>
      <c r="DA33" s="78" t="str" cm="1">
        <f t="array" ref="DA33">IFERROR(MMULT($E33:$I33,'Producten &amp; tarieven'!CV$3:CV$7),"")</f>
        <v/>
      </c>
      <c r="DB33" s="78" t="str" cm="1">
        <f t="array" ref="DB33">IFERROR(MMULT($E33:$I33,'Producten &amp; tarieven'!CW$3:CW$7),"")</f>
        <v/>
      </c>
      <c r="DC33" s="78" t="str" cm="1">
        <f t="array" ref="DC33">IFERROR(MMULT($E33:$I33,'Producten &amp; tarieven'!CX$3:CX$7),"")</f>
        <v/>
      </c>
      <c r="DD33" s="78" t="str" cm="1">
        <f t="array" ref="DD33">IFERROR(MMULT($E33:$I33,'Producten &amp; tarieven'!CY$3:CY$7),"")</f>
        <v/>
      </c>
      <c r="DE33" s="440" t="str" cm="1">
        <f t="array" ref="DE33">IFERROR(MMULT($E33:$I33,'Producten &amp; tarieven'!CZ$3:CZ$7),"")</f>
        <v/>
      </c>
      <c r="DF33" s="448"/>
    </row>
    <row r="34" spans="1:110" ht="17.399999999999999">
      <c r="A34" s="447"/>
      <c r="B34" s="1029" t="s">
        <v>18</v>
      </c>
      <c r="C34" s="248" t="s">
        <v>19</v>
      </c>
      <c r="D34" s="249" t="s">
        <v>170</v>
      </c>
      <c r="E34" s="419">
        <f>D13</f>
        <v>2976.4226000000003</v>
      </c>
      <c r="F34" s="422">
        <f>G13</f>
        <v>2997.2586000000001</v>
      </c>
      <c r="G34" s="538"/>
      <c r="H34" s="428">
        <f t="shared" si="0"/>
        <v>2966.0254360000004</v>
      </c>
      <c r="I34" s="538"/>
      <c r="J34" s="78" t="str" cm="1">
        <f t="array" ref="J34">IFERROR(MMULT($E34:$I34,'Producten &amp; tarieven'!F$3:F$7),"")</f>
        <v/>
      </c>
      <c r="K34" s="78" t="str" cm="1">
        <f t="array" ref="K34">IFERROR(MMULT($E34:$I34,'Producten &amp; tarieven'!G$3:G$7),"")</f>
        <v/>
      </c>
      <c r="L34" s="78" t="str" cm="1">
        <f t="array" ref="L34">IFERROR(MMULT($E34:$I34,'Producten &amp; tarieven'!#REF!),"")</f>
        <v/>
      </c>
      <c r="M34" s="78" t="str" cm="1">
        <f t="array" ref="M34">IFERROR(MMULT($E34:$I34,'Producten &amp; tarieven'!H$3:H$7),"")</f>
        <v/>
      </c>
      <c r="N34" s="78" t="str" cm="1">
        <f t="array" ref="N34">IFERROR(MMULT($E34:$I34,'Producten &amp; tarieven'!I$3:I$7),"")</f>
        <v/>
      </c>
      <c r="O34" s="78" t="str" cm="1">
        <f t="array" ref="O34">IFERROR(MMULT($E34:$I34,'Producten &amp; tarieven'!J$3:J$7),"")</f>
        <v/>
      </c>
      <c r="P34" s="78" t="str" cm="1">
        <f t="array" ref="P34">IFERROR(MMULT($E34:$I34,'Producten &amp; tarieven'!K$3:K$7),"")</f>
        <v/>
      </c>
      <c r="Q34" s="78" t="str" cm="1">
        <f t="array" ref="Q34">IFERROR(MMULT($E34:$I34,'Producten &amp; tarieven'!L$3:L$7),"")</f>
        <v/>
      </c>
      <c r="R34" s="78" t="str" cm="1">
        <f t="array" ref="R34">IFERROR(MMULT($E34:$I34,'Producten &amp; tarieven'!M$3:M$7),"")</f>
        <v/>
      </c>
      <c r="S34" s="78" t="str" cm="1">
        <f t="array" ref="S34">IFERROR(MMULT($E34:$I34,'Producten &amp; tarieven'!N$3:N$7),"")</f>
        <v/>
      </c>
      <c r="T34" s="78" t="str" cm="1">
        <f t="array" ref="T34">IFERROR(MMULT($E34:$I34,'Producten &amp; tarieven'!O$3:O$7),"")</f>
        <v/>
      </c>
      <c r="U34" s="78" t="str" cm="1">
        <f t="array" ref="U34">IFERROR(MMULT($E34:$I34,'Producten &amp; tarieven'!P$3:P$7),"")</f>
        <v/>
      </c>
      <c r="V34" s="78" t="str" cm="1">
        <f t="array" ref="V34">IFERROR(MMULT($E34:$I34,'Producten &amp; tarieven'!Q$3:Q$7),"")</f>
        <v/>
      </c>
      <c r="W34" s="78" t="str" cm="1">
        <f t="array" ref="W34">IFERROR(MMULT($E34:$I34,'Producten &amp; tarieven'!R$3:R$7),"")</f>
        <v/>
      </c>
      <c r="X34" s="78" t="str" cm="1">
        <f t="array" ref="X34">IFERROR(MMULT($E34:$I34,'Producten &amp; tarieven'!S$3:S$7),"")</f>
        <v/>
      </c>
      <c r="Y34" s="78" t="str" cm="1">
        <f t="array" ref="Y34">IFERROR(MMULT($E34:$I34,'Producten &amp; tarieven'!T$3:T$7),"")</f>
        <v/>
      </c>
      <c r="Z34" s="78" t="str" cm="1">
        <f t="array" ref="Z34">IFERROR(MMULT($E34:$I34,'Producten &amp; tarieven'!U$3:U$7),"")</f>
        <v/>
      </c>
      <c r="AA34" s="78" t="str" cm="1">
        <f t="array" ref="AA34">IFERROR(MMULT($E34:$I34,'Producten &amp; tarieven'!V$3:V$7),"")</f>
        <v/>
      </c>
      <c r="AB34" s="78" t="str" cm="1">
        <f t="array" ref="AB34">IFERROR(MMULT($E34:$I34,'Producten &amp; tarieven'!W$3:W$7),"")</f>
        <v/>
      </c>
      <c r="AC34" s="78" t="str" cm="1">
        <f t="array" ref="AC34">IFERROR(MMULT($E34:$I34,'Producten &amp; tarieven'!X$3:X$7),"")</f>
        <v/>
      </c>
      <c r="AD34" s="78" t="str" cm="1">
        <f t="array" ref="AD34">IFERROR(MMULT($E34:$I34,'Producten &amp; tarieven'!Y$3:Y$7),"")</f>
        <v/>
      </c>
      <c r="AE34" s="78" t="str" cm="1">
        <f t="array" ref="AE34">IFERROR(MMULT($E34:$I34,'Producten &amp; tarieven'!Z$3:Z$7),"")</f>
        <v/>
      </c>
      <c r="AF34" s="78" t="str" cm="1">
        <f t="array" ref="AF34">IFERROR(MMULT($E34:$I34,'Producten &amp; tarieven'!AA$3:AA$7),"")</f>
        <v/>
      </c>
      <c r="AG34" s="78" t="str" cm="1">
        <f t="array" ref="AG34">IFERROR(MMULT($E34:$I34,'Producten &amp; tarieven'!AB$3:AB$7),"")</f>
        <v/>
      </c>
      <c r="AH34" s="78" t="str" cm="1">
        <f t="array" ref="AH34">IFERROR(MMULT($E34:$I34,'Producten &amp; tarieven'!AC$3:AC$7),"")</f>
        <v/>
      </c>
      <c r="AI34" s="78" t="str" cm="1">
        <f t="array" ref="AI34">IFERROR(MMULT($E34:$I34,'Producten &amp; tarieven'!AD$3:AD$7),"")</f>
        <v/>
      </c>
      <c r="AJ34" s="78" t="str" cm="1">
        <f t="array" ref="AJ34">IFERROR(MMULT($E34:$I34,'Producten &amp; tarieven'!AE$3:AE$7),"")</f>
        <v/>
      </c>
      <c r="AK34" s="78" t="str" cm="1">
        <f t="array" ref="AK34">IFERROR(MMULT($E34:$I34,'Producten &amp; tarieven'!AF$3:AF$7),"")</f>
        <v/>
      </c>
      <c r="AL34" s="78" t="str" cm="1">
        <f t="array" ref="AL34">IFERROR(MMULT($E34:$I34,'Producten &amp; tarieven'!AG$3:AG$7),"")</f>
        <v/>
      </c>
      <c r="AM34" s="78" t="str" cm="1">
        <f t="array" ref="AM34">IFERROR(MMULT($E34:$I34,'Producten &amp; tarieven'!AH$3:AH$7),"")</f>
        <v/>
      </c>
      <c r="AN34" s="78" t="str" cm="1">
        <f t="array" ref="AN34">IFERROR(MMULT($E34:$I34,'Producten &amp; tarieven'!AI$3:AI$7),"")</f>
        <v/>
      </c>
      <c r="AO34" s="78" t="str" cm="1">
        <f t="array" ref="AO34">IFERROR(MMULT($E34:$I34,'Producten &amp; tarieven'!AJ$3:AJ$7),"")</f>
        <v/>
      </c>
      <c r="AP34" s="78" t="str" cm="1">
        <f t="array" ref="AP34">IFERROR(MMULT($E34:$I34,'Producten &amp; tarieven'!AK$3:AK$7),"")</f>
        <v/>
      </c>
      <c r="AQ34" s="78" t="str" cm="1">
        <f t="array" ref="AQ34">IFERROR(MMULT($E34:$I34,'Producten &amp; tarieven'!AL$3:AL$7),"")</f>
        <v/>
      </c>
      <c r="AR34" s="78" t="str" cm="1">
        <f t="array" ref="AR34">IFERROR(MMULT($E34:$I34,'Producten &amp; tarieven'!AM$3:AM$7),"")</f>
        <v/>
      </c>
      <c r="AS34" s="78" t="str" cm="1">
        <f t="array" ref="AS34">IFERROR(MMULT($E34:$I34,'Producten &amp; tarieven'!AN$3:AN$7),"")</f>
        <v/>
      </c>
      <c r="AT34" s="78" t="str" cm="1">
        <f t="array" ref="AT34">IFERROR(MMULT($E34:$I34,'Producten &amp; tarieven'!AO$3:AO$7),"")</f>
        <v/>
      </c>
      <c r="AU34" s="78" t="str" cm="1">
        <f t="array" ref="AU34">IFERROR(MMULT($E34:$I34,'Producten &amp; tarieven'!AP$3:AP$7),"")</f>
        <v/>
      </c>
      <c r="AV34" s="78" t="str" cm="1">
        <f t="array" ref="AV34">IFERROR(MMULT($E34:$I34,'Producten &amp; tarieven'!AQ$3:AQ$7),"")</f>
        <v/>
      </c>
      <c r="AW34" s="78" t="str" cm="1">
        <f t="array" ref="AW34">IFERROR(MMULT($E34:$I34,'Producten &amp; tarieven'!AR$3:AR$7),"")</f>
        <v/>
      </c>
      <c r="AX34" s="78" t="str" cm="1">
        <f t="array" ref="AX34">IFERROR(MMULT($E34:$I34,'Producten &amp; tarieven'!AS$3:AS$7),"")</f>
        <v/>
      </c>
      <c r="AY34" s="78" t="str" cm="1">
        <f t="array" ref="AY34">IFERROR(MMULT($E34:$I34,'Producten &amp; tarieven'!AT$3:AT$7),"")</f>
        <v/>
      </c>
      <c r="AZ34" s="78" t="str" cm="1">
        <f t="array" ref="AZ34">IFERROR(MMULT($E34:$I34,'Producten &amp; tarieven'!AU$3:AU$7),"")</f>
        <v/>
      </c>
      <c r="BA34" s="78" t="str" cm="1">
        <f t="array" ref="BA34">IFERROR(MMULT($E34:$I34,'Producten &amp; tarieven'!AV$3:AV$7),"")</f>
        <v/>
      </c>
      <c r="BB34" s="78" t="str" cm="1">
        <f t="array" ref="BB34">IFERROR(MMULT($E34:$I34,'Producten &amp; tarieven'!AW$3:AW$7),"")</f>
        <v/>
      </c>
      <c r="BC34" s="78" t="str" cm="1">
        <f t="array" ref="BC34">IFERROR(MMULT($E34:$I34,'Producten &amp; tarieven'!AX$3:AX$7),"")</f>
        <v/>
      </c>
      <c r="BD34" s="78" t="str" cm="1">
        <f t="array" ref="BD34">IFERROR(MMULT($E34:$I34,'Producten &amp; tarieven'!AY$3:AY$7),"")</f>
        <v/>
      </c>
      <c r="BE34" s="78" t="str" cm="1">
        <f t="array" ref="BE34">IFERROR(MMULT($E34:$I34,'Producten &amp; tarieven'!AZ$3:AZ$7),"")</f>
        <v/>
      </c>
      <c r="BF34" s="78" t="str" cm="1">
        <f t="array" ref="BF34">IFERROR(MMULT($E34:$I34,'Producten &amp; tarieven'!BA$3:BA$7),"")</f>
        <v/>
      </c>
      <c r="BG34" s="78" t="str" cm="1">
        <f t="array" ref="BG34">IFERROR(MMULT($E34:$I34,'Producten &amp; tarieven'!BB$3:BB$7),"")</f>
        <v/>
      </c>
      <c r="BH34" s="78" t="str" cm="1">
        <f t="array" ref="BH34">IFERROR(MMULT($E34:$I34,'Producten &amp; tarieven'!BC$3:BC$7),"")</f>
        <v/>
      </c>
      <c r="BI34" s="78" t="str" cm="1">
        <f t="array" ref="BI34">IFERROR(MMULT($E34:$I34,'Producten &amp; tarieven'!BD$3:BD$7),"")</f>
        <v/>
      </c>
      <c r="BJ34" s="78" t="str" cm="1">
        <f t="array" ref="BJ34">IFERROR(MMULT($E34:$I34,'Producten &amp; tarieven'!BE$3:BE$7),"")</f>
        <v/>
      </c>
      <c r="BK34" s="78" t="str" cm="1">
        <f t="array" ref="BK34">IFERROR(MMULT($E34:$I34,'Producten &amp; tarieven'!BF$3:BF$7),"")</f>
        <v/>
      </c>
      <c r="BL34" s="78" t="str" cm="1">
        <f t="array" ref="BL34">IFERROR(MMULT($E34:$I34,'Producten &amp; tarieven'!BG$3:BG$7),"")</f>
        <v/>
      </c>
      <c r="BM34" s="78" t="str" cm="1">
        <f t="array" ref="BM34">IFERROR(MMULT($E34:$I34,'Producten &amp; tarieven'!BH$3:BH$7),"")</f>
        <v/>
      </c>
      <c r="BN34" s="78" t="str" cm="1">
        <f t="array" ref="BN34">IFERROR(MMULT($E34:$I34,'Producten &amp; tarieven'!BI$3:BI$7),"")</f>
        <v/>
      </c>
      <c r="BO34" s="78" t="str" cm="1">
        <f t="array" ref="BO34">IFERROR(MMULT($E34:$I34,'Producten &amp; tarieven'!BJ$3:BJ$7),"")</f>
        <v/>
      </c>
      <c r="BP34" s="78" t="str" cm="1">
        <f t="array" ref="BP34">IFERROR(MMULT($E34:$I34,'Producten &amp; tarieven'!BK$3:BK$7),"")</f>
        <v/>
      </c>
      <c r="BQ34" s="78" t="str" cm="1">
        <f t="array" ref="BQ34">IFERROR(MMULT($E34:$I34,'Producten &amp; tarieven'!BL$3:BL$7),"")</f>
        <v/>
      </c>
      <c r="BR34" s="78" t="str" cm="1">
        <f t="array" ref="BR34">IFERROR(MMULT($E34:$I34,'Producten &amp; tarieven'!BM$3:BM$7),"")</f>
        <v/>
      </c>
      <c r="BS34" s="78" t="str" cm="1">
        <f t="array" ref="BS34">IFERROR(MMULT($E34:$I34,'Producten &amp; tarieven'!BN$3:BN$7),"")</f>
        <v/>
      </c>
      <c r="BT34" s="78" t="str" cm="1">
        <f t="array" ref="BT34">IFERROR(MMULT($E34:$I34,'Producten &amp; tarieven'!BO$3:BO$7),"")</f>
        <v/>
      </c>
      <c r="BU34" s="78" t="str" cm="1">
        <f t="array" ref="BU34">IFERROR(MMULT($E34:$I34,'Producten &amp; tarieven'!BP$3:BP$7),"")</f>
        <v/>
      </c>
      <c r="BV34" s="78" t="str" cm="1">
        <f t="array" ref="BV34">IFERROR(MMULT($E34:$I34,'Producten &amp; tarieven'!BQ$3:BQ$7),"")</f>
        <v/>
      </c>
      <c r="BW34" s="78" t="str" cm="1">
        <f t="array" ref="BW34">IFERROR(MMULT($E34:$I34,'Producten &amp; tarieven'!BR$3:BR$7),"")</f>
        <v/>
      </c>
      <c r="BX34" s="78" t="str" cm="1">
        <f t="array" ref="BX34">IFERROR(MMULT($E34:$I34,'Producten &amp; tarieven'!BS$3:BS$7),"")</f>
        <v/>
      </c>
      <c r="BY34" s="78" t="str" cm="1">
        <f t="array" ref="BY34">IFERROR(MMULT($E34:$I34,'Producten &amp; tarieven'!BT$3:BT$7),"")</f>
        <v/>
      </c>
      <c r="BZ34" s="78" t="str" cm="1">
        <f t="array" ref="BZ34">IFERROR(MMULT($E34:$I34,'Producten &amp; tarieven'!BU$3:BU$7),"")</f>
        <v/>
      </c>
      <c r="CA34" s="78" t="str" cm="1">
        <f t="array" ref="CA34">IFERROR(MMULT($E34:$I34,'Producten &amp; tarieven'!BV$3:BV$7),"")</f>
        <v/>
      </c>
      <c r="CB34" s="78" t="str" cm="1">
        <f t="array" ref="CB34">IFERROR(MMULT($E34:$I34,'Producten &amp; tarieven'!BW$3:BW$7),"")</f>
        <v/>
      </c>
      <c r="CC34" s="78" t="str" cm="1">
        <f t="array" ref="CC34">IFERROR(MMULT($E34:$I34,'Producten &amp; tarieven'!BX$3:BX$7),"")</f>
        <v/>
      </c>
      <c r="CD34" s="78" t="str" cm="1">
        <f t="array" ref="CD34">IFERROR(MMULT($E34:$I34,'Producten &amp; tarieven'!BY$3:BY$7),"")</f>
        <v/>
      </c>
      <c r="CE34" s="78" t="str" cm="1">
        <f t="array" ref="CE34">IFERROR(MMULT($E34:$I34,'Producten &amp; tarieven'!BZ$3:BZ$7),"")</f>
        <v/>
      </c>
      <c r="CF34" s="78" t="str" cm="1">
        <f t="array" ref="CF34">IFERROR(MMULT($E34:$I34,'Producten &amp; tarieven'!CA$3:CA$7),"")</f>
        <v/>
      </c>
      <c r="CG34" s="78" t="str" cm="1">
        <f t="array" ref="CG34">IFERROR(MMULT($E34:$I34,'Producten &amp; tarieven'!CB$3:CB$7),"")</f>
        <v/>
      </c>
      <c r="CH34" s="78" t="str" cm="1">
        <f t="array" ref="CH34">IFERROR(MMULT($E34:$I34,'Producten &amp; tarieven'!CC$3:CC$7),"")</f>
        <v/>
      </c>
      <c r="CI34" s="78" t="str" cm="1">
        <f t="array" ref="CI34">IFERROR(MMULT($E34:$I34,'Producten &amp; tarieven'!CD$3:CD$7),"")</f>
        <v/>
      </c>
      <c r="CJ34" s="78" t="str" cm="1">
        <f t="array" ref="CJ34">IFERROR(MMULT($E34:$I34,'Producten &amp; tarieven'!CE$3:CE$7),"")</f>
        <v/>
      </c>
      <c r="CK34" s="78" t="str" cm="1">
        <f t="array" ref="CK34">IFERROR(MMULT($E34:$I34,'Producten &amp; tarieven'!CF$3:CF$7),"")</f>
        <v/>
      </c>
      <c r="CL34" s="78" t="str" cm="1">
        <f t="array" ref="CL34">IFERROR(MMULT($E34:$I34,'Producten &amp; tarieven'!CG$3:CG$7),"")</f>
        <v/>
      </c>
      <c r="CM34" s="78" t="str" cm="1">
        <f t="array" ref="CM34">IFERROR(MMULT($E34:$I34,'Producten &amp; tarieven'!CH$3:CH$7),"")</f>
        <v/>
      </c>
      <c r="CN34" s="78" t="str" cm="1">
        <f t="array" ref="CN34">IFERROR(MMULT($E34:$I34,'Producten &amp; tarieven'!CI$3:CI$7),"")</f>
        <v/>
      </c>
      <c r="CO34" s="78" t="str" cm="1">
        <f t="array" ref="CO34">IFERROR(MMULT($E34:$I34,'Producten &amp; tarieven'!CJ$3:CJ$7),"")</f>
        <v/>
      </c>
      <c r="CP34" s="78" t="str" cm="1">
        <f t="array" ref="CP34">IFERROR(MMULT($E34:$I34,'Producten &amp; tarieven'!CK$3:CK$7),"")</f>
        <v/>
      </c>
      <c r="CQ34" s="78" t="str" cm="1">
        <f t="array" ref="CQ34">IFERROR(MMULT($E34:$I34,'Producten &amp; tarieven'!CL$3:CL$7),"")</f>
        <v/>
      </c>
      <c r="CR34" s="78" t="str" cm="1">
        <f t="array" ref="CR34">IFERROR(MMULT($E34:$I34,'Producten &amp; tarieven'!CM$3:CM$7),"")</f>
        <v/>
      </c>
      <c r="CS34" s="78" t="str" cm="1">
        <f t="array" ref="CS34">IFERROR(MMULT($E34:$I34,'Producten &amp; tarieven'!CN$3:CN$7),"")</f>
        <v/>
      </c>
      <c r="CT34" s="78" t="str" cm="1">
        <f t="array" ref="CT34">IFERROR(MMULT($E34:$I34,'Producten &amp; tarieven'!CO$3:CO$7),"")</f>
        <v/>
      </c>
      <c r="CU34" s="78" t="str" cm="1">
        <f t="array" ref="CU34">IFERROR(MMULT($E34:$I34,'Producten &amp; tarieven'!CP$3:CP$7),"")</f>
        <v/>
      </c>
      <c r="CV34" s="78" t="str" cm="1">
        <f t="array" ref="CV34">IFERROR(MMULT($E34:$I34,'Producten &amp; tarieven'!CQ$3:CQ$7),"")</f>
        <v/>
      </c>
      <c r="CW34" s="78" t="str" cm="1">
        <f t="array" ref="CW34">IFERROR(MMULT($E34:$I34,'Producten &amp; tarieven'!CR$3:CR$7),"")</f>
        <v/>
      </c>
      <c r="CX34" s="78" t="str" cm="1">
        <f t="array" ref="CX34">IFERROR(MMULT($E34:$I34,'Producten &amp; tarieven'!CS$3:CS$7),"")</f>
        <v/>
      </c>
      <c r="CY34" s="78" t="str" cm="1">
        <f t="array" ref="CY34">IFERROR(MMULT($E34:$I34,'Producten &amp; tarieven'!CT$3:CT$7),"")</f>
        <v/>
      </c>
      <c r="CZ34" s="78" t="str" cm="1">
        <f t="array" ref="CZ34">IFERROR(MMULT($E34:$I34,'Producten &amp; tarieven'!CU$3:CU$7),"")</f>
        <v/>
      </c>
      <c r="DA34" s="78" t="str" cm="1">
        <f t="array" ref="DA34">IFERROR(MMULT($E34:$I34,'Producten &amp; tarieven'!CV$3:CV$7),"")</f>
        <v/>
      </c>
      <c r="DB34" s="78" t="str" cm="1">
        <f t="array" ref="DB34">IFERROR(MMULT($E34:$I34,'Producten &amp; tarieven'!CW$3:CW$7),"")</f>
        <v/>
      </c>
      <c r="DC34" s="78" t="str" cm="1">
        <f t="array" ref="DC34">IFERROR(MMULT($E34:$I34,'Producten &amp; tarieven'!CX$3:CX$7),"")</f>
        <v/>
      </c>
      <c r="DD34" s="78" t="str" cm="1">
        <f t="array" ref="DD34">IFERROR(MMULT($E34:$I34,'Producten &amp; tarieven'!CY$3:CY$7),"")</f>
        <v/>
      </c>
      <c r="DE34" s="440" t="str" cm="1">
        <f t="array" ref="DE34">IFERROR(MMULT($E34:$I34,'Producten &amp; tarieven'!CZ$3:CZ$7),"")</f>
        <v/>
      </c>
      <c r="DF34" s="448"/>
    </row>
    <row r="35" spans="1:110" ht="17.399999999999999">
      <c r="A35" s="447"/>
      <c r="B35" s="1030"/>
      <c r="C35" s="153" t="s">
        <v>21</v>
      </c>
      <c r="D35" s="244" t="s">
        <v>20</v>
      </c>
      <c r="E35" s="420">
        <f t="shared" ref="E35:E43" si="1">D14</f>
        <v>3114.982</v>
      </c>
      <c r="F35" s="423">
        <f t="shared" ref="F35:F45" si="2">G14</f>
        <v>3154.5704000000001</v>
      </c>
      <c r="G35" s="424">
        <f>J14</f>
        <v>3214.9948000000004</v>
      </c>
      <c r="H35" s="429">
        <f t="shared" si="0"/>
        <v>3129.4213480000003</v>
      </c>
      <c r="I35" s="431">
        <f>P14</f>
        <v>3023.3107311210001</v>
      </c>
      <c r="J35" s="78" cm="1">
        <f t="array" ref="J35">IFERROR(MMULT($E35:$I35,'Producten &amp; tarieven'!F$3:F$7),"")</f>
        <v>3214.9948000000004</v>
      </c>
      <c r="K35" s="78" t="str" cm="1">
        <f t="array" ref="K35">IFERROR(MMULT($E35:$I35,'Producten &amp; tarieven'!G$3:G$7),"")</f>
        <v/>
      </c>
      <c r="L35" s="78" t="str" cm="1">
        <f t="array" ref="L35">IFERROR(MMULT($E35:$I35,'Producten &amp; tarieven'!#REF!),"")</f>
        <v/>
      </c>
      <c r="M35" s="78" t="str" cm="1">
        <f t="array" ref="M35">IFERROR(MMULT($E35:$I35,'Producten &amp; tarieven'!H$3:H$7),"")</f>
        <v/>
      </c>
      <c r="N35" s="78" t="str" cm="1">
        <f t="array" ref="N35">IFERROR(MMULT($E35:$I35,'Producten &amp; tarieven'!I$3:I$7),"")</f>
        <v/>
      </c>
      <c r="O35" s="78" t="str" cm="1">
        <f t="array" ref="O35">IFERROR(MMULT($E35:$I35,'Producten &amp; tarieven'!J$3:J$7),"")</f>
        <v/>
      </c>
      <c r="P35" s="78" t="str" cm="1">
        <f t="array" ref="P35">IFERROR(MMULT($E35:$I35,'Producten &amp; tarieven'!K$3:K$7),"")</f>
        <v/>
      </c>
      <c r="Q35" s="78" t="str" cm="1">
        <f t="array" ref="Q35">IFERROR(MMULT($E35:$I35,'Producten &amp; tarieven'!L$3:L$7),"")</f>
        <v/>
      </c>
      <c r="R35" s="78" t="str" cm="1">
        <f t="array" ref="R35">IFERROR(MMULT($E35:$I35,'Producten &amp; tarieven'!M$3:M$7),"")</f>
        <v/>
      </c>
      <c r="S35" s="78" t="str" cm="1">
        <f t="array" ref="S35">IFERROR(MMULT($E35:$I35,'Producten &amp; tarieven'!N$3:N$7),"")</f>
        <v/>
      </c>
      <c r="T35" s="78" t="str" cm="1">
        <f t="array" ref="T35">IFERROR(MMULT($E35:$I35,'Producten &amp; tarieven'!O$3:O$7),"")</f>
        <v/>
      </c>
      <c r="U35" s="78" t="str" cm="1">
        <f t="array" ref="U35">IFERROR(MMULT($E35:$I35,'Producten &amp; tarieven'!P$3:P$7),"")</f>
        <v/>
      </c>
      <c r="V35" s="78" t="str" cm="1">
        <f t="array" ref="V35">IFERROR(MMULT($E35:$I35,'Producten &amp; tarieven'!Q$3:Q$7),"")</f>
        <v/>
      </c>
      <c r="W35" s="78" t="str" cm="1">
        <f t="array" ref="W35">IFERROR(MMULT($E35:$I35,'Producten &amp; tarieven'!R$3:R$7),"")</f>
        <v/>
      </c>
      <c r="X35" s="78" t="str" cm="1">
        <f t="array" ref="X35">IFERROR(MMULT($E35:$I35,'Producten &amp; tarieven'!S$3:S$7),"")</f>
        <v/>
      </c>
      <c r="Y35" s="78" t="str" cm="1">
        <f t="array" ref="Y35">IFERROR(MMULT($E35:$I35,'Producten &amp; tarieven'!T$3:T$7),"")</f>
        <v/>
      </c>
      <c r="Z35" s="78" t="str" cm="1">
        <f t="array" ref="Z35">IFERROR(MMULT($E35:$I35,'Producten &amp; tarieven'!U$3:U$7),"")</f>
        <v/>
      </c>
      <c r="AA35" s="78" t="str" cm="1">
        <f t="array" ref="AA35">IFERROR(MMULT($E35:$I35,'Producten &amp; tarieven'!V$3:V$7),"")</f>
        <v/>
      </c>
      <c r="AB35" s="78" t="str" cm="1">
        <f t="array" ref="AB35">IFERROR(MMULT($E35:$I35,'Producten &amp; tarieven'!W$3:W$7),"")</f>
        <v/>
      </c>
      <c r="AC35" s="78" t="str" cm="1">
        <f t="array" ref="AC35">IFERROR(MMULT($E35:$I35,'Producten &amp; tarieven'!X$3:X$7),"")</f>
        <v/>
      </c>
      <c r="AD35" s="78" t="str" cm="1">
        <f t="array" ref="AD35">IFERROR(MMULT($E35:$I35,'Producten &amp; tarieven'!Y$3:Y$7),"")</f>
        <v/>
      </c>
      <c r="AE35" s="78" t="str" cm="1">
        <f t="array" ref="AE35">IFERROR(MMULT($E35:$I35,'Producten &amp; tarieven'!Z$3:Z$7),"")</f>
        <v/>
      </c>
      <c r="AF35" s="78" t="str" cm="1">
        <f t="array" ref="AF35">IFERROR(MMULT($E35:$I35,'Producten &amp; tarieven'!AA$3:AA$7),"")</f>
        <v/>
      </c>
      <c r="AG35" s="78" t="str" cm="1">
        <f t="array" ref="AG35">IFERROR(MMULT($E35:$I35,'Producten &amp; tarieven'!AB$3:AB$7),"")</f>
        <v/>
      </c>
      <c r="AH35" s="78" t="str" cm="1">
        <f t="array" ref="AH35">IFERROR(MMULT($E35:$I35,'Producten &amp; tarieven'!AC$3:AC$7),"")</f>
        <v/>
      </c>
      <c r="AI35" s="78" t="str" cm="1">
        <f t="array" ref="AI35">IFERROR(MMULT($E35:$I35,'Producten &amp; tarieven'!AD$3:AD$7),"")</f>
        <v/>
      </c>
      <c r="AJ35" s="78" t="str" cm="1">
        <f t="array" ref="AJ35">IFERROR(MMULT($E35:$I35,'Producten &amp; tarieven'!AE$3:AE$7),"")</f>
        <v/>
      </c>
      <c r="AK35" s="78" t="str" cm="1">
        <f t="array" ref="AK35">IFERROR(MMULT($E35:$I35,'Producten &amp; tarieven'!AF$3:AF$7),"")</f>
        <v/>
      </c>
      <c r="AL35" s="78" t="str" cm="1">
        <f t="array" ref="AL35">IFERROR(MMULT($E35:$I35,'Producten &amp; tarieven'!AG$3:AG$7),"")</f>
        <v/>
      </c>
      <c r="AM35" s="78" t="str" cm="1">
        <f t="array" ref="AM35">IFERROR(MMULT($E35:$I35,'Producten &amp; tarieven'!AH$3:AH$7),"")</f>
        <v/>
      </c>
      <c r="AN35" s="78" t="str" cm="1">
        <f t="array" ref="AN35">IFERROR(MMULT($E35:$I35,'Producten &amp; tarieven'!AI$3:AI$7),"")</f>
        <v/>
      </c>
      <c r="AO35" s="78" t="str" cm="1">
        <f t="array" ref="AO35">IFERROR(MMULT($E35:$I35,'Producten &amp; tarieven'!AJ$3:AJ$7),"")</f>
        <v/>
      </c>
      <c r="AP35" s="78" t="str" cm="1">
        <f t="array" ref="AP35">IFERROR(MMULT($E35:$I35,'Producten &amp; tarieven'!AK$3:AK$7),"")</f>
        <v/>
      </c>
      <c r="AQ35" s="78" t="str" cm="1">
        <f t="array" ref="AQ35">IFERROR(MMULT($E35:$I35,'Producten &amp; tarieven'!AL$3:AL$7),"")</f>
        <v/>
      </c>
      <c r="AR35" s="78" t="str" cm="1">
        <f t="array" ref="AR35">IFERROR(MMULT($E35:$I35,'Producten &amp; tarieven'!AM$3:AM$7),"")</f>
        <v/>
      </c>
      <c r="AS35" s="78" t="str" cm="1">
        <f t="array" ref="AS35">IFERROR(MMULT($E35:$I35,'Producten &amp; tarieven'!AN$3:AN$7),"")</f>
        <v/>
      </c>
      <c r="AT35" s="78" t="str" cm="1">
        <f t="array" ref="AT35">IFERROR(MMULT($E35:$I35,'Producten &amp; tarieven'!AO$3:AO$7),"")</f>
        <v/>
      </c>
      <c r="AU35" s="78" t="str" cm="1">
        <f t="array" ref="AU35">IFERROR(MMULT($E35:$I35,'Producten &amp; tarieven'!AP$3:AP$7),"")</f>
        <v/>
      </c>
      <c r="AV35" s="78" t="str" cm="1">
        <f t="array" ref="AV35">IFERROR(MMULT($E35:$I35,'Producten &amp; tarieven'!AQ$3:AQ$7),"")</f>
        <v/>
      </c>
      <c r="AW35" s="78" t="str" cm="1">
        <f t="array" ref="AW35">IFERROR(MMULT($E35:$I35,'Producten &amp; tarieven'!AR$3:AR$7),"")</f>
        <v/>
      </c>
      <c r="AX35" s="78" t="str" cm="1">
        <f t="array" ref="AX35">IFERROR(MMULT($E35:$I35,'Producten &amp; tarieven'!AS$3:AS$7),"")</f>
        <v/>
      </c>
      <c r="AY35" s="78" t="str" cm="1">
        <f t="array" ref="AY35">IFERROR(MMULT($E35:$I35,'Producten &amp; tarieven'!AT$3:AT$7),"")</f>
        <v/>
      </c>
      <c r="AZ35" s="78" t="str" cm="1">
        <f t="array" ref="AZ35">IFERROR(MMULT($E35:$I35,'Producten &amp; tarieven'!AU$3:AU$7),"")</f>
        <v/>
      </c>
      <c r="BA35" s="78" t="str" cm="1">
        <f t="array" ref="BA35">IFERROR(MMULT($E35:$I35,'Producten &amp; tarieven'!AV$3:AV$7),"")</f>
        <v/>
      </c>
      <c r="BB35" s="78" t="str" cm="1">
        <f t="array" ref="BB35">IFERROR(MMULT($E35:$I35,'Producten &amp; tarieven'!AW$3:AW$7),"")</f>
        <v/>
      </c>
      <c r="BC35" s="78" t="str" cm="1">
        <f t="array" ref="BC35">IFERROR(MMULT($E35:$I35,'Producten &amp; tarieven'!AX$3:AX$7),"")</f>
        <v/>
      </c>
      <c r="BD35" s="78" t="str" cm="1">
        <f t="array" ref="BD35">IFERROR(MMULT($E35:$I35,'Producten &amp; tarieven'!AY$3:AY$7),"")</f>
        <v/>
      </c>
      <c r="BE35" s="78" t="str" cm="1">
        <f t="array" ref="BE35">IFERROR(MMULT($E35:$I35,'Producten &amp; tarieven'!AZ$3:AZ$7),"")</f>
        <v/>
      </c>
      <c r="BF35" s="78" t="str" cm="1">
        <f t="array" ref="BF35">IFERROR(MMULT($E35:$I35,'Producten &amp; tarieven'!BA$3:BA$7),"")</f>
        <v/>
      </c>
      <c r="BG35" s="78" t="str" cm="1">
        <f t="array" ref="BG35">IFERROR(MMULT($E35:$I35,'Producten &amp; tarieven'!BB$3:BB$7),"")</f>
        <v/>
      </c>
      <c r="BH35" s="78" t="str" cm="1">
        <f t="array" ref="BH35">IFERROR(MMULT($E35:$I35,'Producten &amp; tarieven'!BC$3:BC$7),"")</f>
        <v/>
      </c>
      <c r="BI35" s="78" t="str" cm="1">
        <f t="array" ref="BI35">IFERROR(MMULT($E35:$I35,'Producten &amp; tarieven'!BD$3:BD$7),"")</f>
        <v/>
      </c>
      <c r="BJ35" s="78" t="str" cm="1">
        <f t="array" ref="BJ35">IFERROR(MMULT($E35:$I35,'Producten &amp; tarieven'!BE$3:BE$7),"")</f>
        <v/>
      </c>
      <c r="BK35" s="78" t="str" cm="1">
        <f t="array" ref="BK35">IFERROR(MMULT($E35:$I35,'Producten &amp; tarieven'!BF$3:BF$7),"")</f>
        <v/>
      </c>
      <c r="BL35" s="78" t="str" cm="1">
        <f t="array" ref="BL35">IFERROR(MMULT($E35:$I35,'Producten &amp; tarieven'!BG$3:BG$7),"")</f>
        <v/>
      </c>
      <c r="BM35" s="78" t="str" cm="1">
        <f t="array" ref="BM35">IFERROR(MMULT($E35:$I35,'Producten &amp; tarieven'!BH$3:BH$7),"")</f>
        <v/>
      </c>
      <c r="BN35" s="78" t="str" cm="1">
        <f t="array" ref="BN35">IFERROR(MMULT($E35:$I35,'Producten &amp; tarieven'!BI$3:BI$7),"")</f>
        <v/>
      </c>
      <c r="BO35" s="78" t="str" cm="1">
        <f t="array" ref="BO35">IFERROR(MMULT($E35:$I35,'Producten &amp; tarieven'!BJ$3:BJ$7),"")</f>
        <v/>
      </c>
      <c r="BP35" s="78" t="str" cm="1">
        <f t="array" ref="BP35">IFERROR(MMULT($E35:$I35,'Producten &amp; tarieven'!BK$3:BK$7),"")</f>
        <v/>
      </c>
      <c r="BQ35" s="78" t="str" cm="1">
        <f t="array" ref="BQ35">IFERROR(MMULT($E35:$I35,'Producten &amp; tarieven'!BL$3:BL$7),"")</f>
        <v/>
      </c>
      <c r="BR35" s="78" t="str" cm="1">
        <f t="array" ref="BR35">IFERROR(MMULT($E35:$I35,'Producten &amp; tarieven'!BM$3:BM$7),"")</f>
        <v/>
      </c>
      <c r="BS35" s="78" t="str" cm="1">
        <f t="array" ref="BS35">IFERROR(MMULT($E35:$I35,'Producten &amp; tarieven'!BN$3:BN$7),"")</f>
        <v/>
      </c>
      <c r="BT35" s="78" t="str" cm="1">
        <f t="array" ref="BT35">IFERROR(MMULT($E35:$I35,'Producten &amp; tarieven'!BO$3:BO$7),"")</f>
        <v/>
      </c>
      <c r="BU35" s="78" t="str" cm="1">
        <f t="array" ref="BU35">IFERROR(MMULT($E35:$I35,'Producten &amp; tarieven'!BP$3:BP$7),"")</f>
        <v/>
      </c>
      <c r="BV35" s="78" t="str" cm="1">
        <f t="array" ref="BV35">IFERROR(MMULT($E35:$I35,'Producten &amp; tarieven'!BQ$3:BQ$7),"")</f>
        <v/>
      </c>
      <c r="BW35" s="78" t="str" cm="1">
        <f t="array" ref="BW35">IFERROR(MMULT($E35:$I35,'Producten &amp; tarieven'!BR$3:BR$7),"")</f>
        <v/>
      </c>
      <c r="BX35" s="78" t="str" cm="1">
        <f t="array" ref="BX35">IFERROR(MMULT($E35:$I35,'Producten &amp; tarieven'!BS$3:BS$7),"")</f>
        <v/>
      </c>
      <c r="BY35" s="78" t="str" cm="1">
        <f t="array" ref="BY35">IFERROR(MMULT($E35:$I35,'Producten &amp; tarieven'!BT$3:BT$7),"")</f>
        <v/>
      </c>
      <c r="BZ35" s="78" t="str" cm="1">
        <f t="array" ref="BZ35">IFERROR(MMULT($E35:$I35,'Producten &amp; tarieven'!BU$3:BU$7),"")</f>
        <v/>
      </c>
      <c r="CA35" s="78" t="str" cm="1">
        <f t="array" ref="CA35">IFERROR(MMULT($E35:$I35,'Producten &amp; tarieven'!BV$3:BV$7),"")</f>
        <v/>
      </c>
      <c r="CB35" s="78" t="str" cm="1">
        <f t="array" ref="CB35">IFERROR(MMULT($E35:$I35,'Producten &amp; tarieven'!BW$3:BW$7),"")</f>
        <v/>
      </c>
      <c r="CC35" s="78" t="str" cm="1">
        <f t="array" ref="CC35">IFERROR(MMULT($E35:$I35,'Producten &amp; tarieven'!BX$3:BX$7),"")</f>
        <v/>
      </c>
      <c r="CD35" s="78" t="str" cm="1">
        <f t="array" ref="CD35">IFERROR(MMULT($E35:$I35,'Producten &amp; tarieven'!BY$3:BY$7),"")</f>
        <v/>
      </c>
      <c r="CE35" s="78" t="str" cm="1">
        <f t="array" ref="CE35">IFERROR(MMULT($E35:$I35,'Producten &amp; tarieven'!BZ$3:BZ$7),"")</f>
        <v/>
      </c>
      <c r="CF35" s="78" t="str" cm="1">
        <f t="array" ref="CF35">IFERROR(MMULT($E35:$I35,'Producten &amp; tarieven'!CA$3:CA$7),"")</f>
        <v/>
      </c>
      <c r="CG35" s="78" t="str" cm="1">
        <f t="array" ref="CG35">IFERROR(MMULT($E35:$I35,'Producten &amp; tarieven'!CB$3:CB$7),"")</f>
        <v/>
      </c>
      <c r="CH35" s="78" t="str" cm="1">
        <f t="array" ref="CH35">IFERROR(MMULT($E35:$I35,'Producten &amp; tarieven'!CC$3:CC$7),"")</f>
        <v/>
      </c>
      <c r="CI35" s="78" t="str" cm="1">
        <f t="array" ref="CI35">IFERROR(MMULT($E35:$I35,'Producten &amp; tarieven'!CD$3:CD$7),"")</f>
        <v/>
      </c>
      <c r="CJ35" s="78" t="str" cm="1">
        <f t="array" ref="CJ35">IFERROR(MMULT($E35:$I35,'Producten &amp; tarieven'!CE$3:CE$7),"")</f>
        <v/>
      </c>
      <c r="CK35" s="78" t="str" cm="1">
        <f t="array" ref="CK35">IFERROR(MMULT($E35:$I35,'Producten &amp; tarieven'!CF$3:CF$7),"")</f>
        <v/>
      </c>
      <c r="CL35" s="78" t="str" cm="1">
        <f t="array" ref="CL35">IFERROR(MMULT($E35:$I35,'Producten &amp; tarieven'!CG$3:CG$7),"")</f>
        <v/>
      </c>
      <c r="CM35" s="78" t="str" cm="1">
        <f t="array" ref="CM35">IFERROR(MMULT($E35:$I35,'Producten &amp; tarieven'!CH$3:CH$7),"")</f>
        <v/>
      </c>
      <c r="CN35" s="78" t="str" cm="1">
        <f t="array" ref="CN35">IFERROR(MMULT($E35:$I35,'Producten &amp; tarieven'!CI$3:CI$7),"")</f>
        <v/>
      </c>
      <c r="CO35" s="78" t="str" cm="1">
        <f t="array" ref="CO35">IFERROR(MMULT($E35:$I35,'Producten &amp; tarieven'!CJ$3:CJ$7),"")</f>
        <v/>
      </c>
      <c r="CP35" s="78" t="str" cm="1">
        <f t="array" ref="CP35">IFERROR(MMULT($E35:$I35,'Producten &amp; tarieven'!CK$3:CK$7),"")</f>
        <v/>
      </c>
      <c r="CQ35" s="78" t="str" cm="1">
        <f t="array" ref="CQ35">IFERROR(MMULT($E35:$I35,'Producten &amp; tarieven'!CL$3:CL$7),"")</f>
        <v/>
      </c>
      <c r="CR35" s="78" t="str" cm="1">
        <f t="array" ref="CR35">IFERROR(MMULT($E35:$I35,'Producten &amp; tarieven'!CM$3:CM$7),"")</f>
        <v/>
      </c>
      <c r="CS35" s="78" t="str" cm="1">
        <f t="array" ref="CS35">IFERROR(MMULT($E35:$I35,'Producten &amp; tarieven'!CN$3:CN$7),"")</f>
        <v/>
      </c>
      <c r="CT35" s="78" t="str" cm="1">
        <f t="array" ref="CT35">IFERROR(MMULT($E35:$I35,'Producten &amp; tarieven'!CO$3:CO$7),"")</f>
        <v/>
      </c>
      <c r="CU35" s="78" t="str" cm="1">
        <f t="array" ref="CU35">IFERROR(MMULT($E35:$I35,'Producten &amp; tarieven'!CP$3:CP$7),"")</f>
        <v/>
      </c>
      <c r="CV35" s="78" t="str" cm="1">
        <f t="array" ref="CV35">IFERROR(MMULT($E35:$I35,'Producten &amp; tarieven'!CQ$3:CQ$7),"")</f>
        <v/>
      </c>
      <c r="CW35" s="78" t="str" cm="1">
        <f t="array" ref="CW35">IFERROR(MMULT($E35:$I35,'Producten &amp; tarieven'!CR$3:CR$7),"")</f>
        <v/>
      </c>
      <c r="CX35" s="78" t="str" cm="1">
        <f t="array" ref="CX35">IFERROR(MMULT($E35:$I35,'Producten &amp; tarieven'!CS$3:CS$7),"")</f>
        <v/>
      </c>
      <c r="CY35" s="78" t="str" cm="1">
        <f t="array" ref="CY35">IFERROR(MMULT($E35:$I35,'Producten &amp; tarieven'!CT$3:CT$7),"")</f>
        <v/>
      </c>
      <c r="CZ35" s="78" t="str" cm="1">
        <f t="array" ref="CZ35">IFERROR(MMULT($E35:$I35,'Producten &amp; tarieven'!CU$3:CU$7),"")</f>
        <v/>
      </c>
      <c r="DA35" s="78" t="str" cm="1">
        <f t="array" ref="DA35">IFERROR(MMULT($E35:$I35,'Producten &amp; tarieven'!CV$3:CV$7),"")</f>
        <v/>
      </c>
      <c r="DB35" s="78" t="str" cm="1">
        <f t="array" ref="DB35">IFERROR(MMULT($E35:$I35,'Producten &amp; tarieven'!CW$3:CW$7),"")</f>
        <v/>
      </c>
      <c r="DC35" s="78" t="str" cm="1">
        <f t="array" ref="DC35">IFERROR(MMULT($E35:$I35,'Producten &amp; tarieven'!CX$3:CX$7),"")</f>
        <v/>
      </c>
      <c r="DD35" s="78" t="str" cm="1">
        <f t="array" ref="DD35">IFERROR(MMULT($E35:$I35,'Producten &amp; tarieven'!CY$3:CY$7),"")</f>
        <v/>
      </c>
      <c r="DE35" s="440" t="str" cm="1">
        <f t="array" ref="DE35">IFERROR(MMULT($E35:$I35,'Producten &amp; tarieven'!CZ$3:CZ$7),"")</f>
        <v/>
      </c>
      <c r="DF35" s="448"/>
    </row>
    <row r="36" spans="1:110" ht="17.399999999999999">
      <c r="A36" s="447"/>
      <c r="B36" s="1029" t="s">
        <v>22</v>
      </c>
      <c r="C36" s="248" t="s">
        <v>24</v>
      </c>
      <c r="D36" s="249" t="s">
        <v>23</v>
      </c>
      <c r="E36" s="419">
        <f t="shared" si="1"/>
        <v>3257.7086000000004</v>
      </c>
      <c r="F36" s="422">
        <f t="shared" si="2"/>
        <v>3324.3838000000001</v>
      </c>
      <c r="G36" s="424">
        <f t="shared" ref="G36:G44" si="3">J15</f>
        <v>3521.2840000000001</v>
      </c>
      <c r="H36" s="428">
        <f t="shared" si="0"/>
        <v>3218.0576920000003</v>
      </c>
      <c r="I36" s="432">
        <f t="shared" ref="I36:I42" si="4">P15</f>
        <v>3234.0528745380002</v>
      </c>
      <c r="J36" s="78" cm="1">
        <f t="array" ref="J36">IFERROR(MMULT($E36:$I36,'Producten &amp; tarieven'!F$3:F$7),"")</f>
        <v>3521.2840000000001</v>
      </c>
      <c r="K36" s="78" t="str" cm="1">
        <f t="array" ref="K36">IFERROR(MMULT($E36:$I36,'Producten &amp; tarieven'!G$3:G$7),"")</f>
        <v/>
      </c>
      <c r="L36" s="78" t="str" cm="1">
        <f t="array" ref="L36">IFERROR(MMULT($E36:$I36,'Producten &amp; tarieven'!#REF!),"")</f>
        <v/>
      </c>
      <c r="M36" s="78" t="str" cm="1">
        <f t="array" ref="M36">IFERROR(MMULT($E36:$I36,'Producten &amp; tarieven'!H$3:H$7),"")</f>
        <v/>
      </c>
      <c r="N36" s="78" t="str" cm="1">
        <f t="array" ref="N36">IFERROR(MMULT($E36:$I36,'Producten &amp; tarieven'!I$3:I$7),"")</f>
        <v/>
      </c>
      <c r="O36" s="78" t="str" cm="1">
        <f t="array" ref="O36">IFERROR(MMULT($E36:$I36,'Producten &amp; tarieven'!J$3:J$7),"")</f>
        <v/>
      </c>
      <c r="P36" s="78" t="str" cm="1">
        <f t="array" ref="P36">IFERROR(MMULT($E36:$I36,'Producten &amp; tarieven'!K$3:K$7),"")</f>
        <v/>
      </c>
      <c r="Q36" s="78" t="str" cm="1">
        <f t="array" ref="Q36">IFERROR(MMULT($E36:$I36,'Producten &amp; tarieven'!L$3:L$7),"")</f>
        <v/>
      </c>
      <c r="R36" s="78" t="str" cm="1">
        <f t="array" ref="R36">IFERROR(MMULT($E36:$I36,'Producten &amp; tarieven'!M$3:M$7),"")</f>
        <v/>
      </c>
      <c r="S36" s="78" t="str" cm="1">
        <f t="array" ref="S36">IFERROR(MMULT($E36:$I36,'Producten &amp; tarieven'!N$3:N$7),"")</f>
        <v/>
      </c>
      <c r="T36" s="78" t="str" cm="1">
        <f t="array" ref="T36">IFERROR(MMULT($E36:$I36,'Producten &amp; tarieven'!O$3:O$7),"")</f>
        <v/>
      </c>
      <c r="U36" s="78" t="str" cm="1">
        <f t="array" ref="U36">IFERROR(MMULT($E36:$I36,'Producten &amp; tarieven'!P$3:P$7),"")</f>
        <v/>
      </c>
      <c r="V36" s="78" t="str" cm="1">
        <f t="array" ref="V36">IFERROR(MMULT($E36:$I36,'Producten &amp; tarieven'!Q$3:Q$7),"")</f>
        <v/>
      </c>
      <c r="W36" s="78" t="str" cm="1">
        <f t="array" ref="W36">IFERROR(MMULT($E36:$I36,'Producten &amp; tarieven'!R$3:R$7),"")</f>
        <v/>
      </c>
      <c r="X36" s="78" t="str" cm="1">
        <f t="array" ref="X36">IFERROR(MMULT($E36:$I36,'Producten &amp; tarieven'!S$3:S$7),"")</f>
        <v/>
      </c>
      <c r="Y36" s="78" t="str" cm="1">
        <f t="array" ref="Y36">IFERROR(MMULT($E36:$I36,'Producten &amp; tarieven'!T$3:T$7),"")</f>
        <v/>
      </c>
      <c r="Z36" s="78" t="str" cm="1">
        <f t="array" ref="Z36">IFERROR(MMULT($E36:$I36,'Producten &amp; tarieven'!U$3:U$7),"")</f>
        <v/>
      </c>
      <c r="AA36" s="78" t="str" cm="1">
        <f t="array" ref="AA36">IFERROR(MMULT($E36:$I36,'Producten &amp; tarieven'!V$3:V$7),"")</f>
        <v/>
      </c>
      <c r="AB36" s="78" t="str" cm="1">
        <f t="array" ref="AB36">IFERROR(MMULT($E36:$I36,'Producten &amp; tarieven'!W$3:W$7),"")</f>
        <v/>
      </c>
      <c r="AC36" s="78" t="str" cm="1">
        <f t="array" ref="AC36">IFERROR(MMULT($E36:$I36,'Producten &amp; tarieven'!X$3:X$7),"")</f>
        <v/>
      </c>
      <c r="AD36" s="78" t="str" cm="1">
        <f t="array" ref="AD36">IFERROR(MMULT($E36:$I36,'Producten &amp; tarieven'!Y$3:Y$7),"")</f>
        <v/>
      </c>
      <c r="AE36" s="78" t="str" cm="1">
        <f t="array" ref="AE36">IFERROR(MMULT($E36:$I36,'Producten &amp; tarieven'!Z$3:Z$7),"")</f>
        <v/>
      </c>
      <c r="AF36" s="78" t="str" cm="1">
        <f t="array" ref="AF36">IFERROR(MMULT($E36:$I36,'Producten &amp; tarieven'!AA$3:AA$7),"")</f>
        <v/>
      </c>
      <c r="AG36" s="78" t="str" cm="1">
        <f t="array" ref="AG36">IFERROR(MMULT($E36:$I36,'Producten &amp; tarieven'!AB$3:AB$7),"")</f>
        <v/>
      </c>
      <c r="AH36" s="78" t="str" cm="1">
        <f t="array" ref="AH36">IFERROR(MMULT($E36:$I36,'Producten &amp; tarieven'!AC$3:AC$7),"")</f>
        <v/>
      </c>
      <c r="AI36" s="78" t="str" cm="1">
        <f t="array" ref="AI36">IFERROR(MMULT($E36:$I36,'Producten &amp; tarieven'!AD$3:AD$7),"")</f>
        <v/>
      </c>
      <c r="AJ36" s="78" t="str" cm="1">
        <f t="array" ref="AJ36">IFERROR(MMULT($E36:$I36,'Producten &amp; tarieven'!AE$3:AE$7),"")</f>
        <v/>
      </c>
      <c r="AK36" s="78" t="str" cm="1">
        <f t="array" ref="AK36">IFERROR(MMULT($E36:$I36,'Producten &amp; tarieven'!AF$3:AF$7),"")</f>
        <v/>
      </c>
      <c r="AL36" s="78" t="str" cm="1">
        <f t="array" ref="AL36">IFERROR(MMULT($E36:$I36,'Producten &amp; tarieven'!AG$3:AG$7),"")</f>
        <v/>
      </c>
      <c r="AM36" s="78" t="str" cm="1">
        <f t="array" ref="AM36">IFERROR(MMULT($E36:$I36,'Producten &amp; tarieven'!AH$3:AH$7),"")</f>
        <v/>
      </c>
      <c r="AN36" s="78" t="str" cm="1">
        <f t="array" ref="AN36">IFERROR(MMULT($E36:$I36,'Producten &amp; tarieven'!AI$3:AI$7),"")</f>
        <v/>
      </c>
      <c r="AO36" s="78" t="str" cm="1">
        <f t="array" ref="AO36">IFERROR(MMULT($E36:$I36,'Producten &amp; tarieven'!AJ$3:AJ$7),"")</f>
        <v/>
      </c>
      <c r="AP36" s="78" t="str" cm="1">
        <f t="array" ref="AP36">IFERROR(MMULT($E36:$I36,'Producten &amp; tarieven'!AK$3:AK$7),"")</f>
        <v/>
      </c>
      <c r="AQ36" s="78" t="str" cm="1">
        <f t="array" ref="AQ36">IFERROR(MMULT($E36:$I36,'Producten &amp; tarieven'!AL$3:AL$7),"")</f>
        <v/>
      </c>
      <c r="AR36" s="78" t="str" cm="1">
        <f t="array" ref="AR36">IFERROR(MMULT($E36:$I36,'Producten &amp; tarieven'!AM$3:AM$7),"")</f>
        <v/>
      </c>
      <c r="AS36" s="78" t="str" cm="1">
        <f t="array" ref="AS36">IFERROR(MMULT($E36:$I36,'Producten &amp; tarieven'!AN$3:AN$7),"")</f>
        <v/>
      </c>
      <c r="AT36" s="78" t="str" cm="1">
        <f t="array" ref="AT36">IFERROR(MMULT($E36:$I36,'Producten &amp; tarieven'!AO$3:AO$7),"")</f>
        <v/>
      </c>
      <c r="AU36" s="78" t="str" cm="1">
        <f t="array" ref="AU36">IFERROR(MMULT($E36:$I36,'Producten &amp; tarieven'!AP$3:AP$7),"")</f>
        <v/>
      </c>
      <c r="AV36" s="78" t="str" cm="1">
        <f t="array" ref="AV36">IFERROR(MMULT($E36:$I36,'Producten &amp; tarieven'!AQ$3:AQ$7),"")</f>
        <v/>
      </c>
      <c r="AW36" s="78" t="str" cm="1">
        <f t="array" ref="AW36">IFERROR(MMULT($E36:$I36,'Producten &amp; tarieven'!AR$3:AR$7),"")</f>
        <v/>
      </c>
      <c r="AX36" s="78" t="str" cm="1">
        <f t="array" ref="AX36">IFERROR(MMULT($E36:$I36,'Producten &amp; tarieven'!AS$3:AS$7),"")</f>
        <v/>
      </c>
      <c r="AY36" s="78" t="str" cm="1">
        <f t="array" ref="AY36">IFERROR(MMULT($E36:$I36,'Producten &amp; tarieven'!AT$3:AT$7),"")</f>
        <v/>
      </c>
      <c r="AZ36" s="78" t="str" cm="1">
        <f t="array" ref="AZ36">IFERROR(MMULT($E36:$I36,'Producten &amp; tarieven'!AU$3:AU$7),"")</f>
        <v/>
      </c>
      <c r="BA36" s="78" t="str" cm="1">
        <f t="array" ref="BA36">IFERROR(MMULT($E36:$I36,'Producten &amp; tarieven'!AV$3:AV$7),"")</f>
        <v/>
      </c>
      <c r="BB36" s="78" t="str" cm="1">
        <f t="array" ref="BB36">IFERROR(MMULT($E36:$I36,'Producten &amp; tarieven'!AW$3:AW$7),"")</f>
        <v/>
      </c>
      <c r="BC36" s="78" t="str" cm="1">
        <f t="array" ref="BC36">IFERROR(MMULT($E36:$I36,'Producten &amp; tarieven'!AX$3:AX$7),"")</f>
        <v/>
      </c>
      <c r="BD36" s="78" t="str" cm="1">
        <f t="array" ref="BD36">IFERROR(MMULT($E36:$I36,'Producten &amp; tarieven'!AY$3:AY$7),"")</f>
        <v/>
      </c>
      <c r="BE36" s="78" t="str" cm="1">
        <f t="array" ref="BE36">IFERROR(MMULT($E36:$I36,'Producten &amp; tarieven'!AZ$3:AZ$7),"")</f>
        <v/>
      </c>
      <c r="BF36" s="78" t="str" cm="1">
        <f t="array" ref="BF36">IFERROR(MMULT($E36:$I36,'Producten &amp; tarieven'!BA$3:BA$7),"")</f>
        <v/>
      </c>
      <c r="BG36" s="78" t="str" cm="1">
        <f t="array" ref="BG36">IFERROR(MMULT($E36:$I36,'Producten &amp; tarieven'!BB$3:BB$7),"")</f>
        <v/>
      </c>
      <c r="BH36" s="78" t="str" cm="1">
        <f t="array" ref="BH36">IFERROR(MMULT($E36:$I36,'Producten &amp; tarieven'!BC$3:BC$7),"")</f>
        <v/>
      </c>
      <c r="BI36" s="78" t="str" cm="1">
        <f t="array" ref="BI36">IFERROR(MMULT($E36:$I36,'Producten &amp; tarieven'!BD$3:BD$7),"")</f>
        <v/>
      </c>
      <c r="BJ36" s="78" t="str" cm="1">
        <f t="array" ref="BJ36">IFERROR(MMULT($E36:$I36,'Producten &amp; tarieven'!BE$3:BE$7),"")</f>
        <v/>
      </c>
      <c r="BK36" s="78" t="str" cm="1">
        <f t="array" ref="BK36">IFERROR(MMULT($E36:$I36,'Producten &amp; tarieven'!BF$3:BF$7),"")</f>
        <v/>
      </c>
      <c r="BL36" s="78" t="str" cm="1">
        <f t="array" ref="BL36">IFERROR(MMULT($E36:$I36,'Producten &amp; tarieven'!BG$3:BG$7),"")</f>
        <v/>
      </c>
      <c r="BM36" s="78" t="str" cm="1">
        <f t="array" ref="BM36">IFERROR(MMULT($E36:$I36,'Producten &amp; tarieven'!BH$3:BH$7),"")</f>
        <v/>
      </c>
      <c r="BN36" s="78" t="str" cm="1">
        <f t="array" ref="BN36">IFERROR(MMULT($E36:$I36,'Producten &amp; tarieven'!BI$3:BI$7),"")</f>
        <v/>
      </c>
      <c r="BO36" s="78" t="str" cm="1">
        <f t="array" ref="BO36">IFERROR(MMULT($E36:$I36,'Producten &amp; tarieven'!BJ$3:BJ$7),"")</f>
        <v/>
      </c>
      <c r="BP36" s="78" t="str" cm="1">
        <f t="array" ref="BP36">IFERROR(MMULT($E36:$I36,'Producten &amp; tarieven'!BK$3:BK$7),"")</f>
        <v/>
      </c>
      <c r="BQ36" s="78" t="str" cm="1">
        <f t="array" ref="BQ36">IFERROR(MMULT($E36:$I36,'Producten &amp; tarieven'!BL$3:BL$7),"")</f>
        <v/>
      </c>
      <c r="BR36" s="78" t="str" cm="1">
        <f t="array" ref="BR36">IFERROR(MMULT($E36:$I36,'Producten &amp; tarieven'!BM$3:BM$7),"")</f>
        <v/>
      </c>
      <c r="BS36" s="78" t="str" cm="1">
        <f t="array" ref="BS36">IFERROR(MMULT($E36:$I36,'Producten &amp; tarieven'!BN$3:BN$7),"")</f>
        <v/>
      </c>
      <c r="BT36" s="78" t="str" cm="1">
        <f t="array" ref="BT36">IFERROR(MMULT($E36:$I36,'Producten &amp; tarieven'!BO$3:BO$7),"")</f>
        <v/>
      </c>
      <c r="BU36" s="78" t="str" cm="1">
        <f t="array" ref="BU36">IFERROR(MMULT($E36:$I36,'Producten &amp; tarieven'!BP$3:BP$7),"")</f>
        <v/>
      </c>
      <c r="BV36" s="78" t="str" cm="1">
        <f t="array" ref="BV36">IFERROR(MMULT($E36:$I36,'Producten &amp; tarieven'!BQ$3:BQ$7),"")</f>
        <v/>
      </c>
      <c r="BW36" s="78" t="str" cm="1">
        <f t="array" ref="BW36">IFERROR(MMULT($E36:$I36,'Producten &amp; tarieven'!BR$3:BR$7),"")</f>
        <v/>
      </c>
      <c r="BX36" s="78" t="str" cm="1">
        <f t="array" ref="BX36">IFERROR(MMULT($E36:$I36,'Producten &amp; tarieven'!BS$3:BS$7),"")</f>
        <v/>
      </c>
      <c r="BY36" s="78" t="str" cm="1">
        <f t="array" ref="BY36">IFERROR(MMULT($E36:$I36,'Producten &amp; tarieven'!BT$3:BT$7),"")</f>
        <v/>
      </c>
      <c r="BZ36" s="78" t="str" cm="1">
        <f t="array" ref="BZ36">IFERROR(MMULT($E36:$I36,'Producten &amp; tarieven'!BU$3:BU$7),"")</f>
        <v/>
      </c>
      <c r="CA36" s="78" t="str" cm="1">
        <f t="array" ref="CA36">IFERROR(MMULT($E36:$I36,'Producten &amp; tarieven'!BV$3:BV$7),"")</f>
        <v/>
      </c>
      <c r="CB36" s="78" t="str" cm="1">
        <f t="array" ref="CB36">IFERROR(MMULT($E36:$I36,'Producten &amp; tarieven'!BW$3:BW$7),"")</f>
        <v/>
      </c>
      <c r="CC36" s="78" t="str" cm="1">
        <f t="array" ref="CC36">IFERROR(MMULT($E36:$I36,'Producten &amp; tarieven'!BX$3:BX$7),"")</f>
        <v/>
      </c>
      <c r="CD36" s="78" t="str" cm="1">
        <f t="array" ref="CD36">IFERROR(MMULT($E36:$I36,'Producten &amp; tarieven'!BY$3:BY$7),"")</f>
        <v/>
      </c>
      <c r="CE36" s="78" t="str" cm="1">
        <f t="array" ref="CE36">IFERROR(MMULT($E36:$I36,'Producten &amp; tarieven'!BZ$3:BZ$7),"")</f>
        <v/>
      </c>
      <c r="CF36" s="78" t="str" cm="1">
        <f t="array" ref="CF36">IFERROR(MMULT($E36:$I36,'Producten &amp; tarieven'!CA$3:CA$7),"")</f>
        <v/>
      </c>
      <c r="CG36" s="78" t="str" cm="1">
        <f t="array" ref="CG36">IFERROR(MMULT($E36:$I36,'Producten &amp; tarieven'!CB$3:CB$7),"")</f>
        <v/>
      </c>
      <c r="CH36" s="78" t="str" cm="1">
        <f t="array" ref="CH36">IFERROR(MMULT($E36:$I36,'Producten &amp; tarieven'!CC$3:CC$7),"")</f>
        <v/>
      </c>
      <c r="CI36" s="78" t="str" cm="1">
        <f t="array" ref="CI36">IFERROR(MMULT($E36:$I36,'Producten &amp; tarieven'!CD$3:CD$7),"")</f>
        <v/>
      </c>
      <c r="CJ36" s="78" t="str" cm="1">
        <f t="array" ref="CJ36">IFERROR(MMULT($E36:$I36,'Producten &amp; tarieven'!CE$3:CE$7),"")</f>
        <v/>
      </c>
      <c r="CK36" s="78" t="str" cm="1">
        <f t="array" ref="CK36">IFERROR(MMULT($E36:$I36,'Producten &amp; tarieven'!CF$3:CF$7),"")</f>
        <v/>
      </c>
      <c r="CL36" s="78" t="str" cm="1">
        <f t="array" ref="CL36">IFERROR(MMULT($E36:$I36,'Producten &amp; tarieven'!CG$3:CG$7),"")</f>
        <v/>
      </c>
      <c r="CM36" s="78" t="str" cm="1">
        <f t="array" ref="CM36">IFERROR(MMULT($E36:$I36,'Producten &amp; tarieven'!CH$3:CH$7),"")</f>
        <v/>
      </c>
      <c r="CN36" s="78" t="str" cm="1">
        <f t="array" ref="CN36">IFERROR(MMULT($E36:$I36,'Producten &amp; tarieven'!CI$3:CI$7),"")</f>
        <v/>
      </c>
      <c r="CO36" s="78" t="str" cm="1">
        <f t="array" ref="CO36">IFERROR(MMULT($E36:$I36,'Producten &amp; tarieven'!CJ$3:CJ$7),"")</f>
        <v/>
      </c>
      <c r="CP36" s="78" t="str" cm="1">
        <f t="array" ref="CP36">IFERROR(MMULT($E36:$I36,'Producten &amp; tarieven'!CK$3:CK$7),"")</f>
        <v/>
      </c>
      <c r="CQ36" s="78" t="str" cm="1">
        <f t="array" ref="CQ36">IFERROR(MMULT($E36:$I36,'Producten &amp; tarieven'!CL$3:CL$7),"")</f>
        <v/>
      </c>
      <c r="CR36" s="78" t="str" cm="1">
        <f t="array" ref="CR36">IFERROR(MMULT($E36:$I36,'Producten &amp; tarieven'!CM$3:CM$7),"")</f>
        <v/>
      </c>
      <c r="CS36" s="78" t="str" cm="1">
        <f t="array" ref="CS36">IFERROR(MMULT($E36:$I36,'Producten &amp; tarieven'!CN$3:CN$7),"")</f>
        <v/>
      </c>
      <c r="CT36" s="78" t="str" cm="1">
        <f t="array" ref="CT36">IFERROR(MMULT($E36:$I36,'Producten &amp; tarieven'!CO$3:CO$7),"")</f>
        <v/>
      </c>
      <c r="CU36" s="78" t="str" cm="1">
        <f t="array" ref="CU36">IFERROR(MMULT($E36:$I36,'Producten &amp; tarieven'!CP$3:CP$7),"")</f>
        <v/>
      </c>
      <c r="CV36" s="78" t="str" cm="1">
        <f t="array" ref="CV36">IFERROR(MMULT($E36:$I36,'Producten &amp; tarieven'!CQ$3:CQ$7),"")</f>
        <v/>
      </c>
      <c r="CW36" s="78" t="str" cm="1">
        <f t="array" ref="CW36">IFERROR(MMULT($E36:$I36,'Producten &amp; tarieven'!CR$3:CR$7),"")</f>
        <v/>
      </c>
      <c r="CX36" s="78" t="str" cm="1">
        <f t="array" ref="CX36">IFERROR(MMULT($E36:$I36,'Producten &amp; tarieven'!CS$3:CS$7),"")</f>
        <v/>
      </c>
      <c r="CY36" s="78" t="str" cm="1">
        <f t="array" ref="CY36">IFERROR(MMULT($E36:$I36,'Producten &amp; tarieven'!CT$3:CT$7),"")</f>
        <v/>
      </c>
      <c r="CZ36" s="78" t="str" cm="1">
        <f t="array" ref="CZ36">IFERROR(MMULT($E36:$I36,'Producten &amp; tarieven'!CU$3:CU$7),"")</f>
        <v/>
      </c>
      <c r="DA36" s="78" t="str" cm="1">
        <f t="array" ref="DA36">IFERROR(MMULT($E36:$I36,'Producten &amp; tarieven'!CV$3:CV$7),"")</f>
        <v/>
      </c>
      <c r="DB36" s="78" t="str" cm="1">
        <f t="array" ref="DB36">IFERROR(MMULT($E36:$I36,'Producten &amp; tarieven'!CW$3:CW$7),"")</f>
        <v/>
      </c>
      <c r="DC36" s="78" t="str" cm="1">
        <f t="array" ref="DC36">IFERROR(MMULT($E36:$I36,'Producten &amp; tarieven'!CX$3:CX$7),"")</f>
        <v/>
      </c>
      <c r="DD36" s="78" t="str" cm="1">
        <f t="array" ref="DD36">IFERROR(MMULT($E36:$I36,'Producten &amp; tarieven'!CY$3:CY$7),"")</f>
        <v/>
      </c>
      <c r="DE36" s="440" t="str" cm="1">
        <f t="array" ref="DE36">IFERROR(MMULT($E36:$I36,'Producten &amp; tarieven'!CZ$3:CZ$7),"")</f>
        <v/>
      </c>
      <c r="DF36" s="448"/>
    </row>
    <row r="37" spans="1:110" ht="17.399999999999999">
      <c r="A37" s="447"/>
      <c r="B37" s="1030"/>
      <c r="C37" s="153" t="s">
        <v>26</v>
      </c>
      <c r="D37" s="244" t="s">
        <v>25</v>
      </c>
      <c r="E37" s="420">
        <f t="shared" si="1"/>
        <v>3485.8628000000003</v>
      </c>
      <c r="F37" s="423">
        <f t="shared" si="2"/>
        <v>3570.2486000000004</v>
      </c>
      <c r="G37" s="424">
        <f t="shared" si="3"/>
        <v>3742.1456000000003</v>
      </c>
      <c r="H37" s="429">
        <f t="shared" si="0"/>
        <v>3477.4658920000002</v>
      </c>
      <c r="I37" s="431">
        <f t="shared" si="4"/>
        <v>3472.3980350639999</v>
      </c>
      <c r="J37" s="78" cm="1">
        <f t="array" ref="J37">IFERROR(MMULT($E37:$I37,'Producten &amp; tarieven'!F$3:F$7),"")</f>
        <v>3742.1456000000003</v>
      </c>
      <c r="K37" s="78" t="str" cm="1">
        <f t="array" ref="K37">IFERROR(MMULT($E37:$I37,'Producten &amp; tarieven'!G$3:G$7),"")</f>
        <v/>
      </c>
      <c r="L37" s="78" t="str" cm="1">
        <f t="array" ref="L37">IFERROR(MMULT($E37:$I37,'Producten &amp; tarieven'!#REF!),"")</f>
        <v/>
      </c>
      <c r="M37" s="78" t="str" cm="1">
        <f t="array" ref="M37">IFERROR(MMULT($E37:$I37,'Producten &amp; tarieven'!H$3:H$7),"")</f>
        <v/>
      </c>
      <c r="N37" s="78" t="str" cm="1">
        <f t="array" ref="N37">IFERROR(MMULT($E37:$I37,'Producten &amp; tarieven'!I$3:I$7),"")</f>
        <v/>
      </c>
      <c r="O37" s="78" t="str" cm="1">
        <f t="array" ref="O37">IFERROR(MMULT($E37:$I37,'Producten &amp; tarieven'!J$3:J$7),"")</f>
        <v/>
      </c>
      <c r="P37" s="78" t="str" cm="1">
        <f t="array" ref="P37">IFERROR(MMULT($E37:$I37,'Producten &amp; tarieven'!K$3:K$7),"")</f>
        <v/>
      </c>
      <c r="Q37" s="78" t="str" cm="1">
        <f t="array" ref="Q37">IFERROR(MMULT($E37:$I37,'Producten &amp; tarieven'!L$3:L$7),"")</f>
        <v/>
      </c>
      <c r="R37" s="78" t="str" cm="1">
        <f t="array" ref="R37">IFERROR(MMULT($E37:$I37,'Producten &amp; tarieven'!M$3:M$7),"")</f>
        <v/>
      </c>
      <c r="S37" s="78" t="str" cm="1">
        <f t="array" ref="S37">IFERROR(MMULT($E37:$I37,'Producten &amp; tarieven'!N$3:N$7),"")</f>
        <v/>
      </c>
      <c r="T37" s="78" t="str" cm="1">
        <f t="array" ref="T37">IFERROR(MMULT($E37:$I37,'Producten &amp; tarieven'!O$3:O$7),"")</f>
        <v/>
      </c>
      <c r="U37" s="78" t="str" cm="1">
        <f t="array" ref="U37">IFERROR(MMULT($E37:$I37,'Producten &amp; tarieven'!P$3:P$7),"")</f>
        <v/>
      </c>
      <c r="V37" s="78" t="str" cm="1">
        <f t="array" ref="V37">IFERROR(MMULT($E37:$I37,'Producten &amp; tarieven'!Q$3:Q$7),"")</f>
        <v/>
      </c>
      <c r="W37" s="78" t="str" cm="1">
        <f t="array" ref="W37">IFERROR(MMULT($E37:$I37,'Producten &amp; tarieven'!R$3:R$7),"")</f>
        <v/>
      </c>
      <c r="X37" s="78" t="str" cm="1">
        <f t="array" ref="X37">IFERROR(MMULT($E37:$I37,'Producten &amp; tarieven'!S$3:S$7),"")</f>
        <v/>
      </c>
      <c r="Y37" s="78" t="str" cm="1">
        <f t="array" ref="Y37">IFERROR(MMULT($E37:$I37,'Producten &amp; tarieven'!T$3:T$7),"")</f>
        <v/>
      </c>
      <c r="Z37" s="78" t="str" cm="1">
        <f t="array" ref="Z37">IFERROR(MMULT($E37:$I37,'Producten &amp; tarieven'!U$3:U$7),"")</f>
        <v/>
      </c>
      <c r="AA37" s="78" t="str" cm="1">
        <f t="array" ref="AA37">IFERROR(MMULT($E37:$I37,'Producten &amp; tarieven'!V$3:V$7),"")</f>
        <v/>
      </c>
      <c r="AB37" s="78" t="str" cm="1">
        <f t="array" ref="AB37">IFERROR(MMULT($E37:$I37,'Producten &amp; tarieven'!W$3:W$7),"")</f>
        <v/>
      </c>
      <c r="AC37" s="78" t="str" cm="1">
        <f t="array" ref="AC37">IFERROR(MMULT($E37:$I37,'Producten &amp; tarieven'!X$3:X$7),"")</f>
        <v/>
      </c>
      <c r="AD37" s="78" t="str" cm="1">
        <f t="array" ref="AD37">IFERROR(MMULT($E37:$I37,'Producten &amp; tarieven'!Y$3:Y$7),"")</f>
        <v/>
      </c>
      <c r="AE37" s="78" t="str" cm="1">
        <f t="array" ref="AE37">IFERROR(MMULT($E37:$I37,'Producten &amp; tarieven'!Z$3:Z$7),"")</f>
        <v/>
      </c>
      <c r="AF37" s="78" t="str" cm="1">
        <f t="array" ref="AF37">IFERROR(MMULT($E37:$I37,'Producten &amp; tarieven'!AA$3:AA$7),"")</f>
        <v/>
      </c>
      <c r="AG37" s="78" t="str" cm="1">
        <f t="array" ref="AG37">IFERROR(MMULT($E37:$I37,'Producten &amp; tarieven'!AB$3:AB$7),"")</f>
        <v/>
      </c>
      <c r="AH37" s="78" t="str" cm="1">
        <f t="array" ref="AH37">IFERROR(MMULT($E37:$I37,'Producten &amp; tarieven'!AC$3:AC$7),"")</f>
        <v/>
      </c>
      <c r="AI37" s="78" t="str" cm="1">
        <f t="array" ref="AI37">IFERROR(MMULT($E37:$I37,'Producten &amp; tarieven'!AD$3:AD$7),"")</f>
        <v/>
      </c>
      <c r="AJ37" s="78" t="str" cm="1">
        <f t="array" ref="AJ37">IFERROR(MMULT($E37:$I37,'Producten &amp; tarieven'!AE$3:AE$7),"")</f>
        <v/>
      </c>
      <c r="AK37" s="78" t="str" cm="1">
        <f t="array" ref="AK37">IFERROR(MMULT($E37:$I37,'Producten &amp; tarieven'!AF$3:AF$7),"")</f>
        <v/>
      </c>
      <c r="AL37" s="78" t="str" cm="1">
        <f t="array" ref="AL37">IFERROR(MMULT($E37:$I37,'Producten &amp; tarieven'!AG$3:AG$7),"")</f>
        <v/>
      </c>
      <c r="AM37" s="78" t="str" cm="1">
        <f t="array" ref="AM37">IFERROR(MMULT($E37:$I37,'Producten &amp; tarieven'!AH$3:AH$7),"")</f>
        <v/>
      </c>
      <c r="AN37" s="78" t="str" cm="1">
        <f t="array" ref="AN37">IFERROR(MMULT($E37:$I37,'Producten &amp; tarieven'!AI$3:AI$7),"")</f>
        <v/>
      </c>
      <c r="AO37" s="78" t="str" cm="1">
        <f t="array" ref="AO37">IFERROR(MMULT($E37:$I37,'Producten &amp; tarieven'!AJ$3:AJ$7),"")</f>
        <v/>
      </c>
      <c r="AP37" s="78" t="str" cm="1">
        <f t="array" ref="AP37">IFERROR(MMULT($E37:$I37,'Producten &amp; tarieven'!AK$3:AK$7),"")</f>
        <v/>
      </c>
      <c r="AQ37" s="78" t="str" cm="1">
        <f t="array" ref="AQ37">IFERROR(MMULT($E37:$I37,'Producten &amp; tarieven'!AL$3:AL$7),"")</f>
        <v/>
      </c>
      <c r="AR37" s="78" t="str" cm="1">
        <f t="array" ref="AR37">IFERROR(MMULT($E37:$I37,'Producten &amp; tarieven'!AM$3:AM$7),"")</f>
        <v/>
      </c>
      <c r="AS37" s="78" t="str" cm="1">
        <f t="array" ref="AS37">IFERROR(MMULT($E37:$I37,'Producten &amp; tarieven'!AN$3:AN$7),"")</f>
        <v/>
      </c>
      <c r="AT37" s="78" t="str" cm="1">
        <f t="array" ref="AT37">IFERROR(MMULT($E37:$I37,'Producten &amp; tarieven'!AO$3:AO$7),"")</f>
        <v/>
      </c>
      <c r="AU37" s="78" t="str" cm="1">
        <f t="array" ref="AU37">IFERROR(MMULT($E37:$I37,'Producten &amp; tarieven'!AP$3:AP$7),"")</f>
        <v/>
      </c>
      <c r="AV37" s="78" t="str" cm="1">
        <f t="array" ref="AV37">IFERROR(MMULT($E37:$I37,'Producten &amp; tarieven'!AQ$3:AQ$7),"")</f>
        <v/>
      </c>
      <c r="AW37" s="78" t="str" cm="1">
        <f t="array" ref="AW37">IFERROR(MMULT($E37:$I37,'Producten &amp; tarieven'!AR$3:AR$7),"")</f>
        <v/>
      </c>
      <c r="AX37" s="78" t="str" cm="1">
        <f t="array" ref="AX37">IFERROR(MMULT($E37:$I37,'Producten &amp; tarieven'!AS$3:AS$7),"")</f>
        <v/>
      </c>
      <c r="AY37" s="78" t="str" cm="1">
        <f t="array" ref="AY37">IFERROR(MMULT($E37:$I37,'Producten &amp; tarieven'!AT$3:AT$7),"")</f>
        <v/>
      </c>
      <c r="AZ37" s="78" t="str" cm="1">
        <f t="array" ref="AZ37">IFERROR(MMULT($E37:$I37,'Producten &amp; tarieven'!AU$3:AU$7),"")</f>
        <v/>
      </c>
      <c r="BA37" s="78" t="str" cm="1">
        <f t="array" ref="BA37">IFERROR(MMULT($E37:$I37,'Producten &amp; tarieven'!AV$3:AV$7),"")</f>
        <v/>
      </c>
      <c r="BB37" s="78" t="str" cm="1">
        <f t="array" ref="BB37">IFERROR(MMULT($E37:$I37,'Producten &amp; tarieven'!AW$3:AW$7),"")</f>
        <v/>
      </c>
      <c r="BC37" s="78" t="str" cm="1">
        <f t="array" ref="BC37">IFERROR(MMULT($E37:$I37,'Producten &amp; tarieven'!AX$3:AX$7),"")</f>
        <v/>
      </c>
      <c r="BD37" s="78" t="str" cm="1">
        <f t="array" ref="BD37">IFERROR(MMULT($E37:$I37,'Producten &amp; tarieven'!AY$3:AY$7),"")</f>
        <v/>
      </c>
      <c r="BE37" s="78" t="str" cm="1">
        <f t="array" ref="BE37">IFERROR(MMULT($E37:$I37,'Producten &amp; tarieven'!AZ$3:AZ$7),"")</f>
        <v/>
      </c>
      <c r="BF37" s="78" t="str" cm="1">
        <f t="array" ref="BF37">IFERROR(MMULT($E37:$I37,'Producten &amp; tarieven'!BA$3:BA$7),"")</f>
        <v/>
      </c>
      <c r="BG37" s="78" t="str" cm="1">
        <f t="array" ref="BG37">IFERROR(MMULT($E37:$I37,'Producten &amp; tarieven'!BB$3:BB$7),"")</f>
        <v/>
      </c>
      <c r="BH37" s="78" t="str" cm="1">
        <f t="array" ref="BH37">IFERROR(MMULT($E37:$I37,'Producten &amp; tarieven'!BC$3:BC$7),"")</f>
        <v/>
      </c>
      <c r="BI37" s="78" t="str" cm="1">
        <f t="array" ref="BI37">IFERROR(MMULT($E37:$I37,'Producten &amp; tarieven'!BD$3:BD$7),"")</f>
        <v/>
      </c>
      <c r="BJ37" s="78" t="str" cm="1">
        <f t="array" ref="BJ37">IFERROR(MMULT($E37:$I37,'Producten &amp; tarieven'!BE$3:BE$7),"")</f>
        <v/>
      </c>
      <c r="BK37" s="78" t="str" cm="1">
        <f t="array" ref="BK37">IFERROR(MMULT($E37:$I37,'Producten &amp; tarieven'!BF$3:BF$7),"")</f>
        <v/>
      </c>
      <c r="BL37" s="78" t="str" cm="1">
        <f t="array" ref="BL37">IFERROR(MMULT($E37:$I37,'Producten &amp; tarieven'!BG$3:BG$7),"")</f>
        <v/>
      </c>
      <c r="BM37" s="78" t="str" cm="1">
        <f t="array" ref="BM37">IFERROR(MMULT($E37:$I37,'Producten &amp; tarieven'!BH$3:BH$7),"")</f>
        <v/>
      </c>
      <c r="BN37" s="78" t="str" cm="1">
        <f t="array" ref="BN37">IFERROR(MMULT($E37:$I37,'Producten &amp; tarieven'!BI$3:BI$7),"")</f>
        <v/>
      </c>
      <c r="BO37" s="78" t="str" cm="1">
        <f t="array" ref="BO37">IFERROR(MMULT($E37:$I37,'Producten &amp; tarieven'!BJ$3:BJ$7),"")</f>
        <v/>
      </c>
      <c r="BP37" s="78" t="str" cm="1">
        <f t="array" ref="BP37">IFERROR(MMULT($E37:$I37,'Producten &amp; tarieven'!BK$3:BK$7),"")</f>
        <v/>
      </c>
      <c r="BQ37" s="78" t="str" cm="1">
        <f t="array" ref="BQ37">IFERROR(MMULT($E37:$I37,'Producten &amp; tarieven'!BL$3:BL$7),"")</f>
        <v/>
      </c>
      <c r="BR37" s="78" t="str" cm="1">
        <f t="array" ref="BR37">IFERROR(MMULT($E37:$I37,'Producten &amp; tarieven'!BM$3:BM$7),"")</f>
        <v/>
      </c>
      <c r="BS37" s="78" t="str" cm="1">
        <f t="array" ref="BS37">IFERROR(MMULT($E37:$I37,'Producten &amp; tarieven'!BN$3:BN$7),"")</f>
        <v/>
      </c>
      <c r="BT37" s="78" t="str" cm="1">
        <f t="array" ref="BT37">IFERROR(MMULT($E37:$I37,'Producten &amp; tarieven'!BO$3:BO$7),"")</f>
        <v/>
      </c>
      <c r="BU37" s="78" t="str" cm="1">
        <f t="array" ref="BU37">IFERROR(MMULT($E37:$I37,'Producten &amp; tarieven'!BP$3:BP$7),"")</f>
        <v/>
      </c>
      <c r="BV37" s="78" t="str" cm="1">
        <f t="array" ref="BV37">IFERROR(MMULT($E37:$I37,'Producten &amp; tarieven'!BQ$3:BQ$7),"")</f>
        <v/>
      </c>
      <c r="BW37" s="78" t="str" cm="1">
        <f t="array" ref="BW37">IFERROR(MMULT($E37:$I37,'Producten &amp; tarieven'!BR$3:BR$7),"")</f>
        <v/>
      </c>
      <c r="BX37" s="78" t="str" cm="1">
        <f t="array" ref="BX37">IFERROR(MMULT($E37:$I37,'Producten &amp; tarieven'!BS$3:BS$7),"")</f>
        <v/>
      </c>
      <c r="BY37" s="78" t="str" cm="1">
        <f t="array" ref="BY37">IFERROR(MMULT($E37:$I37,'Producten &amp; tarieven'!BT$3:BT$7),"")</f>
        <v/>
      </c>
      <c r="BZ37" s="78" t="str" cm="1">
        <f t="array" ref="BZ37">IFERROR(MMULT($E37:$I37,'Producten &amp; tarieven'!BU$3:BU$7),"")</f>
        <v/>
      </c>
      <c r="CA37" s="78" t="str" cm="1">
        <f t="array" ref="CA37">IFERROR(MMULT($E37:$I37,'Producten &amp; tarieven'!BV$3:BV$7),"")</f>
        <v/>
      </c>
      <c r="CB37" s="78" t="str" cm="1">
        <f t="array" ref="CB37">IFERROR(MMULT($E37:$I37,'Producten &amp; tarieven'!BW$3:BW$7),"")</f>
        <v/>
      </c>
      <c r="CC37" s="78" t="str" cm="1">
        <f t="array" ref="CC37">IFERROR(MMULT($E37:$I37,'Producten &amp; tarieven'!BX$3:BX$7),"")</f>
        <v/>
      </c>
      <c r="CD37" s="78" t="str" cm="1">
        <f t="array" ref="CD37">IFERROR(MMULT($E37:$I37,'Producten &amp; tarieven'!BY$3:BY$7),"")</f>
        <v/>
      </c>
      <c r="CE37" s="78" t="str" cm="1">
        <f t="array" ref="CE37">IFERROR(MMULT($E37:$I37,'Producten &amp; tarieven'!BZ$3:BZ$7),"")</f>
        <v/>
      </c>
      <c r="CF37" s="78" t="str" cm="1">
        <f t="array" ref="CF37">IFERROR(MMULT($E37:$I37,'Producten &amp; tarieven'!CA$3:CA$7),"")</f>
        <v/>
      </c>
      <c r="CG37" s="78" t="str" cm="1">
        <f t="array" ref="CG37">IFERROR(MMULT($E37:$I37,'Producten &amp; tarieven'!CB$3:CB$7),"")</f>
        <v/>
      </c>
      <c r="CH37" s="78" t="str" cm="1">
        <f t="array" ref="CH37">IFERROR(MMULT($E37:$I37,'Producten &amp; tarieven'!CC$3:CC$7),"")</f>
        <v/>
      </c>
      <c r="CI37" s="78" t="str" cm="1">
        <f t="array" ref="CI37">IFERROR(MMULT($E37:$I37,'Producten &amp; tarieven'!CD$3:CD$7),"")</f>
        <v/>
      </c>
      <c r="CJ37" s="78" t="str" cm="1">
        <f t="array" ref="CJ37">IFERROR(MMULT($E37:$I37,'Producten &amp; tarieven'!CE$3:CE$7),"")</f>
        <v/>
      </c>
      <c r="CK37" s="78" t="str" cm="1">
        <f t="array" ref="CK37">IFERROR(MMULT($E37:$I37,'Producten &amp; tarieven'!CF$3:CF$7),"")</f>
        <v/>
      </c>
      <c r="CL37" s="78" t="str" cm="1">
        <f t="array" ref="CL37">IFERROR(MMULT($E37:$I37,'Producten &amp; tarieven'!CG$3:CG$7),"")</f>
        <v/>
      </c>
      <c r="CM37" s="78" t="str" cm="1">
        <f t="array" ref="CM37">IFERROR(MMULT($E37:$I37,'Producten &amp; tarieven'!CH$3:CH$7),"")</f>
        <v/>
      </c>
      <c r="CN37" s="78" t="str" cm="1">
        <f t="array" ref="CN37">IFERROR(MMULT($E37:$I37,'Producten &amp; tarieven'!CI$3:CI$7),"")</f>
        <v/>
      </c>
      <c r="CO37" s="78" t="str" cm="1">
        <f t="array" ref="CO37">IFERROR(MMULT($E37:$I37,'Producten &amp; tarieven'!CJ$3:CJ$7),"")</f>
        <v/>
      </c>
      <c r="CP37" s="78" t="str" cm="1">
        <f t="array" ref="CP37">IFERROR(MMULT($E37:$I37,'Producten &amp; tarieven'!CK$3:CK$7),"")</f>
        <v/>
      </c>
      <c r="CQ37" s="78" t="str" cm="1">
        <f t="array" ref="CQ37">IFERROR(MMULT($E37:$I37,'Producten &amp; tarieven'!CL$3:CL$7),"")</f>
        <v/>
      </c>
      <c r="CR37" s="78" t="str" cm="1">
        <f t="array" ref="CR37">IFERROR(MMULT($E37:$I37,'Producten &amp; tarieven'!CM$3:CM$7),"")</f>
        <v/>
      </c>
      <c r="CS37" s="78" t="str" cm="1">
        <f t="array" ref="CS37">IFERROR(MMULT($E37:$I37,'Producten &amp; tarieven'!CN$3:CN$7),"")</f>
        <v/>
      </c>
      <c r="CT37" s="78" t="str" cm="1">
        <f t="array" ref="CT37">IFERROR(MMULT($E37:$I37,'Producten &amp; tarieven'!CO$3:CO$7),"")</f>
        <v/>
      </c>
      <c r="CU37" s="78" t="str" cm="1">
        <f t="array" ref="CU37">IFERROR(MMULT($E37:$I37,'Producten &amp; tarieven'!CP$3:CP$7),"")</f>
        <v/>
      </c>
      <c r="CV37" s="78" t="str" cm="1">
        <f t="array" ref="CV37">IFERROR(MMULT($E37:$I37,'Producten &amp; tarieven'!CQ$3:CQ$7),"")</f>
        <v/>
      </c>
      <c r="CW37" s="78" t="str" cm="1">
        <f t="array" ref="CW37">IFERROR(MMULT($E37:$I37,'Producten &amp; tarieven'!CR$3:CR$7),"")</f>
        <v/>
      </c>
      <c r="CX37" s="78" t="str" cm="1">
        <f t="array" ref="CX37">IFERROR(MMULT($E37:$I37,'Producten &amp; tarieven'!CS$3:CS$7),"")</f>
        <v/>
      </c>
      <c r="CY37" s="78" t="str" cm="1">
        <f t="array" ref="CY37">IFERROR(MMULT($E37:$I37,'Producten &amp; tarieven'!CT$3:CT$7),"")</f>
        <v/>
      </c>
      <c r="CZ37" s="78" t="str" cm="1">
        <f t="array" ref="CZ37">IFERROR(MMULT($E37:$I37,'Producten &amp; tarieven'!CU$3:CU$7),"")</f>
        <v/>
      </c>
      <c r="DA37" s="78" t="str" cm="1">
        <f t="array" ref="DA37">IFERROR(MMULT($E37:$I37,'Producten &amp; tarieven'!CV$3:CV$7),"")</f>
        <v/>
      </c>
      <c r="DB37" s="78" t="str" cm="1">
        <f t="array" ref="DB37">IFERROR(MMULT($E37:$I37,'Producten &amp; tarieven'!CW$3:CW$7),"")</f>
        <v/>
      </c>
      <c r="DC37" s="78" t="str" cm="1">
        <f t="array" ref="DC37">IFERROR(MMULT($E37:$I37,'Producten &amp; tarieven'!CX$3:CX$7),"")</f>
        <v/>
      </c>
      <c r="DD37" s="78" t="str" cm="1">
        <f t="array" ref="DD37">IFERROR(MMULT($E37:$I37,'Producten &amp; tarieven'!CY$3:CY$7),"")</f>
        <v/>
      </c>
      <c r="DE37" s="440" t="str" cm="1">
        <f t="array" ref="DE37">IFERROR(MMULT($E37:$I37,'Producten &amp; tarieven'!CZ$3:CZ$7),"")</f>
        <v/>
      </c>
      <c r="DF37" s="448"/>
    </row>
    <row r="38" spans="1:110" ht="17.399999999999999">
      <c r="A38" s="447"/>
      <c r="B38" s="811" t="s">
        <v>27</v>
      </c>
      <c r="C38" s="248" t="s">
        <v>29</v>
      </c>
      <c r="D38" s="249" t="s">
        <v>344</v>
      </c>
      <c r="E38" s="420">
        <f t="shared" si="1"/>
        <v>3835.9076</v>
      </c>
      <c r="F38" s="423">
        <f t="shared" si="2"/>
        <v>3831.7404000000001</v>
      </c>
      <c r="G38" s="424">
        <f t="shared" si="3"/>
        <v>4179.7016000000003</v>
      </c>
      <c r="H38" s="428">
        <f t="shared" si="0"/>
        <v>3740.207852</v>
      </c>
      <c r="I38" s="431">
        <f t="shared" si="4"/>
        <v>3743.7232758750001</v>
      </c>
      <c r="J38" s="78" cm="1">
        <f t="array" ref="J38">IFERROR(MMULT($E38:$I38,'Producten &amp; tarieven'!F$3:F$7),"")</f>
        <v>4179.7016000000003</v>
      </c>
      <c r="K38" s="78" t="str" cm="1">
        <f t="array" ref="K38">IFERROR(MMULT($E38:$I38,'Producten &amp; tarieven'!G$3:G$7),"")</f>
        <v/>
      </c>
      <c r="L38" s="78" t="str" cm="1">
        <f t="array" ref="L38">IFERROR(MMULT($E38:$I38,'Producten &amp; tarieven'!#REF!),"")</f>
        <v/>
      </c>
      <c r="M38" s="78" t="str" cm="1">
        <f t="array" ref="M38">IFERROR(MMULT($E38:$I38,'Producten &amp; tarieven'!H$3:H$7),"")</f>
        <v/>
      </c>
      <c r="N38" s="78" t="str" cm="1">
        <f t="array" ref="N38">IFERROR(MMULT($E38:$I38,'Producten &amp; tarieven'!I$3:I$7),"")</f>
        <v/>
      </c>
      <c r="O38" s="78" t="str" cm="1">
        <f t="array" ref="O38">IFERROR(MMULT($E38:$I38,'Producten &amp; tarieven'!J$3:J$7),"")</f>
        <v/>
      </c>
      <c r="P38" s="78" t="str" cm="1">
        <f t="array" ref="P38">IFERROR(MMULT($E38:$I38,'Producten &amp; tarieven'!K$3:K$7),"")</f>
        <v/>
      </c>
      <c r="Q38" s="78" t="str" cm="1">
        <f t="array" ref="Q38">IFERROR(MMULT($E38:$I38,'Producten &amp; tarieven'!L$3:L$7),"")</f>
        <v/>
      </c>
      <c r="R38" s="78" t="str" cm="1">
        <f t="array" ref="R38">IFERROR(MMULT($E38:$I38,'Producten &amp; tarieven'!M$3:M$7),"")</f>
        <v/>
      </c>
      <c r="S38" s="78" t="str" cm="1">
        <f t="array" ref="S38">IFERROR(MMULT($E38:$I38,'Producten &amp; tarieven'!N$3:N$7),"")</f>
        <v/>
      </c>
      <c r="T38" s="78" t="str" cm="1">
        <f t="array" ref="T38">IFERROR(MMULT($E38:$I38,'Producten &amp; tarieven'!O$3:O$7),"")</f>
        <v/>
      </c>
      <c r="U38" s="78" t="str" cm="1">
        <f t="array" ref="U38">IFERROR(MMULT($E38:$I38,'Producten &amp; tarieven'!P$3:P$7),"")</f>
        <v/>
      </c>
      <c r="V38" s="78" t="str" cm="1">
        <f t="array" ref="V38">IFERROR(MMULT($E38:$I38,'Producten &amp; tarieven'!Q$3:Q$7),"")</f>
        <v/>
      </c>
      <c r="W38" s="78" t="str" cm="1">
        <f t="array" ref="W38">IFERROR(MMULT($E38:$I38,'Producten &amp; tarieven'!R$3:R$7),"")</f>
        <v/>
      </c>
      <c r="X38" s="78" t="str" cm="1">
        <f t="array" ref="X38">IFERROR(MMULT($E38:$I38,'Producten &amp; tarieven'!S$3:S$7),"")</f>
        <v/>
      </c>
      <c r="Y38" s="78" t="str" cm="1">
        <f t="array" ref="Y38">IFERROR(MMULT($E38:$I38,'Producten &amp; tarieven'!T$3:T$7),"")</f>
        <v/>
      </c>
      <c r="Z38" s="78" t="str" cm="1">
        <f t="array" ref="Z38">IFERROR(MMULT($E38:$I38,'Producten &amp; tarieven'!U$3:U$7),"")</f>
        <v/>
      </c>
      <c r="AA38" s="78" t="str" cm="1">
        <f t="array" ref="AA38">IFERROR(MMULT($E38:$I38,'Producten &amp; tarieven'!V$3:V$7),"")</f>
        <v/>
      </c>
      <c r="AB38" s="78" t="str" cm="1">
        <f t="array" ref="AB38">IFERROR(MMULT($E38:$I38,'Producten &amp; tarieven'!W$3:W$7),"")</f>
        <v/>
      </c>
      <c r="AC38" s="78" t="str" cm="1">
        <f t="array" ref="AC38">IFERROR(MMULT($E38:$I38,'Producten &amp; tarieven'!X$3:X$7),"")</f>
        <v/>
      </c>
      <c r="AD38" s="78" t="str" cm="1">
        <f t="array" ref="AD38">IFERROR(MMULT($E38:$I38,'Producten &amp; tarieven'!Y$3:Y$7),"")</f>
        <v/>
      </c>
      <c r="AE38" s="78" t="str" cm="1">
        <f t="array" ref="AE38">IFERROR(MMULT($E38:$I38,'Producten &amp; tarieven'!Z$3:Z$7),"")</f>
        <v/>
      </c>
      <c r="AF38" s="78" t="str" cm="1">
        <f t="array" ref="AF38">IFERROR(MMULT($E38:$I38,'Producten &amp; tarieven'!AA$3:AA$7),"")</f>
        <v/>
      </c>
      <c r="AG38" s="78" t="str" cm="1">
        <f t="array" ref="AG38">IFERROR(MMULT($E38:$I38,'Producten &amp; tarieven'!AB$3:AB$7),"")</f>
        <v/>
      </c>
      <c r="AH38" s="78" t="str" cm="1">
        <f t="array" ref="AH38">IFERROR(MMULT($E38:$I38,'Producten &amp; tarieven'!AC$3:AC$7),"")</f>
        <v/>
      </c>
      <c r="AI38" s="78" t="str" cm="1">
        <f t="array" ref="AI38">IFERROR(MMULT($E38:$I38,'Producten &amp; tarieven'!AD$3:AD$7),"")</f>
        <v/>
      </c>
      <c r="AJ38" s="78" t="str" cm="1">
        <f t="array" ref="AJ38">IFERROR(MMULT($E38:$I38,'Producten &amp; tarieven'!AE$3:AE$7),"")</f>
        <v/>
      </c>
      <c r="AK38" s="78" t="str" cm="1">
        <f t="array" ref="AK38">IFERROR(MMULT($E38:$I38,'Producten &amp; tarieven'!AF$3:AF$7),"")</f>
        <v/>
      </c>
      <c r="AL38" s="78" t="str" cm="1">
        <f t="array" ref="AL38">IFERROR(MMULT($E38:$I38,'Producten &amp; tarieven'!AG$3:AG$7),"")</f>
        <v/>
      </c>
      <c r="AM38" s="78" t="str" cm="1">
        <f t="array" ref="AM38">IFERROR(MMULT($E38:$I38,'Producten &amp; tarieven'!AH$3:AH$7),"")</f>
        <v/>
      </c>
      <c r="AN38" s="78" t="str" cm="1">
        <f t="array" ref="AN38">IFERROR(MMULT($E38:$I38,'Producten &amp; tarieven'!AI$3:AI$7),"")</f>
        <v/>
      </c>
      <c r="AO38" s="78" t="str" cm="1">
        <f t="array" ref="AO38">IFERROR(MMULT($E38:$I38,'Producten &amp; tarieven'!AJ$3:AJ$7),"")</f>
        <v/>
      </c>
      <c r="AP38" s="78" t="str" cm="1">
        <f t="array" ref="AP38">IFERROR(MMULT($E38:$I38,'Producten &amp; tarieven'!AK$3:AK$7),"")</f>
        <v/>
      </c>
      <c r="AQ38" s="78" t="str" cm="1">
        <f t="array" ref="AQ38">IFERROR(MMULT($E38:$I38,'Producten &amp; tarieven'!AL$3:AL$7),"")</f>
        <v/>
      </c>
      <c r="AR38" s="78" t="str" cm="1">
        <f t="array" ref="AR38">IFERROR(MMULT($E38:$I38,'Producten &amp; tarieven'!AM$3:AM$7),"")</f>
        <v/>
      </c>
      <c r="AS38" s="78" t="str" cm="1">
        <f t="array" ref="AS38">IFERROR(MMULT($E38:$I38,'Producten &amp; tarieven'!AN$3:AN$7),"")</f>
        <v/>
      </c>
      <c r="AT38" s="78" t="str" cm="1">
        <f t="array" ref="AT38">IFERROR(MMULT($E38:$I38,'Producten &amp; tarieven'!AO$3:AO$7),"")</f>
        <v/>
      </c>
      <c r="AU38" s="78" t="str" cm="1">
        <f t="array" ref="AU38">IFERROR(MMULT($E38:$I38,'Producten &amp; tarieven'!AP$3:AP$7),"")</f>
        <v/>
      </c>
      <c r="AV38" s="78" t="str" cm="1">
        <f t="array" ref="AV38">IFERROR(MMULT($E38:$I38,'Producten &amp; tarieven'!AQ$3:AQ$7),"")</f>
        <v/>
      </c>
      <c r="AW38" s="78" t="str" cm="1">
        <f t="array" ref="AW38">IFERROR(MMULT($E38:$I38,'Producten &amp; tarieven'!AR$3:AR$7),"")</f>
        <v/>
      </c>
      <c r="AX38" s="78" t="str" cm="1">
        <f t="array" ref="AX38">IFERROR(MMULT($E38:$I38,'Producten &amp; tarieven'!AS$3:AS$7),"")</f>
        <v/>
      </c>
      <c r="AY38" s="78" t="str" cm="1">
        <f t="array" ref="AY38">IFERROR(MMULT($E38:$I38,'Producten &amp; tarieven'!AT$3:AT$7),"")</f>
        <v/>
      </c>
      <c r="AZ38" s="78" t="str" cm="1">
        <f t="array" ref="AZ38">IFERROR(MMULT($E38:$I38,'Producten &amp; tarieven'!AU$3:AU$7),"")</f>
        <v/>
      </c>
      <c r="BA38" s="78" t="str" cm="1">
        <f t="array" ref="BA38">IFERROR(MMULT($E38:$I38,'Producten &amp; tarieven'!AV$3:AV$7),"")</f>
        <v/>
      </c>
      <c r="BB38" s="78" t="str" cm="1">
        <f t="array" ref="BB38">IFERROR(MMULT($E38:$I38,'Producten &amp; tarieven'!AW$3:AW$7),"")</f>
        <v/>
      </c>
      <c r="BC38" s="78" t="str" cm="1">
        <f t="array" ref="BC38">IFERROR(MMULT($E38:$I38,'Producten &amp; tarieven'!AX$3:AX$7),"")</f>
        <v/>
      </c>
      <c r="BD38" s="78" t="str" cm="1">
        <f t="array" ref="BD38">IFERROR(MMULT($E38:$I38,'Producten &amp; tarieven'!AY$3:AY$7),"")</f>
        <v/>
      </c>
      <c r="BE38" s="78" t="str" cm="1">
        <f t="array" ref="BE38">IFERROR(MMULT($E38:$I38,'Producten &amp; tarieven'!AZ$3:AZ$7),"")</f>
        <v/>
      </c>
      <c r="BF38" s="78" t="str" cm="1">
        <f t="array" ref="BF38">IFERROR(MMULT($E38:$I38,'Producten &amp; tarieven'!BA$3:BA$7),"")</f>
        <v/>
      </c>
      <c r="BG38" s="78" t="str" cm="1">
        <f t="array" ref="BG38">IFERROR(MMULT($E38:$I38,'Producten &amp; tarieven'!BB$3:BB$7),"")</f>
        <v/>
      </c>
      <c r="BH38" s="78" t="str" cm="1">
        <f t="array" ref="BH38">IFERROR(MMULT($E38:$I38,'Producten &amp; tarieven'!BC$3:BC$7),"")</f>
        <v/>
      </c>
      <c r="BI38" s="78" t="str" cm="1">
        <f t="array" ref="BI38">IFERROR(MMULT($E38:$I38,'Producten &amp; tarieven'!BD$3:BD$7),"")</f>
        <v/>
      </c>
      <c r="BJ38" s="78" t="str" cm="1">
        <f t="array" ref="BJ38">IFERROR(MMULT($E38:$I38,'Producten &amp; tarieven'!BE$3:BE$7),"")</f>
        <v/>
      </c>
      <c r="BK38" s="78" t="str" cm="1">
        <f t="array" ref="BK38">IFERROR(MMULT($E38:$I38,'Producten &amp; tarieven'!BF$3:BF$7),"")</f>
        <v/>
      </c>
      <c r="BL38" s="78" t="str" cm="1">
        <f t="array" ref="BL38">IFERROR(MMULT($E38:$I38,'Producten &amp; tarieven'!BG$3:BG$7),"")</f>
        <v/>
      </c>
      <c r="BM38" s="78" t="str" cm="1">
        <f t="array" ref="BM38">IFERROR(MMULT($E38:$I38,'Producten &amp; tarieven'!BH$3:BH$7),"")</f>
        <v/>
      </c>
      <c r="BN38" s="78" t="str" cm="1">
        <f t="array" ref="BN38">IFERROR(MMULT($E38:$I38,'Producten &amp; tarieven'!BI$3:BI$7),"")</f>
        <v/>
      </c>
      <c r="BO38" s="78" t="str" cm="1">
        <f t="array" ref="BO38">IFERROR(MMULT($E38:$I38,'Producten &amp; tarieven'!BJ$3:BJ$7),"")</f>
        <v/>
      </c>
      <c r="BP38" s="78" t="str" cm="1">
        <f t="array" ref="BP38">IFERROR(MMULT($E38:$I38,'Producten &amp; tarieven'!BK$3:BK$7),"")</f>
        <v/>
      </c>
      <c r="BQ38" s="78" t="str" cm="1">
        <f t="array" ref="BQ38">IFERROR(MMULT($E38:$I38,'Producten &amp; tarieven'!BL$3:BL$7),"")</f>
        <v/>
      </c>
      <c r="BR38" s="78" t="str" cm="1">
        <f t="array" ref="BR38">IFERROR(MMULT($E38:$I38,'Producten &amp; tarieven'!BM$3:BM$7),"")</f>
        <v/>
      </c>
      <c r="BS38" s="78" t="str" cm="1">
        <f t="array" ref="BS38">IFERROR(MMULT($E38:$I38,'Producten &amp; tarieven'!BN$3:BN$7),"")</f>
        <v/>
      </c>
      <c r="BT38" s="78" t="str" cm="1">
        <f t="array" ref="BT38">IFERROR(MMULT($E38:$I38,'Producten &amp; tarieven'!BO$3:BO$7),"")</f>
        <v/>
      </c>
      <c r="BU38" s="78" t="str" cm="1">
        <f t="array" ref="BU38">IFERROR(MMULT($E38:$I38,'Producten &amp; tarieven'!BP$3:BP$7),"")</f>
        <v/>
      </c>
      <c r="BV38" s="78" t="str" cm="1">
        <f t="array" ref="BV38">IFERROR(MMULT($E38:$I38,'Producten &amp; tarieven'!BQ$3:BQ$7),"")</f>
        <v/>
      </c>
      <c r="BW38" s="78" t="str" cm="1">
        <f t="array" ref="BW38">IFERROR(MMULT($E38:$I38,'Producten &amp; tarieven'!BR$3:BR$7),"")</f>
        <v/>
      </c>
      <c r="BX38" s="78" t="str" cm="1">
        <f t="array" ref="BX38">IFERROR(MMULT($E38:$I38,'Producten &amp; tarieven'!BS$3:BS$7),"")</f>
        <v/>
      </c>
      <c r="BY38" s="78" t="str" cm="1">
        <f t="array" ref="BY38">IFERROR(MMULT($E38:$I38,'Producten &amp; tarieven'!BT$3:BT$7),"")</f>
        <v/>
      </c>
      <c r="BZ38" s="78" t="str" cm="1">
        <f t="array" ref="BZ38">IFERROR(MMULT($E38:$I38,'Producten &amp; tarieven'!BU$3:BU$7),"")</f>
        <v/>
      </c>
      <c r="CA38" s="78" t="str" cm="1">
        <f t="array" ref="CA38">IFERROR(MMULT($E38:$I38,'Producten &amp; tarieven'!BV$3:BV$7),"")</f>
        <v/>
      </c>
      <c r="CB38" s="78" t="str" cm="1">
        <f t="array" ref="CB38">IFERROR(MMULT($E38:$I38,'Producten &amp; tarieven'!BW$3:BW$7),"")</f>
        <v/>
      </c>
      <c r="CC38" s="78" t="str" cm="1">
        <f t="array" ref="CC38">IFERROR(MMULT($E38:$I38,'Producten &amp; tarieven'!BX$3:BX$7),"")</f>
        <v/>
      </c>
      <c r="CD38" s="78" t="str" cm="1">
        <f t="array" ref="CD38">IFERROR(MMULT($E38:$I38,'Producten &amp; tarieven'!BY$3:BY$7),"")</f>
        <v/>
      </c>
      <c r="CE38" s="78" t="str" cm="1">
        <f t="array" ref="CE38">IFERROR(MMULT($E38:$I38,'Producten &amp; tarieven'!BZ$3:BZ$7),"")</f>
        <v/>
      </c>
      <c r="CF38" s="78" t="str" cm="1">
        <f t="array" ref="CF38">IFERROR(MMULT($E38:$I38,'Producten &amp; tarieven'!CA$3:CA$7),"")</f>
        <v/>
      </c>
      <c r="CG38" s="78" t="str" cm="1">
        <f t="array" ref="CG38">IFERROR(MMULT($E38:$I38,'Producten &amp; tarieven'!CB$3:CB$7),"")</f>
        <v/>
      </c>
      <c r="CH38" s="78" t="str" cm="1">
        <f t="array" ref="CH38">IFERROR(MMULT($E38:$I38,'Producten &amp; tarieven'!CC$3:CC$7),"")</f>
        <v/>
      </c>
      <c r="CI38" s="78" t="str" cm="1">
        <f t="array" ref="CI38">IFERROR(MMULT($E38:$I38,'Producten &amp; tarieven'!CD$3:CD$7),"")</f>
        <v/>
      </c>
      <c r="CJ38" s="78" t="str" cm="1">
        <f t="array" ref="CJ38">IFERROR(MMULT($E38:$I38,'Producten &amp; tarieven'!CE$3:CE$7),"")</f>
        <v/>
      </c>
      <c r="CK38" s="78" t="str" cm="1">
        <f t="array" ref="CK38">IFERROR(MMULT($E38:$I38,'Producten &amp; tarieven'!CF$3:CF$7),"")</f>
        <v/>
      </c>
      <c r="CL38" s="78" t="str" cm="1">
        <f t="array" ref="CL38">IFERROR(MMULT($E38:$I38,'Producten &amp; tarieven'!CG$3:CG$7),"")</f>
        <v/>
      </c>
      <c r="CM38" s="78" t="str" cm="1">
        <f t="array" ref="CM38">IFERROR(MMULT($E38:$I38,'Producten &amp; tarieven'!CH$3:CH$7),"")</f>
        <v/>
      </c>
      <c r="CN38" s="78" t="str" cm="1">
        <f t="array" ref="CN38">IFERROR(MMULT($E38:$I38,'Producten &amp; tarieven'!CI$3:CI$7),"")</f>
        <v/>
      </c>
      <c r="CO38" s="78" t="str" cm="1">
        <f t="array" ref="CO38">IFERROR(MMULT($E38:$I38,'Producten &amp; tarieven'!CJ$3:CJ$7),"")</f>
        <v/>
      </c>
      <c r="CP38" s="78" t="str" cm="1">
        <f t="array" ref="CP38">IFERROR(MMULT($E38:$I38,'Producten &amp; tarieven'!CK$3:CK$7),"")</f>
        <v/>
      </c>
      <c r="CQ38" s="78" t="str" cm="1">
        <f t="array" ref="CQ38">IFERROR(MMULT($E38:$I38,'Producten &amp; tarieven'!CL$3:CL$7),"")</f>
        <v/>
      </c>
      <c r="CR38" s="78" t="str" cm="1">
        <f t="array" ref="CR38">IFERROR(MMULT($E38:$I38,'Producten &amp; tarieven'!CM$3:CM$7),"")</f>
        <v/>
      </c>
      <c r="CS38" s="78" t="str" cm="1">
        <f t="array" ref="CS38">IFERROR(MMULT($E38:$I38,'Producten &amp; tarieven'!CN$3:CN$7),"")</f>
        <v/>
      </c>
      <c r="CT38" s="78" t="str" cm="1">
        <f t="array" ref="CT38">IFERROR(MMULT($E38:$I38,'Producten &amp; tarieven'!CO$3:CO$7),"")</f>
        <v/>
      </c>
      <c r="CU38" s="78" t="str" cm="1">
        <f t="array" ref="CU38">IFERROR(MMULT($E38:$I38,'Producten &amp; tarieven'!CP$3:CP$7),"")</f>
        <v/>
      </c>
      <c r="CV38" s="78" t="str" cm="1">
        <f t="array" ref="CV38">IFERROR(MMULT($E38:$I38,'Producten &amp; tarieven'!CQ$3:CQ$7),"")</f>
        <v/>
      </c>
      <c r="CW38" s="78" t="str" cm="1">
        <f t="array" ref="CW38">IFERROR(MMULT($E38:$I38,'Producten &amp; tarieven'!CR$3:CR$7),"")</f>
        <v/>
      </c>
      <c r="CX38" s="78" t="str" cm="1">
        <f t="array" ref="CX38">IFERROR(MMULT($E38:$I38,'Producten &amp; tarieven'!CS$3:CS$7),"")</f>
        <v/>
      </c>
      <c r="CY38" s="78" t="str" cm="1">
        <f t="array" ref="CY38">IFERROR(MMULT($E38:$I38,'Producten &amp; tarieven'!CT$3:CT$7),"")</f>
        <v/>
      </c>
      <c r="CZ38" s="78" t="str" cm="1">
        <f t="array" ref="CZ38">IFERROR(MMULT($E38:$I38,'Producten &amp; tarieven'!CU$3:CU$7),"")</f>
        <v/>
      </c>
      <c r="DA38" s="78" t="str" cm="1">
        <f t="array" ref="DA38">IFERROR(MMULT($E38:$I38,'Producten &amp; tarieven'!CV$3:CV$7),"")</f>
        <v/>
      </c>
      <c r="DB38" s="78" t="str" cm="1">
        <f t="array" ref="DB38">IFERROR(MMULT($E38:$I38,'Producten &amp; tarieven'!CW$3:CW$7),"")</f>
        <v/>
      </c>
      <c r="DC38" s="78" t="str" cm="1">
        <f t="array" ref="DC38">IFERROR(MMULT($E38:$I38,'Producten &amp; tarieven'!CX$3:CX$7),"")</f>
        <v/>
      </c>
      <c r="DD38" s="78" t="str" cm="1">
        <f t="array" ref="DD38">IFERROR(MMULT($E38:$I38,'Producten &amp; tarieven'!CY$3:CY$7),"")</f>
        <v/>
      </c>
      <c r="DE38" s="440" t="str" cm="1">
        <f t="array" ref="DE38">IFERROR(MMULT($E38:$I38,'Producten &amp; tarieven'!CZ$3:CZ$7),"")</f>
        <v/>
      </c>
      <c r="DF38" s="448"/>
    </row>
    <row r="39" spans="1:110" ht="17.399999999999999">
      <c r="A39" s="447"/>
      <c r="B39" s="812" t="s">
        <v>345</v>
      </c>
      <c r="C39" s="153" t="s">
        <v>31</v>
      </c>
      <c r="D39" s="244" t="s">
        <v>30</v>
      </c>
      <c r="E39" s="420">
        <f t="shared" si="1"/>
        <v>4184.9106000000002</v>
      </c>
      <c r="F39" s="423">
        <f t="shared" si="2"/>
        <v>4184.9106000000002</v>
      </c>
      <c r="G39" s="424">
        <f t="shared" si="3"/>
        <v>4452.6532000000007</v>
      </c>
      <c r="H39" s="429">
        <f t="shared" si="0"/>
        <v>4109.3592640000006</v>
      </c>
      <c r="I39" s="431">
        <f t="shared" si="4"/>
        <v>4050.2500531560008</v>
      </c>
      <c r="J39" s="78" cm="1">
        <f t="array" ref="J39">IFERROR(MMULT($E39:$I39,'Producten &amp; tarieven'!F$3:F$7),"")</f>
        <v>4452.6532000000007</v>
      </c>
      <c r="K39" s="78" t="str" cm="1">
        <f t="array" ref="K39">IFERROR(MMULT($E39:$I39,'Producten &amp; tarieven'!G$3:G$7),"")</f>
        <v/>
      </c>
      <c r="L39" s="78" t="str" cm="1">
        <f t="array" ref="L39">IFERROR(MMULT($E39:$I39,'Producten &amp; tarieven'!#REF!),"")</f>
        <v/>
      </c>
      <c r="M39" s="78" t="str" cm="1">
        <f t="array" ref="M39">IFERROR(MMULT($E39:$I39,'Producten &amp; tarieven'!H$3:H$7),"")</f>
        <v/>
      </c>
      <c r="N39" s="78" t="str" cm="1">
        <f t="array" ref="N39">IFERROR(MMULT($E39:$I39,'Producten &amp; tarieven'!I$3:I$7),"")</f>
        <v/>
      </c>
      <c r="O39" s="78" t="str" cm="1">
        <f t="array" ref="O39">IFERROR(MMULT($E39:$I39,'Producten &amp; tarieven'!J$3:J$7),"")</f>
        <v/>
      </c>
      <c r="P39" s="78" t="str" cm="1">
        <f t="array" ref="P39">IFERROR(MMULT($E39:$I39,'Producten &amp; tarieven'!K$3:K$7),"")</f>
        <v/>
      </c>
      <c r="Q39" s="78" t="str" cm="1">
        <f t="array" ref="Q39">IFERROR(MMULT($E39:$I39,'Producten &amp; tarieven'!L$3:L$7),"")</f>
        <v/>
      </c>
      <c r="R39" s="78" t="str" cm="1">
        <f t="array" ref="R39">IFERROR(MMULT($E39:$I39,'Producten &amp; tarieven'!M$3:M$7),"")</f>
        <v/>
      </c>
      <c r="S39" s="78" t="str" cm="1">
        <f t="array" ref="S39">IFERROR(MMULT($E39:$I39,'Producten &amp; tarieven'!N$3:N$7),"")</f>
        <v/>
      </c>
      <c r="T39" s="78" t="str" cm="1">
        <f t="array" ref="T39">IFERROR(MMULT($E39:$I39,'Producten &amp; tarieven'!O$3:O$7),"")</f>
        <v/>
      </c>
      <c r="U39" s="78" t="str" cm="1">
        <f t="array" ref="U39">IFERROR(MMULT($E39:$I39,'Producten &amp; tarieven'!P$3:P$7),"")</f>
        <v/>
      </c>
      <c r="V39" s="78" t="str" cm="1">
        <f t="array" ref="V39">IFERROR(MMULT($E39:$I39,'Producten &amp; tarieven'!Q$3:Q$7),"")</f>
        <v/>
      </c>
      <c r="W39" s="78" t="str" cm="1">
        <f t="array" ref="W39">IFERROR(MMULT($E39:$I39,'Producten &amp; tarieven'!R$3:R$7),"")</f>
        <v/>
      </c>
      <c r="X39" s="78" t="str" cm="1">
        <f t="array" ref="X39">IFERROR(MMULT($E39:$I39,'Producten &amp; tarieven'!S$3:S$7),"")</f>
        <v/>
      </c>
      <c r="Y39" s="78" t="str" cm="1">
        <f t="array" ref="Y39">IFERROR(MMULT($E39:$I39,'Producten &amp; tarieven'!T$3:T$7),"")</f>
        <v/>
      </c>
      <c r="Z39" s="78" t="str" cm="1">
        <f t="array" ref="Z39">IFERROR(MMULT($E39:$I39,'Producten &amp; tarieven'!U$3:U$7),"")</f>
        <v/>
      </c>
      <c r="AA39" s="78" t="str" cm="1">
        <f t="array" ref="AA39">IFERROR(MMULT($E39:$I39,'Producten &amp; tarieven'!V$3:V$7),"")</f>
        <v/>
      </c>
      <c r="AB39" s="78" t="str" cm="1">
        <f t="array" ref="AB39">IFERROR(MMULT($E39:$I39,'Producten &amp; tarieven'!W$3:W$7),"")</f>
        <v/>
      </c>
      <c r="AC39" s="78" t="str" cm="1">
        <f t="array" ref="AC39">IFERROR(MMULT($E39:$I39,'Producten &amp; tarieven'!X$3:X$7),"")</f>
        <v/>
      </c>
      <c r="AD39" s="78" t="str" cm="1">
        <f t="array" ref="AD39">IFERROR(MMULT($E39:$I39,'Producten &amp; tarieven'!Y$3:Y$7),"")</f>
        <v/>
      </c>
      <c r="AE39" s="78" t="str" cm="1">
        <f t="array" ref="AE39">IFERROR(MMULT($E39:$I39,'Producten &amp; tarieven'!Z$3:Z$7),"")</f>
        <v/>
      </c>
      <c r="AF39" s="78" t="str" cm="1">
        <f t="array" ref="AF39">IFERROR(MMULT($E39:$I39,'Producten &amp; tarieven'!AA$3:AA$7),"")</f>
        <v/>
      </c>
      <c r="AG39" s="78" t="str" cm="1">
        <f t="array" ref="AG39">IFERROR(MMULT($E39:$I39,'Producten &amp; tarieven'!AB$3:AB$7),"")</f>
        <v/>
      </c>
      <c r="AH39" s="78" t="str" cm="1">
        <f t="array" ref="AH39">IFERROR(MMULT($E39:$I39,'Producten &amp; tarieven'!AC$3:AC$7),"")</f>
        <v/>
      </c>
      <c r="AI39" s="78" t="str" cm="1">
        <f t="array" ref="AI39">IFERROR(MMULT($E39:$I39,'Producten &amp; tarieven'!AD$3:AD$7),"")</f>
        <v/>
      </c>
      <c r="AJ39" s="78" t="str" cm="1">
        <f t="array" ref="AJ39">IFERROR(MMULT($E39:$I39,'Producten &amp; tarieven'!AE$3:AE$7),"")</f>
        <v/>
      </c>
      <c r="AK39" s="78" t="str" cm="1">
        <f t="array" ref="AK39">IFERROR(MMULT($E39:$I39,'Producten &amp; tarieven'!AF$3:AF$7),"")</f>
        <v/>
      </c>
      <c r="AL39" s="78" t="str" cm="1">
        <f t="array" ref="AL39">IFERROR(MMULT($E39:$I39,'Producten &amp; tarieven'!AG$3:AG$7),"")</f>
        <v/>
      </c>
      <c r="AM39" s="78" t="str" cm="1">
        <f t="array" ref="AM39">IFERROR(MMULT($E39:$I39,'Producten &amp; tarieven'!AH$3:AH$7),"")</f>
        <v/>
      </c>
      <c r="AN39" s="78" t="str" cm="1">
        <f t="array" ref="AN39">IFERROR(MMULT($E39:$I39,'Producten &amp; tarieven'!AI$3:AI$7),"")</f>
        <v/>
      </c>
      <c r="AO39" s="78" t="str" cm="1">
        <f t="array" ref="AO39">IFERROR(MMULT($E39:$I39,'Producten &amp; tarieven'!AJ$3:AJ$7),"")</f>
        <v/>
      </c>
      <c r="AP39" s="78" t="str" cm="1">
        <f t="array" ref="AP39">IFERROR(MMULT($E39:$I39,'Producten &amp; tarieven'!AK$3:AK$7),"")</f>
        <v/>
      </c>
      <c r="AQ39" s="78" t="str" cm="1">
        <f t="array" ref="AQ39">IFERROR(MMULT($E39:$I39,'Producten &amp; tarieven'!AL$3:AL$7),"")</f>
        <v/>
      </c>
      <c r="AR39" s="78" t="str" cm="1">
        <f t="array" ref="AR39">IFERROR(MMULT($E39:$I39,'Producten &amp; tarieven'!AM$3:AM$7),"")</f>
        <v/>
      </c>
      <c r="AS39" s="78" t="str" cm="1">
        <f t="array" ref="AS39">IFERROR(MMULT($E39:$I39,'Producten &amp; tarieven'!AN$3:AN$7),"")</f>
        <v/>
      </c>
      <c r="AT39" s="78" t="str" cm="1">
        <f t="array" ref="AT39">IFERROR(MMULT($E39:$I39,'Producten &amp; tarieven'!AO$3:AO$7),"")</f>
        <v/>
      </c>
      <c r="AU39" s="78" t="str" cm="1">
        <f t="array" ref="AU39">IFERROR(MMULT($E39:$I39,'Producten &amp; tarieven'!AP$3:AP$7),"")</f>
        <v/>
      </c>
      <c r="AV39" s="78" t="str" cm="1">
        <f t="array" ref="AV39">IFERROR(MMULT($E39:$I39,'Producten &amp; tarieven'!AQ$3:AQ$7),"")</f>
        <v/>
      </c>
      <c r="AW39" s="78" t="str" cm="1">
        <f t="array" ref="AW39">IFERROR(MMULT($E39:$I39,'Producten &amp; tarieven'!AR$3:AR$7),"")</f>
        <v/>
      </c>
      <c r="AX39" s="78" t="str" cm="1">
        <f t="array" ref="AX39">IFERROR(MMULT($E39:$I39,'Producten &amp; tarieven'!AS$3:AS$7),"")</f>
        <v/>
      </c>
      <c r="AY39" s="78" t="str" cm="1">
        <f t="array" ref="AY39">IFERROR(MMULT($E39:$I39,'Producten &amp; tarieven'!AT$3:AT$7),"")</f>
        <v/>
      </c>
      <c r="AZ39" s="78" t="str" cm="1">
        <f t="array" ref="AZ39">IFERROR(MMULT($E39:$I39,'Producten &amp; tarieven'!AU$3:AU$7),"")</f>
        <v/>
      </c>
      <c r="BA39" s="78" t="str" cm="1">
        <f t="array" ref="BA39">IFERROR(MMULT($E39:$I39,'Producten &amp; tarieven'!AV$3:AV$7),"")</f>
        <v/>
      </c>
      <c r="BB39" s="78" t="str" cm="1">
        <f t="array" ref="BB39">IFERROR(MMULT($E39:$I39,'Producten &amp; tarieven'!AW$3:AW$7),"")</f>
        <v/>
      </c>
      <c r="BC39" s="78" t="str" cm="1">
        <f t="array" ref="BC39">IFERROR(MMULT($E39:$I39,'Producten &amp; tarieven'!AX$3:AX$7),"")</f>
        <v/>
      </c>
      <c r="BD39" s="78" t="str" cm="1">
        <f t="array" ref="BD39">IFERROR(MMULT($E39:$I39,'Producten &amp; tarieven'!AY$3:AY$7),"")</f>
        <v/>
      </c>
      <c r="BE39" s="78" t="str" cm="1">
        <f t="array" ref="BE39">IFERROR(MMULT($E39:$I39,'Producten &amp; tarieven'!AZ$3:AZ$7),"")</f>
        <v/>
      </c>
      <c r="BF39" s="78" t="str" cm="1">
        <f t="array" ref="BF39">IFERROR(MMULT($E39:$I39,'Producten &amp; tarieven'!BA$3:BA$7),"")</f>
        <v/>
      </c>
      <c r="BG39" s="78" t="str" cm="1">
        <f t="array" ref="BG39">IFERROR(MMULT($E39:$I39,'Producten &amp; tarieven'!BB$3:BB$7),"")</f>
        <v/>
      </c>
      <c r="BH39" s="78" t="str" cm="1">
        <f t="array" ref="BH39">IFERROR(MMULT($E39:$I39,'Producten &amp; tarieven'!BC$3:BC$7),"")</f>
        <v/>
      </c>
      <c r="BI39" s="78" t="str" cm="1">
        <f t="array" ref="BI39">IFERROR(MMULT($E39:$I39,'Producten &amp; tarieven'!BD$3:BD$7),"")</f>
        <v/>
      </c>
      <c r="BJ39" s="78" t="str" cm="1">
        <f t="array" ref="BJ39">IFERROR(MMULT($E39:$I39,'Producten &amp; tarieven'!BE$3:BE$7),"")</f>
        <v/>
      </c>
      <c r="BK39" s="78" t="str" cm="1">
        <f t="array" ref="BK39">IFERROR(MMULT($E39:$I39,'Producten &amp; tarieven'!BF$3:BF$7),"")</f>
        <v/>
      </c>
      <c r="BL39" s="78" t="str" cm="1">
        <f t="array" ref="BL39">IFERROR(MMULT($E39:$I39,'Producten &amp; tarieven'!BG$3:BG$7),"")</f>
        <v/>
      </c>
      <c r="BM39" s="78" t="str" cm="1">
        <f t="array" ref="BM39">IFERROR(MMULT($E39:$I39,'Producten &amp; tarieven'!BH$3:BH$7),"")</f>
        <v/>
      </c>
      <c r="BN39" s="78" t="str" cm="1">
        <f t="array" ref="BN39">IFERROR(MMULT($E39:$I39,'Producten &amp; tarieven'!BI$3:BI$7),"")</f>
        <v/>
      </c>
      <c r="BO39" s="78" t="str" cm="1">
        <f t="array" ref="BO39">IFERROR(MMULT($E39:$I39,'Producten &amp; tarieven'!BJ$3:BJ$7),"")</f>
        <v/>
      </c>
      <c r="BP39" s="78" t="str" cm="1">
        <f t="array" ref="BP39">IFERROR(MMULT($E39:$I39,'Producten &amp; tarieven'!BK$3:BK$7),"")</f>
        <v/>
      </c>
      <c r="BQ39" s="78" t="str" cm="1">
        <f t="array" ref="BQ39">IFERROR(MMULT($E39:$I39,'Producten &amp; tarieven'!BL$3:BL$7),"")</f>
        <v/>
      </c>
      <c r="BR39" s="78" t="str" cm="1">
        <f t="array" ref="BR39">IFERROR(MMULT($E39:$I39,'Producten &amp; tarieven'!BM$3:BM$7),"")</f>
        <v/>
      </c>
      <c r="BS39" s="78" t="str" cm="1">
        <f t="array" ref="BS39">IFERROR(MMULT($E39:$I39,'Producten &amp; tarieven'!BN$3:BN$7),"")</f>
        <v/>
      </c>
      <c r="BT39" s="78" t="str" cm="1">
        <f t="array" ref="BT39">IFERROR(MMULT($E39:$I39,'Producten &amp; tarieven'!BO$3:BO$7),"")</f>
        <v/>
      </c>
      <c r="BU39" s="78" t="str" cm="1">
        <f t="array" ref="BU39">IFERROR(MMULT($E39:$I39,'Producten &amp; tarieven'!BP$3:BP$7),"")</f>
        <v/>
      </c>
      <c r="BV39" s="78" t="str" cm="1">
        <f t="array" ref="BV39">IFERROR(MMULT($E39:$I39,'Producten &amp; tarieven'!BQ$3:BQ$7),"")</f>
        <v/>
      </c>
      <c r="BW39" s="78" t="str" cm="1">
        <f t="array" ref="BW39">IFERROR(MMULT($E39:$I39,'Producten &amp; tarieven'!BR$3:BR$7),"")</f>
        <v/>
      </c>
      <c r="BX39" s="78" t="str" cm="1">
        <f t="array" ref="BX39">IFERROR(MMULT($E39:$I39,'Producten &amp; tarieven'!BS$3:BS$7),"")</f>
        <v/>
      </c>
      <c r="BY39" s="78" t="str" cm="1">
        <f t="array" ref="BY39">IFERROR(MMULT($E39:$I39,'Producten &amp; tarieven'!BT$3:BT$7),"")</f>
        <v/>
      </c>
      <c r="BZ39" s="78" t="str" cm="1">
        <f t="array" ref="BZ39">IFERROR(MMULT($E39:$I39,'Producten &amp; tarieven'!BU$3:BU$7),"")</f>
        <v/>
      </c>
      <c r="CA39" s="78" t="str" cm="1">
        <f t="array" ref="CA39">IFERROR(MMULT($E39:$I39,'Producten &amp; tarieven'!BV$3:BV$7),"")</f>
        <v/>
      </c>
      <c r="CB39" s="78" t="str" cm="1">
        <f t="array" ref="CB39">IFERROR(MMULT($E39:$I39,'Producten &amp; tarieven'!BW$3:BW$7),"")</f>
        <v/>
      </c>
      <c r="CC39" s="78" t="str" cm="1">
        <f t="array" ref="CC39">IFERROR(MMULT($E39:$I39,'Producten &amp; tarieven'!BX$3:BX$7),"")</f>
        <v/>
      </c>
      <c r="CD39" s="78" t="str" cm="1">
        <f t="array" ref="CD39">IFERROR(MMULT($E39:$I39,'Producten &amp; tarieven'!BY$3:BY$7),"")</f>
        <v/>
      </c>
      <c r="CE39" s="78" t="str" cm="1">
        <f t="array" ref="CE39">IFERROR(MMULT($E39:$I39,'Producten &amp; tarieven'!BZ$3:BZ$7),"")</f>
        <v/>
      </c>
      <c r="CF39" s="78" t="str" cm="1">
        <f t="array" ref="CF39">IFERROR(MMULT($E39:$I39,'Producten &amp; tarieven'!CA$3:CA$7),"")</f>
        <v/>
      </c>
      <c r="CG39" s="78" t="str" cm="1">
        <f t="array" ref="CG39">IFERROR(MMULT($E39:$I39,'Producten &amp; tarieven'!CB$3:CB$7),"")</f>
        <v/>
      </c>
      <c r="CH39" s="78" t="str" cm="1">
        <f t="array" ref="CH39">IFERROR(MMULT($E39:$I39,'Producten &amp; tarieven'!CC$3:CC$7),"")</f>
        <v/>
      </c>
      <c r="CI39" s="78" t="str" cm="1">
        <f t="array" ref="CI39">IFERROR(MMULT($E39:$I39,'Producten &amp; tarieven'!CD$3:CD$7),"")</f>
        <v/>
      </c>
      <c r="CJ39" s="78" t="str" cm="1">
        <f t="array" ref="CJ39">IFERROR(MMULT($E39:$I39,'Producten &amp; tarieven'!CE$3:CE$7),"")</f>
        <v/>
      </c>
      <c r="CK39" s="78" t="str" cm="1">
        <f t="array" ref="CK39">IFERROR(MMULT($E39:$I39,'Producten &amp; tarieven'!CF$3:CF$7),"")</f>
        <v/>
      </c>
      <c r="CL39" s="78" t="str" cm="1">
        <f t="array" ref="CL39">IFERROR(MMULT($E39:$I39,'Producten &amp; tarieven'!CG$3:CG$7),"")</f>
        <v/>
      </c>
      <c r="CM39" s="78" t="str" cm="1">
        <f t="array" ref="CM39">IFERROR(MMULT($E39:$I39,'Producten &amp; tarieven'!CH$3:CH$7),"")</f>
        <v/>
      </c>
      <c r="CN39" s="78" t="str" cm="1">
        <f t="array" ref="CN39">IFERROR(MMULT($E39:$I39,'Producten &amp; tarieven'!CI$3:CI$7),"")</f>
        <v/>
      </c>
      <c r="CO39" s="78" t="str" cm="1">
        <f t="array" ref="CO39">IFERROR(MMULT($E39:$I39,'Producten &amp; tarieven'!CJ$3:CJ$7),"")</f>
        <v/>
      </c>
      <c r="CP39" s="78" t="str" cm="1">
        <f t="array" ref="CP39">IFERROR(MMULT($E39:$I39,'Producten &amp; tarieven'!CK$3:CK$7),"")</f>
        <v/>
      </c>
      <c r="CQ39" s="78" t="str" cm="1">
        <f t="array" ref="CQ39">IFERROR(MMULT($E39:$I39,'Producten &amp; tarieven'!CL$3:CL$7),"")</f>
        <v/>
      </c>
      <c r="CR39" s="78" t="str" cm="1">
        <f t="array" ref="CR39">IFERROR(MMULT($E39:$I39,'Producten &amp; tarieven'!CM$3:CM$7),"")</f>
        <v/>
      </c>
      <c r="CS39" s="78" t="str" cm="1">
        <f t="array" ref="CS39">IFERROR(MMULT($E39:$I39,'Producten &amp; tarieven'!CN$3:CN$7),"")</f>
        <v/>
      </c>
      <c r="CT39" s="78" t="str" cm="1">
        <f t="array" ref="CT39">IFERROR(MMULT($E39:$I39,'Producten &amp; tarieven'!CO$3:CO$7),"")</f>
        <v/>
      </c>
      <c r="CU39" s="78" t="str" cm="1">
        <f t="array" ref="CU39">IFERROR(MMULT($E39:$I39,'Producten &amp; tarieven'!CP$3:CP$7),"")</f>
        <v/>
      </c>
      <c r="CV39" s="78" t="str" cm="1">
        <f t="array" ref="CV39">IFERROR(MMULT($E39:$I39,'Producten &amp; tarieven'!CQ$3:CQ$7),"")</f>
        <v/>
      </c>
      <c r="CW39" s="78" t="str" cm="1">
        <f t="array" ref="CW39">IFERROR(MMULT($E39:$I39,'Producten &amp; tarieven'!CR$3:CR$7),"")</f>
        <v/>
      </c>
      <c r="CX39" s="78" t="str" cm="1">
        <f t="array" ref="CX39">IFERROR(MMULT($E39:$I39,'Producten &amp; tarieven'!CS$3:CS$7),"")</f>
        <v/>
      </c>
      <c r="CY39" s="78" t="str" cm="1">
        <f t="array" ref="CY39">IFERROR(MMULT($E39:$I39,'Producten &amp; tarieven'!CT$3:CT$7),"")</f>
        <v/>
      </c>
      <c r="CZ39" s="78" t="str" cm="1">
        <f t="array" ref="CZ39">IFERROR(MMULT($E39:$I39,'Producten &amp; tarieven'!CU$3:CU$7),"")</f>
        <v/>
      </c>
      <c r="DA39" s="78" t="str" cm="1">
        <f t="array" ref="DA39">IFERROR(MMULT($E39:$I39,'Producten &amp; tarieven'!CV$3:CV$7),"")</f>
        <v/>
      </c>
      <c r="DB39" s="78" t="str" cm="1">
        <f t="array" ref="DB39">IFERROR(MMULT($E39:$I39,'Producten &amp; tarieven'!CW$3:CW$7),"")</f>
        <v/>
      </c>
      <c r="DC39" s="78" t="str" cm="1">
        <f t="array" ref="DC39">IFERROR(MMULT($E39:$I39,'Producten &amp; tarieven'!CX$3:CX$7),"")</f>
        <v/>
      </c>
      <c r="DD39" s="78" t="str" cm="1">
        <f t="array" ref="DD39">IFERROR(MMULT($E39:$I39,'Producten &amp; tarieven'!CY$3:CY$7),"")</f>
        <v/>
      </c>
      <c r="DE39" s="440" t="str" cm="1">
        <f t="array" ref="DE39">IFERROR(MMULT($E39:$I39,'Producten &amp; tarieven'!CZ$3:CZ$7),"")</f>
        <v/>
      </c>
      <c r="DF39" s="448"/>
    </row>
    <row r="40" spans="1:110" ht="17.399999999999999">
      <c r="A40" s="447"/>
      <c r="B40" s="1029" t="s">
        <v>32</v>
      </c>
      <c r="C40" s="248" t="s">
        <v>34</v>
      </c>
      <c r="D40" s="249" t="s">
        <v>33</v>
      </c>
      <c r="E40" s="420">
        <f t="shared" si="1"/>
        <v>4619.3411999999998</v>
      </c>
      <c r="F40" s="423">
        <f t="shared" si="2"/>
        <v>4621.4248000000007</v>
      </c>
      <c r="G40" s="424">
        <f t="shared" si="3"/>
        <v>4926.6722</v>
      </c>
      <c r="H40" s="428">
        <f t="shared" si="0"/>
        <v>4667.4827780000005</v>
      </c>
      <c r="I40" s="431">
        <f t="shared" si="4"/>
        <v>4399.6908070980007</v>
      </c>
      <c r="J40" s="78" cm="1">
        <f t="array" ref="J40">IFERROR(MMULT($E40:$I40,'Producten &amp; tarieven'!F$3:F$7),"")</f>
        <v>4926.6722</v>
      </c>
      <c r="K40" s="78" t="str" cm="1">
        <f t="array" ref="K40">IFERROR(MMULT($E40:$I40,'Producten &amp; tarieven'!G$3:G$7),"")</f>
        <v/>
      </c>
      <c r="L40" s="78" t="str" cm="1">
        <f t="array" ref="L40">IFERROR(MMULT($E40:$I40,'Producten &amp; tarieven'!#REF!),"")</f>
        <v/>
      </c>
      <c r="M40" s="78" t="str" cm="1">
        <f t="array" ref="M40">IFERROR(MMULT($E40:$I40,'Producten &amp; tarieven'!H$3:H$7),"")</f>
        <v/>
      </c>
      <c r="N40" s="78" t="str" cm="1">
        <f t="array" ref="N40">IFERROR(MMULT($E40:$I40,'Producten &amp; tarieven'!I$3:I$7),"")</f>
        <v/>
      </c>
      <c r="O40" s="78" t="str" cm="1">
        <f t="array" ref="O40">IFERROR(MMULT($E40:$I40,'Producten &amp; tarieven'!J$3:J$7),"")</f>
        <v/>
      </c>
      <c r="P40" s="78" t="str" cm="1">
        <f t="array" ref="P40">IFERROR(MMULT($E40:$I40,'Producten &amp; tarieven'!K$3:K$7),"")</f>
        <v/>
      </c>
      <c r="Q40" s="78" t="str" cm="1">
        <f t="array" ref="Q40">IFERROR(MMULT($E40:$I40,'Producten &amp; tarieven'!L$3:L$7),"")</f>
        <v/>
      </c>
      <c r="R40" s="78" t="str" cm="1">
        <f t="array" ref="R40">IFERROR(MMULT($E40:$I40,'Producten &amp; tarieven'!M$3:M$7),"")</f>
        <v/>
      </c>
      <c r="S40" s="78" t="str" cm="1">
        <f t="array" ref="S40">IFERROR(MMULT($E40:$I40,'Producten &amp; tarieven'!N$3:N$7),"")</f>
        <v/>
      </c>
      <c r="T40" s="78" t="str" cm="1">
        <f t="array" ref="T40">IFERROR(MMULT($E40:$I40,'Producten &amp; tarieven'!O$3:O$7),"")</f>
        <v/>
      </c>
      <c r="U40" s="78" t="str" cm="1">
        <f t="array" ref="U40">IFERROR(MMULT($E40:$I40,'Producten &amp; tarieven'!P$3:P$7),"")</f>
        <v/>
      </c>
      <c r="V40" s="78" t="str" cm="1">
        <f t="array" ref="V40">IFERROR(MMULT($E40:$I40,'Producten &amp; tarieven'!Q$3:Q$7),"")</f>
        <v/>
      </c>
      <c r="W40" s="78" t="str" cm="1">
        <f t="array" ref="W40">IFERROR(MMULT($E40:$I40,'Producten &amp; tarieven'!R$3:R$7),"")</f>
        <v/>
      </c>
      <c r="X40" s="78" t="str" cm="1">
        <f t="array" ref="X40">IFERROR(MMULT($E40:$I40,'Producten &amp; tarieven'!S$3:S$7),"")</f>
        <v/>
      </c>
      <c r="Y40" s="78" t="str" cm="1">
        <f t="array" ref="Y40">IFERROR(MMULT($E40:$I40,'Producten &amp; tarieven'!T$3:T$7),"")</f>
        <v/>
      </c>
      <c r="Z40" s="78" t="str" cm="1">
        <f t="array" ref="Z40">IFERROR(MMULT($E40:$I40,'Producten &amp; tarieven'!U$3:U$7),"")</f>
        <v/>
      </c>
      <c r="AA40" s="78" t="str" cm="1">
        <f t="array" ref="AA40">IFERROR(MMULT($E40:$I40,'Producten &amp; tarieven'!V$3:V$7),"")</f>
        <v/>
      </c>
      <c r="AB40" s="78" t="str" cm="1">
        <f t="array" ref="AB40">IFERROR(MMULT($E40:$I40,'Producten &amp; tarieven'!W$3:W$7),"")</f>
        <v/>
      </c>
      <c r="AC40" s="78" t="str" cm="1">
        <f t="array" ref="AC40">IFERROR(MMULT($E40:$I40,'Producten &amp; tarieven'!X$3:X$7),"")</f>
        <v/>
      </c>
      <c r="AD40" s="78" t="str" cm="1">
        <f t="array" ref="AD40">IFERROR(MMULT($E40:$I40,'Producten &amp; tarieven'!Y$3:Y$7),"")</f>
        <v/>
      </c>
      <c r="AE40" s="78" t="str" cm="1">
        <f t="array" ref="AE40">IFERROR(MMULT($E40:$I40,'Producten &amp; tarieven'!Z$3:Z$7),"")</f>
        <v/>
      </c>
      <c r="AF40" s="78" t="str" cm="1">
        <f t="array" ref="AF40">IFERROR(MMULT($E40:$I40,'Producten &amp; tarieven'!AA$3:AA$7),"")</f>
        <v/>
      </c>
      <c r="AG40" s="78" t="str" cm="1">
        <f t="array" ref="AG40">IFERROR(MMULT($E40:$I40,'Producten &amp; tarieven'!AB$3:AB$7),"")</f>
        <v/>
      </c>
      <c r="AH40" s="78" t="str" cm="1">
        <f t="array" ref="AH40">IFERROR(MMULT($E40:$I40,'Producten &amp; tarieven'!AC$3:AC$7),"")</f>
        <v/>
      </c>
      <c r="AI40" s="78" t="str" cm="1">
        <f t="array" ref="AI40">IFERROR(MMULT($E40:$I40,'Producten &amp; tarieven'!AD$3:AD$7),"")</f>
        <v/>
      </c>
      <c r="AJ40" s="78" t="str" cm="1">
        <f t="array" ref="AJ40">IFERROR(MMULT($E40:$I40,'Producten &amp; tarieven'!AE$3:AE$7),"")</f>
        <v/>
      </c>
      <c r="AK40" s="78" t="str" cm="1">
        <f t="array" ref="AK40">IFERROR(MMULT($E40:$I40,'Producten &amp; tarieven'!AF$3:AF$7),"")</f>
        <v/>
      </c>
      <c r="AL40" s="78" t="str" cm="1">
        <f t="array" ref="AL40">IFERROR(MMULT($E40:$I40,'Producten &amp; tarieven'!AG$3:AG$7),"")</f>
        <v/>
      </c>
      <c r="AM40" s="78" t="str" cm="1">
        <f t="array" ref="AM40">IFERROR(MMULT($E40:$I40,'Producten &amp; tarieven'!AH$3:AH$7),"")</f>
        <v/>
      </c>
      <c r="AN40" s="78" t="str" cm="1">
        <f t="array" ref="AN40">IFERROR(MMULT($E40:$I40,'Producten &amp; tarieven'!AI$3:AI$7),"")</f>
        <v/>
      </c>
      <c r="AO40" s="78" t="str" cm="1">
        <f t="array" ref="AO40">IFERROR(MMULT($E40:$I40,'Producten &amp; tarieven'!AJ$3:AJ$7),"")</f>
        <v/>
      </c>
      <c r="AP40" s="78" t="str" cm="1">
        <f t="array" ref="AP40">IFERROR(MMULT($E40:$I40,'Producten &amp; tarieven'!AK$3:AK$7),"")</f>
        <v/>
      </c>
      <c r="AQ40" s="78" t="str" cm="1">
        <f t="array" ref="AQ40">IFERROR(MMULT($E40:$I40,'Producten &amp; tarieven'!AL$3:AL$7),"")</f>
        <v/>
      </c>
      <c r="AR40" s="78" t="str" cm="1">
        <f t="array" ref="AR40">IFERROR(MMULT($E40:$I40,'Producten &amp; tarieven'!AM$3:AM$7),"")</f>
        <v/>
      </c>
      <c r="AS40" s="78" t="str" cm="1">
        <f t="array" ref="AS40">IFERROR(MMULT($E40:$I40,'Producten &amp; tarieven'!AN$3:AN$7),"")</f>
        <v/>
      </c>
      <c r="AT40" s="78" t="str" cm="1">
        <f t="array" ref="AT40">IFERROR(MMULT($E40:$I40,'Producten &amp; tarieven'!AO$3:AO$7),"")</f>
        <v/>
      </c>
      <c r="AU40" s="78" t="str" cm="1">
        <f t="array" ref="AU40">IFERROR(MMULT($E40:$I40,'Producten &amp; tarieven'!AP$3:AP$7),"")</f>
        <v/>
      </c>
      <c r="AV40" s="78" t="str" cm="1">
        <f t="array" ref="AV40">IFERROR(MMULT($E40:$I40,'Producten &amp; tarieven'!AQ$3:AQ$7),"")</f>
        <v/>
      </c>
      <c r="AW40" s="78" t="str" cm="1">
        <f t="array" ref="AW40">IFERROR(MMULT($E40:$I40,'Producten &amp; tarieven'!AR$3:AR$7),"")</f>
        <v/>
      </c>
      <c r="AX40" s="78" t="str" cm="1">
        <f t="array" ref="AX40">IFERROR(MMULT($E40:$I40,'Producten &amp; tarieven'!AS$3:AS$7),"")</f>
        <v/>
      </c>
      <c r="AY40" s="78" t="str" cm="1">
        <f t="array" ref="AY40">IFERROR(MMULT($E40:$I40,'Producten &amp; tarieven'!AT$3:AT$7),"")</f>
        <v/>
      </c>
      <c r="AZ40" s="78" t="str" cm="1">
        <f t="array" ref="AZ40">IFERROR(MMULT($E40:$I40,'Producten &amp; tarieven'!AU$3:AU$7),"")</f>
        <v/>
      </c>
      <c r="BA40" s="78" t="str" cm="1">
        <f t="array" ref="BA40">IFERROR(MMULT($E40:$I40,'Producten &amp; tarieven'!AV$3:AV$7),"")</f>
        <v/>
      </c>
      <c r="BB40" s="78" t="str" cm="1">
        <f t="array" ref="BB40">IFERROR(MMULT($E40:$I40,'Producten &amp; tarieven'!AW$3:AW$7),"")</f>
        <v/>
      </c>
      <c r="BC40" s="78" t="str" cm="1">
        <f t="array" ref="BC40">IFERROR(MMULT($E40:$I40,'Producten &amp; tarieven'!AX$3:AX$7),"")</f>
        <v/>
      </c>
      <c r="BD40" s="78" t="str" cm="1">
        <f t="array" ref="BD40">IFERROR(MMULT($E40:$I40,'Producten &amp; tarieven'!AY$3:AY$7),"")</f>
        <v/>
      </c>
      <c r="BE40" s="78" t="str" cm="1">
        <f t="array" ref="BE40">IFERROR(MMULT($E40:$I40,'Producten &amp; tarieven'!AZ$3:AZ$7),"")</f>
        <v/>
      </c>
      <c r="BF40" s="78" t="str" cm="1">
        <f t="array" ref="BF40">IFERROR(MMULT($E40:$I40,'Producten &amp; tarieven'!BA$3:BA$7),"")</f>
        <v/>
      </c>
      <c r="BG40" s="78" t="str" cm="1">
        <f t="array" ref="BG40">IFERROR(MMULT($E40:$I40,'Producten &amp; tarieven'!BB$3:BB$7),"")</f>
        <v/>
      </c>
      <c r="BH40" s="78" t="str" cm="1">
        <f t="array" ref="BH40">IFERROR(MMULT($E40:$I40,'Producten &amp; tarieven'!BC$3:BC$7),"")</f>
        <v/>
      </c>
      <c r="BI40" s="78" t="str" cm="1">
        <f t="array" ref="BI40">IFERROR(MMULT($E40:$I40,'Producten &amp; tarieven'!BD$3:BD$7),"")</f>
        <v/>
      </c>
      <c r="BJ40" s="78" t="str" cm="1">
        <f t="array" ref="BJ40">IFERROR(MMULT($E40:$I40,'Producten &amp; tarieven'!BE$3:BE$7),"")</f>
        <v/>
      </c>
      <c r="BK40" s="78" t="str" cm="1">
        <f t="array" ref="BK40">IFERROR(MMULT($E40:$I40,'Producten &amp; tarieven'!BF$3:BF$7),"")</f>
        <v/>
      </c>
      <c r="BL40" s="78" t="str" cm="1">
        <f t="array" ref="BL40">IFERROR(MMULT($E40:$I40,'Producten &amp; tarieven'!BG$3:BG$7),"")</f>
        <v/>
      </c>
      <c r="BM40" s="78" t="str" cm="1">
        <f t="array" ref="BM40">IFERROR(MMULT($E40:$I40,'Producten &amp; tarieven'!BH$3:BH$7),"")</f>
        <v/>
      </c>
      <c r="BN40" s="78" t="str" cm="1">
        <f t="array" ref="BN40">IFERROR(MMULT($E40:$I40,'Producten &amp; tarieven'!BI$3:BI$7),"")</f>
        <v/>
      </c>
      <c r="BO40" s="78" t="str" cm="1">
        <f t="array" ref="BO40">IFERROR(MMULT($E40:$I40,'Producten &amp; tarieven'!BJ$3:BJ$7),"")</f>
        <v/>
      </c>
      <c r="BP40" s="78" t="str" cm="1">
        <f t="array" ref="BP40">IFERROR(MMULT($E40:$I40,'Producten &amp; tarieven'!BK$3:BK$7),"")</f>
        <v/>
      </c>
      <c r="BQ40" s="78" t="str" cm="1">
        <f t="array" ref="BQ40">IFERROR(MMULT($E40:$I40,'Producten &amp; tarieven'!BL$3:BL$7),"")</f>
        <v/>
      </c>
      <c r="BR40" s="78" t="str" cm="1">
        <f t="array" ref="BR40">IFERROR(MMULT($E40:$I40,'Producten &amp; tarieven'!BM$3:BM$7),"")</f>
        <v/>
      </c>
      <c r="BS40" s="78" t="str" cm="1">
        <f t="array" ref="BS40">IFERROR(MMULT($E40:$I40,'Producten &amp; tarieven'!BN$3:BN$7),"")</f>
        <v/>
      </c>
      <c r="BT40" s="78" t="str" cm="1">
        <f t="array" ref="BT40">IFERROR(MMULT($E40:$I40,'Producten &amp; tarieven'!BO$3:BO$7),"")</f>
        <v/>
      </c>
      <c r="BU40" s="78" t="str" cm="1">
        <f t="array" ref="BU40">IFERROR(MMULT($E40:$I40,'Producten &amp; tarieven'!BP$3:BP$7),"")</f>
        <v/>
      </c>
      <c r="BV40" s="78" t="str" cm="1">
        <f t="array" ref="BV40">IFERROR(MMULT($E40:$I40,'Producten &amp; tarieven'!BQ$3:BQ$7),"")</f>
        <v/>
      </c>
      <c r="BW40" s="78" t="str" cm="1">
        <f t="array" ref="BW40">IFERROR(MMULT($E40:$I40,'Producten &amp; tarieven'!BR$3:BR$7),"")</f>
        <v/>
      </c>
      <c r="BX40" s="78" t="str" cm="1">
        <f t="array" ref="BX40">IFERROR(MMULT($E40:$I40,'Producten &amp; tarieven'!BS$3:BS$7),"")</f>
        <v/>
      </c>
      <c r="BY40" s="78" t="str" cm="1">
        <f t="array" ref="BY40">IFERROR(MMULT($E40:$I40,'Producten &amp; tarieven'!BT$3:BT$7),"")</f>
        <v/>
      </c>
      <c r="BZ40" s="78" t="str" cm="1">
        <f t="array" ref="BZ40">IFERROR(MMULT($E40:$I40,'Producten &amp; tarieven'!BU$3:BU$7),"")</f>
        <v/>
      </c>
      <c r="CA40" s="78" t="str" cm="1">
        <f t="array" ref="CA40">IFERROR(MMULT($E40:$I40,'Producten &amp; tarieven'!BV$3:BV$7),"")</f>
        <v/>
      </c>
      <c r="CB40" s="78" t="str" cm="1">
        <f t="array" ref="CB40">IFERROR(MMULT($E40:$I40,'Producten &amp; tarieven'!BW$3:BW$7),"")</f>
        <v/>
      </c>
      <c r="CC40" s="78" t="str" cm="1">
        <f t="array" ref="CC40">IFERROR(MMULT($E40:$I40,'Producten &amp; tarieven'!BX$3:BX$7),"")</f>
        <v/>
      </c>
      <c r="CD40" s="78" t="str" cm="1">
        <f t="array" ref="CD40">IFERROR(MMULT($E40:$I40,'Producten &amp; tarieven'!BY$3:BY$7),"")</f>
        <v/>
      </c>
      <c r="CE40" s="78" t="str" cm="1">
        <f t="array" ref="CE40">IFERROR(MMULT($E40:$I40,'Producten &amp; tarieven'!BZ$3:BZ$7),"")</f>
        <v/>
      </c>
      <c r="CF40" s="78" t="str" cm="1">
        <f t="array" ref="CF40">IFERROR(MMULT($E40:$I40,'Producten &amp; tarieven'!CA$3:CA$7),"")</f>
        <v/>
      </c>
      <c r="CG40" s="78" t="str" cm="1">
        <f t="array" ref="CG40">IFERROR(MMULT($E40:$I40,'Producten &amp; tarieven'!CB$3:CB$7),"")</f>
        <v/>
      </c>
      <c r="CH40" s="78" t="str" cm="1">
        <f t="array" ref="CH40">IFERROR(MMULT($E40:$I40,'Producten &amp; tarieven'!CC$3:CC$7),"")</f>
        <v/>
      </c>
      <c r="CI40" s="78" t="str" cm="1">
        <f t="array" ref="CI40">IFERROR(MMULT($E40:$I40,'Producten &amp; tarieven'!CD$3:CD$7),"")</f>
        <v/>
      </c>
      <c r="CJ40" s="78" t="str" cm="1">
        <f t="array" ref="CJ40">IFERROR(MMULT($E40:$I40,'Producten &amp; tarieven'!CE$3:CE$7),"")</f>
        <v/>
      </c>
      <c r="CK40" s="78" t="str" cm="1">
        <f t="array" ref="CK40">IFERROR(MMULT($E40:$I40,'Producten &amp; tarieven'!CF$3:CF$7),"")</f>
        <v/>
      </c>
      <c r="CL40" s="78" t="str" cm="1">
        <f t="array" ref="CL40">IFERROR(MMULT($E40:$I40,'Producten &amp; tarieven'!CG$3:CG$7),"")</f>
        <v/>
      </c>
      <c r="CM40" s="78" t="str" cm="1">
        <f t="array" ref="CM40">IFERROR(MMULT($E40:$I40,'Producten &amp; tarieven'!CH$3:CH$7),"")</f>
        <v/>
      </c>
      <c r="CN40" s="78" t="str" cm="1">
        <f t="array" ref="CN40">IFERROR(MMULT($E40:$I40,'Producten &amp; tarieven'!CI$3:CI$7),"")</f>
        <v/>
      </c>
      <c r="CO40" s="78" t="str" cm="1">
        <f t="array" ref="CO40">IFERROR(MMULT($E40:$I40,'Producten &amp; tarieven'!CJ$3:CJ$7),"")</f>
        <v/>
      </c>
      <c r="CP40" s="78" t="str" cm="1">
        <f t="array" ref="CP40">IFERROR(MMULT($E40:$I40,'Producten &amp; tarieven'!CK$3:CK$7),"")</f>
        <v/>
      </c>
      <c r="CQ40" s="78" t="str" cm="1">
        <f t="array" ref="CQ40">IFERROR(MMULT($E40:$I40,'Producten &amp; tarieven'!CL$3:CL$7),"")</f>
        <v/>
      </c>
      <c r="CR40" s="78" t="str" cm="1">
        <f t="array" ref="CR40">IFERROR(MMULT($E40:$I40,'Producten &amp; tarieven'!CM$3:CM$7),"")</f>
        <v/>
      </c>
      <c r="CS40" s="78" t="str" cm="1">
        <f t="array" ref="CS40">IFERROR(MMULT($E40:$I40,'Producten &amp; tarieven'!CN$3:CN$7),"")</f>
        <v/>
      </c>
      <c r="CT40" s="78" t="str" cm="1">
        <f t="array" ref="CT40">IFERROR(MMULT($E40:$I40,'Producten &amp; tarieven'!CO$3:CO$7),"")</f>
        <v/>
      </c>
      <c r="CU40" s="78" t="str" cm="1">
        <f t="array" ref="CU40">IFERROR(MMULT($E40:$I40,'Producten &amp; tarieven'!CP$3:CP$7),"")</f>
        <v/>
      </c>
      <c r="CV40" s="78" t="str" cm="1">
        <f t="array" ref="CV40">IFERROR(MMULT($E40:$I40,'Producten &amp; tarieven'!CQ$3:CQ$7),"")</f>
        <v/>
      </c>
      <c r="CW40" s="78" t="str" cm="1">
        <f t="array" ref="CW40">IFERROR(MMULT($E40:$I40,'Producten &amp; tarieven'!CR$3:CR$7),"")</f>
        <v/>
      </c>
      <c r="CX40" s="78" t="str" cm="1">
        <f t="array" ref="CX40">IFERROR(MMULT($E40:$I40,'Producten &amp; tarieven'!CS$3:CS$7),"")</f>
        <v/>
      </c>
      <c r="CY40" s="78" t="str" cm="1">
        <f t="array" ref="CY40">IFERROR(MMULT($E40:$I40,'Producten &amp; tarieven'!CT$3:CT$7),"")</f>
        <v/>
      </c>
      <c r="CZ40" s="78" t="str" cm="1">
        <f t="array" ref="CZ40">IFERROR(MMULT($E40:$I40,'Producten &amp; tarieven'!CU$3:CU$7),"")</f>
        <v/>
      </c>
      <c r="DA40" s="78" t="str" cm="1">
        <f t="array" ref="DA40">IFERROR(MMULT($E40:$I40,'Producten &amp; tarieven'!CV$3:CV$7),"")</f>
        <v/>
      </c>
      <c r="DB40" s="78" t="str" cm="1">
        <f t="array" ref="DB40">IFERROR(MMULT($E40:$I40,'Producten &amp; tarieven'!CW$3:CW$7),"")</f>
        <v/>
      </c>
      <c r="DC40" s="78" t="str" cm="1">
        <f t="array" ref="DC40">IFERROR(MMULT($E40:$I40,'Producten &amp; tarieven'!CX$3:CX$7),"")</f>
        <v/>
      </c>
      <c r="DD40" s="78" t="str" cm="1">
        <f t="array" ref="DD40">IFERROR(MMULT($E40:$I40,'Producten &amp; tarieven'!CY$3:CY$7),"")</f>
        <v/>
      </c>
      <c r="DE40" s="440" t="str" cm="1">
        <f t="array" ref="DE40">IFERROR(MMULT($E40:$I40,'Producten &amp; tarieven'!CZ$3:CZ$7),"")</f>
        <v/>
      </c>
      <c r="DF40" s="448"/>
    </row>
    <row r="41" spans="1:110" ht="17.399999999999999">
      <c r="A41" s="447"/>
      <c r="B41" s="1030"/>
      <c r="C41" s="153" t="s">
        <v>36</v>
      </c>
      <c r="D41" s="244" t="s">
        <v>35</v>
      </c>
      <c r="E41" s="420">
        <f t="shared" si="1"/>
        <v>5185.0385999999999</v>
      </c>
      <c r="F41" s="423">
        <f t="shared" si="2"/>
        <v>5106.9036000000006</v>
      </c>
      <c r="G41" s="424">
        <f>J20</f>
        <v>5419.4436000000005</v>
      </c>
      <c r="H41" s="429">
        <f t="shared" si="0"/>
        <v>5239.3684700000003</v>
      </c>
      <c r="I41" s="431">
        <f t="shared" si="4"/>
        <v>4793.6518214040007</v>
      </c>
      <c r="J41" s="78" cm="1">
        <f t="array" ref="J41">IFERROR(MMULT($E41:$I41,'Producten &amp; tarieven'!F$3:F$7),"")</f>
        <v>5419.4436000000005</v>
      </c>
      <c r="K41" s="78" t="str" cm="1">
        <f t="array" ref="K41">IFERROR(MMULT($E41:$I41,'Producten &amp; tarieven'!G$3:G$7),"")</f>
        <v/>
      </c>
      <c r="L41" s="78" t="str" cm="1">
        <f t="array" ref="L41">IFERROR(MMULT($E41:$I41,'Producten &amp; tarieven'!#REF!),"")</f>
        <v/>
      </c>
      <c r="M41" s="78" t="str" cm="1">
        <f t="array" ref="M41">IFERROR(MMULT($E41:$I41,'Producten &amp; tarieven'!H$3:H$7),"")</f>
        <v/>
      </c>
      <c r="N41" s="78" t="str" cm="1">
        <f t="array" ref="N41">IFERROR(MMULT($E41:$I41,'Producten &amp; tarieven'!I$3:I$7),"")</f>
        <v/>
      </c>
      <c r="O41" s="78" t="str" cm="1">
        <f t="array" ref="O41">IFERROR(MMULT($E41:$I41,'Producten &amp; tarieven'!J$3:J$7),"")</f>
        <v/>
      </c>
      <c r="P41" s="78" t="str" cm="1">
        <f t="array" ref="P41">IFERROR(MMULT($E41:$I41,'Producten &amp; tarieven'!K$3:K$7),"")</f>
        <v/>
      </c>
      <c r="Q41" s="78" t="str" cm="1">
        <f t="array" ref="Q41">IFERROR(MMULT($E41:$I41,'Producten &amp; tarieven'!L$3:L$7),"")</f>
        <v/>
      </c>
      <c r="R41" s="78" t="str" cm="1">
        <f t="array" ref="R41">IFERROR(MMULT($E41:$I41,'Producten &amp; tarieven'!M$3:M$7),"")</f>
        <v/>
      </c>
      <c r="S41" s="78" t="str" cm="1">
        <f t="array" ref="S41">IFERROR(MMULT($E41:$I41,'Producten &amp; tarieven'!N$3:N$7),"")</f>
        <v/>
      </c>
      <c r="T41" s="78" t="str" cm="1">
        <f t="array" ref="T41">IFERROR(MMULT($E41:$I41,'Producten &amp; tarieven'!O$3:O$7),"")</f>
        <v/>
      </c>
      <c r="U41" s="78" t="str" cm="1">
        <f t="array" ref="U41">IFERROR(MMULT($E41:$I41,'Producten &amp; tarieven'!P$3:P$7),"")</f>
        <v/>
      </c>
      <c r="V41" s="78" t="str" cm="1">
        <f t="array" ref="V41">IFERROR(MMULT($E41:$I41,'Producten &amp; tarieven'!Q$3:Q$7),"")</f>
        <v/>
      </c>
      <c r="W41" s="78" t="str" cm="1">
        <f t="array" ref="W41">IFERROR(MMULT($E41:$I41,'Producten &amp; tarieven'!R$3:R$7),"")</f>
        <v/>
      </c>
      <c r="X41" s="78" t="str" cm="1">
        <f t="array" ref="X41">IFERROR(MMULT($E41:$I41,'Producten &amp; tarieven'!S$3:S$7),"")</f>
        <v/>
      </c>
      <c r="Y41" s="78" t="str" cm="1">
        <f t="array" ref="Y41">IFERROR(MMULT($E41:$I41,'Producten &amp; tarieven'!T$3:T$7),"")</f>
        <v/>
      </c>
      <c r="Z41" s="78" t="str" cm="1">
        <f t="array" ref="Z41">IFERROR(MMULT($E41:$I41,'Producten &amp; tarieven'!U$3:U$7),"")</f>
        <v/>
      </c>
      <c r="AA41" s="78" t="str" cm="1">
        <f t="array" ref="AA41">IFERROR(MMULT($E41:$I41,'Producten &amp; tarieven'!V$3:V$7),"")</f>
        <v/>
      </c>
      <c r="AB41" s="78" t="str" cm="1">
        <f t="array" ref="AB41">IFERROR(MMULT($E41:$I41,'Producten &amp; tarieven'!W$3:W$7),"")</f>
        <v/>
      </c>
      <c r="AC41" s="78" t="str" cm="1">
        <f t="array" ref="AC41">IFERROR(MMULT($E41:$I41,'Producten &amp; tarieven'!X$3:X$7),"")</f>
        <v/>
      </c>
      <c r="AD41" s="78" t="str" cm="1">
        <f t="array" ref="AD41">IFERROR(MMULT($E41:$I41,'Producten &amp; tarieven'!Y$3:Y$7),"")</f>
        <v/>
      </c>
      <c r="AE41" s="78" t="str" cm="1">
        <f t="array" ref="AE41">IFERROR(MMULT($E41:$I41,'Producten &amp; tarieven'!Z$3:Z$7),"")</f>
        <v/>
      </c>
      <c r="AF41" s="78" t="str" cm="1">
        <f t="array" ref="AF41">IFERROR(MMULT($E41:$I41,'Producten &amp; tarieven'!AA$3:AA$7),"")</f>
        <v/>
      </c>
      <c r="AG41" s="78" t="str" cm="1">
        <f t="array" ref="AG41">IFERROR(MMULT($E41:$I41,'Producten &amp; tarieven'!AB$3:AB$7),"")</f>
        <v/>
      </c>
      <c r="AH41" s="78" t="str" cm="1">
        <f t="array" ref="AH41">IFERROR(MMULT($E41:$I41,'Producten &amp; tarieven'!AC$3:AC$7),"")</f>
        <v/>
      </c>
      <c r="AI41" s="78" t="str" cm="1">
        <f t="array" ref="AI41">IFERROR(MMULT($E41:$I41,'Producten &amp; tarieven'!AD$3:AD$7),"")</f>
        <v/>
      </c>
      <c r="AJ41" s="78" t="str" cm="1">
        <f t="array" ref="AJ41">IFERROR(MMULT($E41:$I41,'Producten &amp; tarieven'!AE$3:AE$7),"")</f>
        <v/>
      </c>
      <c r="AK41" s="78" t="str" cm="1">
        <f t="array" ref="AK41">IFERROR(MMULT($E41:$I41,'Producten &amp; tarieven'!AF$3:AF$7),"")</f>
        <v/>
      </c>
      <c r="AL41" s="78" t="str" cm="1">
        <f t="array" ref="AL41">IFERROR(MMULT($E41:$I41,'Producten &amp; tarieven'!AG$3:AG$7),"")</f>
        <v/>
      </c>
      <c r="AM41" s="78" t="str" cm="1">
        <f t="array" ref="AM41">IFERROR(MMULT($E41:$I41,'Producten &amp; tarieven'!AH$3:AH$7),"")</f>
        <v/>
      </c>
      <c r="AN41" s="78" t="str" cm="1">
        <f t="array" ref="AN41">IFERROR(MMULT($E41:$I41,'Producten &amp; tarieven'!AI$3:AI$7),"")</f>
        <v/>
      </c>
      <c r="AO41" s="78" t="str" cm="1">
        <f t="array" ref="AO41">IFERROR(MMULT($E41:$I41,'Producten &amp; tarieven'!AJ$3:AJ$7),"")</f>
        <v/>
      </c>
      <c r="AP41" s="78" t="str" cm="1">
        <f t="array" ref="AP41">IFERROR(MMULT($E41:$I41,'Producten &amp; tarieven'!AK$3:AK$7),"")</f>
        <v/>
      </c>
      <c r="AQ41" s="78" t="str" cm="1">
        <f t="array" ref="AQ41">IFERROR(MMULT($E41:$I41,'Producten &amp; tarieven'!AL$3:AL$7),"")</f>
        <v/>
      </c>
      <c r="AR41" s="78" t="str" cm="1">
        <f t="array" ref="AR41">IFERROR(MMULT($E41:$I41,'Producten &amp; tarieven'!AM$3:AM$7),"")</f>
        <v/>
      </c>
      <c r="AS41" s="78" t="str" cm="1">
        <f t="array" ref="AS41">IFERROR(MMULT($E41:$I41,'Producten &amp; tarieven'!AN$3:AN$7),"")</f>
        <v/>
      </c>
      <c r="AT41" s="78" t="str" cm="1">
        <f t="array" ref="AT41">IFERROR(MMULT($E41:$I41,'Producten &amp; tarieven'!AO$3:AO$7),"")</f>
        <v/>
      </c>
      <c r="AU41" s="78" t="str" cm="1">
        <f t="array" ref="AU41">IFERROR(MMULT($E41:$I41,'Producten &amp; tarieven'!AP$3:AP$7),"")</f>
        <v/>
      </c>
      <c r="AV41" s="78" t="str" cm="1">
        <f t="array" ref="AV41">IFERROR(MMULT($E41:$I41,'Producten &amp; tarieven'!AQ$3:AQ$7),"")</f>
        <v/>
      </c>
      <c r="AW41" s="78" t="str" cm="1">
        <f t="array" ref="AW41">IFERROR(MMULT($E41:$I41,'Producten &amp; tarieven'!AR$3:AR$7),"")</f>
        <v/>
      </c>
      <c r="AX41" s="78" t="str" cm="1">
        <f t="array" ref="AX41">IFERROR(MMULT($E41:$I41,'Producten &amp; tarieven'!AS$3:AS$7),"")</f>
        <v/>
      </c>
      <c r="AY41" s="78" t="str" cm="1">
        <f t="array" ref="AY41">IFERROR(MMULT($E41:$I41,'Producten &amp; tarieven'!AT$3:AT$7),"")</f>
        <v/>
      </c>
      <c r="AZ41" s="78" t="str" cm="1">
        <f t="array" ref="AZ41">IFERROR(MMULT($E41:$I41,'Producten &amp; tarieven'!AU$3:AU$7),"")</f>
        <v/>
      </c>
      <c r="BA41" s="78" t="str" cm="1">
        <f t="array" ref="BA41">IFERROR(MMULT($E41:$I41,'Producten &amp; tarieven'!AV$3:AV$7),"")</f>
        <v/>
      </c>
      <c r="BB41" s="78" t="str" cm="1">
        <f t="array" ref="BB41">IFERROR(MMULT($E41:$I41,'Producten &amp; tarieven'!AW$3:AW$7),"")</f>
        <v/>
      </c>
      <c r="BC41" s="78" t="str" cm="1">
        <f t="array" ref="BC41">IFERROR(MMULT($E41:$I41,'Producten &amp; tarieven'!AX$3:AX$7),"")</f>
        <v/>
      </c>
      <c r="BD41" s="78" t="str" cm="1">
        <f t="array" ref="BD41">IFERROR(MMULT($E41:$I41,'Producten &amp; tarieven'!AY$3:AY$7),"")</f>
        <v/>
      </c>
      <c r="BE41" s="78" t="str" cm="1">
        <f t="array" ref="BE41">IFERROR(MMULT($E41:$I41,'Producten &amp; tarieven'!AZ$3:AZ$7),"")</f>
        <v/>
      </c>
      <c r="BF41" s="78" t="str" cm="1">
        <f t="array" ref="BF41">IFERROR(MMULT($E41:$I41,'Producten &amp; tarieven'!BA$3:BA$7),"")</f>
        <v/>
      </c>
      <c r="BG41" s="78" t="str" cm="1">
        <f t="array" ref="BG41">IFERROR(MMULT($E41:$I41,'Producten &amp; tarieven'!BB$3:BB$7),"")</f>
        <v/>
      </c>
      <c r="BH41" s="78" t="str" cm="1">
        <f t="array" ref="BH41">IFERROR(MMULT($E41:$I41,'Producten &amp; tarieven'!BC$3:BC$7),"")</f>
        <v/>
      </c>
      <c r="BI41" s="78" t="str" cm="1">
        <f t="array" ref="BI41">IFERROR(MMULT($E41:$I41,'Producten &amp; tarieven'!BD$3:BD$7),"")</f>
        <v/>
      </c>
      <c r="BJ41" s="78" t="str" cm="1">
        <f t="array" ref="BJ41">IFERROR(MMULT($E41:$I41,'Producten &amp; tarieven'!BE$3:BE$7),"")</f>
        <v/>
      </c>
      <c r="BK41" s="78" t="str" cm="1">
        <f t="array" ref="BK41">IFERROR(MMULT($E41:$I41,'Producten &amp; tarieven'!BF$3:BF$7),"")</f>
        <v/>
      </c>
      <c r="BL41" s="78" t="str" cm="1">
        <f t="array" ref="BL41">IFERROR(MMULT($E41:$I41,'Producten &amp; tarieven'!BG$3:BG$7),"")</f>
        <v/>
      </c>
      <c r="BM41" s="78" t="str" cm="1">
        <f t="array" ref="BM41">IFERROR(MMULT($E41:$I41,'Producten &amp; tarieven'!BH$3:BH$7),"")</f>
        <v/>
      </c>
      <c r="BN41" s="78" t="str" cm="1">
        <f t="array" ref="BN41">IFERROR(MMULT($E41:$I41,'Producten &amp; tarieven'!BI$3:BI$7),"")</f>
        <v/>
      </c>
      <c r="BO41" s="78" t="str" cm="1">
        <f t="array" ref="BO41">IFERROR(MMULT($E41:$I41,'Producten &amp; tarieven'!BJ$3:BJ$7),"")</f>
        <v/>
      </c>
      <c r="BP41" s="78" t="str" cm="1">
        <f t="array" ref="BP41">IFERROR(MMULT($E41:$I41,'Producten &amp; tarieven'!BK$3:BK$7),"")</f>
        <v/>
      </c>
      <c r="BQ41" s="78" t="str" cm="1">
        <f t="array" ref="BQ41">IFERROR(MMULT($E41:$I41,'Producten &amp; tarieven'!BL$3:BL$7),"")</f>
        <v/>
      </c>
      <c r="BR41" s="78" t="str" cm="1">
        <f t="array" ref="BR41">IFERROR(MMULT($E41:$I41,'Producten &amp; tarieven'!BM$3:BM$7),"")</f>
        <v/>
      </c>
      <c r="BS41" s="78" t="str" cm="1">
        <f t="array" ref="BS41">IFERROR(MMULT($E41:$I41,'Producten &amp; tarieven'!BN$3:BN$7),"")</f>
        <v/>
      </c>
      <c r="BT41" s="78" t="str" cm="1">
        <f t="array" ref="BT41">IFERROR(MMULT($E41:$I41,'Producten &amp; tarieven'!BO$3:BO$7),"")</f>
        <v/>
      </c>
      <c r="BU41" s="78" t="str" cm="1">
        <f t="array" ref="BU41">IFERROR(MMULT($E41:$I41,'Producten &amp; tarieven'!BP$3:BP$7),"")</f>
        <v/>
      </c>
      <c r="BV41" s="78" t="str" cm="1">
        <f t="array" ref="BV41">IFERROR(MMULT($E41:$I41,'Producten &amp; tarieven'!BQ$3:BQ$7),"")</f>
        <v/>
      </c>
      <c r="BW41" s="78" t="str" cm="1">
        <f t="array" ref="BW41">IFERROR(MMULT($E41:$I41,'Producten &amp; tarieven'!BR$3:BR$7),"")</f>
        <v/>
      </c>
      <c r="BX41" s="78" t="str" cm="1">
        <f t="array" ref="BX41">IFERROR(MMULT($E41:$I41,'Producten &amp; tarieven'!BS$3:BS$7),"")</f>
        <v/>
      </c>
      <c r="BY41" s="78" t="str" cm="1">
        <f t="array" ref="BY41">IFERROR(MMULT($E41:$I41,'Producten &amp; tarieven'!BT$3:BT$7),"")</f>
        <v/>
      </c>
      <c r="BZ41" s="78" t="str" cm="1">
        <f t="array" ref="BZ41">IFERROR(MMULT($E41:$I41,'Producten &amp; tarieven'!BU$3:BU$7),"")</f>
        <v/>
      </c>
      <c r="CA41" s="78" t="str" cm="1">
        <f t="array" ref="CA41">IFERROR(MMULT($E41:$I41,'Producten &amp; tarieven'!BV$3:BV$7),"")</f>
        <v/>
      </c>
      <c r="CB41" s="78" t="str" cm="1">
        <f t="array" ref="CB41">IFERROR(MMULT($E41:$I41,'Producten &amp; tarieven'!BW$3:BW$7),"")</f>
        <v/>
      </c>
      <c r="CC41" s="78" t="str" cm="1">
        <f t="array" ref="CC41">IFERROR(MMULT($E41:$I41,'Producten &amp; tarieven'!BX$3:BX$7),"")</f>
        <v/>
      </c>
      <c r="CD41" s="78" t="str" cm="1">
        <f t="array" ref="CD41">IFERROR(MMULT($E41:$I41,'Producten &amp; tarieven'!BY$3:BY$7),"")</f>
        <v/>
      </c>
      <c r="CE41" s="78" t="str" cm="1">
        <f t="array" ref="CE41">IFERROR(MMULT($E41:$I41,'Producten &amp; tarieven'!BZ$3:BZ$7),"")</f>
        <v/>
      </c>
      <c r="CF41" s="78" t="str" cm="1">
        <f t="array" ref="CF41">IFERROR(MMULT($E41:$I41,'Producten &amp; tarieven'!CA$3:CA$7),"")</f>
        <v/>
      </c>
      <c r="CG41" s="78" t="str" cm="1">
        <f t="array" ref="CG41">IFERROR(MMULT($E41:$I41,'Producten &amp; tarieven'!CB$3:CB$7),"")</f>
        <v/>
      </c>
      <c r="CH41" s="78" t="str" cm="1">
        <f t="array" ref="CH41">IFERROR(MMULT($E41:$I41,'Producten &amp; tarieven'!CC$3:CC$7),"")</f>
        <v/>
      </c>
      <c r="CI41" s="78" t="str" cm="1">
        <f t="array" ref="CI41">IFERROR(MMULT($E41:$I41,'Producten &amp; tarieven'!CD$3:CD$7),"")</f>
        <v/>
      </c>
      <c r="CJ41" s="78" t="str" cm="1">
        <f t="array" ref="CJ41">IFERROR(MMULT($E41:$I41,'Producten &amp; tarieven'!CE$3:CE$7),"")</f>
        <v/>
      </c>
      <c r="CK41" s="78" t="str" cm="1">
        <f t="array" ref="CK41">IFERROR(MMULT($E41:$I41,'Producten &amp; tarieven'!CF$3:CF$7),"")</f>
        <v/>
      </c>
      <c r="CL41" s="78" t="str" cm="1">
        <f t="array" ref="CL41">IFERROR(MMULT($E41:$I41,'Producten &amp; tarieven'!CG$3:CG$7),"")</f>
        <v/>
      </c>
      <c r="CM41" s="78" t="str" cm="1">
        <f t="array" ref="CM41">IFERROR(MMULT($E41:$I41,'Producten &amp; tarieven'!CH$3:CH$7),"")</f>
        <v/>
      </c>
      <c r="CN41" s="78" t="str" cm="1">
        <f t="array" ref="CN41">IFERROR(MMULT($E41:$I41,'Producten &amp; tarieven'!CI$3:CI$7),"")</f>
        <v/>
      </c>
      <c r="CO41" s="78" t="str" cm="1">
        <f t="array" ref="CO41">IFERROR(MMULT($E41:$I41,'Producten &amp; tarieven'!CJ$3:CJ$7),"")</f>
        <v/>
      </c>
      <c r="CP41" s="78" t="str" cm="1">
        <f t="array" ref="CP41">IFERROR(MMULT($E41:$I41,'Producten &amp; tarieven'!CK$3:CK$7),"")</f>
        <v/>
      </c>
      <c r="CQ41" s="78" t="str" cm="1">
        <f t="array" ref="CQ41">IFERROR(MMULT($E41:$I41,'Producten &amp; tarieven'!CL$3:CL$7),"")</f>
        <v/>
      </c>
      <c r="CR41" s="78" t="str" cm="1">
        <f t="array" ref="CR41">IFERROR(MMULT($E41:$I41,'Producten &amp; tarieven'!CM$3:CM$7),"")</f>
        <v/>
      </c>
      <c r="CS41" s="78" t="str" cm="1">
        <f t="array" ref="CS41">IFERROR(MMULT($E41:$I41,'Producten &amp; tarieven'!CN$3:CN$7),"")</f>
        <v/>
      </c>
      <c r="CT41" s="78" t="str" cm="1">
        <f t="array" ref="CT41">IFERROR(MMULT($E41:$I41,'Producten &amp; tarieven'!CO$3:CO$7),"")</f>
        <v/>
      </c>
      <c r="CU41" s="78" t="str" cm="1">
        <f t="array" ref="CU41">IFERROR(MMULT($E41:$I41,'Producten &amp; tarieven'!CP$3:CP$7),"")</f>
        <v/>
      </c>
      <c r="CV41" s="78" t="str" cm="1">
        <f t="array" ref="CV41">IFERROR(MMULT($E41:$I41,'Producten &amp; tarieven'!CQ$3:CQ$7),"")</f>
        <v/>
      </c>
      <c r="CW41" s="78" t="str" cm="1">
        <f t="array" ref="CW41">IFERROR(MMULT($E41:$I41,'Producten &amp; tarieven'!CR$3:CR$7),"")</f>
        <v/>
      </c>
      <c r="CX41" s="78" t="str" cm="1">
        <f t="array" ref="CX41">IFERROR(MMULT($E41:$I41,'Producten &amp; tarieven'!CS$3:CS$7),"")</f>
        <v/>
      </c>
      <c r="CY41" s="78" t="str" cm="1">
        <f t="array" ref="CY41">IFERROR(MMULT($E41:$I41,'Producten &amp; tarieven'!CT$3:CT$7),"")</f>
        <v/>
      </c>
      <c r="CZ41" s="78" t="str" cm="1">
        <f t="array" ref="CZ41">IFERROR(MMULT($E41:$I41,'Producten &amp; tarieven'!CU$3:CU$7),"")</f>
        <v/>
      </c>
      <c r="DA41" s="78" t="str" cm="1">
        <f t="array" ref="DA41">IFERROR(MMULT($E41:$I41,'Producten &amp; tarieven'!CV$3:CV$7),"")</f>
        <v/>
      </c>
      <c r="DB41" s="78" t="str" cm="1">
        <f t="array" ref="DB41">IFERROR(MMULT($E41:$I41,'Producten &amp; tarieven'!CW$3:CW$7),"")</f>
        <v/>
      </c>
      <c r="DC41" s="78" t="str" cm="1">
        <f t="array" ref="DC41">IFERROR(MMULT($E41:$I41,'Producten &amp; tarieven'!CX$3:CX$7),"")</f>
        <v/>
      </c>
      <c r="DD41" s="78" t="str" cm="1">
        <f t="array" ref="DD41">IFERROR(MMULT($E41:$I41,'Producten &amp; tarieven'!CY$3:CY$7),"")</f>
        <v/>
      </c>
      <c r="DE41" s="440" t="str" cm="1">
        <f t="array" ref="DE41">IFERROR(MMULT($E41:$I41,'Producten &amp; tarieven'!CZ$3:CZ$7),"")</f>
        <v/>
      </c>
      <c r="DF41" s="448"/>
    </row>
    <row r="42" spans="1:110" ht="17.399999999999999">
      <c r="A42" s="447"/>
      <c r="B42" s="1029" t="s">
        <v>37</v>
      </c>
      <c r="C42" s="248" t="s">
        <v>36</v>
      </c>
      <c r="D42" s="249" t="s">
        <v>35</v>
      </c>
      <c r="E42" s="420">
        <f t="shared" si="1"/>
        <v>5185.0385999999999</v>
      </c>
      <c r="F42" s="423">
        <f t="shared" si="2"/>
        <v>5106.9036000000006</v>
      </c>
      <c r="G42" s="424">
        <f t="shared" si="3"/>
        <v>5419.4436000000005</v>
      </c>
      <c r="H42" s="428">
        <f t="shared" si="0"/>
        <v>5239.3684700000003</v>
      </c>
      <c r="I42" s="431">
        <f t="shared" si="4"/>
        <v>4793.6518214040007</v>
      </c>
      <c r="J42" s="78" cm="1">
        <f t="array" ref="J42">IFERROR(MMULT($E42:$I42,'Producten &amp; tarieven'!F$3:F$7),"")</f>
        <v>5419.4436000000005</v>
      </c>
      <c r="K42" s="78" t="str" cm="1">
        <f t="array" ref="K42">IFERROR(MMULT($E42:$I42,'Producten &amp; tarieven'!G$3:G$7),"")</f>
        <v/>
      </c>
      <c r="L42" s="78" t="str" cm="1">
        <f t="array" ref="L42">IFERROR(MMULT($E42:$I42,'Producten &amp; tarieven'!#REF!),"")</f>
        <v/>
      </c>
      <c r="M42" s="78" t="str" cm="1">
        <f t="array" ref="M42">IFERROR(MMULT($E42:$I42,'Producten &amp; tarieven'!H$3:H$7),"")</f>
        <v/>
      </c>
      <c r="N42" s="78" t="str" cm="1">
        <f t="array" ref="N42">IFERROR(MMULT($E42:$I42,'Producten &amp; tarieven'!I$3:I$7),"")</f>
        <v/>
      </c>
      <c r="O42" s="78" t="str" cm="1">
        <f t="array" ref="O42">IFERROR(MMULT($E42:$I42,'Producten &amp; tarieven'!J$3:J$7),"")</f>
        <v/>
      </c>
      <c r="P42" s="78" t="str" cm="1">
        <f t="array" ref="P42">IFERROR(MMULT($E42:$I42,'Producten &amp; tarieven'!K$3:K$7),"")</f>
        <v/>
      </c>
      <c r="Q42" s="78" t="str" cm="1">
        <f t="array" ref="Q42">IFERROR(MMULT($E42:$I42,'Producten &amp; tarieven'!L$3:L$7),"")</f>
        <v/>
      </c>
      <c r="R42" s="78" t="str" cm="1">
        <f t="array" ref="R42">IFERROR(MMULT($E42:$I42,'Producten &amp; tarieven'!M$3:M$7),"")</f>
        <v/>
      </c>
      <c r="S42" s="78" t="str" cm="1">
        <f t="array" ref="S42">IFERROR(MMULT($E42:$I42,'Producten &amp; tarieven'!N$3:N$7),"")</f>
        <v/>
      </c>
      <c r="T42" s="78" t="str" cm="1">
        <f t="array" ref="T42">IFERROR(MMULT($E42:$I42,'Producten &amp; tarieven'!O$3:O$7),"")</f>
        <v/>
      </c>
      <c r="U42" s="78" t="str" cm="1">
        <f t="array" ref="U42">IFERROR(MMULT($E42:$I42,'Producten &amp; tarieven'!P$3:P$7),"")</f>
        <v/>
      </c>
      <c r="V42" s="78" t="str" cm="1">
        <f t="array" ref="V42">IFERROR(MMULT($E42:$I42,'Producten &amp; tarieven'!Q$3:Q$7),"")</f>
        <v/>
      </c>
      <c r="W42" s="78" t="str" cm="1">
        <f t="array" ref="W42">IFERROR(MMULT($E42:$I42,'Producten &amp; tarieven'!R$3:R$7),"")</f>
        <v/>
      </c>
      <c r="X42" s="78" t="str" cm="1">
        <f t="array" ref="X42">IFERROR(MMULT($E42:$I42,'Producten &amp; tarieven'!S$3:S$7),"")</f>
        <v/>
      </c>
      <c r="Y42" s="78" t="str" cm="1">
        <f t="array" ref="Y42">IFERROR(MMULT($E42:$I42,'Producten &amp; tarieven'!T$3:T$7),"")</f>
        <v/>
      </c>
      <c r="Z42" s="78" t="str" cm="1">
        <f t="array" ref="Z42">IFERROR(MMULT($E42:$I42,'Producten &amp; tarieven'!U$3:U$7),"")</f>
        <v/>
      </c>
      <c r="AA42" s="78" t="str" cm="1">
        <f t="array" ref="AA42">IFERROR(MMULT($E42:$I42,'Producten &amp; tarieven'!V$3:V$7),"")</f>
        <v/>
      </c>
      <c r="AB42" s="78" t="str" cm="1">
        <f t="array" ref="AB42">IFERROR(MMULT($E42:$I42,'Producten &amp; tarieven'!W$3:W$7),"")</f>
        <v/>
      </c>
      <c r="AC42" s="78" t="str" cm="1">
        <f t="array" ref="AC42">IFERROR(MMULT($E42:$I42,'Producten &amp; tarieven'!X$3:X$7),"")</f>
        <v/>
      </c>
      <c r="AD42" s="78" t="str" cm="1">
        <f t="array" ref="AD42">IFERROR(MMULT($E42:$I42,'Producten &amp; tarieven'!Y$3:Y$7),"")</f>
        <v/>
      </c>
      <c r="AE42" s="78" t="str" cm="1">
        <f t="array" ref="AE42">IFERROR(MMULT($E42:$I42,'Producten &amp; tarieven'!Z$3:Z$7),"")</f>
        <v/>
      </c>
      <c r="AF42" s="78" t="str" cm="1">
        <f t="array" ref="AF42">IFERROR(MMULT($E42:$I42,'Producten &amp; tarieven'!AA$3:AA$7),"")</f>
        <v/>
      </c>
      <c r="AG42" s="78" t="str" cm="1">
        <f t="array" ref="AG42">IFERROR(MMULT($E42:$I42,'Producten &amp; tarieven'!AB$3:AB$7),"")</f>
        <v/>
      </c>
      <c r="AH42" s="78" t="str" cm="1">
        <f t="array" ref="AH42">IFERROR(MMULT($E42:$I42,'Producten &amp; tarieven'!AC$3:AC$7),"")</f>
        <v/>
      </c>
      <c r="AI42" s="78" t="str" cm="1">
        <f t="array" ref="AI42">IFERROR(MMULT($E42:$I42,'Producten &amp; tarieven'!AD$3:AD$7),"")</f>
        <v/>
      </c>
      <c r="AJ42" s="78" t="str" cm="1">
        <f t="array" ref="AJ42">IFERROR(MMULT($E42:$I42,'Producten &amp; tarieven'!AE$3:AE$7),"")</f>
        <v/>
      </c>
      <c r="AK42" s="78" t="str" cm="1">
        <f t="array" ref="AK42">IFERROR(MMULT($E42:$I42,'Producten &amp; tarieven'!AF$3:AF$7),"")</f>
        <v/>
      </c>
      <c r="AL42" s="78" t="str" cm="1">
        <f t="array" ref="AL42">IFERROR(MMULT($E42:$I42,'Producten &amp; tarieven'!AG$3:AG$7),"")</f>
        <v/>
      </c>
      <c r="AM42" s="78" t="str" cm="1">
        <f t="array" ref="AM42">IFERROR(MMULT($E42:$I42,'Producten &amp; tarieven'!AH$3:AH$7),"")</f>
        <v/>
      </c>
      <c r="AN42" s="78" t="str" cm="1">
        <f t="array" ref="AN42">IFERROR(MMULT($E42:$I42,'Producten &amp; tarieven'!AI$3:AI$7),"")</f>
        <v/>
      </c>
      <c r="AO42" s="78" t="str" cm="1">
        <f t="array" ref="AO42">IFERROR(MMULT($E42:$I42,'Producten &amp; tarieven'!AJ$3:AJ$7),"")</f>
        <v/>
      </c>
      <c r="AP42" s="78" t="str" cm="1">
        <f t="array" ref="AP42">IFERROR(MMULT($E42:$I42,'Producten &amp; tarieven'!AK$3:AK$7),"")</f>
        <v/>
      </c>
      <c r="AQ42" s="78" t="str" cm="1">
        <f t="array" ref="AQ42">IFERROR(MMULT($E42:$I42,'Producten &amp; tarieven'!AL$3:AL$7),"")</f>
        <v/>
      </c>
      <c r="AR42" s="78" t="str" cm="1">
        <f t="array" ref="AR42">IFERROR(MMULT($E42:$I42,'Producten &amp; tarieven'!AM$3:AM$7),"")</f>
        <v/>
      </c>
      <c r="AS42" s="78" t="str" cm="1">
        <f t="array" ref="AS42">IFERROR(MMULT($E42:$I42,'Producten &amp; tarieven'!AN$3:AN$7),"")</f>
        <v/>
      </c>
      <c r="AT42" s="78" t="str" cm="1">
        <f t="array" ref="AT42">IFERROR(MMULT($E42:$I42,'Producten &amp; tarieven'!AO$3:AO$7),"")</f>
        <v/>
      </c>
      <c r="AU42" s="78" t="str" cm="1">
        <f t="array" ref="AU42">IFERROR(MMULT($E42:$I42,'Producten &amp; tarieven'!AP$3:AP$7),"")</f>
        <v/>
      </c>
      <c r="AV42" s="78" t="str" cm="1">
        <f t="array" ref="AV42">IFERROR(MMULT($E42:$I42,'Producten &amp; tarieven'!AQ$3:AQ$7),"")</f>
        <v/>
      </c>
      <c r="AW42" s="78" t="str" cm="1">
        <f t="array" ref="AW42">IFERROR(MMULT($E42:$I42,'Producten &amp; tarieven'!AR$3:AR$7),"")</f>
        <v/>
      </c>
      <c r="AX42" s="78" t="str" cm="1">
        <f t="array" ref="AX42">IFERROR(MMULT($E42:$I42,'Producten &amp; tarieven'!AS$3:AS$7),"")</f>
        <v/>
      </c>
      <c r="AY42" s="78" t="str" cm="1">
        <f t="array" ref="AY42">IFERROR(MMULT($E42:$I42,'Producten &amp; tarieven'!AT$3:AT$7),"")</f>
        <v/>
      </c>
      <c r="AZ42" s="78" t="str" cm="1">
        <f t="array" ref="AZ42">IFERROR(MMULT($E42:$I42,'Producten &amp; tarieven'!AU$3:AU$7),"")</f>
        <v/>
      </c>
      <c r="BA42" s="78" t="str" cm="1">
        <f t="array" ref="BA42">IFERROR(MMULT($E42:$I42,'Producten &amp; tarieven'!AV$3:AV$7),"")</f>
        <v/>
      </c>
      <c r="BB42" s="78" t="str" cm="1">
        <f t="array" ref="BB42">IFERROR(MMULT($E42:$I42,'Producten &amp; tarieven'!AW$3:AW$7),"")</f>
        <v/>
      </c>
      <c r="BC42" s="78" t="str" cm="1">
        <f t="array" ref="BC42">IFERROR(MMULT($E42:$I42,'Producten &amp; tarieven'!AX$3:AX$7),"")</f>
        <v/>
      </c>
      <c r="BD42" s="78" t="str" cm="1">
        <f t="array" ref="BD42">IFERROR(MMULT($E42:$I42,'Producten &amp; tarieven'!AY$3:AY$7),"")</f>
        <v/>
      </c>
      <c r="BE42" s="78" t="str" cm="1">
        <f t="array" ref="BE42">IFERROR(MMULT($E42:$I42,'Producten &amp; tarieven'!AZ$3:AZ$7),"")</f>
        <v/>
      </c>
      <c r="BF42" s="78" t="str" cm="1">
        <f t="array" ref="BF42">IFERROR(MMULT($E42:$I42,'Producten &amp; tarieven'!BA$3:BA$7),"")</f>
        <v/>
      </c>
      <c r="BG42" s="78" t="str" cm="1">
        <f t="array" ref="BG42">IFERROR(MMULT($E42:$I42,'Producten &amp; tarieven'!BB$3:BB$7),"")</f>
        <v/>
      </c>
      <c r="BH42" s="78" t="str" cm="1">
        <f t="array" ref="BH42">IFERROR(MMULT($E42:$I42,'Producten &amp; tarieven'!BC$3:BC$7),"")</f>
        <v/>
      </c>
      <c r="BI42" s="78" t="str" cm="1">
        <f t="array" ref="BI42">IFERROR(MMULT($E42:$I42,'Producten &amp; tarieven'!BD$3:BD$7),"")</f>
        <v/>
      </c>
      <c r="BJ42" s="78" t="str" cm="1">
        <f t="array" ref="BJ42">IFERROR(MMULT($E42:$I42,'Producten &amp; tarieven'!BE$3:BE$7),"")</f>
        <v/>
      </c>
      <c r="BK42" s="78" t="str" cm="1">
        <f t="array" ref="BK42">IFERROR(MMULT($E42:$I42,'Producten &amp; tarieven'!BF$3:BF$7),"")</f>
        <v/>
      </c>
      <c r="BL42" s="78" t="str" cm="1">
        <f t="array" ref="BL42">IFERROR(MMULT($E42:$I42,'Producten &amp; tarieven'!BG$3:BG$7),"")</f>
        <v/>
      </c>
      <c r="BM42" s="78" t="str" cm="1">
        <f t="array" ref="BM42">IFERROR(MMULT($E42:$I42,'Producten &amp; tarieven'!BH$3:BH$7),"")</f>
        <v/>
      </c>
      <c r="BN42" s="78" t="str" cm="1">
        <f t="array" ref="BN42">IFERROR(MMULT($E42:$I42,'Producten &amp; tarieven'!BI$3:BI$7),"")</f>
        <v/>
      </c>
      <c r="BO42" s="78" t="str" cm="1">
        <f t="array" ref="BO42">IFERROR(MMULT($E42:$I42,'Producten &amp; tarieven'!BJ$3:BJ$7),"")</f>
        <v/>
      </c>
      <c r="BP42" s="78" t="str" cm="1">
        <f t="array" ref="BP42">IFERROR(MMULT($E42:$I42,'Producten &amp; tarieven'!BK$3:BK$7),"")</f>
        <v/>
      </c>
      <c r="BQ42" s="78" t="str" cm="1">
        <f t="array" ref="BQ42">IFERROR(MMULT($E42:$I42,'Producten &amp; tarieven'!BL$3:BL$7),"")</f>
        <v/>
      </c>
      <c r="BR42" s="78" t="str" cm="1">
        <f t="array" ref="BR42">IFERROR(MMULT($E42:$I42,'Producten &amp; tarieven'!BM$3:BM$7),"")</f>
        <v/>
      </c>
      <c r="BS42" s="78" t="str" cm="1">
        <f t="array" ref="BS42">IFERROR(MMULT($E42:$I42,'Producten &amp; tarieven'!BN$3:BN$7),"")</f>
        <v/>
      </c>
      <c r="BT42" s="78" t="str" cm="1">
        <f t="array" ref="BT42">IFERROR(MMULT($E42:$I42,'Producten &amp; tarieven'!BO$3:BO$7),"")</f>
        <v/>
      </c>
      <c r="BU42" s="78" t="str" cm="1">
        <f t="array" ref="BU42">IFERROR(MMULT($E42:$I42,'Producten &amp; tarieven'!BP$3:BP$7),"")</f>
        <v/>
      </c>
      <c r="BV42" s="78" t="str" cm="1">
        <f t="array" ref="BV42">IFERROR(MMULT($E42:$I42,'Producten &amp; tarieven'!BQ$3:BQ$7),"")</f>
        <v/>
      </c>
      <c r="BW42" s="78" t="str" cm="1">
        <f t="array" ref="BW42">IFERROR(MMULT($E42:$I42,'Producten &amp; tarieven'!BR$3:BR$7),"")</f>
        <v/>
      </c>
      <c r="BX42" s="78" t="str" cm="1">
        <f t="array" ref="BX42">IFERROR(MMULT($E42:$I42,'Producten &amp; tarieven'!BS$3:BS$7),"")</f>
        <v/>
      </c>
      <c r="BY42" s="78" t="str" cm="1">
        <f t="array" ref="BY42">IFERROR(MMULT($E42:$I42,'Producten &amp; tarieven'!BT$3:BT$7),"")</f>
        <v/>
      </c>
      <c r="BZ42" s="78" t="str" cm="1">
        <f t="array" ref="BZ42">IFERROR(MMULT($E42:$I42,'Producten &amp; tarieven'!BU$3:BU$7),"")</f>
        <v/>
      </c>
      <c r="CA42" s="78" t="str" cm="1">
        <f t="array" ref="CA42">IFERROR(MMULT($E42:$I42,'Producten &amp; tarieven'!BV$3:BV$7),"")</f>
        <v/>
      </c>
      <c r="CB42" s="78" t="str" cm="1">
        <f t="array" ref="CB42">IFERROR(MMULT($E42:$I42,'Producten &amp; tarieven'!BW$3:BW$7),"")</f>
        <v/>
      </c>
      <c r="CC42" s="78" t="str" cm="1">
        <f t="array" ref="CC42">IFERROR(MMULT($E42:$I42,'Producten &amp; tarieven'!BX$3:BX$7),"")</f>
        <v/>
      </c>
      <c r="CD42" s="78" t="str" cm="1">
        <f t="array" ref="CD42">IFERROR(MMULT($E42:$I42,'Producten &amp; tarieven'!BY$3:BY$7),"")</f>
        <v/>
      </c>
      <c r="CE42" s="78" t="str" cm="1">
        <f t="array" ref="CE42">IFERROR(MMULT($E42:$I42,'Producten &amp; tarieven'!BZ$3:BZ$7),"")</f>
        <v/>
      </c>
      <c r="CF42" s="78" t="str" cm="1">
        <f t="array" ref="CF42">IFERROR(MMULT($E42:$I42,'Producten &amp; tarieven'!CA$3:CA$7),"")</f>
        <v/>
      </c>
      <c r="CG42" s="78" t="str" cm="1">
        <f t="array" ref="CG42">IFERROR(MMULT($E42:$I42,'Producten &amp; tarieven'!CB$3:CB$7),"")</f>
        <v/>
      </c>
      <c r="CH42" s="78" t="str" cm="1">
        <f t="array" ref="CH42">IFERROR(MMULT($E42:$I42,'Producten &amp; tarieven'!CC$3:CC$7),"")</f>
        <v/>
      </c>
      <c r="CI42" s="78" t="str" cm="1">
        <f t="array" ref="CI42">IFERROR(MMULT($E42:$I42,'Producten &amp; tarieven'!CD$3:CD$7),"")</f>
        <v/>
      </c>
      <c r="CJ42" s="78" t="str" cm="1">
        <f t="array" ref="CJ42">IFERROR(MMULT($E42:$I42,'Producten &amp; tarieven'!CE$3:CE$7),"")</f>
        <v/>
      </c>
      <c r="CK42" s="78" t="str" cm="1">
        <f t="array" ref="CK42">IFERROR(MMULT($E42:$I42,'Producten &amp; tarieven'!CF$3:CF$7),"")</f>
        <v/>
      </c>
      <c r="CL42" s="78" t="str" cm="1">
        <f t="array" ref="CL42">IFERROR(MMULT($E42:$I42,'Producten &amp; tarieven'!CG$3:CG$7),"")</f>
        <v/>
      </c>
      <c r="CM42" s="78" t="str" cm="1">
        <f t="array" ref="CM42">IFERROR(MMULT($E42:$I42,'Producten &amp; tarieven'!CH$3:CH$7),"")</f>
        <v/>
      </c>
      <c r="CN42" s="78" t="str" cm="1">
        <f t="array" ref="CN42">IFERROR(MMULT($E42:$I42,'Producten &amp; tarieven'!CI$3:CI$7),"")</f>
        <v/>
      </c>
      <c r="CO42" s="78" t="str" cm="1">
        <f t="array" ref="CO42">IFERROR(MMULT($E42:$I42,'Producten &amp; tarieven'!CJ$3:CJ$7),"")</f>
        <v/>
      </c>
      <c r="CP42" s="78" t="str" cm="1">
        <f t="array" ref="CP42">IFERROR(MMULT($E42:$I42,'Producten &amp; tarieven'!CK$3:CK$7),"")</f>
        <v/>
      </c>
      <c r="CQ42" s="78" t="str" cm="1">
        <f t="array" ref="CQ42">IFERROR(MMULT($E42:$I42,'Producten &amp; tarieven'!CL$3:CL$7),"")</f>
        <v/>
      </c>
      <c r="CR42" s="78" t="str" cm="1">
        <f t="array" ref="CR42">IFERROR(MMULT($E42:$I42,'Producten &amp; tarieven'!CM$3:CM$7),"")</f>
        <v/>
      </c>
      <c r="CS42" s="78" t="str" cm="1">
        <f t="array" ref="CS42">IFERROR(MMULT($E42:$I42,'Producten &amp; tarieven'!CN$3:CN$7),"")</f>
        <v/>
      </c>
      <c r="CT42" s="78" t="str" cm="1">
        <f t="array" ref="CT42">IFERROR(MMULT($E42:$I42,'Producten &amp; tarieven'!CO$3:CO$7),"")</f>
        <v/>
      </c>
      <c r="CU42" s="78" t="str" cm="1">
        <f t="array" ref="CU42">IFERROR(MMULT($E42:$I42,'Producten &amp; tarieven'!CP$3:CP$7),"")</f>
        <v/>
      </c>
      <c r="CV42" s="78" t="str" cm="1">
        <f t="array" ref="CV42">IFERROR(MMULT($E42:$I42,'Producten &amp; tarieven'!CQ$3:CQ$7),"")</f>
        <v/>
      </c>
      <c r="CW42" s="78" t="str" cm="1">
        <f t="array" ref="CW42">IFERROR(MMULT($E42:$I42,'Producten &amp; tarieven'!CR$3:CR$7),"")</f>
        <v/>
      </c>
      <c r="CX42" s="78" t="str" cm="1">
        <f t="array" ref="CX42">IFERROR(MMULT($E42:$I42,'Producten &amp; tarieven'!CS$3:CS$7),"")</f>
        <v/>
      </c>
      <c r="CY42" s="78" t="str" cm="1">
        <f t="array" ref="CY42">IFERROR(MMULT($E42:$I42,'Producten &amp; tarieven'!CT$3:CT$7),"")</f>
        <v/>
      </c>
      <c r="CZ42" s="78" t="str" cm="1">
        <f t="array" ref="CZ42">IFERROR(MMULT($E42:$I42,'Producten &amp; tarieven'!CU$3:CU$7),"")</f>
        <v/>
      </c>
      <c r="DA42" s="78" t="str" cm="1">
        <f t="array" ref="DA42">IFERROR(MMULT($E42:$I42,'Producten &amp; tarieven'!CV$3:CV$7),"")</f>
        <v/>
      </c>
      <c r="DB42" s="78" t="str" cm="1">
        <f t="array" ref="DB42">IFERROR(MMULT($E42:$I42,'Producten &amp; tarieven'!CW$3:CW$7),"")</f>
        <v/>
      </c>
      <c r="DC42" s="78" t="str" cm="1">
        <f t="array" ref="DC42">IFERROR(MMULT($E42:$I42,'Producten &amp; tarieven'!CX$3:CX$7),"")</f>
        <v/>
      </c>
      <c r="DD42" s="78" t="str" cm="1">
        <f t="array" ref="DD42">IFERROR(MMULT($E42:$I42,'Producten &amp; tarieven'!CY$3:CY$7),"")</f>
        <v/>
      </c>
      <c r="DE42" s="440" t="str" cm="1">
        <f t="array" ref="DE42">IFERROR(MMULT($E42:$I42,'Producten &amp; tarieven'!CZ$3:CZ$7),"")</f>
        <v/>
      </c>
      <c r="DF42" s="448"/>
    </row>
    <row r="43" spans="1:110" ht="17.399999999999999">
      <c r="A43" s="447"/>
      <c r="B43" s="1030"/>
      <c r="C43" s="153" t="s">
        <v>39</v>
      </c>
      <c r="D43" s="244" t="s">
        <v>38</v>
      </c>
      <c r="E43" s="420">
        <f t="shared" si="1"/>
        <v>5779.9064000000008</v>
      </c>
      <c r="F43" s="423">
        <f t="shared" si="2"/>
        <v>5820.5366000000004</v>
      </c>
      <c r="G43" s="424">
        <f t="shared" si="3"/>
        <v>5940.3436000000002</v>
      </c>
      <c r="H43" s="429">
        <f t="shared" si="0"/>
        <v>5972.6602360000006</v>
      </c>
      <c r="I43" s="431">
        <f>P22</f>
        <v>5246.5668652350005</v>
      </c>
      <c r="J43" s="78" cm="1">
        <f t="array" ref="J43">IFERROR(MMULT($E43:$I43,'Producten &amp; tarieven'!F$3:F$7),"")</f>
        <v>5940.3436000000002</v>
      </c>
      <c r="K43" s="78" t="str" cm="1">
        <f t="array" ref="K43">IFERROR(MMULT($E43:$I43,'Producten &amp; tarieven'!G$3:G$7),"")</f>
        <v/>
      </c>
      <c r="L43" s="78" t="str" cm="1">
        <f t="array" ref="L43">IFERROR(MMULT($E43:$I43,'Producten &amp; tarieven'!#REF!),"")</f>
        <v/>
      </c>
      <c r="M43" s="78" t="str" cm="1">
        <f t="array" ref="M43">IFERROR(MMULT($E43:$I43,'Producten &amp; tarieven'!H$3:H$7),"")</f>
        <v/>
      </c>
      <c r="N43" s="78" t="str" cm="1">
        <f t="array" ref="N43">IFERROR(MMULT($E43:$I43,'Producten &amp; tarieven'!I$3:I$7),"")</f>
        <v/>
      </c>
      <c r="O43" s="78" t="str" cm="1">
        <f t="array" ref="O43">IFERROR(MMULT($E43:$I43,'Producten &amp; tarieven'!J$3:J$7),"")</f>
        <v/>
      </c>
      <c r="P43" s="78" t="str" cm="1">
        <f t="array" ref="P43">IFERROR(MMULT($E43:$I43,'Producten &amp; tarieven'!K$3:K$7),"")</f>
        <v/>
      </c>
      <c r="Q43" s="78" t="str" cm="1">
        <f t="array" ref="Q43">IFERROR(MMULT($E43:$I43,'Producten &amp; tarieven'!L$3:L$7),"")</f>
        <v/>
      </c>
      <c r="R43" s="78" t="str" cm="1">
        <f t="array" ref="R43">IFERROR(MMULT($E43:$I43,'Producten &amp; tarieven'!M$3:M$7),"")</f>
        <v/>
      </c>
      <c r="S43" s="78" t="str" cm="1">
        <f t="array" ref="S43">IFERROR(MMULT($E43:$I43,'Producten &amp; tarieven'!N$3:N$7),"")</f>
        <v/>
      </c>
      <c r="T43" s="78" t="str" cm="1">
        <f t="array" ref="T43">IFERROR(MMULT($E43:$I43,'Producten &amp; tarieven'!O$3:O$7),"")</f>
        <v/>
      </c>
      <c r="U43" s="78" t="str" cm="1">
        <f t="array" ref="U43">IFERROR(MMULT($E43:$I43,'Producten &amp; tarieven'!P$3:P$7),"")</f>
        <v/>
      </c>
      <c r="V43" s="78" t="str" cm="1">
        <f t="array" ref="V43">IFERROR(MMULT($E43:$I43,'Producten &amp; tarieven'!Q$3:Q$7),"")</f>
        <v/>
      </c>
      <c r="W43" s="78" t="str" cm="1">
        <f t="array" ref="W43">IFERROR(MMULT($E43:$I43,'Producten &amp; tarieven'!R$3:R$7),"")</f>
        <v/>
      </c>
      <c r="X43" s="78" t="str" cm="1">
        <f t="array" ref="X43">IFERROR(MMULT($E43:$I43,'Producten &amp; tarieven'!S$3:S$7),"")</f>
        <v/>
      </c>
      <c r="Y43" s="78" t="str" cm="1">
        <f t="array" ref="Y43">IFERROR(MMULT($E43:$I43,'Producten &amp; tarieven'!T$3:T$7),"")</f>
        <v/>
      </c>
      <c r="Z43" s="78" t="str" cm="1">
        <f t="array" ref="Z43">IFERROR(MMULT($E43:$I43,'Producten &amp; tarieven'!U$3:U$7),"")</f>
        <v/>
      </c>
      <c r="AA43" s="78" t="str" cm="1">
        <f t="array" ref="AA43">IFERROR(MMULT($E43:$I43,'Producten &amp; tarieven'!V$3:V$7),"")</f>
        <v/>
      </c>
      <c r="AB43" s="78" t="str" cm="1">
        <f t="array" ref="AB43">IFERROR(MMULT($E43:$I43,'Producten &amp; tarieven'!W$3:W$7),"")</f>
        <v/>
      </c>
      <c r="AC43" s="78" t="str" cm="1">
        <f t="array" ref="AC43">IFERROR(MMULT($E43:$I43,'Producten &amp; tarieven'!X$3:X$7),"")</f>
        <v/>
      </c>
      <c r="AD43" s="78" t="str" cm="1">
        <f t="array" ref="AD43">IFERROR(MMULT($E43:$I43,'Producten &amp; tarieven'!Y$3:Y$7),"")</f>
        <v/>
      </c>
      <c r="AE43" s="78" t="str" cm="1">
        <f t="array" ref="AE43">IFERROR(MMULT($E43:$I43,'Producten &amp; tarieven'!Z$3:Z$7),"")</f>
        <v/>
      </c>
      <c r="AF43" s="78" t="str" cm="1">
        <f t="array" ref="AF43">IFERROR(MMULT($E43:$I43,'Producten &amp; tarieven'!AA$3:AA$7),"")</f>
        <v/>
      </c>
      <c r="AG43" s="78" t="str" cm="1">
        <f t="array" ref="AG43">IFERROR(MMULT($E43:$I43,'Producten &amp; tarieven'!AB$3:AB$7),"")</f>
        <v/>
      </c>
      <c r="AH43" s="78" t="str" cm="1">
        <f t="array" ref="AH43">IFERROR(MMULT($E43:$I43,'Producten &amp; tarieven'!AC$3:AC$7),"")</f>
        <v/>
      </c>
      <c r="AI43" s="78" t="str" cm="1">
        <f t="array" ref="AI43">IFERROR(MMULT($E43:$I43,'Producten &amp; tarieven'!AD$3:AD$7),"")</f>
        <v/>
      </c>
      <c r="AJ43" s="78" t="str" cm="1">
        <f t="array" ref="AJ43">IFERROR(MMULT($E43:$I43,'Producten &amp; tarieven'!AE$3:AE$7),"")</f>
        <v/>
      </c>
      <c r="AK43" s="78" t="str" cm="1">
        <f t="array" ref="AK43">IFERROR(MMULT($E43:$I43,'Producten &amp; tarieven'!AF$3:AF$7),"")</f>
        <v/>
      </c>
      <c r="AL43" s="78" t="str" cm="1">
        <f t="array" ref="AL43">IFERROR(MMULT($E43:$I43,'Producten &amp; tarieven'!AG$3:AG$7),"")</f>
        <v/>
      </c>
      <c r="AM43" s="78" t="str" cm="1">
        <f t="array" ref="AM43">IFERROR(MMULT($E43:$I43,'Producten &amp; tarieven'!AH$3:AH$7),"")</f>
        <v/>
      </c>
      <c r="AN43" s="78" t="str" cm="1">
        <f t="array" ref="AN43">IFERROR(MMULT($E43:$I43,'Producten &amp; tarieven'!AI$3:AI$7),"")</f>
        <v/>
      </c>
      <c r="AO43" s="78" t="str" cm="1">
        <f t="array" ref="AO43">IFERROR(MMULT($E43:$I43,'Producten &amp; tarieven'!AJ$3:AJ$7),"")</f>
        <v/>
      </c>
      <c r="AP43" s="78" t="str" cm="1">
        <f t="array" ref="AP43">IFERROR(MMULT($E43:$I43,'Producten &amp; tarieven'!AK$3:AK$7),"")</f>
        <v/>
      </c>
      <c r="AQ43" s="78" t="str" cm="1">
        <f t="array" ref="AQ43">IFERROR(MMULT($E43:$I43,'Producten &amp; tarieven'!AL$3:AL$7),"")</f>
        <v/>
      </c>
      <c r="AR43" s="78" t="str" cm="1">
        <f t="array" ref="AR43">IFERROR(MMULT($E43:$I43,'Producten &amp; tarieven'!AM$3:AM$7),"")</f>
        <v/>
      </c>
      <c r="AS43" s="78" t="str" cm="1">
        <f t="array" ref="AS43">IFERROR(MMULT($E43:$I43,'Producten &amp; tarieven'!AN$3:AN$7),"")</f>
        <v/>
      </c>
      <c r="AT43" s="78" t="str" cm="1">
        <f t="array" ref="AT43">IFERROR(MMULT($E43:$I43,'Producten &amp; tarieven'!AO$3:AO$7),"")</f>
        <v/>
      </c>
      <c r="AU43" s="78" t="str" cm="1">
        <f t="array" ref="AU43">IFERROR(MMULT($E43:$I43,'Producten &amp; tarieven'!AP$3:AP$7),"")</f>
        <v/>
      </c>
      <c r="AV43" s="78" t="str" cm="1">
        <f t="array" ref="AV43">IFERROR(MMULT($E43:$I43,'Producten &amp; tarieven'!AQ$3:AQ$7),"")</f>
        <v/>
      </c>
      <c r="AW43" s="78" t="str" cm="1">
        <f t="array" ref="AW43">IFERROR(MMULT($E43:$I43,'Producten &amp; tarieven'!AR$3:AR$7),"")</f>
        <v/>
      </c>
      <c r="AX43" s="78" t="str" cm="1">
        <f t="array" ref="AX43">IFERROR(MMULT($E43:$I43,'Producten &amp; tarieven'!AS$3:AS$7),"")</f>
        <v/>
      </c>
      <c r="AY43" s="78" t="str" cm="1">
        <f t="array" ref="AY43">IFERROR(MMULT($E43:$I43,'Producten &amp; tarieven'!AT$3:AT$7),"")</f>
        <v/>
      </c>
      <c r="AZ43" s="78" t="str" cm="1">
        <f t="array" ref="AZ43">IFERROR(MMULT($E43:$I43,'Producten &amp; tarieven'!AU$3:AU$7),"")</f>
        <v/>
      </c>
      <c r="BA43" s="78" t="str" cm="1">
        <f t="array" ref="BA43">IFERROR(MMULT($E43:$I43,'Producten &amp; tarieven'!AV$3:AV$7),"")</f>
        <v/>
      </c>
      <c r="BB43" s="78" t="str" cm="1">
        <f t="array" ref="BB43">IFERROR(MMULT($E43:$I43,'Producten &amp; tarieven'!AW$3:AW$7),"")</f>
        <v/>
      </c>
      <c r="BC43" s="78" t="str" cm="1">
        <f t="array" ref="BC43">IFERROR(MMULT($E43:$I43,'Producten &amp; tarieven'!AX$3:AX$7),"")</f>
        <v/>
      </c>
      <c r="BD43" s="78" t="str" cm="1">
        <f t="array" ref="BD43">IFERROR(MMULT($E43:$I43,'Producten &amp; tarieven'!AY$3:AY$7),"")</f>
        <v/>
      </c>
      <c r="BE43" s="78" t="str" cm="1">
        <f t="array" ref="BE43">IFERROR(MMULT($E43:$I43,'Producten &amp; tarieven'!AZ$3:AZ$7),"")</f>
        <v/>
      </c>
      <c r="BF43" s="78" t="str" cm="1">
        <f t="array" ref="BF43">IFERROR(MMULT($E43:$I43,'Producten &amp; tarieven'!BA$3:BA$7),"")</f>
        <v/>
      </c>
      <c r="BG43" s="78" t="str" cm="1">
        <f t="array" ref="BG43">IFERROR(MMULT($E43:$I43,'Producten &amp; tarieven'!BB$3:BB$7),"")</f>
        <v/>
      </c>
      <c r="BH43" s="78" t="str" cm="1">
        <f t="array" ref="BH43">IFERROR(MMULT($E43:$I43,'Producten &amp; tarieven'!BC$3:BC$7),"")</f>
        <v/>
      </c>
      <c r="BI43" s="78" t="str" cm="1">
        <f t="array" ref="BI43">IFERROR(MMULT($E43:$I43,'Producten &amp; tarieven'!BD$3:BD$7),"")</f>
        <v/>
      </c>
      <c r="BJ43" s="78" t="str" cm="1">
        <f t="array" ref="BJ43">IFERROR(MMULT($E43:$I43,'Producten &amp; tarieven'!BE$3:BE$7),"")</f>
        <v/>
      </c>
      <c r="BK43" s="78" t="str" cm="1">
        <f t="array" ref="BK43">IFERROR(MMULT($E43:$I43,'Producten &amp; tarieven'!BF$3:BF$7),"")</f>
        <v/>
      </c>
      <c r="BL43" s="78" t="str" cm="1">
        <f t="array" ref="BL43">IFERROR(MMULT($E43:$I43,'Producten &amp; tarieven'!BG$3:BG$7),"")</f>
        <v/>
      </c>
      <c r="BM43" s="78" t="str" cm="1">
        <f t="array" ref="BM43">IFERROR(MMULT($E43:$I43,'Producten &amp; tarieven'!BH$3:BH$7),"")</f>
        <v/>
      </c>
      <c r="BN43" s="78" t="str" cm="1">
        <f t="array" ref="BN43">IFERROR(MMULT($E43:$I43,'Producten &amp; tarieven'!BI$3:BI$7),"")</f>
        <v/>
      </c>
      <c r="BO43" s="78" t="str" cm="1">
        <f t="array" ref="BO43">IFERROR(MMULT($E43:$I43,'Producten &amp; tarieven'!BJ$3:BJ$7),"")</f>
        <v/>
      </c>
      <c r="BP43" s="78" t="str" cm="1">
        <f t="array" ref="BP43">IFERROR(MMULT($E43:$I43,'Producten &amp; tarieven'!BK$3:BK$7),"")</f>
        <v/>
      </c>
      <c r="BQ43" s="78" t="str" cm="1">
        <f t="array" ref="BQ43">IFERROR(MMULT($E43:$I43,'Producten &amp; tarieven'!BL$3:BL$7),"")</f>
        <v/>
      </c>
      <c r="BR43" s="78" t="str" cm="1">
        <f t="array" ref="BR43">IFERROR(MMULT($E43:$I43,'Producten &amp; tarieven'!BM$3:BM$7),"")</f>
        <v/>
      </c>
      <c r="BS43" s="78" t="str" cm="1">
        <f t="array" ref="BS43">IFERROR(MMULT($E43:$I43,'Producten &amp; tarieven'!BN$3:BN$7),"")</f>
        <v/>
      </c>
      <c r="BT43" s="78" t="str" cm="1">
        <f t="array" ref="BT43">IFERROR(MMULT($E43:$I43,'Producten &amp; tarieven'!BO$3:BO$7),"")</f>
        <v/>
      </c>
      <c r="BU43" s="78" t="str" cm="1">
        <f t="array" ref="BU43">IFERROR(MMULT($E43:$I43,'Producten &amp; tarieven'!BP$3:BP$7),"")</f>
        <v/>
      </c>
      <c r="BV43" s="78" t="str" cm="1">
        <f t="array" ref="BV43">IFERROR(MMULT($E43:$I43,'Producten &amp; tarieven'!BQ$3:BQ$7),"")</f>
        <v/>
      </c>
      <c r="BW43" s="78" t="str" cm="1">
        <f t="array" ref="BW43">IFERROR(MMULT($E43:$I43,'Producten &amp; tarieven'!BR$3:BR$7),"")</f>
        <v/>
      </c>
      <c r="BX43" s="78" t="str" cm="1">
        <f t="array" ref="BX43">IFERROR(MMULT($E43:$I43,'Producten &amp; tarieven'!BS$3:BS$7),"")</f>
        <v/>
      </c>
      <c r="BY43" s="78" t="str" cm="1">
        <f t="array" ref="BY43">IFERROR(MMULT($E43:$I43,'Producten &amp; tarieven'!BT$3:BT$7),"")</f>
        <v/>
      </c>
      <c r="BZ43" s="78" t="str" cm="1">
        <f t="array" ref="BZ43">IFERROR(MMULT($E43:$I43,'Producten &amp; tarieven'!BU$3:BU$7),"")</f>
        <v/>
      </c>
      <c r="CA43" s="78" t="str" cm="1">
        <f t="array" ref="CA43">IFERROR(MMULT($E43:$I43,'Producten &amp; tarieven'!BV$3:BV$7),"")</f>
        <v/>
      </c>
      <c r="CB43" s="78" t="str" cm="1">
        <f t="array" ref="CB43">IFERROR(MMULT($E43:$I43,'Producten &amp; tarieven'!BW$3:BW$7),"")</f>
        <v/>
      </c>
      <c r="CC43" s="78" t="str" cm="1">
        <f t="array" ref="CC43">IFERROR(MMULT($E43:$I43,'Producten &amp; tarieven'!BX$3:BX$7),"")</f>
        <v/>
      </c>
      <c r="CD43" s="78" t="str" cm="1">
        <f t="array" ref="CD43">IFERROR(MMULT($E43:$I43,'Producten &amp; tarieven'!BY$3:BY$7),"")</f>
        <v/>
      </c>
      <c r="CE43" s="78" t="str" cm="1">
        <f t="array" ref="CE43">IFERROR(MMULT($E43:$I43,'Producten &amp; tarieven'!BZ$3:BZ$7),"")</f>
        <v/>
      </c>
      <c r="CF43" s="78" t="str" cm="1">
        <f t="array" ref="CF43">IFERROR(MMULT($E43:$I43,'Producten &amp; tarieven'!CA$3:CA$7),"")</f>
        <v/>
      </c>
      <c r="CG43" s="78" t="str" cm="1">
        <f t="array" ref="CG43">IFERROR(MMULT($E43:$I43,'Producten &amp; tarieven'!CB$3:CB$7),"")</f>
        <v/>
      </c>
      <c r="CH43" s="78" t="str" cm="1">
        <f t="array" ref="CH43">IFERROR(MMULT($E43:$I43,'Producten &amp; tarieven'!CC$3:CC$7),"")</f>
        <v/>
      </c>
      <c r="CI43" s="78" t="str" cm="1">
        <f t="array" ref="CI43">IFERROR(MMULT($E43:$I43,'Producten &amp; tarieven'!CD$3:CD$7),"")</f>
        <v/>
      </c>
      <c r="CJ43" s="78" t="str" cm="1">
        <f t="array" ref="CJ43">IFERROR(MMULT($E43:$I43,'Producten &amp; tarieven'!CE$3:CE$7),"")</f>
        <v/>
      </c>
      <c r="CK43" s="78" t="str" cm="1">
        <f t="array" ref="CK43">IFERROR(MMULT($E43:$I43,'Producten &amp; tarieven'!CF$3:CF$7),"")</f>
        <v/>
      </c>
      <c r="CL43" s="78" t="str" cm="1">
        <f t="array" ref="CL43">IFERROR(MMULT($E43:$I43,'Producten &amp; tarieven'!CG$3:CG$7),"")</f>
        <v/>
      </c>
      <c r="CM43" s="78" t="str" cm="1">
        <f t="array" ref="CM43">IFERROR(MMULT($E43:$I43,'Producten &amp; tarieven'!CH$3:CH$7),"")</f>
        <v/>
      </c>
      <c r="CN43" s="78" t="str" cm="1">
        <f t="array" ref="CN43">IFERROR(MMULT($E43:$I43,'Producten &amp; tarieven'!CI$3:CI$7),"")</f>
        <v/>
      </c>
      <c r="CO43" s="78" t="str" cm="1">
        <f t="array" ref="CO43">IFERROR(MMULT($E43:$I43,'Producten &amp; tarieven'!CJ$3:CJ$7),"")</f>
        <v/>
      </c>
      <c r="CP43" s="78" t="str" cm="1">
        <f t="array" ref="CP43">IFERROR(MMULT($E43:$I43,'Producten &amp; tarieven'!CK$3:CK$7),"")</f>
        <v/>
      </c>
      <c r="CQ43" s="78" t="str" cm="1">
        <f t="array" ref="CQ43">IFERROR(MMULT($E43:$I43,'Producten &amp; tarieven'!CL$3:CL$7),"")</f>
        <v/>
      </c>
      <c r="CR43" s="78" t="str" cm="1">
        <f t="array" ref="CR43">IFERROR(MMULT($E43:$I43,'Producten &amp; tarieven'!CM$3:CM$7),"")</f>
        <v/>
      </c>
      <c r="CS43" s="78" t="str" cm="1">
        <f t="array" ref="CS43">IFERROR(MMULT($E43:$I43,'Producten &amp; tarieven'!CN$3:CN$7),"")</f>
        <v/>
      </c>
      <c r="CT43" s="78" t="str" cm="1">
        <f t="array" ref="CT43">IFERROR(MMULT($E43:$I43,'Producten &amp; tarieven'!CO$3:CO$7),"")</f>
        <v/>
      </c>
      <c r="CU43" s="78" t="str" cm="1">
        <f t="array" ref="CU43">IFERROR(MMULT($E43:$I43,'Producten &amp; tarieven'!CP$3:CP$7),"")</f>
        <v/>
      </c>
      <c r="CV43" s="78" t="str" cm="1">
        <f t="array" ref="CV43">IFERROR(MMULT($E43:$I43,'Producten &amp; tarieven'!CQ$3:CQ$7),"")</f>
        <v/>
      </c>
      <c r="CW43" s="78" t="str" cm="1">
        <f t="array" ref="CW43">IFERROR(MMULT($E43:$I43,'Producten &amp; tarieven'!CR$3:CR$7),"")</f>
        <v/>
      </c>
      <c r="CX43" s="78" t="str" cm="1">
        <f t="array" ref="CX43">IFERROR(MMULT($E43:$I43,'Producten &amp; tarieven'!CS$3:CS$7),"")</f>
        <v/>
      </c>
      <c r="CY43" s="78" t="str" cm="1">
        <f t="array" ref="CY43">IFERROR(MMULT($E43:$I43,'Producten &amp; tarieven'!CT$3:CT$7),"")</f>
        <v/>
      </c>
      <c r="CZ43" s="78" t="str" cm="1">
        <f t="array" ref="CZ43">IFERROR(MMULT($E43:$I43,'Producten &amp; tarieven'!CU$3:CU$7),"")</f>
        <v/>
      </c>
      <c r="DA43" s="78" t="str" cm="1">
        <f t="array" ref="DA43">IFERROR(MMULT($E43:$I43,'Producten &amp; tarieven'!CV$3:CV$7),"")</f>
        <v/>
      </c>
      <c r="DB43" s="78" t="str" cm="1">
        <f t="array" ref="DB43">IFERROR(MMULT($E43:$I43,'Producten &amp; tarieven'!CW$3:CW$7),"")</f>
        <v/>
      </c>
      <c r="DC43" s="78" t="str" cm="1">
        <f t="array" ref="DC43">IFERROR(MMULT($E43:$I43,'Producten &amp; tarieven'!CX$3:CX$7),"")</f>
        <v/>
      </c>
      <c r="DD43" s="78" t="str" cm="1">
        <f t="array" ref="DD43">IFERROR(MMULT($E43:$I43,'Producten &amp; tarieven'!CY$3:CY$7),"")</f>
        <v/>
      </c>
      <c r="DE43" s="440" t="str" cm="1">
        <f t="array" ref="DE43">IFERROR(MMULT($E43:$I43,'Producten &amp; tarieven'!CZ$3:CZ$7),"")</f>
        <v/>
      </c>
      <c r="DF43" s="448"/>
    </row>
    <row r="44" spans="1:110" ht="17.399999999999999">
      <c r="A44" s="447"/>
      <c r="B44" s="1041" t="s">
        <v>40</v>
      </c>
      <c r="C44" s="248" t="s">
        <v>39</v>
      </c>
      <c r="D44" s="249" t="s">
        <v>38</v>
      </c>
      <c r="E44" s="420">
        <f>D23</f>
        <v>5779.9064000000008</v>
      </c>
      <c r="F44" s="423">
        <f t="shared" si="2"/>
        <v>5820.5366000000004</v>
      </c>
      <c r="G44" s="424">
        <f t="shared" si="3"/>
        <v>5940.3436000000002</v>
      </c>
      <c r="H44" s="428">
        <f t="shared" si="0"/>
        <v>5972.6602360000006</v>
      </c>
      <c r="I44" s="431">
        <f>P22</f>
        <v>5246.5668652350005</v>
      </c>
      <c r="J44" s="78" cm="1">
        <f t="array" ref="J44">IFERROR(MMULT($E44:$I44,'Producten &amp; tarieven'!F$3:F$7),"")</f>
        <v>5940.3436000000002</v>
      </c>
      <c r="K44" s="78" t="str" cm="1">
        <f t="array" ref="K44">IFERROR(MMULT($E44:$I44,'Producten &amp; tarieven'!G$3:G$7),"")</f>
        <v/>
      </c>
      <c r="L44" s="78" t="str" cm="1">
        <f t="array" ref="L44">IFERROR(MMULT($E44:$I44,'Producten &amp; tarieven'!#REF!),"")</f>
        <v/>
      </c>
      <c r="M44" s="78" t="str" cm="1">
        <f t="array" ref="M44">IFERROR(MMULT($E44:$I44,'Producten &amp; tarieven'!H$3:H$7),"")</f>
        <v/>
      </c>
      <c r="N44" s="78" t="str" cm="1">
        <f t="array" ref="N44">IFERROR(MMULT($E44:$I44,'Producten &amp; tarieven'!I$3:I$7),"")</f>
        <v/>
      </c>
      <c r="O44" s="78" t="str" cm="1">
        <f t="array" ref="O44">IFERROR(MMULT($E44:$I44,'Producten &amp; tarieven'!J$3:J$7),"")</f>
        <v/>
      </c>
      <c r="P44" s="78" t="str" cm="1">
        <f t="array" ref="P44">IFERROR(MMULT($E44:$I44,'Producten &amp; tarieven'!K$3:K$7),"")</f>
        <v/>
      </c>
      <c r="Q44" s="78" t="str" cm="1">
        <f t="array" ref="Q44">IFERROR(MMULT($E44:$I44,'Producten &amp; tarieven'!L$3:L$7),"")</f>
        <v/>
      </c>
      <c r="R44" s="78" t="str" cm="1">
        <f t="array" ref="R44">IFERROR(MMULT($E44:$I44,'Producten &amp; tarieven'!M$3:M$7),"")</f>
        <v/>
      </c>
      <c r="S44" s="78" t="str" cm="1">
        <f t="array" ref="S44">IFERROR(MMULT($E44:$I44,'Producten &amp; tarieven'!N$3:N$7),"")</f>
        <v/>
      </c>
      <c r="T44" s="78" t="str" cm="1">
        <f t="array" ref="T44">IFERROR(MMULT($E44:$I44,'Producten &amp; tarieven'!O$3:O$7),"")</f>
        <v/>
      </c>
      <c r="U44" s="78" t="str" cm="1">
        <f t="array" ref="U44">IFERROR(MMULT($E44:$I44,'Producten &amp; tarieven'!P$3:P$7),"")</f>
        <v/>
      </c>
      <c r="V44" s="78" t="str" cm="1">
        <f t="array" ref="V44">IFERROR(MMULT($E44:$I44,'Producten &amp; tarieven'!Q$3:Q$7),"")</f>
        <v/>
      </c>
      <c r="W44" s="78" t="str" cm="1">
        <f t="array" ref="W44">IFERROR(MMULT($E44:$I44,'Producten &amp; tarieven'!R$3:R$7),"")</f>
        <v/>
      </c>
      <c r="X44" s="78" t="str" cm="1">
        <f t="array" ref="X44">IFERROR(MMULT($E44:$I44,'Producten &amp; tarieven'!S$3:S$7),"")</f>
        <v/>
      </c>
      <c r="Y44" s="78" t="str" cm="1">
        <f t="array" ref="Y44">IFERROR(MMULT($E44:$I44,'Producten &amp; tarieven'!T$3:T$7),"")</f>
        <v/>
      </c>
      <c r="Z44" s="78" t="str" cm="1">
        <f t="array" ref="Z44">IFERROR(MMULT($E44:$I44,'Producten &amp; tarieven'!U$3:U$7),"")</f>
        <v/>
      </c>
      <c r="AA44" s="78" t="str" cm="1">
        <f t="array" ref="AA44">IFERROR(MMULT($E44:$I44,'Producten &amp; tarieven'!V$3:V$7),"")</f>
        <v/>
      </c>
      <c r="AB44" s="78" t="str" cm="1">
        <f t="array" ref="AB44">IFERROR(MMULT($E44:$I44,'Producten &amp; tarieven'!W$3:W$7),"")</f>
        <v/>
      </c>
      <c r="AC44" s="78" t="str" cm="1">
        <f t="array" ref="AC44">IFERROR(MMULT($E44:$I44,'Producten &amp; tarieven'!X$3:X$7),"")</f>
        <v/>
      </c>
      <c r="AD44" s="78" t="str" cm="1">
        <f t="array" ref="AD44">IFERROR(MMULT($E44:$I44,'Producten &amp; tarieven'!Y$3:Y$7),"")</f>
        <v/>
      </c>
      <c r="AE44" s="78" t="str" cm="1">
        <f t="array" ref="AE44">IFERROR(MMULT($E44:$I44,'Producten &amp; tarieven'!Z$3:Z$7),"")</f>
        <v/>
      </c>
      <c r="AF44" s="78" t="str" cm="1">
        <f t="array" ref="AF44">IFERROR(MMULT($E44:$I44,'Producten &amp; tarieven'!AA$3:AA$7),"")</f>
        <v/>
      </c>
      <c r="AG44" s="78" t="str" cm="1">
        <f t="array" ref="AG44">IFERROR(MMULT($E44:$I44,'Producten &amp; tarieven'!AB$3:AB$7),"")</f>
        <v/>
      </c>
      <c r="AH44" s="78" t="str" cm="1">
        <f t="array" ref="AH44">IFERROR(MMULT($E44:$I44,'Producten &amp; tarieven'!AC$3:AC$7),"")</f>
        <v/>
      </c>
      <c r="AI44" s="78" t="str" cm="1">
        <f t="array" ref="AI44">IFERROR(MMULT($E44:$I44,'Producten &amp; tarieven'!AD$3:AD$7),"")</f>
        <v/>
      </c>
      <c r="AJ44" s="78" t="str" cm="1">
        <f t="array" ref="AJ44">IFERROR(MMULT($E44:$I44,'Producten &amp; tarieven'!AE$3:AE$7),"")</f>
        <v/>
      </c>
      <c r="AK44" s="78" t="str" cm="1">
        <f t="array" ref="AK44">IFERROR(MMULT($E44:$I44,'Producten &amp; tarieven'!AF$3:AF$7),"")</f>
        <v/>
      </c>
      <c r="AL44" s="78" t="str" cm="1">
        <f t="array" ref="AL44">IFERROR(MMULT($E44:$I44,'Producten &amp; tarieven'!AG$3:AG$7),"")</f>
        <v/>
      </c>
      <c r="AM44" s="78" t="str" cm="1">
        <f t="array" ref="AM44">IFERROR(MMULT($E44:$I44,'Producten &amp; tarieven'!AH$3:AH$7),"")</f>
        <v/>
      </c>
      <c r="AN44" s="78" t="str" cm="1">
        <f t="array" ref="AN44">IFERROR(MMULT($E44:$I44,'Producten &amp; tarieven'!AI$3:AI$7),"")</f>
        <v/>
      </c>
      <c r="AO44" s="78" t="str" cm="1">
        <f t="array" ref="AO44">IFERROR(MMULT($E44:$I44,'Producten &amp; tarieven'!AJ$3:AJ$7),"")</f>
        <v/>
      </c>
      <c r="AP44" s="78" t="str" cm="1">
        <f t="array" ref="AP44">IFERROR(MMULT($E44:$I44,'Producten &amp; tarieven'!AK$3:AK$7),"")</f>
        <v/>
      </c>
      <c r="AQ44" s="78" t="str" cm="1">
        <f t="array" ref="AQ44">IFERROR(MMULT($E44:$I44,'Producten &amp; tarieven'!AL$3:AL$7),"")</f>
        <v/>
      </c>
      <c r="AR44" s="78" t="str" cm="1">
        <f t="array" ref="AR44">IFERROR(MMULT($E44:$I44,'Producten &amp; tarieven'!AM$3:AM$7),"")</f>
        <v/>
      </c>
      <c r="AS44" s="78" t="str" cm="1">
        <f t="array" ref="AS44">IFERROR(MMULT($E44:$I44,'Producten &amp; tarieven'!AN$3:AN$7),"")</f>
        <v/>
      </c>
      <c r="AT44" s="78" t="str" cm="1">
        <f t="array" ref="AT44">IFERROR(MMULT($E44:$I44,'Producten &amp; tarieven'!AO$3:AO$7),"")</f>
        <v/>
      </c>
      <c r="AU44" s="78" t="str" cm="1">
        <f t="array" ref="AU44">IFERROR(MMULT($E44:$I44,'Producten &amp; tarieven'!AP$3:AP$7),"")</f>
        <v/>
      </c>
      <c r="AV44" s="78" t="str" cm="1">
        <f t="array" ref="AV44">IFERROR(MMULT($E44:$I44,'Producten &amp; tarieven'!AQ$3:AQ$7),"")</f>
        <v/>
      </c>
      <c r="AW44" s="78" t="str" cm="1">
        <f t="array" ref="AW44">IFERROR(MMULT($E44:$I44,'Producten &amp; tarieven'!AR$3:AR$7),"")</f>
        <v/>
      </c>
      <c r="AX44" s="78" t="str" cm="1">
        <f t="array" ref="AX44">IFERROR(MMULT($E44:$I44,'Producten &amp; tarieven'!AS$3:AS$7),"")</f>
        <v/>
      </c>
      <c r="AY44" s="78" t="str" cm="1">
        <f t="array" ref="AY44">IFERROR(MMULT($E44:$I44,'Producten &amp; tarieven'!AT$3:AT$7),"")</f>
        <v/>
      </c>
      <c r="AZ44" s="78" t="str" cm="1">
        <f t="array" ref="AZ44">IFERROR(MMULT($E44:$I44,'Producten &amp; tarieven'!AU$3:AU$7),"")</f>
        <v/>
      </c>
      <c r="BA44" s="78" t="str" cm="1">
        <f t="array" ref="BA44">IFERROR(MMULT($E44:$I44,'Producten &amp; tarieven'!AV$3:AV$7),"")</f>
        <v/>
      </c>
      <c r="BB44" s="78" t="str" cm="1">
        <f t="array" ref="BB44">IFERROR(MMULT($E44:$I44,'Producten &amp; tarieven'!AW$3:AW$7),"")</f>
        <v/>
      </c>
      <c r="BC44" s="78" t="str" cm="1">
        <f t="array" ref="BC44">IFERROR(MMULT($E44:$I44,'Producten &amp; tarieven'!AX$3:AX$7),"")</f>
        <v/>
      </c>
      <c r="BD44" s="78" t="str" cm="1">
        <f t="array" ref="BD44">IFERROR(MMULT($E44:$I44,'Producten &amp; tarieven'!AY$3:AY$7),"")</f>
        <v/>
      </c>
      <c r="BE44" s="78" t="str" cm="1">
        <f t="array" ref="BE44">IFERROR(MMULT($E44:$I44,'Producten &amp; tarieven'!AZ$3:AZ$7),"")</f>
        <v/>
      </c>
      <c r="BF44" s="78" t="str" cm="1">
        <f t="array" ref="BF44">IFERROR(MMULT($E44:$I44,'Producten &amp; tarieven'!BA$3:BA$7),"")</f>
        <v/>
      </c>
      <c r="BG44" s="78" t="str" cm="1">
        <f t="array" ref="BG44">IFERROR(MMULT($E44:$I44,'Producten &amp; tarieven'!BB$3:BB$7),"")</f>
        <v/>
      </c>
      <c r="BH44" s="78" t="str" cm="1">
        <f t="array" ref="BH44">IFERROR(MMULT($E44:$I44,'Producten &amp; tarieven'!BC$3:BC$7),"")</f>
        <v/>
      </c>
      <c r="BI44" s="78" t="str" cm="1">
        <f t="array" ref="BI44">IFERROR(MMULT($E44:$I44,'Producten &amp; tarieven'!BD$3:BD$7),"")</f>
        <v/>
      </c>
      <c r="BJ44" s="78" t="str" cm="1">
        <f t="array" ref="BJ44">IFERROR(MMULT($E44:$I44,'Producten &amp; tarieven'!BE$3:BE$7),"")</f>
        <v/>
      </c>
      <c r="BK44" s="78" t="str" cm="1">
        <f t="array" ref="BK44">IFERROR(MMULT($E44:$I44,'Producten &amp; tarieven'!BF$3:BF$7),"")</f>
        <v/>
      </c>
      <c r="BL44" s="78" t="str" cm="1">
        <f t="array" ref="BL44">IFERROR(MMULT($E44:$I44,'Producten &amp; tarieven'!BG$3:BG$7),"")</f>
        <v/>
      </c>
      <c r="BM44" s="78" t="str" cm="1">
        <f t="array" ref="BM44">IFERROR(MMULT($E44:$I44,'Producten &amp; tarieven'!BH$3:BH$7),"")</f>
        <v/>
      </c>
      <c r="BN44" s="78" t="str" cm="1">
        <f t="array" ref="BN44">IFERROR(MMULT($E44:$I44,'Producten &amp; tarieven'!BI$3:BI$7),"")</f>
        <v/>
      </c>
      <c r="BO44" s="78" t="str" cm="1">
        <f t="array" ref="BO44">IFERROR(MMULT($E44:$I44,'Producten &amp; tarieven'!BJ$3:BJ$7),"")</f>
        <v/>
      </c>
      <c r="BP44" s="78" t="str" cm="1">
        <f t="array" ref="BP44">IFERROR(MMULT($E44:$I44,'Producten &amp; tarieven'!BK$3:BK$7),"")</f>
        <v/>
      </c>
      <c r="BQ44" s="78" t="str" cm="1">
        <f t="array" ref="BQ44">IFERROR(MMULT($E44:$I44,'Producten &amp; tarieven'!BL$3:BL$7),"")</f>
        <v/>
      </c>
      <c r="BR44" s="78" t="str" cm="1">
        <f t="array" ref="BR44">IFERROR(MMULT($E44:$I44,'Producten &amp; tarieven'!BM$3:BM$7),"")</f>
        <v/>
      </c>
      <c r="BS44" s="78" t="str" cm="1">
        <f t="array" ref="BS44">IFERROR(MMULT($E44:$I44,'Producten &amp; tarieven'!BN$3:BN$7),"")</f>
        <v/>
      </c>
      <c r="BT44" s="78" t="str" cm="1">
        <f t="array" ref="BT44">IFERROR(MMULT($E44:$I44,'Producten &amp; tarieven'!BO$3:BO$7),"")</f>
        <v/>
      </c>
      <c r="BU44" s="78" t="str" cm="1">
        <f t="array" ref="BU44">IFERROR(MMULT($E44:$I44,'Producten &amp; tarieven'!BP$3:BP$7),"")</f>
        <v/>
      </c>
      <c r="BV44" s="78" t="str" cm="1">
        <f t="array" ref="BV44">IFERROR(MMULT($E44:$I44,'Producten &amp; tarieven'!BQ$3:BQ$7),"")</f>
        <v/>
      </c>
      <c r="BW44" s="78" t="str" cm="1">
        <f t="array" ref="BW44">IFERROR(MMULT($E44:$I44,'Producten &amp; tarieven'!BR$3:BR$7),"")</f>
        <v/>
      </c>
      <c r="BX44" s="78" t="str" cm="1">
        <f t="array" ref="BX44">IFERROR(MMULT($E44:$I44,'Producten &amp; tarieven'!BS$3:BS$7),"")</f>
        <v/>
      </c>
      <c r="BY44" s="78" t="str" cm="1">
        <f t="array" ref="BY44">IFERROR(MMULT($E44:$I44,'Producten &amp; tarieven'!BT$3:BT$7),"")</f>
        <v/>
      </c>
      <c r="BZ44" s="78" t="str" cm="1">
        <f t="array" ref="BZ44">IFERROR(MMULT($E44:$I44,'Producten &amp; tarieven'!BU$3:BU$7),"")</f>
        <v/>
      </c>
      <c r="CA44" s="78" t="str" cm="1">
        <f t="array" ref="CA44">IFERROR(MMULT($E44:$I44,'Producten &amp; tarieven'!BV$3:BV$7),"")</f>
        <v/>
      </c>
      <c r="CB44" s="78" t="str" cm="1">
        <f t="array" ref="CB44">IFERROR(MMULT($E44:$I44,'Producten &amp; tarieven'!BW$3:BW$7),"")</f>
        <v/>
      </c>
      <c r="CC44" s="78" t="str" cm="1">
        <f t="array" ref="CC44">IFERROR(MMULT($E44:$I44,'Producten &amp; tarieven'!BX$3:BX$7),"")</f>
        <v/>
      </c>
      <c r="CD44" s="78" t="str" cm="1">
        <f t="array" ref="CD44">IFERROR(MMULT($E44:$I44,'Producten &amp; tarieven'!BY$3:BY$7),"")</f>
        <v/>
      </c>
      <c r="CE44" s="78" t="str" cm="1">
        <f t="array" ref="CE44">IFERROR(MMULT($E44:$I44,'Producten &amp; tarieven'!BZ$3:BZ$7),"")</f>
        <v/>
      </c>
      <c r="CF44" s="78" t="str" cm="1">
        <f t="array" ref="CF44">IFERROR(MMULT($E44:$I44,'Producten &amp; tarieven'!CA$3:CA$7),"")</f>
        <v/>
      </c>
      <c r="CG44" s="78" t="str" cm="1">
        <f t="array" ref="CG44">IFERROR(MMULT($E44:$I44,'Producten &amp; tarieven'!CB$3:CB$7),"")</f>
        <v/>
      </c>
      <c r="CH44" s="78" t="str" cm="1">
        <f t="array" ref="CH44">IFERROR(MMULT($E44:$I44,'Producten &amp; tarieven'!CC$3:CC$7),"")</f>
        <v/>
      </c>
      <c r="CI44" s="78" t="str" cm="1">
        <f t="array" ref="CI44">IFERROR(MMULT($E44:$I44,'Producten &amp; tarieven'!CD$3:CD$7),"")</f>
        <v/>
      </c>
      <c r="CJ44" s="78" t="str" cm="1">
        <f t="array" ref="CJ44">IFERROR(MMULT($E44:$I44,'Producten &amp; tarieven'!CE$3:CE$7),"")</f>
        <v/>
      </c>
      <c r="CK44" s="78" t="str" cm="1">
        <f t="array" ref="CK44">IFERROR(MMULT($E44:$I44,'Producten &amp; tarieven'!CF$3:CF$7),"")</f>
        <v/>
      </c>
      <c r="CL44" s="78" t="str" cm="1">
        <f t="array" ref="CL44">IFERROR(MMULT($E44:$I44,'Producten &amp; tarieven'!CG$3:CG$7),"")</f>
        <v/>
      </c>
      <c r="CM44" s="78" t="str" cm="1">
        <f t="array" ref="CM44">IFERROR(MMULT($E44:$I44,'Producten &amp; tarieven'!CH$3:CH$7),"")</f>
        <v/>
      </c>
      <c r="CN44" s="78" t="str" cm="1">
        <f t="array" ref="CN44">IFERROR(MMULT($E44:$I44,'Producten &amp; tarieven'!CI$3:CI$7),"")</f>
        <v/>
      </c>
      <c r="CO44" s="78" t="str" cm="1">
        <f t="array" ref="CO44">IFERROR(MMULT($E44:$I44,'Producten &amp; tarieven'!CJ$3:CJ$7),"")</f>
        <v/>
      </c>
      <c r="CP44" s="78" t="str" cm="1">
        <f t="array" ref="CP44">IFERROR(MMULT($E44:$I44,'Producten &amp; tarieven'!CK$3:CK$7),"")</f>
        <v/>
      </c>
      <c r="CQ44" s="78" t="str" cm="1">
        <f t="array" ref="CQ44">IFERROR(MMULT($E44:$I44,'Producten &amp; tarieven'!CL$3:CL$7),"")</f>
        <v/>
      </c>
      <c r="CR44" s="78" t="str" cm="1">
        <f t="array" ref="CR44">IFERROR(MMULT($E44:$I44,'Producten &amp; tarieven'!CM$3:CM$7),"")</f>
        <v/>
      </c>
      <c r="CS44" s="78" t="str" cm="1">
        <f t="array" ref="CS44">IFERROR(MMULT($E44:$I44,'Producten &amp; tarieven'!CN$3:CN$7),"")</f>
        <v/>
      </c>
      <c r="CT44" s="78" t="str" cm="1">
        <f t="array" ref="CT44">IFERROR(MMULT($E44:$I44,'Producten &amp; tarieven'!CO$3:CO$7),"")</f>
        <v/>
      </c>
      <c r="CU44" s="78" t="str" cm="1">
        <f t="array" ref="CU44">IFERROR(MMULT($E44:$I44,'Producten &amp; tarieven'!CP$3:CP$7),"")</f>
        <v/>
      </c>
      <c r="CV44" s="78" t="str" cm="1">
        <f t="array" ref="CV44">IFERROR(MMULT($E44:$I44,'Producten &amp; tarieven'!CQ$3:CQ$7),"")</f>
        <v/>
      </c>
      <c r="CW44" s="78" t="str" cm="1">
        <f t="array" ref="CW44">IFERROR(MMULT($E44:$I44,'Producten &amp; tarieven'!CR$3:CR$7),"")</f>
        <v/>
      </c>
      <c r="CX44" s="78" t="str" cm="1">
        <f t="array" ref="CX44">IFERROR(MMULT($E44:$I44,'Producten &amp; tarieven'!CS$3:CS$7),"")</f>
        <v/>
      </c>
      <c r="CY44" s="78" t="str" cm="1">
        <f t="array" ref="CY44">IFERROR(MMULT($E44:$I44,'Producten &amp; tarieven'!CT$3:CT$7),"")</f>
        <v/>
      </c>
      <c r="CZ44" s="78" t="str" cm="1">
        <f t="array" ref="CZ44">IFERROR(MMULT($E44:$I44,'Producten &amp; tarieven'!CU$3:CU$7),"")</f>
        <v/>
      </c>
      <c r="DA44" s="78" t="str" cm="1">
        <f t="array" ref="DA44">IFERROR(MMULT($E44:$I44,'Producten &amp; tarieven'!CV$3:CV$7),"")</f>
        <v/>
      </c>
      <c r="DB44" s="78" t="str" cm="1">
        <f t="array" ref="DB44">IFERROR(MMULT($E44:$I44,'Producten &amp; tarieven'!CW$3:CW$7),"")</f>
        <v/>
      </c>
      <c r="DC44" s="78" t="str" cm="1">
        <f t="array" ref="DC44">IFERROR(MMULT($E44:$I44,'Producten &amp; tarieven'!CX$3:CX$7),"")</f>
        <v/>
      </c>
      <c r="DD44" s="78" t="str" cm="1">
        <f t="array" ref="DD44">IFERROR(MMULT($E44:$I44,'Producten &amp; tarieven'!CY$3:CY$7),"")</f>
        <v/>
      </c>
      <c r="DE44" s="440" t="str" cm="1">
        <f t="array" ref="DE44">IFERROR(MMULT($E44:$I44,'Producten &amp; tarieven'!CZ$3:CZ$7),"")</f>
        <v/>
      </c>
      <c r="DF44" s="448"/>
    </row>
    <row r="45" spans="1:110" ht="17.399999999999999">
      <c r="A45" s="447"/>
      <c r="B45" s="1030"/>
      <c r="C45" s="153" t="s">
        <v>43</v>
      </c>
      <c r="D45" s="244" t="s">
        <v>41</v>
      </c>
      <c r="E45" s="420">
        <f>D24</f>
        <v>6775.8672000000006</v>
      </c>
      <c r="F45" s="423">
        <f t="shared" si="2"/>
        <v>6849.835</v>
      </c>
      <c r="G45" s="424">
        <f>J24</f>
        <v>6586.2596000000003</v>
      </c>
      <c r="H45" s="428">
        <f>M24</f>
        <v>7030.4518660000003</v>
      </c>
      <c r="I45" s="431">
        <f>P23</f>
        <v>6035.9015121390003</v>
      </c>
      <c r="J45" s="78" cm="1">
        <f t="array" ref="J45">IFERROR(MMULT($E45:$I45,'Producten &amp; tarieven'!F$3:F$7),"")</f>
        <v>6586.2596000000003</v>
      </c>
      <c r="K45" s="78" t="str" cm="1">
        <f t="array" ref="K45">IFERROR(MMULT($E45:$I45,'Producten &amp; tarieven'!G$3:G$7),"")</f>
        <v/>
      </c>
      <c r="L45" s="78" t="str" cm="1">
        <f t="array" ref="L45">IFERROR(MMULT($E45:$I45,'Producten &amp; tarieven'!#REF!),"")</f>
        <v/>
      </c>
      <c r="M45" s="78" t="str" cm="1">
        <f t="array" ref="M45">IFERROR(MMULT($E45:$I45,'Producten &amp; tarieven'!H$3:H$7),"")</f>
        <v/>
      </c>
      <c r="N45" s="78" t="str" cm="1">
        <f t="array" ref="N45">IFERROR(MMULT($E45:$I45,'Producten &amp; tarieven'!I$3:I$7),"")</f>
        <v/>
      </c>
      <c r="O45" s="78" t="str" cm="1">
        <f t="array" ref="O45">IFERROR(MMULT($E45:$I45,'Producten &amp; tarieven'!J$3:J$7),"")</f>
        <v/>
      </c>
      <c r="P45" s="78" t="str" cm="1">
        <f t="array" ref="P45">IFERROR(MMULT($E45:$I45,'Producten &amp; tarieven'!K$3:K$7),"")</f>
        <v/>
      </c>
      <c r="Q45" s="78" t="str" cm="1">
        <f t="array" ref="Q45">IFERROR(MMULT($E45:$I45,'Producten &amp; tarieven'!L$3:L$7),"")</f>
        <v/>
      </c>
      <c r="R45" s="78" t="str" cm="1">
        <f t="array" ref="R45">IFERROR(MMULT($E45:$I45,'Producten &amp; tarieven'!M$3:M$7),"")</f>
        <v/>
      </c>
      <c r="S45" s="78" t="str" cm="1">
        <f t="array" ref="S45">IFERROR(MMULT($E45:$I45,'Producten &amp; tarieven'!N$3:N$7),"")</f>
        <v/>
      </c>
      <c r="T45" s="78" t="str" cm="1">
        <f t="array" ref="T45">IFERROR(MMULT($E45:$I45,'Producten &amp; tarieven'!O$3:O$7),"")</f>
        <v/>
      </c>
      <c r="U45" s="78" t="str" cm="1">
        <f t="array" ref="U45">IFERROR(MMULT($E45:$I45,'Producten &amp; tarieven'!P$3:P$7),"")</f>
        <v/>
      </c>
      <c r="V45" s="78" t="str" cm="1">
        <f t="array" ref="V45">IFERROR(MMULT($E45:$I45,'Producten &amp; tarieven'!Q$3:Q$7),"")</f>
        <v/>
      </c>
      <c r="W45" s="78" t="str" cm="1">
        <f t="array" ref="W45">IFERROR(MMULT($E45:$I45,'Producten &amp; tarieven'!R$3:R$7),"")</f>
        <v/>
      </c>
      <c r="X45" s="78" t="str" cm="1">
        <f t="array" ref="X45">IFERROR(MMULT($E45:$I45,'Producten &amp; tarieven'!S$3:S$7),"")</f>
        <v/>
      </c>
      <c r="Y45" s="78" t="str" cm="1">
        <f t="array" ref="Y45">IFERROR(MMULT($E45:$I45,'Producten &amp; tarieven'!T$3:T$7),"")</f>
        <v/>
      </c>
      <c r="Z45" s="78" t="str" cm="1">
        <f t="array" ref="Z45">IFERROR(MMULT($E45:$I45,'Producten &amp; tarieven'!U$3:U$7),"")</f>
        <v/>
      </c>
      <c r="AA45" s="78" t="str" cm="1">
        <f t="array" ref="AA45">IFERROR(MMULT($E45:$I45,'Producten &amp; tarieven'!V$3:V$7),"")</f>
        <v/>
      </c>
      <c r="AB45" s="78" t="str" cm="1">
        <f t="array" ref="AB45">IFERROR(MMULT($E45:$I45,'Producten &amp; tarieven'!W$3:W$7),"")</f>
        <v/>
      </c>
      <c r="AC45" s="78" t="str" cm="1">
        <f t="array" ref="AC45">IFERROR(MMULT($E45:$I45,'Producten &amp; tarieven'!X$3:X$7),"")</f>
        <v/>
      </c>
      <c r="AD45" s="78" t="str" cm="1">
        <f t="array" ref="AD45">IFERROR(MMULT($E45:$I45,'Producten &amp; tarieven'!Y$3:Y$7),"")</f>
        <v/>
      </c>
      <c r="AE45" s="78" t="str" cm="1">
        <f t="array" ref="AE45">IFERROR(MMULT($E45:$I45,'Producten &amp; tarieven'!Z$3:Z$7),"")</f>
        <v/>
      </c>
      <c r="AF45" s="78" t="str" cm="1">
        <f t="array" ref="AF45">IFERROR(MMULT($E45:$I45,'Producten &amp; tarieven'!AA$3:AA$7),"")</f>
        <v/>
      </c>
      <c r="AG45" s="78" t="str" cm="1">
        <f t="array" ref="AG45">IFERROR(MMULT($E45:$I45,'Producten &amp; tarieven'!AB$3:AB$7),"")</f>
        <v/>
      </c>
      <c r="AH45" s="78" t="str" cm="1">
        <f t="array" ref="AH45">IFERROR(MMULT($E45:$I45,'Producten &amp; tarieven'!AC$3:AC$7),"")</f>
        <v/>
      </c>
      <c r="AI45" s="78" t="str" cm="1">
        <f t="array" ref="AI45">IFERROR(MMULT($E45:$I45,'Producten &amp; tarieven'!AD$3:AD$7),"")</f>
        <v/>
      </c>
      <c r="AJ45" s="78" t="str" cm="1">
        <f t="array" ref="AJ45">IFERROR(MMULT($E45:$I45,'Producten &amp; tarieven'!AE$3:AE$7),"")</f>
        <v/>
      </c>
      <c r="AK45" s="78" t="str" cm="1">
        <f t="array" ref="AK45">IFERROR(MMULT($E45:$I45,'Producten &amp; tarieven'!AF$3:AF$7),"")</f>
        <v/>
      </c>
      <c r="AL45" s="78" t="str" cm="1">
        <f t="array" ref="AL45">IFERROR(MMULT($E45:$I45,'Producten &amp; tarieven'!AG$3:AG$7),"")</f>
        <v/>
      </c>
      <c r="AM45" s="78" t="str" cm="1">
        <f t="array" ref="AM45">IFERROR(MMULT($E45:$I45,'Producten &amp; tarieven'!AH$3:AH$7),"")</f>
        <v/>
      </c>
      <c r="AN45" s="78" t="str" cm="1">
        <f t="array" ref="AN45">IFERROR(MMULT($E45:$I45,'Producten &amp; tarieven'!AI$3:AI$7),"")</f>
        <v/>
      </c>
      <c r="AO45" s="78" t="str" cm="1">
        <f t="array" ref="AO45">IFERROR(MMULT($E45:$I45,'Producten &amp; tarieven'!AJ$3:AJ$7),"")</f>
        <v/>
      </c>
      <c r="AP45" s="78" t="str" cm="1">
        <f t="array" ref="AP45">IFERROR(MMULT($E45:$I45,'Producten &amp; tarieven'!AK$3:AK$7),"")</f>
        <v/>
      </c>
      <c r="AQ45" s="78" t="str" cm="1">
        <f t="array" ref="AQ45">IFERROR(MMULT($E45:$I45,'Producten &amp; tarieven'!AL$3:AL$7),"")</f>
        <v/>
      </c>
      <c r="AR45" s="78" t="str" cm="1">
        <f t="array" ref="AR45">IFERROR(MMULT($E45:$I45,'Producten &amp; tarieven'!AM$3:AM$7),"")</f>
        <v/>
      </c>
      <c r="AS45" s="78" t="str" cm="1">
        <f t="array" ref="AS45">IFERROR(MMULT($E45:$I45,'Producten &amp; tarieven'!AN$3:AN$7),"")</f>
        <v/>
      </c>
      <c r="AT45" s="78" t="str" cm="1">
        <f t="array" ref="AT45">IFERROR(MMULT($E45:$I45,'Producten &amp; tarieven'!AO$3:AO$7),"")</f>
        <v/>
      </c>
      <c r="AU45" s="78" t="str" cm="1">
        <f t="array" ref="AU45">IFERROR(MMULT($E45:$I45,'Producten &amp; tarieven'!AP$3:AP$7),"")</f>
        <v/>
      </c>
      <c r="AV45" s="78" t="str" cm="1">
        <f t="array" ref="AV45">IFERROR(MMULT($E45:$I45,'Producten &amp; tarieven'!AQ$3:AQ$7),"")</f>
        <v/>
      </c>
      <c r="AW45" s="78" t="str" cm="1">
        <f t="array" ref="AW45">IFERROR(MMULT($E45:$I45,'Producten &amp; tarieven'!AR$3:AR$7),"")</f>
        <v/>
      </c>
      <c r="AX45" s="78" t="str" cm="1">
        <f t="array" ref="AX45">IFERROR(MMULT($E45:$I45,'Producten &amp; tarieven'!AS$3:AS$7),"")</f>
        <v/>
      </c>
      <c r="AY45" s="78" t="str" cm="1">
        <f t="array" ref="AY45">IFERROR(MMULT($E45:$I45,'Producten &amp; tarieven'!AT$3:AT$7),"")</f>
        <v/>
      </c>
      <c r="AZ45" s="78" t="str" cm="1">
        <f t="array" ref="AZ45">IFERROR(MMULT($E45:$I45,'Producten &amp; tarieven'!AU$3:AU$7),"")</f>
        <v/>
      </c>
      <c r="BA45" s="78" t="str" cm="1">
        <f t="array" ref="BA45">IFERROR(MMULT($E45:$I45,'Producten &amp; tarieven'!AV$3:AV$7),"")</f>
        <v/>
      </c>
      <c r="BB45" s="78" t="str" cm="1">
        <f t="array" ref="BB45">IFERROR(MMULT($E45:$I45,'Producten &amp; tarieven'!AW$3:AW$7),"")</f>
        <v/>
      </c>
      <c r="BC45" s="78" t="str" cm="1">
        <f t="array" ref="BC45">IFERROR(MMULT($E45:$I45,'Producten &amp; tarieven'!AX$3:AX$7),"")</f>
        <v/>
      </c>
      <c r="BD45" s="78" t="str" cm="1">
        <f t="array" ref="BD45">IFERROR(MMULT($E45:$I45,'Producten &amp; tarieven'!AY$3:AY$7),"")</f>
        <v/>
      </c>
      <c r="BE45" s="78" t="str" cm="1">
        <f t="array" ref="BE45">IFERROR(MMULT($E45:$I45,'Producten &amp; tarieven'!AZ$3:AZ$7),"")</f>
        <v/>
      </c>
      <c r="BF45" s="78" t="str" cm="1">
        <f t="array" ref="BF45">IFERROR(MMULT($E45:$I45,'Producten &amp; tarieven'!BA$3:BA$7),"")</f>
        <v/>
      </c>
      <c r="BG45" s="78" t="str" cm="1">
        <f t="array" ref="BG45">IFERROR(MMULT($E45:$I45,'Producten &amp; tarieven'!BB$3:BB$7),"")</f>
        <v/>
      </c>
      <c r="BH45" s="78" t="str" cm="1">
        <f t="array" ref="BH45">IFERROR(MMULT($E45:$I45,'Producten &amp; tarieven'!BC$3:BC$7),"")</f>
        <v/>
      </c>
      <c r="BI45" s="78" t="str" cm="1">
        <f t="array" ref="BI45">IFERROR(MMULT($E45:$I45,'Producten &amp; tarieven'!BD$3:BD$7),"")</f>
        <v/>
      </c>
      <c r="BJ45" s="78" t="str" cm="1">
        <f t="array" ref="BJ45">IFERROR(MMULT($E45:$I45,'Producten &amp; tarieven'!BE$3:BE$7),"")</f>
        <v/>
      </c>
      <c r="BK45" s="78" t="str" cm="1">
        <f t="array" ref="BK45">IFERROR(MMULT($E45:$I45,'Producten &amp; tarieven'!BF$3:BF$7),"")</f>
        <v/>
      </c>
      <c r="BL45" s="78" t="str" cm="1">
        <f t="array" ref="BL45">IFERROR(MMULT($E45:$I45,'Producten &amp; tarieven'!BG$3:BG$7),"")</f>
        <v/>
      </c>
      <c r="BM45" s="78" t="str" cm="1">
        <f t="array" ref="BM45">IFERROR(MMULT($E45:$I45,'Producten &amp; tarieven'!BH$3:BH$7),"")</f>
        <v/>
      </c>
      <c r="BN45" s="78" t="str" cm="1">
        <f t="array" ref="BN45">IFERROR(MMULT($E45:$I45,'Producten &amp; tarieven'!BI$3:BI$7),"")</f>
        <v/>
      </c>
      <c r="BO45" s="78" t="str" cm="1">
        <f t="array" ref="BO45">IFERROR(MMULT($E45:$I45,'Producten &amp; tarieven'!BJ$3:BJ$7),"")</f>
        <v/>
      </c>
      <c r="BP45" s="78" t="str" cm="1">
        <f t="array" ref="BP45">IFERROR(MMULT($E45:$I45,'Producten &amp; tarieven'!BK$3:BK$7),"")</f>
        <v/>
      </c>
      <c r="BQ45" s="78" t="str" cm="1">
        <f t="array" ref="BQ45">IFERROR(MMULT($E45:$I45,'Producten &amp; tarieven'!BL$3:BL$7),"")</f>
        <v/>
      </c>
      <c r="BR45" s="78" t="str" cm="1">
        <f t="array" ref="BR45">IFERROR(MMULT($E45:$I45,'Producten &amp; tarieven'!BM$3:BM$7),"")</f>
        <v/>
      </c>
      <c r="BS45" s="78" t="str" cm="1">
        <f t="array" ref="BS45">IFERROR(MMULT($E45:$I45,'Producten &amp; tarieven'!BN$3:BN$7),"")</f>
        <v/>
      </c>
      <c r="BT45" s="78" t="str" cm="1">
        <f t="array" ref="BT45">IFERROR(MMULT($E45:$I45,'Producten &amp; tarieven'!BO$3:BO$7),"")</f>
        <v/>
      </c>
      <c r="BU45" s="78" t="str" cm="1">
        <f t="array" ref="BU45">IFERROR(MMULT($E45:$I45,'Producten &amp; tarieven'!BP$3:BP$7),"")</f>
        <v/>
      </c>
      <c r="BV45" s="78" t="str" cm="1">
        <f t="array" ref="BV45">IFERROR(MMULT($E45:$I45,'Producten &amp; tarieven'!BQ$3:BQ$7),"")</f>
        <v/>
      </c>
      <c r="BW45" s="78" t="str" cm="1">
        <f t="array" ref="BW45">IFERROR(MMULT($E45:$I45,'Producten &amp; tarieven'!BR$3:BR$7),"")</f>
        <v/>
      </c>
      <c r="BX45" s="78" t="str" cm="1">
        <f t="array" ref="BX45">IFERROR(MMULT($E45:$I45,'Producten &amp; tarieven'!BS$3:BS$7),"")</f>
        <v/>
      </c>
      <c r="BY45" s="78" t="str" cm="1">
        <f t="array" ref="BY45">IFERROR(MMULT($E45:$I45,'Producten &amp; tarieven'!BT$3:BT$7),"")</f>
        <v/>
      </c>
      <c r="BZ45" s="78" t="str" cm="1">
        <f t="array" ref="BZ45">IFERROR(MMULT($E45:$I45,'Producten &amp; tarieven'!BU$3:BU$7),"")</f>
        <v/>
      </c>
      <c r="CA45" s="78" t="str" cm="1">
        <f t="array" ref="CA45">IFERROR(MMULT($E45:$I45,'Producten &amp; tarieven'!BV$3:BV$7),"")</f>
        <v/>
      </c>
      <c r="CB45" s="78" t="str" cm="1">
        <f t="array" ref="CB45">IFERROR(MMULT($E45:$I45,'Producten &amp; tarieven'!BW$3:BW$7),"")</f>
        <v/>
      </c>
      <c r="CC45" s="78" t="str" cm="1">
        <f t="array" ref="CC45">IFERROR(MMULT($E45:$I45,'Producten &amp; tarieven'!BX$3:BX$7),"")</f>
        <v/>
      </c>
      <c r="CD45" s="78" t="str" cm="1">
        <f t="array" ref="CD45">IFERROR(MMULT($E45:$I45,'Producten &amp; tarieven'!BY$3:BY$7),"")</f>
        <v/>
      </c>
      <c r="CE45" s="78" t="str" cm="1">
        <f t="array" ref="CE45">IFERROR(MMULT($E45:$I45,'Producten &amp; tarieven'!BZ$3:BZ$7),"")</f>
        <v/>
      </c>
      <c r="CF45" s="78" t="str" cm="1">
        <f t="array" ref="CF45">IFERROR(MMULT($E45:$I45,'Producten &amp; tarieven'!CA$3:CA$7),"")</f>
        <v/>
      </c>
      <c r="CG45" s="78" t="str" cm="1">
        <f t="array" ref="CG45">IFERROR(MMULT($E45:$I45,'Producten &amp; tarieven'!CB$3:CB$7),"")</f>
        <v/>
      </c>
      <c r="CH45" s="78" t="str" cm="1">
        <f t="array" ref="CH45">IFERROR(MMULT($E45:$I45,'Producten &amp; tarieven'!CC$3:CC$7),"")</f>
        <v/>
      </c>
      <c r="CI45" s="78" t="str" cm="1">
        <f t="array" ref="CI45">IFERROR(MMULT($E45:$I45,'Producten &amp; tarieven'!CD$3:CD$7),"")</f>
        <v/>
      </c>
      <c r="CJ45" s="78" t="str" cm="1">
        <f t="array" ref="CJ45">IFERROR(MMULT($E45:$I45,'Producten &amp; tarieven'!CE$3:CE$7),"")</f>
        <v/>
      </c>
      <c r="CK45" s="78" t="str" cm="1">
        <f t="array" ref="CK45">IFERROR(MMULT($E45:$I45,'Producten &amp; tarieven'!CF$3:CF$7),"")</f>
        <v/>
      </c>
      <c r="CL45" s="78" t="str" cm="1">
        <f t="array" ref="CL45">IFERROR(MMULT($E45:$I45,'Producten &amp; tarieven'!CG$3:CG$7),"")</f>
        <v/>
      </c>
      <c r="CM45" s="78" t="str" cm="1">
        <f t="array" ref="CM45">IFERROR(MMULT($E45:$I45,'Producten &amp; tarieven'!CH$3:CH$7),"")</f>
        <v/>
      </c>
      <c r="CN45" s="78" t="str" cm="1">
        <f t="array" ref="CN45">IFERROR(MMULT($E45:$I45,'Producten &amp; tarieven'!CI$3:CI$7),"")</f>
        <v/>
      </c>
      <c r="CO45" s="78" t="str" cm="1">
        <f t="array" ref="CO45">IFERROR(MMULT($E45:$I45,'Producten &amp; tarieven'!CJ$3:CJ$7),"")</f>
        <v/>
      </c>
      <c r="CP45" s="78" t="str" cm="1">
        <f t="array" ref="CP45">IFERROR(MMULT($E45:$I45,'Producten &amp; tarieven'!CK$3:CK$7),"")</f>
        <v/>
      </c>
      <c r="CQ45" s="78" t="str" cm="1">
        <f t="array" ref="CQ45">IFERROR(MMULT($E45:$I45,'Producten &amp; tarieven'!CL$3:CL$7),"")</f>
        <v/>
      </c>
      <c r="CR45" s="78" t="str" cm="1">
        <f t="array" ref="CR45">IFERROR(MMULT($E45:$I45,'Producten &amp; tarieven'!CM$3:CM$7),"")</f>
        <v/>
      </c>
      <c r="CS45" s="78" t="str" cm="1">
        <f t="array" ref="CS45">IFERROR(MMULT($E45:$I45,'Producten &amp; tarieven'!CN$3:CN$7),"")</f>
        <v/>
      </c>
      <c r="CT45" s="78" t="str" cm="1">
        <f t="array" ref="CT45">IFERROR(MMULT($E45:$I45,'Producten &amp; tarieven'!CO$3:CO$7),"")</f>
        <v/>
      </c>
      <c r="CU45" s="78" t="str" cm="1">
        <f t="array" ref="CU45">IFERROR(MMULT($E45:$I45,'Producten &amp; tarieven'!CP$3:CP$7),"")</f>
        <v/>
      </c>
      <c r="CV45" s="78" t="str" cm="1">
        <f t="array" ref="CV45">IFERROR(MMULT($E45:$I45,'Producten &amp; tarieven'!CQ$3:CQ$7),"")</f>
        <v/>
      </c>
      <c r="CW45" s="78" t="str" cm="1">
        <f t="array" ref="CW45">IFERROR(MMULT($E45:$I45,'Producten &amp; tarieven'!CR$3:CR$7),"")</f>
        <v/>
      </c>
      <c r="CX45" s="78" t="str" cm="1">
        <f t="array" ref="CX45">IFERROR(MMULT($E45:$I45,'Producten &amp; tarieven'!CS$3:CS$7),"")</f>
        <v/>
      </c>
      <c r="CY45" s="78" t="str" cm="1">
        <f t="array" ref="CY45">IFERROR(MMULT($E45:$I45,'Producten &amp; tarieven'!CT$3:CT$7),"")</f>
        <v/>
      </c>
      <c r="CZ45" s="78" t="str" cm="1">
        <f t="array" ref="CZ45">IFERROR(MMULT($E45:$I45,'Producten &amp; tarieven'!CU$3:CU$7),"")</f>
        <v/>
      </c>
      <c r="DA45" s="78" t="str" cm="1">
        <f t="array" ref="DA45">IFERROR(MMULT($E45:$I45,'Producten &amp; tarieven'!CV$3:CV$7),"")</f>
        <v/>
      </c>
      <c r="DB45" s="78" t="str" cm="1">
        <f t="array" ref="DB45">IFERROR(MMULT($E45:$I45,'Producten &amp; tarieven'!CW$3:CW$7),"")</f>
        <v/>
      </c>
      <c r="DC45" s="78" t="str" cm="1">
        <f t="array" ref="DC45">IFERROR(MMULT($E45:$I45,'Producten &amp; tarieven'!CX$3:CX$7),"")</f>
        <v/>
      </c>
      <c r="DD45" s="78" t="str" cm="1">
        <f t="array" ref="DD45">IFERROR(MMULT($E45:$I45,'Producten &amp; tarieven'!CY$3:CY$7),"")</f>
        <v/>
      </c>
      <c r="DE45" s="440" t="str" cm="1">
        <f t="array" ref="DE45">IFERROR(MMULT($E45:$I45,'Producten &amp; tarieven'!CZ$3:CZ$7),"")</f>
        <v/>
      </c>
      <c r="DF45" s="448"/>
    </row>
    <row r="46" spans="1:110" ht="17.399999999999999">
      <c r="A46" s="447"/>
      <c r="B46" s="251" t="s">
        <v>98</v>
      </c>
      <c r="C46" s="154" t="s">
        <v>96</v>
      </c>
      <c r="D46" s="245" t="s">
        <v>42</v>
      </c>
      <c r="E46" s="420">
        <f>D26</f>
        <v>7979.1462000000001</v>
      </c>
      <c r="F46" s="423">
        <f>G26</f>
        <v>8272.9338000000007</v>
      </c>
      <c r="G46" s="424">
        <f>J26</f>
        <v>7313.4360000000006</v>
      </c>
      <c r="H46" s="937">
        <f>(AVERAGE(E46:G46,I46))</f>
        <v>7622.4117078915006</v>
      </c>
      <c r="I46" s="431">
        <f>P24</f>
        <v>6924.1308315660008</v>
      </c>
      <c r="J46" s="78" cm="1">
        <f t="array" ref="J46">IFERROR(MMULT($E46:$I46,'Producten &amp; tarieven'!F$3:F$7),"")</f>
        <v>7313.4360000000006</v>
      </c>
      <c r="K46" s="78" t="str" cm="1">
        <f t="array" ref="K46">IFERROR(MMULT($E46:$I46,'Producten &amp; tarieven'!G$3:G$7),"")</f>
        <v/>
      </c>
      <c r="L46" s="78" t="str" cm="1">
        <f t="array" ref="L46">IFERROR(MMULT($E46:$I46,'Producten &amp; tarieven'!#REF!),"")</f>
        <v/>
      </c>
      <c r="M46" s="78" t="str" cm="1">
        <f t="array" ref="M46">IFERROR(MMULT($E46:$I46,'Producten &amp; tarieven'!H$3:H$7),"")</f>
        <v/>
      </c>
      <c r="N46" s="78" t="str" cm="1">
        <f t="array" ref="N46">IFERROR(MMULT($E46:$I46,'Producten &amp; tarieven'!I$3:I$7),"")</f>
        <v/>
      </c>
      <c r="O46" s="78" t="str" cm="1">
        <f t="array" ref="O46">IFERROR(MMULT($E46:$I46,'Producten &amp; tarieven'!J$3:J$7),"")</f>
        <v/>
      </c>
      <c r="P46" s="78" t="str" cm="1">
        <f t="array" ref="P46">IFERROR(MMULT($E46:$I46,'Producten &amp; tarieven'!K$3:K$7),"")</f>
        <v/>
      </c>
      <c r="Q46" s="78" t="str" cm="1">
        <f t="array" ref="Q46">IFERROR(MMULT($E46:$I46,'Producten &amp; tarieven'!L$3:L$7),"")</f>
        <v/>
      </c>
      <c r="R46" s="78" t="str" cm="1">
        <f t="array" ref="R46">IFERROR(MMULT($E46:$I46,'Producten &amp; tarieven'!M$3:M$7),"")</f>
        <v/>
      </c>
      <c r="S46" s="78" t="str" cm="1">
        <f t="array" ref="S46">IFERROR(MMULT($E46:$I46,'Producten &amp; tarieven'!N$3:N$7),"")</f>
        <v/>
      </c>
      <c r="T46" s="78" t="str" cm="1">
        <f t="array" ref="T46">IFERROR(MMULT($E46:$I46,'Producten &amp; tarieven'!O$3:O$7),"")</f>
        <v/>
      </c>
      <c r="U46" s="78" t="str" cm="1">
        <f t="array" ref="U46">IFERROR(MMULT($E46:$I46,'Producten &amp; tarieven'!P$3:P$7),"")</f>
        <v/>
      </c>
      <c r="V46" s="78" t="str" cm="1">
        <f t="array" ref="V46">IFERROR(MMULT($E46:$I46,'Producten &amp; tarieven'!Q$3:Q$7),"")</f>
        <v/>
      </c>
      <c r="W46" s="78" t="str" cm="1">
        <f t="array" ref="W46">IFERROR(MMULT($E46:$I46,'Producten &amp; tarieven'!R$3:R$7),"")</f>
        <v/>
      </c>
      <c r="X46" s="78" t="str" cm="1">
        <f t="array" ref="X46">IFERROR(MMULT($E46:$I46,'Producten &amp; tarieven'!S$3:S$7),"")</f>
        <v/>
      </c>
      <c r="Y46" s="78" t="str" cm="1">
        <f t="array" ref="Y46">IFERROR(MMULT($E46:$I46,'Producten &amp; tarieven'!T$3:T$7),"")</f>
        <v/>
      </c>
      <c r="Z46" s="78" t="str" cm="1">
        <f t="array" ref="Z46">IFERROR(MMULT($E46:$I46,'Producten &amp; tarieven'!U$3:U$7),"")</f>
        <v/>
      </c>
      <c r="AA46" s="78" t="str" cm="1">
        <f t="array" ref="AA46">IFERROR(MMULT($E46:$I46,'Producten &amp; tarieven'!V$3:V$7),"")</f>
        <v/>
      </c>
      <c r="AB46" s="78" t="str" cm="1">
        <f t="array" ref="AB46">IFERROR(MMULT($E46:$I46,'Producten &amp; tarieven'!W$3:W$7),"")</f>
        <v/>
      </c>
      <c r="AC46" s="78" t="str" cm="1">
        <f t="array" ref="AC46">IFERROR(MMULT($E46:$I46,'Producten &amp; tarieven'!X$3:X$7),"")</f>
        <v/>
      </c>
      <c r="AD46" s="78" t="str" cm="1">
        <f t="array" ref="AD46">IFERROR(MMULT($E46:$I46,'Producten &amp; tarieven'!Y$3:Y$7),"")</f>
        <v/>
      </c>
      <c r="AE46" s="78" t="str" cm="1">
        <f t="array" ref="AE46">IFERROR(MMULT($E46:$I46,'Producten &amp; tarieven'!Z$3:Z$7),"")</f>
        <v/>
      </c>
      <c r="AF46" s="78" t="str" cm="1">
        <f t="array" ref="AF46">IFERROR(MMULT($E46:$I46,'Producten &amp; tarieven'!AA$3:AA$7),"")</f>
        <v/>
      </c>
      <c r="AG46" s="78" t="str" cm="1">
        <f t="array" ref="AG46">IFERROR(MMULT($E46:$I46,'Producten &amp; tarieven'!AB$3:AB$7),"")</f>
        <v/>
      </c>
      <c r="AH46" s="78" t="str" cm="1">
        <f t="array" ref="AH46">IFERROR(MMULT($E46:$I46,'Producten &amp; tarieven'!AC$3:AC$7),"")</f>
        <v/>
      </c>
      <c r="AI46" s="78" t="str" cm="1">
        <f t="array" ref="AI46">IFERROR(MMULT($E46:$I46,'Producten &amp; tarieven'!AD$3:AD$7),"")</f>
        <v/>
      </c>
      <c r="AJ46" s="78" t="str" cm="1">
        <f t="array" ref="AJ46">IFERROR(MMULT($E46:$I46,'Producten &amp; tarieven'!AE$3:AE$7),"")</f>
        <v/>
      </c>
      <c r="AK46" s="78" t="str" cm="1">
        <f t="array" ref="AK46">IFERROR(MMULT($E46:$I46,'Producten &amp; tarieven'!AF$3:AF$7),"")</f>
        <v/>
      </c>
      <c r="AL46" s="78" t="str" cm="1">
        <f t="array" ref="AL46">IFERROR(MMULT($E46:$I46,'Producten &amp; tarieven'!AG$3:AG$7),"")</f>
        <v/>
      </c>
      <c r="AM46" s="78" t="str" cm="1">
        <f t="array" ref="AM46">IFERROR(MMULT($E46:$I46,'Producten &amp; tarieven'!AH$3:AH$7),"")</f>
        <v/>
      </c>
      <c r="AN46" s="78" t="str" cm="1">
        <f t="array" ref="AN46">IFERROR(MMULT($E46:$I46,'Producten &amp; tarieven'!AI$3:AI$7),"")</f>
        <v/>
      </c>
      <c r="AO46" s="78" t="str" cm="1">
        <f t="array" ref="AO46">IFERROR(MMULT($E46:$I46,'Producten &amp; tarieven'!AJ$3:AJ$7),"")</f>
        <v/>
      </c>
      <c r="AP46" s="78" t="str" cm="1">
        <f t="array" ref="AP46">IFERROR(MMULT($E46:$I46,'Producten &amp; tarieven'!AK$3:AK$7),"")</f>
        <v/>
      </c>
      <c r="AQ46" s="78" t="str" cm="1">
        <f t="array" ref="AQ46">IFERROR(MMULT($E46:$I46,'Producten &amp; tarieven'!AL$3:AL$7),"")</f>
        <v/>
      </c>
      <c r="AR46" s="78" t="str" cm="1">
        <f t="array" ref="AR46">IFERROR(MMULT($E46:$I46,'Producten &amp; tarieven'!AM$3:AM$7),"")</f>
        <v/>
      </c>
      <c r="AS46" s="78" t="str" cm="1">
        <f t="array" ref="AS46">IFERROR(MMULT($E46:$I46,'Producten &amp; tarieven'!AN$3:AN$7),"")</f>
        <v/>
      </c>
      <c r="AT46" s="78" t="str" cm="1">
        <f t="array" ref="AT46">IFERROR(MMULT($E46:$I46,'Producten &amp; tarieven'!AO$3:AO$7),"")</f>
        <v/>
      </c>
      <c r="AU46" s="78" t="str" cm="1">
        <f t="array" ref="AU46">IFERROR(MMULT($E46:$I46,'Producten &amp; tarieven'!AP$3:AP$7),"")</f>
        <v/>
      </c>
      <c r="AV46" s="78" t="str" cm="1">
        <f t="array" ref="AV46">IFERROR(MMULT($E46:$I46,'Producten &amp; tarieven'!AQ$3:AQ$7),"")</f>
        <v/>
      </c>
      <c r="AW46" s="78" t="str" cm="1">
        <f t="array" ref="AW46">IFERROR(MMULT($E46:$I46,'Producten &amp; tarieven'!AR$3:AR$7),"")</f>
        <v/>
      </c>
      <c r="AX46" s="78" t="str" cm="1">
        <f t="array" ref="AX46">IFERROR(MMULT($E46:$I46,'Producten &amp; tarieven'!AS$3:AS$7),"")</f>
        <v/>
      </c>
      <c r="AY46" s="78" t="str" cm="1">
        <f t="array" ref="AY46">IFERROR(MMULT($E46:$I46,'Producten &amp; tarieven'!AT$3:AT$7),"")</f>
        <v/>
      </c>
      <c r="AZ46" s="78" t="str" cm="1">
        <f t="array" ref="AZ46">IFERROR(MMULT($E46:$I46,'Producten &amp; tarieven'!AU$3:AU$7),"")</f>
        <v/>
      </c>
      <c r="BA46" s="78" t="str" cm="1">
        <f t="array" ref="BA46">IFERROR(MMULT($E46:$I46,'Producten &amp; tarieven'!AV$3:AV$7),"")</f>
        <v/>
      </c>
      <c r="BB46" s="78" t="str" cm="1">
        <f t="array" ref="BB46">IFERROR(MMULT($E46:$I46,'Producten &amp; tarieven'!AW$3:AW$7),"")</f>
        <v/>
      </c>
      <c r="BC46" s="78" t="str" cm="1">
        <f t="array" ref="BC46">IFERROR(MMULT($E46:$I46,'Producten &amp; tarieven'!AX$3:AX$7),"")</f>
        <v/>
      </c>
      <c r="BD46" s="78" t="str" cm="1">
        <f t="array" ref="BD46">IFERROR(MMULT($E46:$I46,'Producten &amp; tarieven'!AY$3:AY$7),"")</f>
        <v/>
      </c>
      <c r="BE46" s="78" t="str" cm="1">
        <f t="array" ref="BE46">IFERROR(MMULT($E46:$I46,'Producten &amp; tarieven'!AZ$3:AZ$7),"")</f>
        <v/>
      </c>
      <c r="BF46" s="78" t="str" cm="1">
        <f t="array" ref="BF46">IFERROR(MMULT($E46:$I46,'Producten &amp; tarieven'!BA$3:BA$7),"")</f>
        <v/>
      </c>
      <c r="BG46" s="78" t="str" cm="1">
        <f t="array" ref="BG46">IFERROR(MMULT($E46:$I46,'Producten &amp; tarieven'!BB$3:BB$7),"")</f>
        <v/>
      </c>
      <c r="BH46" s="78" t="str" cm="1">
        <f t="array" ref="BH46">IFERROR(MMULT($E46:$I46,'Producten &amp; tarieven'!BC$3:BC$7),"")</f>
        <v/>
      </c>
      <c r="BI46" s="78" t="str" cm="1">
        <f t="array" ref="BI46">IFERROR(MMULT($E46:$I46,'Producten &amp; tarieven'!BD$3:BD$7),"")</f>
        <v/>
      </c>
      <c r="BJ46" s="78" t="str" cm="1">
        <f t="array" ref="BJ46">IFERROR(MMULT($E46:$I46,'Producten &amp; tarieven'!BE$3:BE$7),"")</f>
        <v/>
      </c>
      <c r="BK46" s="78" t="str" cm="1">
        <f t="array" ref="BK46">IFERROR(MMULT($E46:$I46,'Producten &amp; tarieven'!BF$3:BF$7),"")</f>
        <v/>
      </c>
      <c r="BL46" s="78" t="str" cm="1">
        <f t="array" ref="BL46">IFERROR(MMULT($E46:$I46,'Producten &amp; tarieven'!BG$3:BG$7),"")</f>
        <v/>
      </c>
      <c r="BM46" s="78" t="str" cm="1">
        <f t="array" ref="BM46">IFERROR(MMULT($E46:$I46,'Producten &amp; tarieven'!BH$3:BH$7),"")</f>
        <v/>
      </c>
      <c r="BN46" s="78" t="str" cm="1">
        <f t="array" ref="BN46">IFERROR(MMULT($E46:$I46,'Producten &amp; tarieven'!BI$3:BI$7),"")</f>
        <v/>
      </c>
      <c r="BO46" s="78" t="str" cm="1">
        <f t="array" ref="BO46">IFERROR(MMULT($E46:$I46,'Producten &amp; tarieven'!BJ$3:BJ$7),"")</f>
        <v/>
      </c>
      <c r="BP46" s="78" t="str" cm="1">
        <f t="array" ref="BP46">IFERROR(MMULT($E46:$I46,'Producten &amp; tarieven'!BK$3:BK$7),"")</f>
        <v/>
      </c>
      <c r="BQ46" s="78" t="str" cm="1">
        <f t="array" ref="BQ46">IFERROR(MMULT($E46:$I46,'Producten &amp; tarieven'!BL$3:BL$7),"")</f>
        <v/>
      </c>
      <c r="BR46" s="78" t="str" cm="1">
        <f t="array" ref="BR46">IFERROR(MMULT($E46:$I46,'Producten &amp; tarieven'!BM$3:BM$7),"")</f>
        <v/>
      </c>
      <c r="BS46" s="78" t="str" cm="1">
        <f t="array" ref="BS46">IFERROR(MMULT($E46:$I46,'Producten &amp; tarieven'!BN$3:BN$7),"")</f>
        <v/>
      </c>
      <c r="BT46" s="78" t="str" cm="1">
        <f t="array" ref="BT46">IFERROR(MMULT($E46:$I46,'Producten &amp; tarieven'!BO$3:BO$7),"")</f>
        <v/>
      </c>
      <c r="BU46" s="78" t="str" cm="1">
        <f t="array" ref="BU46">IFERROR(MMULT($E46:$I46,'Producten &amp; tarieven'!BP$3:BP$7),"")</f>
        <v/>
      </c>
      <c r="BV46" s="78" t="str" cm="1">
        <f t="array" ref="BV46">IFERROR(MMULT($E46:$I46,'Producten &amp; tarieven'!BQ$3:BQ$7),"")</f>
        <v/>
      </c>
      <c r="BW46" s="78" t="str" cm="1">
        <f t="array" ref="BW46">IFERROR(MMULT($E46:$I46,'Producten &amp; tarieven'!BR$3:BR$7),"")</f>
        <v/>
      </c>
      <c r="BX46" s="78" t="str" cm="1">
        <f t="array" ref="BX46">IFERROR(MMULT($E46:$I46,'Producten &amp; tarieven'!BS$3:BS$7),"")</f>
        <v/>
      </c>
      <c r="BY46" s="78" t="str" cm="1">
        <f t="array" ref="BY46">IFERROR(MMULT($E46:$I46,'Producten &amp; tarieven'!BT$3:BT$7),"")</f>
        <v/>
      </c>
      <c r="BZ46" s="78" t="str" cm="1">
        <f t="array" ref="BZ46">IFERROR(MMULT($E46:$I46,'Producten &amp; tarieven'!BU$3:BU$7),"")</f>
        <v/>
      </c>
      <c r="CA46" s="78" t="str" cm="1">
        <f t="array" ref="CA46">IFERROR(MMULT($E46:$I46,'Producten &amp; tarieven'!BV$3:BV$7),"")</f>
        <v/>
      </c>
      <c r="CB46" s="78" t="str" cm="1">
        <f t="array" ref="CB46">IFERROR(MMULT($E46:$I46,'Producten &amp; tarieven'!BW$3:BW$7),"")</f>
        <v/>
      </c>
      <c r="CC46" s="78" t="str" cm="1">
        <f t="array" ref="CC46">IFERROR(MMULT($E46:$I46,'Producten &amp; tarieven'!BX$3:BX$7),"")</f>
        <v/>
      </c>
      <c r="CD46" s="78" t="str" cm="1">
        <f t="array" ref="CD46">IFERROR(MMULT($E46:$I46,'Producten &amp; tarieven'!BY$3:BY$7),"")</f>
        <v/>
      </c>
      <c r="CE46" s="78" t="str" cm="1">
        <f t="array" ref="CE46">IFERROR(MMULT($E46:$I46,'Producten &amp; tarieven'!BZ$3:BZ$7),"")</f>
        <v/>
      </c>
      <c r="CF46" s="78" t="str" cm="1">
        <f t="array" ref="CF46">IFERROR(MMULT($E46:$I46,'Producten &amp; tarieven'!CA$3:CA$7),"")</f>
        <v/>
      </c>
      <c r="CG46" s="78" t="str" cm="1">
        <f t="array" ref="CG46">IFERROR(MMULT($E46:$I46,'Producten &amp; tarieven'!CB$3:CB$7),"")</f>
        <v/>
      </c>
      <c r="CH46" s="78" t="str" cm="1">
        <f t="array" ref="CH46">IFERROR(MMULT($E46:$I46,'Producten &amp; tarieven'!CC$3:CC$7),"")</f>
        <v/>
      </c>
      <c r="CI46" s="78" t="str" cm="1">
        <f t="array" ref="CI46">IFERROR(MMULT($E46:$I46,'Producten &amp; tarieven'!CD$3:CD$7),"")</f>
        <v/>
      </c>
      <c r="CJ46" s="78" t="str" cm="1">
        <f t="array" ref="CJ46">IFERROR(MMULT($E46:$I46,'Producten &amp; tarieven'!CE$3:CE$7),"")</f>
        <v/>
      </c>
      <c r="CK46" s="78" t="str" cm="1">
        <f t="array" ref="CK46">IFERROR(MMULT($E46:$I46,'Producten &amp; tarieven'!CF$3:CF$7),"")</f>
        <v/>
      </c>
      <c r="CL46" s="78" t="str" cm="1">
        <f t="array" ref="CL46">IFERROR(MMULT($E46:$I46,'Producten &amp; tarieven'!CG$3:CG$7),"")</f>
        <v/>
      </c>
      <c r="CM46" s="78" t="str" cm="1">
        <f t="array" ref="CM46">IFERROR(MMULT($E46:$I46,'Producten &amp; tarieven'!CH$3:CH$7),"")</f>
        <v/>
      </c>
      <c r="CN46" s="78" t="str" cm="1">
        <f t="array" ref="CN46">IFERROR(MMULT($E46:$I46,'Producten &amp; tarieven'!CI$3:CI$7),"")</f>
        <v/>
      </c>
      <c r="CO46" s="78" t="str" cm="1">
        <f t="array" ref="CO46">IFERROR(MMULT($E46:$I46,'Producten &amp; tarieven'!CJ$3:CJ$7),"")</f>
        <v/>
      </c>
      <c r="CP46" s="78" t="str" cm="1">
        <f t="array" ref="CP46">IFERROR(MMULT($E46:$I46,'Producten &amp; tarieven'!CK$3:CK$7),"")</f>
        <v/>
      </c>
      <c r="CQ46" s="78" t="str" cm="1">
        <f t="array" ref="CQ46">IFERROR(MMULT($E46:$I46,'Producten &amp; tarieven'!CL$3:CL$7),"")</f>
        <v/>
      </c>
      <c r="CR46" s="78" t="str" cm="1">
        <f t="array" ref="CR46">IFERROR(MMULT($E46:$I46,'Producten &amp; tarieven'!CM$3:CM$7),"")</f>
        <v/>
      </c>
      <c r="CS46" s="78" t="str" cm="1">
        <f t="array" ref="CS46">IFERROR(MMULT($E46:$I46,'Producten &amp; tarieven'!CN$3:CN$7),"")</f>
        <v/>
      </c>
      <c r="CT46" s="78" t="str" cm="1">
        <f t="array" ref="CT46">IFERROR(MMULT($E46:$I46,'Producten &amp; tarieven'!CO$3:CO$7),"")</f>
        <v/>
      </c>
      <c r="CU46" s="78" t="str" cm="1">
        <f t="array" ref="CU46">IFERROR(MMULT($E46:$I46,'Producten &amp; tarieven'!CP$3:CP$7),"")</f>
        <v/>
      </c>
      <c r="CV46" s="78" t="str" cm="1">
        <f t="array" ref="CV46">IFERROR(MMULT($E46:$I46,'Producten &amp; tarieven'!CQ$3:CQ$7),"")</f>
        <v/>
      </c>
      <c r="CW46" s="78" t="str" cm="1">
        <f t="array" ref="CW46">IFERROR(MMULT($E46:$I46,'Producten &amp; tarieven'!CR$3:CR$7),"")</f>
        <v/>
      </c>
      <c r="CX46" s="78" t="str" cm="1">
        <f t="array" ref="CX46">IFERROR(MMULT($E46:$I46,'Producten &amp; tarieven'!CS$3:CS$7),"")</f>
        <v/>
      </c>
      <c r="CY46" s="78" t="str" cm="1">
        <f t="array" ref="CY46">IFERROR(MMULT($E46:$I46,'Producten &amp; tarieven'!CT$3:CT$7),"")</f>
        <v/>
      </c>
      <c r="CZ46" s="78" t="str" cm="1">
        <f t="array" ref="CZ46">IFERROR(MMULT($E46:$I46,'Producten &amp; tarieven'!CU$3:CU$7),"")</f>
        <v/>
      </c>
      <c r="DA46" s="78" t="str" cm="1">
        <f t="array" ref="DA46">IFERROR(MMULT($E46:$I46,'Producten &amp; tarieven'!CV$3:CV$7),"")</f>
        <v/>
      </c>
      <c r="DB46" s="78" t="str" cm="1">
        <f t="array" ref="DB46">IFERROR(MMULT($E46:$I46,'Producten &amp; tarieven'!CW$3:CW$7),"")</f>
        <v/>
      </c>
      <c r="DC46" s="78" t="str" cm="1">
        <f t="array" ref="DC46">IFERROR(MMULT($E46:$I46,'Producten &amp; tarieven'!CX$3:CX$7),"")</f>
        <v/>
      </c>
      <c r="DD46" s="78" t="str" cm="1">
        <f t="array" ref="DD46">IFERROR(MMULT($E46:$I46,'Producten &amp; tarieven'!CY$3:CY$7),"")</f>
        <v/>
      </c>
      <c r="DE46" s="440" t="str" cm="1">
        <f t="array" ref="DE46">IFERROR(MMULT($E46:$I46,'Producten &amp; tarieven'!CZ$3:CZ$7),"")</f>
        <v/>
      </c>
      <c r="DF46" s="448"/>
    </row>
    <row r="47" spans="1:110" ht="17.399999999999999">
      <c r="A47" s="447"/>
      <c r="B47" s="251" t="s">
        <v>99</v>
      </c>
      <c r="C47" s="230" t="s">
        <v>97</v>
      </c>
      <c r="D47" s="246" t="s">
        <v>95</v>
      </c>
      <c r="E47" s="420">
        <f>D28</f>
        <v>9525.1774000000005</v>
      </c>
      <c r="F47" s="423">
        <f>G28</f>
        <v>10012.739800000001</v>
      </c>
      <c r="G47" s="936">
        <f>AVERAGE($E$47:$F$47,$I$47)</f>
        <v>9160.4401605806688</v>
      </c>
      <c r="H47" s="937">
        <f>AVERAGE($E$47:$F$47,$I$47)</f>
        <v>9160.4401605806688</v>
      </c>
      <c r="I47" s="431">
        <f>P26</f>
        <v>7943.4032817420011</v>
      </c>
      <c r="J47" s="78" cm="1">
        <f t="array" ref="J47">IFERROR(MMULT($E47:$I47,'Producten &amp; tarieven'!F$3:F$7),"")</f>
        <v>9160.4401605806688</v>
      </c>
      <c r="K47" s="78" t="str" cm="1">
        <f t="array" ref="K47">IFERROR(MMULT($E47:$I47,'Producten &amp; tarieven'!G$3:G$7),"")</f>
        <v/>
      </c>
      <c r="L47" s="78" t="str" cm="1">
        <f t="array" ref="L47">IFERROR(MMULT($E47:$I47,'Producten &amp; tarieven'!#REF!),"")</f>
        <v/>
      </c>
      <c r="M47" s="78" t="str" cm="1">
        <f t="array" ref="M47">IFERROR(MMULT($E47:$I47,'Producten &amp; tarieven'!H$3:H$7),"")</f>
        <v/>
      </c>
      <c r="N47" s="78" t="str" cm="1">
        <f t="array" ref="N47">IFERROR(MMULT($E47:$I47,'Producten &amp; tarieven'!I$3:I$7),"")</f>
        <v/>
      </c>
      <c r="O47" s="78" t="str" cm="1">
        <f t="array" ref="O47">IFERROR(MMULT($E47:$I47,'Producten &amp; tarieven'!J$3:J$7),"")</f>
        <v/>
      </c>
      <c r="P47" s="78" t="str" cm="1">
        <f t="array" ref="P47">IFERROR(MMULT($E47:$I47,'Producten &amp; tarieven'!K$3:K$7),"")</f>
        <v/>
      </c>
      <c r="Q47" s="78" t="str" cm="1">
        <f t="array" ref="Q47">IFERROR(MMULT($E47:$I47,'Producten &amp; tarieven'!L$3:L$7),"")</f>
        <v/>
      </c>
      <c r="R47" s="78" t="str" cm="1">
        <f t="array" ref="R47">IFERROR(MMULT($E47:$I47,'Producten &amp; tarieven'!M$3:M$7),"")</f>
        <v/>
      </c>
      <c r="S47" s="78" t="str" cm="1">
        <f t="array" ref="S47">IFERROR(MMULT($E47:$I47,'Producten &amp; tarieven'!N$3:N$7),"")</f>
        <v/>
      </c>
      <c r="T47" s="78" t="str" cm="1">
        <f t="array" ref="T47">IFERROR(MMULT($E47:$I47,'Producten &amp; tarieven'!O$3:O$7),"")</f>
        <v/>
      </c>
      <c r="U47" s="78" t="str" cm="1">
        <f t="array" ref="U47">IFERROR(MMULT($E47:$I47,'Producten &amp; tarieven'!P$3:P$7),"")</f>
        <v/>
      </c>
      <c r="V47" s="78" t="str" cm="1">
        <f t="array" ref="V47">IFERROR(MMULT($E47:$I47,'Producten &amp; tarieven'!Q$3:Q$7),"")</f>
        <v/>
      </c>
      <c r="W47" s="78" t="str" cm="1">
        <f t="array" ref="W47">IFERROR(MMULT($E47:$I47,'Producten &amp; tarieven'!R$3:R$7),"")</f>
        <v/>
      </c>
      <c r="X47" s="78" t="str" cm="1">
        <f t="array" ref="X47">IFERROR(MMULT($E47:$I47,'Producten &amp; tarieven'!S$3:S$7),"")</f>
        <v/>
      </c>
      <c r="Y47" s="78" t="str" cm="1">
        <f t="array" ref="Y47">IFERROR(MMULT($E47:$I47,'Producten &amp; tarieven'!T$3:T$7),"")</f>
        <v/>
      </c>
      <c r="Z47" s="78" t="str" cm="1">
        <f t="array" ref="Z47">IFERROR(MMULT($E47:$I47,'Producten &amp; tarieven'!U$3:U$7),"")</f>
        <v/>
      </c>
      <c r="AA47" s="78" t="str" cm="1">
        <f t="array" ref="AA47">IFERROR(MMULT($E47:$I47,'Producten &amp; tarieven'!V$3:V$7),"")</f>
        <v/>
      </c>
      <c r="AB47" s="78" t="str" cm="1">
        <f t="array" ref="AB47">IFERROR(MMULT($E47:$I47,'Producten &amp; tarieven'!W$3:W$7),"")</f>
        <v/>
      </c>
      <c r="AC47" s="78" t="str" cm="1">
        <f t="array" ref="AC47">IFERROR(MMULT($E47:$I47,'Producten &amp; tarieven'!X$3:X$7),"")</f>
        <v/>
      </c>
      <c r="AD47" s="78" t="str" cm="1">
        <f t="array" ref="AD47">IFERROR(MMULT($E47:$I47,'Producten &amp; tarieven'!Y$3:Y$7),"")</f>
        <v/>
      </c>
      <c r="AE47" s="78" t="str" cm="1">
        <f t="array" ref="AE47">IFERROR(MMULT($E47:$I47,'Producten &amp; tarieven'!Z$3:Z$7),"")</f>
        <v/>
      </c>
      <c r="AF47" s="78" t="str" cm="1">
        <f t="array" ref="AF47">IFERROR(MMULT($E47:$I47,'Producten &amp; tarieven'!AA$3:AA$7),"")</f>
        <v/>
      </c>
      <c r="AG47" s="78" t="str" cm="1">
        <f t="array" ref="AG47">IFERROR(MMULT($E47:$I47,'Producten &amp; tarieven'!AB$3:AB$7),"")</f>
        <v/>
      </c>
      <c r="AH47" s="78" t="str" cm="1">
        <f t="array" ref="AH47">IFERROR(MMULT($E47:$I47,'Producten &amp; tarieven'!AC$3:AC$7),"")</f>
        <v/>
      </c>
      <c r="AI47" s="78" t="str" cm="1">
        <f t="array" ref="AI47">IFERROR(MMULT($E47:$I47,'Producten &amp; tarieven'!AD$3:AD$7),"")</f>
        <v/>
      </c>
      <c r="AJ47" s="78" t="str" cm="1">
        <f t="array" ref="AJ47">IFERROR(MMULT($E47:$I47,'Producten &amp; tarieven'!AE$3:AE$7),"")</f>
        <v/>
      </c>
      <c r="AK47" s="78" t="str" cm="1">
        <f t="array" ref="AK47">IFERROR(MMULT($E47:$I47,'Producten &amp; tarieven'!AF$3:AF$7),"")</f>
        <v/>
      </c>
      <c r="AL47" s="78" t="str" cm="1">
        <f t="array" ref="AL47">IFERROR(MMULT($E47:$I47,'Producten &amp; tarieven'!AG$3:AG$7),"")</f>
        <v/>
      </c>
      <c r="AM47" s="78" t="str" cm="1">
        <f t="array" ref="AM47">IFERROR(MMULT($E47:$I47,'Producten &amp; tarieven'!AH$3:AH$7),"")</f>
        <v/>
      </c>
      <c r="AN47" s="78" t="str" cm="1">
        <f t="array" ref="AN47">IFERROR(MMULT($E47:$I47,'Producten &amp; tarieven'!AI$3:AI$7),"")</f>
        <v/>
      </c>
      <c r="AO47" s="78" t="str" cm="1">
        <f t="array" ref="AO47">IFERROR(MMULT($E47:$I47,'Producten &amp; tarieven'!AJ$3:AJ$7),"")</f>
        <v/>
      </c>
      <c r="AP47" s="78" t="str" cm="1">
        <f t="array" ref="AP47">IFERROR(MMULT($E47:$I47,'Producten &amp; tarieven'!AK$3:AK$7),"")</f>
        <v/>
      </c>
      <c r="AQ47" s="78" t="str" cm="1">
        <f t="array" ref="AQ47">IFERROR(MMULT($E47:$I47,'Producten &amp; tarieven'!AL$3:AL$7),"")</f>
        <v/>
      </c>
      <c r="AR47" s="78" t="str" cm="1">
        <f t="array" ref="AR47">IFERROR(MMULT($E47:$I47,'Producten &amp; tarieven'!AM$3:AM$7),"")</f>
        <v/>
      </c>
      <c r="AS47" s="78" t="str" cm="1">
        <f t="array" ref="AS47">IFERROR(MMULT($E47:$I47,'Producten &amp; tarieven'!AN$3:AN$7),"")</f>
        <v/>
      </c>
      <c r="AT47" s="78" t="str" cm="1">
        <f t="array" ref="AT47">IFERROR(MMULT($E47:$I47,'Producten &amp; tarieven'!AO$3:AO$7),"")</f>
        <v/>
      </c>
      <c r="AU47" s="78" t="str" cm="1">
        <f t="array" ref="AU47">IFERROR(MMULT($E47:$I47,'Producten &amp; tarieven'!AP$3:AP$7),"")</f>
        <v/>
      </c>
      <c r="AV47" s="78" t="str" cm="1">
        <f t="array" ref="AV47">IFERROR(MMULT($E47:$I47,'Producten &amp; tarieven'!AQ$3:AQ$7),"")</f>
        <v/>
      </c>
      <c r="AW47" s="78" t="str" cm="1">
        <f t="array" ref="AW47">IFERROR(MMULT($E47:$I47,'Producten &amp; tarieven'!AR$3:AR$7),"")</f>
        <v/>
      </c>
      <c r="AX47" s="78" t="str" cm="1">
        <f t="array" ref="AX47">IFERROR(MMULT($E47:$I47,'Producten &amp; tarieven'!AS$3:AS$7),"")</f>
        <v/>
      </c>
      <c r="AY47" s="78" t="str" cm="1">
        <f t="array" ref="AY47">IFERROR(MMULT($E47:$I47,'Producten &amp; tarieven'!AT$3:AT$7),"")</f>
        <v/>
      </c>
      <c r="AZ47" s="78" t="str" cm="1">
        <f t="array" ref="AZ47">IFERROR(MMULT($E47:$I47,'Producten &amp; tarieven'!AU$3:AU$7),"")</f>
        <v/>
      </c>
      <c r="BA47" s="78" t="str" cm="1">
        <f t="array" ref="BA47">IFERROR(MMULT($E47:$I47,'Producten &amp; tarieven'!AV$3:AV$7),"")</f>
        <v/>
      </c>
      <c r="BB47" s="78" t="str" cm="1">
        <f t="array" ref="BB47">IFERROR(MMULT($E47:$I47,'Producten &amp; tarieven'!AW$3:AW$7),"")</f>
        <v/>
      </c>
      <c r="BC47" s="78" t="str" cm="1">
        <f t="array" ref="BC47">IFERROR(MMULT($E47:$I47,'Producten &amp; tarieven'!AX$3:AX$7),"")</f>
        <v/>
      </c>
      <c r="BD47" s="78" t="str" cm="1">
        <f t="array" ref="BD47">IFERROR(MMULT($E47:$I47,'Producten &amp; tarieven'!AY$3:AY$7),"")</f>
        <v/>
      </c>
      <c r="BE47" s="78" t="str" cm="1">
        <f t="array" ref="BE47">IFERROR(MMULT($E47:$I47,'Producten &amp; tarieven'!AZ$3:AZ$7),"")</f>
        <v/>
      </c>
      <c r="BF47" s="78" t="str" cm="1">
        <f t="array" ref="BF47">IFERROR(MMULT($E47:$I47,'Producten &amp; tarieven'!BA$3:BA$7),"")</f>
        <v/>
      </c>
      <c r="BG47" s="78" t="str" cm="1">
        <f t="array" ref="BG47">IFERROR(MMULT($E47:$I47,'Producten &amp; tarieven'!BB$3:BB$7),"")</f>
        <v/>
      </c>
      <c r="BH47" s="78" t="str" cm="1">
        <f t="array" ref="BH47">IFERROR(MMULT($E47:$I47,'Producten &amp; tarieven'!BC$3:BC$7),"")</f>
        <v/>
      </c>
      <c r="BI47" s="78" t="str" cm="1">
        <f t="array" ref="BI47">IFERROR(MMULT($E47:$I47,'Producten &amp; tarieven'!BD$3:BD$7),"")</f>
        <v/>
      </c>
      <c r="BJ47" s="78" t="str" cm="1">
        <f t="array" ref="BJ47">IFERROR(MMULT($E47:$I47,'Producten &amp; tarieven'!BE$3:BE$7),"")</f>
        <v/>
      </c>
      <c r="BK47" s="78" t="str" cm="1">
        <f t="array" ref="BK47">IFERROR(MMULT($E47:$I47,'Producten &amp; tarieven'!BF$3:BF$7),"")</f>
        <v/>
      </c>
      <c r="BL47" s="78" t="str" cm="1">
        <f t="array" ref="BL47">IFERROR(MMULT($E47:$I47,'Producten &amp; tarieven'!BG$3:BG$7),"")</f>
        <v/>
      </c>
      <c r="BM47" s="78" t="str" cm="1">
        <f t="array" ref="BM47">IFERROR(MMULT($E47:$I47,'Producten &amp; tarieven'!BH$3:BH$7),"")</f>
        <v/>
      </c>
      <c r="BN47" s="78" t="str" cm="1">
        <f t="array" ref="BN47">IFERROR(MMULT($E47:$I47,'Producten &amp; tarieven'!BI$3:BI$7),"")</f>
        <v/>
      </c>
      <c r="BO47" s="78" t="str" cm="1">
        <f t="array" ref="BO47">IFERROR(MMULT($E47:$I47,'Producten &amp; tarieven'!BJ$3:BJ$7),"")</f>
        <v/>
      </c>
      <c r="BP47" s="78" t="str" cm="1">
        <f t="array" ref="BP47">IFERROR(MMULT($E47:$I47,'Producten &amp; tarieven'!BK$3:BK$7),"")</f>
        <v/>
      </c>
      <c r="BQ47" s="78" t="str" cm="1">
        <f t="array" ref="BQ47">IFERROR(MMULT($E47:$I47,'Producten &amp; tarieven'!BL$3:BL$7),"")</f>
        <v/>
      </c>
      <c r="BR47" s="78" t="str" cm="1">
        <f t="array" ref="BR47">IFERROR(MMULT($E47:$I47,'Producten &amp; tarieven'!BM$3:BM$7),"")</f>
        <v/>
      </c>
      <c r="BS47" s="78" t="str" cm="1">
        <f t="array" ref="BS47">IFERROR(MMULT($E47:$I47,'Producten &amp; tarieven'!BN$3:BN$7),"")</f>
        <v/>
      </c>
      <c r="BT47" s="78" t="str" cm="1">
        <f t="array" ref="BT47">IFERROR(MMULT($E47:$I47,'Producten &amp; tarieven'!BO$3:BO$7),"")</f>
        <v/>
      </c>
      <c r="BU47" s="78" t="str" cm="1">
        <f t="array" ref="BU47">IFERROR(MMULT($E47:$I47,'Producten &amp; tarieven'!BP$3:BP$7),"")</f>
        <v/>
      </c>
      <c r="BV47" s="78" t="str" cm="1">
        <f t="array" ref="BV47">IFERROR(MMULT($E47:$I47,'Producten &amp; tarieven'!BQ$3:BQ$7),"")</f>
        <v/>
      </c>
      <c r="BW47" s="78" t="str" cm="1">
        <f t="array" ref="BW47">IFERROR(MMULT($E47:$I47,'Producten &amp; tarieven'!BR$3:BR$7),"")</f>
        <v/>
      </c>
      <c r="BX47" s="78" t="str" cm="1">
        <f t="array" ref="BX47">IFERROR(MMULT($E47:$I47,'Producten &amp; tarieven'!BS$3:BS$7),"")</f>
        <v/>
      </c>
      <c r="BY47" s="78" t="str" cm="1">
        <f t="array" ref="BY47">IFERROR(MMULT($E47:$I47,'Producten &amp; tarieven'!BT$3:BT$7),"")</f>
        <v/>
      </c>
      <c r="BZ47" s="78" t="str" cm="1">
        <f t="array" ref="BZ47">IFERROR(MMULT($E47:$I47,'Producten &amp; tarieven'!BU$3:BU$7),"")</f>
        <v/>
      </c>
      <c r="CA47" s="78" t="str" cm="1">
        <f t="array" ref="CA47">IFERROR(MMULT($E47:$I47,'Producten &amp; tarieven'!BV$3:BV$7),"")</f>
        <v/>
      </c>
      <c r="CB47" s="78" t="str" cm="1">
        <f t="array" ref="CB47">IFERROR(MMULT($E47:$I47,'Producten &amp; tarieven'!BW$3:BW$7),"")</f>
        <v/>
      </c>
      <c r="CC47" s="78" t="str" cm="1">
        <f t="array" ref="CC47">IFERROR(MMULT($E47:$I47,'Producten &amp; tarieven'!BX$3:BX$7),"")</f>
        <v/>
      </c>
      <c r="CD47" s="78" t="str" cm="1">
        <f t="array" ref="CD47">IFERROR(MMULT($E47:$I47,'Producten &amp; tarieven'!BY$3:BY$7),"")</f>
        <v/>
      </c>
      <c r="CE47" s="78" t="str" cm="1">
        <f t="array" ref="CE47">IFERROR(MMULT($E47:$I47,'Producten &amp; tarieven'!BZ$3:BZ$7),"")</f>
        <v/>
      </c>
      <c r="CF47" s="78" t="str" cm="1">
        <f t="array" ref="CF47">IFERROR(MMULT($E47:$I47,'Producten &amp; tarieven'!CA$3:CA$7),"")</f>
        <v/>
      </c>
      <c r="CG47" s="78" t="str" cm="1">
        <f t="array" ref="CG47">IFERROR(MMULT($E47:$I47,'Producten &amp; tarieven'!CB$3:CB$7),"")</f>
        <v/>
      </c>
      <c r="CH47" s="78" t="str" cm="1">
        <f t="array" ref="CH47">IFERROR(MMULT($E47:$I47,'Producten &amp; tarieven'!CC$3:CC$7),"")</f>
        <v/>
      </c>
      <c r="CI47" s="78" t="str" cm="1">
        <f t="array" ref="CI47">IFERROR(MMULT($E47:$I47,'Producten &amp; tarieven'!CD$3:CD$7),"")</f>
        <v/>
      </c>
      <c r="CJ47" s="78" t="str" cm="1">
        <f t="array" ref="CJ47">IFERROR(MMULT($E47:$I47,'Producten &amp; tarieven'!CE$3:CE$7),"")</f>
        <v/>
      </c>
      <c r="CK47" s="78" t="str" cm="1">
        <f t="array" ref="CK47">IFERROR(MMULT($E47:$I47,'Producten &amp; tarieven'!CF$3:CF$7),"")</f>
        <v/>
      </c>
      <c r="CL47" s="78" t="str" cm="1">
        <f t="array" ref="CL47">IFERROR(MMULT($E47:$I47,'Producten &amp; tarieven'!CG$3:CG$7),"")</f>
        <v/>
      </c>
      <c r="CM47" s="78" t="str" cm="1">
        <f t="array" ref="CM47">IFERROR(MMULT($E47:$I47,'Producten &amp; tarieven'!CH$3:CH$7),"")</f>
        <v/>
      </c>
      <c r="CN47" s="78" t="str" cm="1">
        <f t="array" ref="CN47">IFERROR(MMULT($E47:$I47,'Producten &amp; tarieven'!CI$3:CI$7),"")</f>
        <v/>
      </c>
      <c r="CO47" s="78" t="str" cm="1">
        <f t="array" ref="CO47">IFERROR(MMULT($E47:$I47,'Producten &amp; tarieven'!CJ$3:CJ$7),"")</f>
        <v/>
      </c>
      <c r="CP47" s="78" t="str" cm="1">
        <f t="array" ref="CP47">IFERROR(MMULT($E47:$I47,'Producten &amp; tarieven'!CK$3:CK$7),"")</f>
        <v/>
      </c>
      <c r="CQ47" s="78" t="str" cm="1">
        <f t="array" ref="CQ47">IFERROR(MMULT($E47:$I47,'Producten &amp; tarieven'!CL$3:CL$7),"")</f>
        <v/>
      </c>
      <c r="CR47" s="78" t="str" cm="1">
        <f t="array" ref="CR47">IFERROR(MMULT($E47:$I47,'Producten &amp; tarieven'!CM$3:CM$7),"")</f>
        <v/>
      </c>
      <c r="CS47" s="78" t="str" cm="1">
        <f t="array" ref="CS47">IFERROR(MMULT($E47:$I47,'Producten &amp; tarieven'!CN$3:CN$7),"")</f>
        <v/>
      </c>
      <c r="CT47" s="78" t="str" cm="1">
        <f t="array" ref="CT47">IFERROR(MMULT($E47:$I47,'Producten &amp; tarieven'!CO$3:CO$7),"")</f>
        <v/>
      </c>
      <c r="CU47" s="78" t="str" cm="1">
        <f t="array" ref="CU47">IFERROR(MMULT($E47:$I47,'Producten &amp; tarieven'!CP$3:CP$7),"")</f>
        <v/>
      </c>
      <c r="CV47" s="78" t="str" cm="1">
        <f t="array" ref="CV47">IFERROR(MMULT($E47:$I47,'Producten &amp; tarieven'!CQ$3:CQ$7),"")</f>
        <v/>
      </c>
      <c r="CW47" s="78" t="str" cm="1">
        <f t="array" ref="CW47">IFERROR(MMULT($E47:$I47,'Producten &amp; tarieven'!CR$3:CR$7),"")</f>
        <v/>
      </c>
      <c r="CX47" s="78" t="str" cm="1">
        <f t="array" ref="CX47">IFERROR(MMULT($E47:$I47,'Producten &amp; tarieven'!CS$3:CS$7),"")</f>
        <v/>
      </c>
      <c r="CY47" s="78" t="str" cm="1">
        <f t="array" ref="CY47">IFERROR(MMULT($E47:$I47,'Producten &amp; tarieven'!CT$3:CT$7),"")</f>
        <v/>
      </c>
      <c r="CZ47" s="78" t="str" cm="1">
        <f t="array" ref="CZ47">IFERROR(MMULT($E47:$I47,'Producten &amp; tarieven'!CU$3:CU$7),"")</f>
        <v/>
      </c>
      <c r="DA47" s="78" t="str" cm="1">
        <f t="array" ref="DA47">IFERROR(MMULT($E47:$I47,'Producten &amp; tarieven'!CV$3:CV$7),"")</f>
        <v/>
      </c>
      <c r="DB47" s="78" t="str" cm="1">
        <f t="array" ref="DB47">IFERROR(MMULT($E47:$I47,'Producten &amp; tarieven'!CW$3:CW$7),"")</f>
        <v/>
      </c>
      <c r="DC47" s="78" t="str" cm="1">
        <f t="array" ref="DC47">IFERROR(MMULT($E47:$I47,'Producten &amp; tarieven'!CX$3:CX$7),"")</f>
        <v/>
      </c>
      <c r="DD47" s="78" t="str" cm="1">
        <f t="array" ref="DD47">IFERROR(MMULT($E47:$I47,'Producten &amp; tarieven'!CY$3:CY$7),"")</f>
        <v/>
      </c>
      <c r="DE47" s="440" t="str" cm="1">
        <f t="array" ref="DE47">IFERROR(MMULT($E47:$I47,'Producten &amp; tarieven'!CZ$3:CZ$7),"")</f>
        <v/>
      </c>
      <c r="DF47" s="448"/>
    </row>
    <row r="48" spans="1:110" ht="18" thickBot="1">
      <c r="A48" s="447"/>
      <c r="B48" s="155" t="s">
        <v>100</v>
      </c>
      <c r="C48" s="156"/>
      <c r="D48" s="247"/>
      <c r="E48" s="421">
        <f>D29*1/'Producten &amp; tarieven'!D35</f>
        <v>11872.039139784945</v>
      </c>
      <c r="F48" s="421">
        <f>$E48</f>
        <v>11872.039139784945</v>
      </c>
      <c r="G48" s="421">
        <f t="shared" ref="G48:I48" si="5">$E48</f>
        <v>11872.039139784945</v>
      </c>
      <c r="H48" s="421">
        <f t="shared" si="5"/>
        <v>11872.039139784945</v>
      </c>
      <c r="I48" s="421">
        <f t="shared" si="5"/>
        <v>11872.039139784945</v>
      </c>
      <c r="J48" s="79" cm="1">
        <f t="array" ref="J48">IFERROR(MMULT($E48:$I48,'Producten &amp; tarieven'!F$3:F$7),"")</f>
        <v>11872.039139784945</v>
      </c>
      <c r="K48" s="79" t="str" cm="1">
        <f t="array" ref="K48">IFERROR(MMULT($E48:$I48,'Producten &amp; tarieven'!G$3:G$7),"")</f>
        <v/>
      </c>
      <c r="L48" s="79" t="str" cm="1">
        <f t="array" ref="L48">IFERROR(MMULT($E48:$I48,'Producten &amp; tarieven'!#REF!),"")</f>
        <v/>
      </c>
      <c r="M48" s="79" t="str" cm="1">
        <f t="array" ref="M48">IFERROR(MMULT($E48:$I48,'Producten &amp; tarieven'!H$3:H$7),"")</f>
        <v/>
      </c>
      <c r="N48" s="79" t="str" cm="1">
        <f t="array" ref="N48">IFERROR(MMULT($E48:$I48,'Producten &amp; tarieven'!I$3:I$7),"")</f>
        <v/>
      </c>
      <c r="O48" s="79" t="str" cm="1">
        <f t="array" ref="O48">IFERROR(MMULT($E48:$I48,'Producten &amp; tarieven'!J$3:J$7),"")</f>
        <v/>
      </c>
      <c r="P48" s="79" t="str" cm="1">
        <f t="array" ref="P48">IFERROR(MMULT($E48:$I48,'Producten &amp; tarieven'!K$3:K$7),"")</f>
        <v/>
      </c>
      <c r="Q48" s="79" t="str" cm="1">
        <f t="array" ref="Q48">IFERROR(MMULT($E48:$I48,'Producten &amp; tarieven'!L$3:L$7),"")</f>
        <v/>
      </c>
      <c r="R48" s="79" t="str" cm="1">
        <f t="array" ref="R48">IFERROR(MMULT($E48:$I48,'Producten &amp; tarieven'!M$3:M$7),"")</f>
        <v/>
      </c>
      <c r="S48" s="79" t="str" cm="1">
        <f t="array" ref="S48">IFERROR(MMULT($E48:$I48,'Producten &amp; tarieven'!N$3:N$7),"")</f>
        <v/>
      </c>
      <c r="T48" s="79" t="str" cm="1">
        <f t="array" ref="T48">IFERROR(MMULT($E48:$I48,'Producten &amp; tarieven'!O$3:O$7),"")</f>
        <v/>
      </c>
      <c r="U48" s="79" t="str" cm="1">
        <f t="array" ref="U48">IFERROR(MMULT($E48:$I48,'Producten &amp; tarieven'!P$3:P$7),"")</f>
        <v/>
      </c>
      <c r="V48" s="79" t="str" cm="1">
        <f t="array" ref="V48">IFERROR(MMULT($E48:$I48,'Producten &amp; tarieven'!Q$3:Q$7),"")</f>
        <v/>
      </c>
      <c r="W48" s="79" t="str" cm="1">
        <f t="array" ref="W48">IFERROR(MMULT($E48:$I48,'Producten &amp; tarieven'!R$3:R$7),"")</f>
        <v/>
      </c>
      <c r="X48" s="79" t="str" cm="1">
        <f t="array" ref="X48">IFERROR(MMULT($E48:$I48,'Producten &amp; tarieven'!S$3:S$7),"")</f>
        <v/>
      </c>
      <c r="Y48" s="79" t="str" cm="1">
        <f t="array" ref="Y48">IFERROR(MMULT($E48:$I48,'Producten &amp; tarieven'!T$3:T$7),"")</f>
        <v/>
      </c>
      <c r="Z48" s="79" t="str" cm="1">
        <f t="array" ref="Z48">IFERROR(MMULT($E48:$I48,'Producten &amp; tarieven'!U$3:U$7),"")</f>
        <v/>
      </c>
      <c r="AA48" s="79" t="str" cm="1">
        <f t="array" ref="AA48">IFERROR(MMULT($E48:$I48,'Producten &amp; tarieven'!V$3:V$7),"")</f>
        <v/>
      </c>
      <c r="AB48" s="79" t="str" cm="1">
        <f t="array" ref="AB48">IFERROR(MMULT($E48:$I48,'Producten &amp; tarieven'!W$3:W$7),"")</f>
        <v/>
      </c>
      <c r="AC48" s="79" t="str" cm="1">
        <f t="array" ref="AC48">IFERROR(MMULT($E48:$I48,'Producten &amp; tarieven'!X$3:X$7),"")</f>
        <v/>
      </c>
      <c r="AD48" s="79" t="str" cm="1">
        <f t="array" ref="AD48">IFERROR(MMULT($E48:$I48,'Producten &amp; tarieven'!Y$3:Y$7),"")</f>
        <v/>
      </c>
      <c r="AE48" s="79" t="str" cm="1">
        <f t="array" ref="AE48">IFERROR(MMULT($E48:$I48,'Producten &amp; tarieven'!Z$3:Z$7),"")</f>
        <v/>
      </c>
      <c r="AF48" s="79" t="str" cm="1">
        <f t="array" ref="AF48">IFERROR(MMULT($E48:$I48,'Producten &amp; tarieven'!AA$3:AA$7),"")</f>
        <v/>
      </c>
      <c r="AG48" s="79" t="str" cm="1">
        <f t="array" ref="AG48">IFERROR(MMULT($E48:$I48,'Producten &amp; tarieven'!AB$3:AB$7),"")</f>
        <v/>
      </c>
      <c r="AH48" s="79" t="str" cm="1">
        <f t="array" ref="AH48">IFERROR(MMULT($E48:$I48,'Producten &amp; tarieven'!AC$3:AC$7),"")</f>
        <v/>
      </c>
      <c r="AI48" s="79" t="str" cm="1">
        <f t="array" ref="AI48">IFERROR(MMULT($E48:$I48,'Producten &amp; tarieven'!AD$3:AD$7),"")</f>
        <v/>
      </c>
      <c r="AJ48" s="79" t="str" cm="1">
        <f t="array" ref="AJ48">IFERROR(MMULT($E48:$I48,'Producten &amp; tarieven'!AE$3:AE$7),"")</f>
        <v/>
      </c>
      <c r="AK48" s="79" t="str" cm="1">
        <f t="array" ref="AK48">IFERROR(MMULT($E48:$I48,'Producten &amp; tarieven'!AF$3:AF$7),"")</f>
        <v/>
      </c>
      <c r="AL48" s="79" t="str" cm="1">
        <f t="array" ref="AL48">IFERROR(MMULT($E48:$I48,'Producten &amp; tarieven'!AG$3:AG$7),"")</f>
        <v/>
      </c>
      <c r="AM48" s="79" t="str" cm="1">
        <f t="array" ref="AM48">IFERROR(MMULT($E48:$I48,'Producten &amp; tarieven'!AH$3:AH$7),"")</f>
        <v/>
      </c>
      <c r="AN48" s="79" t="str" cm="1">
        <f t="array" ref="AN48">IFERROR(MMULT($E48:$I48,'Producten &amp; tarieven'!AI$3:AI$7),"")</f>
        <v/>
      </c>
      <c r="AO48" s="79" t="str" cm="1">
        <f t="array" ref="AO48">IFERROR(MMULT($E48:$I48,'Producten &amp; tarieven'!AJ$3:AJ$7),"")</f>
        <v/>
      </c>
      <c r="AP48" s="79" t="str" cm="1">
        <f t="array" ref="AP48">IFERROR(MMULT($E48:$I48,'Producten &amp; tarieven'!AK$3:AK$7),"")</f>
        <v/>
      </c>
      <c r="AQ48" s="79" t="str" cm="1">
        <f t="array" ref="AQ48">IFERROR(MMULT($E48:$I48,'Producten &amp; tarieven'!AL$3:AL$7),"")</f>
        <v/>
      </c>
      <c r="AR48" s="79" t="str" cm="1">
        <f t="array" ref="AR48">IFERROR(MMULT($E48:$I48,'Producten &amp; tarieven'!AM$3:AM$7),"")</f>
        <v/>
      </c>
      <c r="AS48" s="79" t="str" cm="1">
        <f t="array" ref="AS48">IFERROR(MMULT($E48:$I48,'Producten &amp; tarieven'!AN$3:AN$7),"")</f>
        <v/>
      </c>
      <c r="AT48" s="79" t="str" cm="1">
        <f t="array" ref="AT48">IFERROR(MMULT($E48:$I48,'Producten &amp; tarieven'!AO$3:AO$7),"")</f>
        <v/>
      </c>
      <c r="AU48" s="79" t="str" cm="1">
        <f t="array" ref="AU48">IFERROR(MMULT($E48:$I48,'Producten &amp; tarieven'!AP$3:AP$7),"")</f>
        <v/>
      </c>
      <c r="AV48" s="79" t="str" cm="1">
        <f t="array" ref="AV48">IFERROR(MMULT($E48:$I48,'Producten &amp; tarieven'!AQ$3:AQ$7),"")</f>
        <v/>
      </c>
      <c r="AW48" s="79" t="str" cm="1">
        <f t="array" ref="AW48">IFERROR(MMULT($E48:$I48,'Producten &amp; tarieven'!AR$3:AR$7),"")</f>
        <v/>
      </c>
      <c r="AX48" s="79" t="str" cm="1">
        <f t="array" ref="AX48">IFERROR(MMULT($E48:$I48,'Producten &amp; tarieven'!AS$3:AS$7),"")</f>
        <v/>
      </c>
      <c r="AY48" s="79" t="str" cm="1">
        <f t="array" ref="AY48">IFERROR(MMULT($E48:$I48,'Producten &amp; tarieven'!AT$3:AT$7),"")</f>
        <v/>
      </c>
      <c r="AZ48" s="79" t="str" cm="1">
        <f t="array" ref="AZ48">IFERROR(MMULT($E48:$I48,'Producten &amp; tarieven'!AU$3:AU$7),"")</f>
        <v/>
      </c>
      <c r="BA48" s="79" t="str" cm="1">
        <f t="array" ref="BA48">IFERROR(MMULT($E48:$I48,'Producten &amp; tarieven'!AV$3:AV$7),"")</f>
        <v/>
      </c>
      <c r="BB48" s="79" t="str" cm="1">
        <f t="array" ref="BB48">IFERROR(MMULT($E48:$I48,'Producten &amp; tarieven'!AW$3:AW$7),"")</f>
        <v/>
      </c>
      <c r="BC48" s="79" t="str" cm="1">
        <f t="array" ref="BC48">IFERROR(MMULT($E48:$I48,'Producten &amp; tarieven'!AX$3:AX$7),"")</f>
        <v/>
      </c>
      <c r="BD48" s="79" t="str" cm="1">
        <f t="array" ref="BD48">IFERROR(MMULT($E48:$I48,'Producten &amp; tarieven'!AY$3:AY$7),"")</f>
        <v/>
      </c>
      <c r="BE48" s="79" t="str" cm="1">
        <f t="array" ref="BE48">IFERROR(MMULT($E48:$I48,'Producten &amp; tarieven'!AZ$3:AZ$7),"")</f>
        <v/>
      </c>
      <c r="BF48" s="79" t="str" cm="1">
        <f t="array" ref="BF48">IFERROR(MMULT($E48:$I48,'Producten &amp; tarieven'!BA$3:BA$7),"")</f>
        <v/>
      </c>
      <c r="BG48" s="79" t="str" cm="1">
        <f t="array" ref="BG48">IFERROR(MMULT($E48:$I48,'Producten &amp; tarieven'!BB$3:BB$7),"")</f>
        <v/>
      </c>
      <c r="BH48" s="79" t="str" cm="1">
        <f t="array" ref="BH48">IFERROR(MMULT($E48:$I48,'Producten &amp; tarieven'!BC$3:BC$7),"")</f>
        <v/>
      </c>
      <c r="BI48" s="79" t="str" cm="1">
        <f t="array" ref="BI48">IFERROR(MMULT($E48:$I48,'Producten &amp; tarieven'!BD$3:BD$7),"")</f>
        <v/>
      </c>
      <c r="BJ48" s="79" t="str" cm="1">
        <f t="array" ref="BJ48">IFERROR(MMULT($E48:$I48,'Producten &amp; tarieven'!BE$3:BE$7),"")</f>
        <v/>
      </c>
      <c r="BK48" s="79" t="str" cm="1">
        <f t="array" ref="BK48">IFERROR(MMULT($E48:$I48,'Producten &amp; tarieven'!BF$3:BF$7),"")</f>
        <v/>
      </c>
      <c r="BL48" s="79" t="str" cm="1">
        <f t="array" ref="BL48">IFERROR(MMULT($E48:$I48,'Producten &amp; tarieven'!BG$3:BG$7),"")</f>
        <v/>
      </c>
      <c r="BM48" s="79" t="str" cm="1">
        <f t="array" ref="BM48">IFERROR(MMULT($E48:$I48,'Producten &amp; tarieven'!BH$3:BH$7),"")</f>
        <v/>
      </c>
      <c r="BN48" s="79" t="str" cm="1">
        <f t="array" ref="BN48">IFERROR(MMULT($E48:$I48,'Producten &amp; tarieven'!BI$3:BI$7),"")</f>
        <v/>
      </c>
      <c r="BO48" s="79" t="str" cm="1">
        <f t="array" ref="BO48">IFERROR(MMULT($E48:$I48,'Producten &amp; tarieven'!BJ$3:BJ$7),"")</f>
        <v/>
      </c>
      <c r="BP48" s="79" t="str" cm="1">
        <f t="array" ref="BP48">IFERROR(MMULT($E48:$I48,'Producten &amp; tarieven'!BK$3:BK$7),"")</f>
        <v/>
      </c>
      <c r="BQ48" s="79" t="str" cm="1">
        <f t="array" ref="BQ48">IFERROR(MMULT($E48:$I48,'Producten &amp; tarieven'!BL$3:BL$7),"")</f>
        <v/>
      </c>
      <c r="BR48" s="79" t="str" cm="1">
        <f t="array" ref="BR48">IFERROR(MMULT($E48:$I48,'Producten &amp; tarieven'!BM$3:BM$7),"")</f>
        <v/>
      </c>
      <c r="BS48" s="79" t="str" cm="1">
        <f t="array" ref="BS48">IFERROR(MMULT($E48:$I48,'Producten &amp; tarieven'!BN$3:BN$7),"")</f>
        <v/>
      </c>
      <c r="BT48" s="79" t="str" cm="1">
        <f t="array" ref="BT48">IFERROR(MMULT($E48:$I48,'Producten &amp; tarieven'!BO$3:BO$7),"")</f>
        <v/>
      </c>
      <c r="BU48" s="79" t="str" cm="1">
        <f t="array" ref="BU48">IFERROR(MMULT($E48:$I48,'Producten &amp; tarieven'!BP$3:BP$7),"")</f>
        <v/>
      </c>
      <c r="BV48" s="79" t="str" cm="1">
        <f t="array" ref="BV48">IFERROR(MMULT($E48:$I48,'Producten &amp; tarieven'!BQ$3:BQ$7),"")</f>
        <v/>
      </c>
      <c r="BW48" s="79" t="str" cm="1">
        <f t="array" ref="BW48">IFERROR(MMULT($E48:$I48,'Producten &amp; tarieven'!BR$3:BR$7),"")</f>
        <v/>
      </c>
      <c r="BX48" s="79" t="str" cm="1">
        <f t="array" ref="BX48">IFERROR(MMULT($E48:$I48,'Producten &amp; tarieven'!BS$3:BS$7),"")</f>
        <v/>
      </c>
      <c r="BY48" s="79" t="str" cm="1">
        <f t="array" ref="BY48">IFERROR(MMULT($E48:$I48,'Producten &amp; tarieven'!BT$3:BT$7),"")</f>
        <v/>
      </c>
      <c r="BZ48" s="79" t="str" cm="1">
        <f t="array" ref="BZ48">IFERROR(MMULT($E48:$I48,'Producten &amp; tarieven'!BU$3:BU$7),"")</f>
        <v/>
      </c>
      <c r="CA48" s="79" t="str" cm="1">
        <f t="array" ref="CA48">IFERROR(MMULT($E48:$I48,'Producten &amp; tarieven'!BV$3:BV$7),"")</f>
        <v/>
      </c>
      <c r="CB48" s="79" t="str" cm="1">
        <f t="array" ref="CB48">IFERROR(MMULT($E48:$I48,'Producten &amp; tarieven'!BW$3:BW$7),"")</f>
        <v/>
      </c>
      <c r="CC48" s="79" t="str" cm="1">
        <f t="array" ref="CC48">IFERROR(MMULT($E48:$I48,'Producten &amp; tarieven'!BX$3:BX$7),"")</f>
        <v/>
      </c>
      <c r="CD48" s="79" t="str" cm="1">
        <f t="array" ref="CD48">IFERROR(MMULT($E48:$I48,'Producten &amp; tarieven'!BY$3:BY$7),"")</f>
        <v/>
      </c>
      <c r="CE48" s="79" t="str" cm="1">
        <f t="array" ref="CE48">IFERROR(MMULT($E48:$I48,'Producten &amp; tarieven'!BZ$3:BZ$7),"")</f>
        <v/>
      </c>
      <c r="CF48" s="79" t="str" cm="1">
        <f t="array" ref="CF48">IFERROR(MMULT($E48:$I48,'Producten &amp; tarieven'!CA$3:CA$7),"")</f>
        <v/>
      </c>
      <c r="CG48" s="79" t="str" cm="1">
        <f t="array" ref="CG48">IFERROR(MMULT($E48:$I48,'Producten &amp; tarieven'!CB$3:CB$7),"")</f>
        <v/>
      </c>
      <c r="CH48" s="79" t="str" cm="1">
        <f t="array" ref="CH48">IFERROR(MMULT($E48:$I48,'Producten &amp; tarieven'!CC$3:CC$7),"")</f>
        <v/>
      </c>
      <c r="CI48" s="79" t="str" cm="1">
        <f t="array" ref="CI48">IFERROR(MMULT($E48:$I48,'Producten &amp; tarieven'!CD$3:CD$7),"")</f>
        <v/>
      </c>
      <c r="CJ48" s="79" t="str" cm="1">
        <f t="array" ref="CJ48">IFERROR(MMULT($E48:$I48,'Producten &amp; tarieven'!CE$3:CE$7),"")</f>
        <v/>
      </c>
      <c r="CK48" s="79" t="str" cm="1">
        <f t="array" ref="CK48">IFERROR(MMULT($E48:$I48,'Producten &amp; tarieven'!CF$3:CF$7),"")</f>
        <v/>
      </c>
      <c r="CL48" s="79" t="str" cm="1">
        <f t="array" ref="CL48">IFERROR(MMULT($E48:$I48,'Producten &amp; tarieven'!CG$3:CG$7),"")</f>
        <v/>
      </c>
      <c r="CM48" s="79" t="str" cm="1">
        <f t="array" ref="CM48">IFERROR(MMULT($E48:$I48,'Producten &amp; tarieven'!CH$3:CH$7),"")</f>
        <v/>
      </c>
      <c r="CN48" s="79" t="str" cm="1">
        <f t="array" ref="CN48">IFERROR(MMULT($E48:$I48,'Producten &amp; tarieven'!CI$3:CI$7),"")</f>
        <v/>
      </c>
      <c r="CO48" s="79" t="str" cm="1">
        <f t="array" ref="CO48">IFERROR(MMULT($E48:$I48,'Producten &amp; tarieven'!CJ$3:CJ$7),"")</f>
        <v/>
      </c>
      <c r="CP48" s="79" t="str" cm="1">
        <f t="array" ref="CP48">IFERROR(MMULT($E48:$I48,'Producten &amp; tarieven'!CK$3:CK$7),"")</f>
        <v/>
      </c>
      <c r="CQ48" s="79" t="str" cm="1">
        <f t="array" ref="CQ48">IFERROR(MMULT($E48:$I48,'Producten &amp; tarieven'!CL$3:CL$7),"")</f>
        <v/>
      </c>
      <c r="CR48" s="79" t="str" cm="1">
        <f t="array" ref="CR48">IFERROR(MMULT($E48:$I48,'Producten &amp; tarieven'!CM$3:CM$7),"")</f>
        <v/>
      </c>
      <c r="CS48" s="79" t="str" cm="1">
        <f t="array" ref="CS48">IFERROR(MMULT($E48:$I48,'Producten &amp; tarieven'!CN$3:CN$7),"")</f>
        <v/>
      </c>
      <c r="CT48" s="79" t="str" cm="1">
        <f t="array" ref="CT48">IFERROR(MMULT($E48:$I48,'Producten &amp; tarieven'!CO$3:CO$7),"")</f>
        <v/>
      </c>
      <c r="CU48" s="79" t="str" cm="1">
        <f t="array" ref="CU48">IFERROR(MMULT($E48:$I48,'Producten &amp; tarieven'!CP$3:CP$7),"")</f>
        <v/>
      </c>
      <c r="CV48" s="79" t="str" cm="1">
        <f t="array" ref="CV48">IFERROR(MMULT($E48:$I48,'Producten &amp; tarieven'!CQ$3:CQ$7),"")</f>
        <v/>
      </c>
      <c r="CW48" s="79" t="str" cm="1">
        <f t="array" ref="CW48">IFERROR(MMULT($E48:$I48,'Producten &amp; tarieven'!CR$3:CR$7),"")</f>
        <v/>
      </c>
      <c r="CX48" s="79" t="str" cm="1">
        <f t="array" ref="CX48">IFERROR(MMULT($E48:$I48,'Producten &amp; tarieven'!CS$3:CS$7),"")</f>
        <v/>
      </c>
      <c r="CY48" s="79" t="str" cm="1">
        <f t="array" ref="CY48">IFERROR(MMULT($E48:$I48,'Producten &amp; tarieven'!CT$3:CT$7),"")</f>
        <v/>
      </c>
      <c r="CZ48" s="79" t="str" cm="1">
        <f t="array" ref="CZ48">IFERROR(MMULT($E48:$I48,'Producten &amp; tarieven'!CU$3:CU$7),"")</f>
        <v/>
      </c>
      <c r="DA48" s="79" t="str" cm="1">
        <f t="array" ref="DA48">IFERROR(MMULT($E48:$I48,'Producten &amp; tarieven'!CV$3:CV$7),"")</f>
        <v/>
      </c>
      <c r="DB48" s="79" t="str" cm="1">
        <f t="array" ref="DB48">IFERROR(MMULT($E48:$I48,'Producten &amp; tarieven'!CW$3:CW$7),"")</f>
        <v/>
      </c>
      <c r="DC48" s="79" t="str" cm="1">
        <f t="array" ref="DC48">IFERROR(MMULT($E48:$I48,'Producten &amp; tarieven'!CX$3:CX$7),"")</f>
        <v/>
      </c>
      <c r="DD48" s="79" t="str" cm="1">
        <f t="array" ref="DD48">IFERROR(MMULT($E48:$I48,'Producten &amp; tarieven'!CY$3:CY$7),"")</f>
        <v/>
      </c>
      <c r="DE48" s="441" t="str" cm="1">
        <f t="array" ref="DE48">IFERROR(MMULT($E48:$I48,'Producten &amp; tarieven'!CZ$3:CZ$7),"")</f>
        <v/>
      </c>
      <c r="DF48" s="448"/>
    </row>
    <row r="49" spans="1:110" ht="16.2" thickBot="1">
      <c r="A49" s="454"/>
      <c r="B49" s="455"/>
      <c r="C49" s="455"/>
      <c r="D49" s="455"/>
      <c r="E49" s="455"/>
      <c r="F49" s="455"/>
      <c r="G49" s="455"/>
      <c r="H49" s="455"/>
      <c r="I49" s="456"/>
      <c r="J49" s="455"/>
      <c r="K49" s="455"/>
      <c r="L49" s="455"/>
      <c r="M49" s="455"/>
      <c r="N49" s="457"/>
      <c r="O49" s="457"/>
      <c r="P49" s="457"/>
      <c r="Q49" s="457"/>
      <c r="R49" s="457"/>
      <c r="S49" s="457"/>
      <c r="T49" s="457"/>
      <c r="U49" s="457"/>
      <c r="V49" s="457"/>
      <c r="W49" s="457"/>
      <c r="X49" s="457"/>
      <c r="Y49" s="457"/>
      <c r="Z49" s="457"/>
      <c r="AA49" s="457"/>
      <c r="AB49" s="457"/>
      <c r="AC49" s="457"/>
      <c r="AD49" s="457"/>
      <c r="AE49" s="457"/>
      <c r="AF49" s="457"/>
      <c r="AG49" s="457"/>
      <c r="AH49" s="457"/>
      <c r="AI49" s="457"/>
      <c r="AJ49" s="457"/>
      <c r="AK49" s="457"/>
      <c r="AL49" s="457"/>
      <c r="AM49" s="457"/>
      <c r="AN49" s="457"/>
      <c r="AO49" s="457"/>
      <c r="AP49" s="457"/>
      <c r="AQ49" s="457"/>
      <c r="AR49" s="457"/>
      <c r="AS49" s="457"/>
      <c r="AT49" s="457"/>
      <c r="AU49" s="457"/>
      <c r="AV49" s="457"/>
      <c r="AW49" s="457"/>
      <c r="AX49" s="457"/>
      <c r="AY49" s="457"/>
      <c r="AZ49" s="457"/>
      <c r="BA49" s="457"/>
      <c r="BB49" s="457"/>
      <c r="BC49" s="457"/>
      <c r="BD49" s="457"/>
      <c r="BE49" s="457"/>
      <c r="BF49" s="457"/>
      <c r="BG49" s="457"/>
      <c r="BH49" s="457"/>
      <c r="BI49" s="457"/>
      <c r="BJ49" s="457"/>
      <c r="BK49" s="457"/>
      <c r="BL49" s="457"/>
      <c r="BM49" s="457"/>
      <c r="BN49" s="457"/>
      <c r="BO49" s="457"/>
      <c r="BP49" s="457"/>
      <c r="BQ49" s="457"/>
      <c r="BR49" s="457"/>
      <c r="BS49" s="457"/>
      <c r="BT49" s="457"/>
      <c r="BU49" s="457"/>
      <c r="BV49" s="457"/>
      <c r="BW49" s="457"/>
      <c r="BX49" s="457"/>
      <c r="BY49" s="457"/>
      <c r="BZ49" s="457"/>
      <c r="CA49" s="457"/>
      <c r="CB49" s="457"/>
      <c r="CC49" s="457"/>
      <c r="CD49" s="457"/>
      <c r="CE49" s="457"/>
      <c r="CF49" s="457"/>
      <c r="CG49" s="457"/>
      <c r="CH49" s="457"/>
      <c r="CI49" s="457"/>
      <c r="CJ49" s="457"/>
      <c r="CK49" s="457"/>
      <c r="CL49" s="457"/>
      <c r="CM49" s="457"/>
      <c r="CN49" s="457"/>
      <c r="CO49" s="457"/>
      <c r="CP49" s="457"/>
      <c r="CQ49" s="457"/>
      <c r="CR49" s="457"/>
      <c r="CS49" s="457"/>
      <c r="CT49" s="457"/>
      <c r="CU49" s="457"/>
      <c r="CV49" s="457"/>
      <c r="CW49" s="457"/>
      <c r="CX49" s="457"/>
      <c r="CY49" s="457"/>
      <c r="CZ49" s="457"/>
      <c r="DA49" s="457"/>
      <c r="DB49" s="457"/>
      <c r="DC49" s="457"/>
      <c r="DD49" s="457"/>
      <c r="DE49" s="457"/>
      <c r="DF49" s="458"/>
    </row>
    <row r="50" spans="1:110">
      <c r="BH50" s="27"/>
      <c r="BJ50" s="1"/>
    </row>
    <row r="51" spans="1:110">
      <c r="BH51" s="27"/>
      <c r="BJ51" s="1"/>
    </row>
    <row r="54" spans="1:110">
      <c r="D54" s="847"/>
    </row>
  </sheetData>
  <sheetProtection algorithmName="SHA-512" hashValue="zKk19EAyxNDRgV90luba2au7dKA5y4fw2hnFRxeqih2lken0QcLNfubegrdyl08KiHMfXAbZu9kf0lP8bavoyg==" saltValue="JM3LdkcYzNeItSNsGEeSpA==" spinCount="100000" sheet="1" objects="1" scenarios="1"/>
  <mergeCells count="12">
    <mergeCell ref="B44:B45"/>
    <mergeCell ref="B34:B35"/>
    <mergeCell ref="B36:B37"/>
    <mergeCell ref="B40:B41"/>
    <mergeCell ref="B42:B43"/>
    <mergeCell ref="L2:P3"/>
    <mergeCell ref="L4:P7"/>
    <mergeCell ref="H10:J10"/>
    <mergeCell ref="E10:G10"/>
    <mergeCell ref="B10:D10"/>
    <mergeCell ref="K10:M10"/>
    <mergeCell ref="N10:P10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C299E-77B8-4B13-AD6C-7D29A52EBC00}">
  <sheetPr>
    <tabColor theme="9"/>
  </sheetPr>
  <dimension ref="A2:R34"/>
  <sheetViews>
    <sheetView topLeftCell="A6" zoomScale="130" zoomScaleNormal="130" workbookViewId="0">
      <selection activeCell="I19" sqref="I19"/>
    </sheetView>
  </sheetViews>
  <sheetFormatPr defaultColWidth="8.77734375" defaultRowHeight="14.4"/>
  <cols>
    <col min="1" max="3" width="8.77734375" style="231"/>
    <col min="4" max="4" width="11.44140625" style="231" bestFit="1" customWidth="1"/>
    <col min="5" max="6" width="8.77734375" style="231"/>
    <col min="7" max="7" width="11.44140625" style="231" customWidth="1"/>
    <col min="8" max="9" width="8.77734375" style="231"/>
    <col min="10" max="10" width="11.44140625" style="231" customWidth="1"/>
    <col min="11" max="12" width="8.77734375" style="231"/>
    <col min="13" max="13" width="10.109375" style="231" bestFit="1" customWidth="1"/>
    <col min="14" max="14" width="8.77734375" style="231"/>
    <col min="15" max="15" width="8.109375" style="231" bestFit="1" customWidth="1"/>
    <col min="16" max="16" width="10.109375" style="231" bestFit="1" customWidth="1"/>
    <col min="17" max="17" width="8.77734375" style="231"/>
    <col min="18" max="18" width="10.44140625" style="231" bestFit="1" customWidth="1"/>
    <col min="19" max="16384" width="8.77734375" style="231"/>
  </cols>
  <sheetData>
    <row r="2" spans="1:18" ht="15.6">
      <c r="B2" s="934" t="s">
        <v>387</v>
      </c>
    </row>
    <row r="8" spans="1:18" ht="15" thickBot="1"/>
    <row r="9" spans="1:18" ht="15">
      <c r="A9" s="447"/>
      <c r="B9" s="69"/>
      <c r="C9" s="13" t="s">
        <v>11</v>
      </c>
      <c r="D9" s="14"/>
      <c r="E9" s="6"/>
      <c r="F9" s="4" t="s">
        <v>12</v>
      </c>
      <c r="G9" s="7"/>
      <c r="H9" s="15"/>
      <c r="I9" s="5" t="s">
        <v>13</v>
      </c>
      <c r="J9" s="16"/>
      <c r="K9" s="11"/>
      <c r="L9" s="3" t="s">
        <v>10</v>
      </c>
      <c r="M9" s="12"/>
      <c r="N9" s="17"/>
      <c r="O9" s="18" t="s">
        <v>14</v>
      </c>
      <c r="P9" s="19"/>
    </row>
    <row r="10" spans="1:18" ht="15">
      <c r="A10" s="447"/>
      <c r="B10" s="1084">
        <v>45627</v>
      </c>
      <c r="C10" s="1079"/>
      <c r="D10" s="1080"/>
      <c r="E10" s="1084">
        <v>45627</v>
      </c>
      <c r="F10" s="1079"/>
      <c r="G10" s="1080"/>
      <c r="H10" s="1084">
        <v>45474</v>
      </c>
      <c r="I10" s="1079"/>
      <c r="J10" s="1080"/>
      <c r="K10" s="1084">
        <v>45566</v>
      </c>
      <c r="L10" s="1079"/>
      <c r="M10" s="1080"/>
      <c r="N10" s="1084">
        <v>45474</v>
      </c>
      <c r="O10" s="1079"/>
      <c r="P10" s="1080"/>
    </row>
    <row r="11" spans="1:18" ht="15">
      <c r="A11" s="447"/>
      <c r="B11" s="61"/>
      <c r="C11" s="27"/>
      <c r="D11" s="39"/>
      <c r="E11" s="27"/>
      <c r="F11" s="27"/>
      <c r="G11" s="39"/>
      <c r="H11" s="27"/>
      <c r="I11" s="27"/>
      <c r="J11" s="39"/>
      <c r="K11" s="59"/>
      <c r="L11" s="60" t="s">
        <v>44</v>
      </c>
      <c r="M11" s="10">
        <v>2656.3</v>
      </c>
      <c r="N11" s="27"/>
      <c r="O11" s="27"/>
      <c r="P11" s="39"/>
    </row>
    <row r="12" spans="1:18" ht="15">
      <c r="A12" s="447"/>
      <c r="B12" s="62"/>
      <c r="C12" s="63"/>
      <c r="D12" s="64"/>
      <c r="E12" s="62"/>
      <c r="F12" s="63"/>
      <c r="G12" s="64"/>
      <c r="H12" s="63"/>
      <c r="I12" s="63"/>
      <c r="J12" s="64"/>
      <c r="K12" s="59"/>
      <c r="L12" s="60" t="s">
        <v>17</v>
      </c>
      <c r="M12" s="49">
        <v>2691.15</v>
      </c>
      <c r="N12" s="63"/>
      <c r="O12" s="63"/>
      <c r="P12" s="64"/>
    </row>
    <row r="13" spans="1:18" ht="15">
      <c r="A13" s="447"/>
      <c r="B13" s="61" t="s">
        <v>18</v>
      </c>
      <c r="C13" s="60" t="s">
        <v>19</v>
      </c>
      <c r="D13" s="56">
        <v>2857</v>
      </c>
      <c r="E13" s="27" t="s">
        <v>18</v>
      </c>
      <c r="F13" s="60" t="s">
        <v>19</v>
      </c>
      <c r="G13" s="55">
        <v>2877</v>
      </c>
      <c r="H13" s="27" t="s">
        <v>18</v>
      </c>
      <c r="I13" s="60"/>
      <c r="J13" s="933">
        <v>2908</v>
      </c>
      <c r="K13" s="61" t="s">
        <v>18</v>
      </c>
      <c r="L13" s="60" t="s">
        <v>19</v>
      </c>
      <c r="M13" s="49">
        <v>2847.02</v>
      </c>
      <c r="N13" s="27" t="s">
        <v>18</v>
      </c>
      <c r="O13" s="60"/>
      <c r="P13" s="65"/>
    </row>
    <row r="14" spans="1:18" ht="15">
      <c r="A14" s="447"/>
      <c r="B14" s="62"/>
      <c r="C14" s="63" t="s">
        <v>21</v>
      </c>
      <c r="D14" s="51">
        <v>2990</v>
      </c>
      <c r="E14" s="63"/>
      <c r="F14" s="63" t="s">
        <v>21</v>
      </c>
      <c r="G14" s="52">
        <v>3028</v>
      </c>
      <c r="H14" s="63"/>
      <c r="I14" s="63" t="s">
        <v>20</v>
      </c>
      <c r="J14" s="53">
        <v>3086</v>
      </c>
      <c r="K14" s="62"/>
      <c r="L14" s="63" t="s">
        <v>21</v>
      </c>
      <c r="M14" s="50">
        <v>3003.86</v>
      </c>
      <c r="N14" s="63"/>
      <c r="O14" s="63" t="s">
        <v>20</v>
      </c>
      <c r="P14" s="54">
        <v>2902.0068449999999</v>
      </c>
      <c r="R14" s="935"/>
    </row>
    <row r="15" spans="1:18" ht="15">
      <c r="A15" s="447"/>
      <c r="B15" s="61" t="s">
        <v>22</v>
      </c>
      <c r="C15" s="60" t="s">
        <v>24</v>
      </c>
      <c r="D15" s="56">
        <v>3127</v>
      </c>
      <c r="E15" s="27" t="s">
        <v>22</v>
      </c>
      <c r="F15" s="60" t="s">
        <v>24</v>
      </c>
      <c r="G15" s="55">
        <v>3191</v>
      </c>
      <c r="H15" s="27" t="s">
        <v>22</v>
      </c>
      <c r="I15" s="60" t="s">
        <v>23</v>
      </c>
      <c r="J15" s="57">
        <v>3380</v>
      </c>
      <c r="K15" s="61" t="s">
        <v>22</v>
      </c>
      <c r="L15" s="60" t="s">
        <v>24</v>
      </c>
      <c r="M15" s="49">
        <v>3088.94</v>
      </c>
      <c r="N15" s="27" t="s">
        <v>22</v>
      </c>
      <c r="O15" s="60" t="s">
        <v>23</v>
      </c>
      <c r="P15" s="58">
        <v>3104.2934100000002</v>
      </c>
      <c r="R15" s="935"/>
    </row>
    <row r="16" spans="1:18" ht="15">
      <c r="A16" s="447"/>
      <c r="B16" s="62"/>
      <c r="C16" s="63" t="s">
        <v>26</v>
      </c>
      <c r="D16" s="51">
        <v>3346</v>
      </c>
      <c r="E16" s="63"/>
      <c r="F16" s="63" t="s">
        <v>26</v>
      </c>
      <c r="G16" s="52">
        <v>3427</v>
      </c>
      <c r="H16" s="63"/>
      <c r="I16" s="63" t="s">
        <v>25</v>
      </c>
      <c r="J16" s="53">
        <v>3592</v>
      </c>
      <c r="K16" s="62"/>
      <c r="L16" s="63" t="s">
        <v>26</v>
      </c>
      <c r="M16" s="50">
        <v>3337.94</v>
      </c>
      <c r="N16" s="63"/>
      <c r="O16" s="63" t="s">
        <v>25</v>
      </c>
      <c r="P16" s="54">
        <v>3333.07548</v>
      </c>
    </row>
    <row r="17" spans="1:16" ht="15">
      <c r="A17" s="447"/>
      <c r="B17" s="61" t="s">
        <v>27</v>
      </c>
      <c r="C17" s="63" t="s">
        <v>29</v>
      </c>
      <c r="D17" s="51">
        <v>3682</v>
      </c>
      <c r="E17" s="27" t="s">
        <v>27</v>
      </c>
      <c r="F17" s="63" t="s">
        <v>29</v>
      </c>
      <c r="G17" s="52">
        <v>3678</v>
      </c>
      <c r="H17" s="27" t="s">
        <v>27</v>
      </c>
      <c r="I17" s="63" t="s">
        <v>28</v>
      </c>
      <c r="J17" s="53">
        <v>4012</v>
      </c>
      <c r="K17" s="61" t="s">
        <v>27</v>
      </c>
      <c r="L17" s="60" t="s">
        <v>29</v>
      </c>
      <c r="M17" s="49">
        <v>3590.14</v>
      </c>
      <c r="N17" s="27" t="s">
        <v>27</v>
      </c>
      <c r="O17" s="63" t="s">
        <v>28</v>
      </c>
      <c r="P17" s="54">
        <v>3593.5143749999997</v>
      </c>
    </row>
    <row r="18" spans="1:16" ht="15">
      <c r="A18" s="447"/>
      <c r="B18" s="62"/>
      <c r="C18" s="63" t="s">
        <v>31</v>
      </c>
      <c r="D18" s="51">
        <v>4017</v>
      </c>
      <c r="E18" s="63"/>
      <c r="F18" s="63" t="s">
        <v>31</v>
      </c>
      <c r="G18" s="52">
        <v>4017</v>
      </c>
      <c r="H18" s="63"/>
      <c r="I18" s="63" t="s">
        <v>30</v>
      </c>
      <c r="J18" s="53">
        <v>4274</v>
      </c>
      <c r="K18" s="62"/>
      <c r="L18" s="63" t="s">
        <v>31</v>
      </c>
      <c r="M18" s="50">
        <v>3944.48</v>
      </c>
      <c r="N18" s="63"/>
      <c r="O18" s="63" t="s">
        <v>30</v>
      </c>
      <c r="P18" s="54">
        <v>3887.7424200000005</v>
      </c>
    </row>
    <row r="19" spans="1:16" ht="15">
      <c r="A19" s="447"/>
      <c r="B19" s="61" t="s">
        <v>32</v>
      </c>
      <c r="C19" s="63" t="s">
        <v>34</v>
      </c>
      <c r="D19" s="51">
        <v>4434</v>
      </c>
      <c r="E19" s="27" t="s">
        <v>32</v>
      </c>
      <c r="F19" s="63" t="s">
        <v>34</v>
      </c>
      <c r="G19" s="52">
        <v>4436</v>
      </c>
      <c r="H19" s="27" t="s">
        <v>32</v>
      </c>
      <c r="I19" s="63" t="s">
        <v>33</v>
      </c>
      <c r="J19" s="53">
        <v>4729</v>
      </c>
      <c r="K19" s="61" t="s">
        <v>32</v>
      </c>
      <c r="L19" s="60" t="s">
        <v>34</v>
      </c>
      <c r="M19" s="49">
        <v>4480.21</v>
      </c>
      <c r="N19" s="27" t="s">
        <v>32</v>
      </c>
      <c r="O19" s="63" t="s">
        <v>33</v>
      </c>
      <c r="P19" s="54">
        <v>4223.1626100000003</v>
      </c>
    </row>
    <row r="20" spans="1:16" ht="15">
      <c r="A20" s="447"/>
      <c r="B20" s="62"/>
      <c r="C20" s="63" t="s">
        <v>36</v>
      </c>
      <c r="D20" s="51">
        <v>4977</v>
      </c>
      <c r="E20" s="63"/>
      <c r="F20" s="63" t="s">
        <v>36</v>
      </c>
      <c r="G20" s="52">
        <v>4902</v>
      </c>
      <c r="H20" s="63"/>
      <c r="I20" s="63" t="s">
        <v>35</v>
      </c>
      <c r="J20" s="53">
        <v>5202</v>
      </c>
      <c r="K20" s="62"/>
      <c r="L20" s="63" t="s">
        <v>36</v>
      </c>
      <c r="M20" s="50">
        <v>5029.1499999999996</v>
      </c>
      <c r="N20" s="63"/>
      <c r="O20" s="63" t="s">
        <v>35</v>
      </c>
      <c r="P20" s="54">
        <v>4601.3167800000001</v>
      </c>
    </row>
    <row r="21" spans="1:16" ht="15">
      <c r="A21" s="447"/>
      <c r="B21" s="61" t="s">
        <v>37</v>
      </c>
      <c r="C21" s="63" t="s">
        <v>36</v>
      </c>
      <c r="D21" s="51">
        <v>4977</v>
      </c>
      <c r="E21" s="27" t="s">
        <v>37</v>
      </c>
      <c r="F21" s="63" t="s">
        <v>36</v>
      </c>
      <c r="G21" s="52">
        <v>4902</v>
      </c>
      <c r="H21" s="27" t="s">
        <v>37</v>
      </c>
      <c r="I21" s="63" t="s">
        <v>35</v>
      </c>
      <c r="J21" s="53">
        <v>5202</v>
      </c>
      <c r="K21" s="61" t="s">
        <v>37</v>
      </c>
      <c r="L21" s="60" t="s">
        <v>36</v>
      </c>
      <c r="M21" s="49">
        <v>5029.1499999999996</v>
      </c>
      <c r="N21" s="27" t="s">
        <v>37</v>
      </c>
      <c r="O21" s="63" t="s">
        <v>35</v>
      </c>
      <c r="P21" s="54">
        <v>4601.3167800000001</v>
      </c>
    </row>
    <row r="22" spans="1:16" ht="15">
      <c r="A22" s="447"/>
      <c r="B22" s="62"/>
      <c r="C22" s="63" t="s">
        <v>39</v>
      </c>
      <c r="D22" s="51">
        <v>5548</v>
      </c>
      <c r="E22" s="63"/>
      <c r="F22" s="63" t="s">
        <v>39</v>
      </c>
      <c r="G22" s="52">
        <v>5587</v>
      </c>
      <c r="H22" s="63"/>
      <c r="I22" s="63" t="s">
        <v>38</v>
      </c>
      <c r="J22" s="53">
        <v>5702</v>
      </c>
      <c r="K22" s="62"/>
      <c r="L22" s="63" t="s">
        <v>39</v>
      </c>
      <c r="M22" s="50">
        <v>5733.02</v>
      </c>
      <c r="N22" s="63"/>
      <c r="O22" s="63" t="s">
        <v>38</v>
      </c>
      <c r="P22" s="54">
        <v>5036.0595750000002</v>
      </c>
    </row>
    <row r="23" spans="1:16" ht="15">
      <c r="A23" s="447"/>
      <c r="B23" s="61" t="s">
        <v>40</v>
      </c>
      <c r="C23" s="63" t="s">
        <v>39</v>
      </c>
      <c r="D23" s="51">
        <v>5548</v>
      </c>
      <c r="E23" s="27" t="s">
        <v>40</v>
      </c>
      <c r="F23" s="63" t="s">
        <v>39</v>
      </c>
      <c r="G23" s="52">
        <v>5587</v>
      </c>
      <c r="H23" s="27" t="s">
        <v>40</v>
      </c>
      <c r="I23" s="63" t="s">
        <v>38</v>
      </c>
      <c r="J23" s="53">
        <v>5702</v>
      </c>
      <c r="K23" s="27" t="s">
        <v>40</v>
      </c>
      <c r="L23" s="60" t="s">
        <v>39</v>
      </c>
      <c r="M23" s="49">
        <v>5733.02</v>
      </c>
      <c r="N23" s="27" t="s">
        <v>40</v>
      </c>
      <c r="O23" s="63" t="s">
        <v>41</v>
      </c>
      <c r="P23" s="54">
        <v>5793.7238550000002</v>
      </c>
    </row>
    <row r="24" spans="1:16" ht="15">
      <c r="A24" s="447"/>
      <c r="B24" s="62"/>
      <c r="C24" s="63" t="s">
        <v>43</v>
      </c>
      <c r="D24" s="51">
        <v>6504</v>
      </c>
      <c r="E24" s="63"/>
      <c r="F24" s="63" t="s">
        <v>43</v>
      </c>
      <c r="G24" s="52">
        <v>6575</v>
      </c>
      <c r="H24" s="63"/>
      <c r="I24" s="63" t="s">
        <v>41</v>
      </c>
      <c r="J24" s="53">
        <v>6322</v>
      </c>
      <c r="K24" s="63"/>
      <c r="L24" s="63" t="s">
        <v>43</v>
      </c>
      <c r="M24" s="50">
        <v>6748.37</v>
      </c>
      <c r="N24" s="63"/>
      <c r="O24" s="63" t="s">
        <v>42</v>
      </c>
      <c r="P24" s="54">
        <v>6646.3148700000002</v>
      </c>
    </row>
    <row r="25" spans="1:16" ht="15">
      <c r="A25" s="447"/>
      <c r="B25" s="61" t="s">
        <v>98</v>
      </c>
      <c r="C25" s="63" t="s">
        <v>43</v>
      </c>
      <c r="D25" s="51">
        <v>6504</v>
      </c>
      <c r="E25" s="61" t="s">
        <v>98</v>
      </c>
      <c r="F25" s="63" t="s">
        <v>43</v>
      </c>
      <c r="G25" s="52">
        <v>6575</v>
      </c>
      <c r="H25" s="27" t="s">
        <v>98</v>
      </c>
      <c r="I25" s="27" t="s">
        <v>41</v>
      </c>
      <c r="J25" s="53">
        <v>6322</v>
      </c>
      <c r="K25" s="61" t="s">
        <v>98</v>
      </c>
      <c r="L25" s="63" t="s">
        <v>43</v>
      </c>
      <c r="M25" s="50">
        <v>6748.37</v>
      </c>
      <c r="N25" s="27" t="s">
        <v>98</v>
      </c>
      <c r="O25" s="60" t="s">
        <v>42</v>
      </c>
      <c r="P25" s="54">
        <v>6646.3148700000002</v>
      </c>
    </row>
    <row r="26" spans="1:16" ht="15">
      <c r="A26" s="447"/>
      <c r="B26" s="62"/>
      <c r="C26" s="63" t="s">
        <v>96</v>
      </c>
      <c r="D26" s="83">
        <v>7659</v>
      </c>
      <c r="E26" s="62"/>
      <c r="F26" s="63" t="s">
        <v>96</v>
      </c>
      <c r="G26" s="52">
        <v>7941</v>
      </c>
      <c r="H26" s="63"/>
      <c r="I26" s="63" t="s">
        <v>42</v>
      </c>
      <c r="J26" s="53">
        <v>7020</v>
      </c>
      <c r="K26" s="62"/>
      <c r="L26" s="60" t="s">
        <v>96</v>
      </c>
      <c r="M26" s="519"/>
      <c r="N26" s="63"/>
      <c r="O26" s="63" t="s">
        <v>95</v>
      </c>
      <c r="P26" s="54">
        <v>7624.6911900000005</v>
      </c>
    </row>
    <row r="27" spans="1:16" ht="15">
      <c r="A27" s="447"/>
      <c r="B27" s="61" t="s">
        <v>99</v>
      </c>
      <c r="C27" s="63" t="s">
        <v>96</v>
      </c>
      <c r="D27" s="83">
        <v>7659</v>
      </c>
      <c r="E27" s="61" t="s">
        <v>99</v>
      </c>
      <c r="F27" s="63" t="s">
        <v>96</v>
      </c>
      <c r="G27" s="52">
        <v>7941</v>
      </c>
      <c r="H27" s="27"/>
      <c r="I27" s="27"/>
      <c r="J27" s="27"/>
      <c r="K27" s="61" t="s">
        <v>99</v>
      </c>
      <c r="L27" s="60" t="s">
        <v>96</v>
      </c>
      <c r="M27" s="519"/>
      <c r="N27" s="453"/>
      <c r="O27" s="27"/>
      <c r="P27" s="87"/>
    </row>
    <row r="28" spans="1:16" ht="15">
      <c r="A28" s="447"/>
      <c r="B28" s="62"/>
      <c r="C28" s="63" t="s">
        <v>97</v>
      </c>
      <c r="D28" s="83">
        <v>9143</v>
      </c>
      <c r="E28" s="62"/>
      <c r="F28" s="63" t="s">
        <v>97</v>
      </c>
      <c r="G28" s="52">
        <v>9611</v>
      </c>
      <c r="H28" s="27"/>
      <c r="I28" s="27"/>
      <c r="J28" s="27"/>
      <c r="K28" s="62"/>
      <c r="L28" s="60" t="s">
        <v>97</v>
      </c>
      <c r="M28" s="519"/>
      <c r="N28" s="27"/>
      <c r="O28" s="27"/>
      <c r="P28" s="87"/>
    </row>
    <row r="29" spans="1:16" ht="15.6" thickBot="1">
      <c r="A29" s="447"/>
      <c r="B29" s="70" t="s">
        <v>100</v>
      </c>
      <c r="C29" s="42"/>
      <c r="D29" s="88">
        <v>10598</v>
      </c>
      <c r="E29" s="70"/>
      <c r="F29" s="42"/>
      <c r="G29" s="42"/>
      <c r="H29" s="42"/>
      <c r="I29" s="42"/>
      <c r="J29" s="43"/>
      <c r="K29" s="42"/>
      <c r="L29" s="42"/>
      <c r="M29" s="43"/>
      <c r="N29" s="42"/>
      <c r="O29" s="42"/>
      <c r="P29" s="43"/>
    </row>
    <row r="34" spans="10:10">
      <c r="J34" s="935"/>
    </row>
  </sheetData>
  <sheetProtection algorithmName="SHA-512" hashValue="74ZBLP/6u7qkwe47FGfqRp82NsQyO6/HV8bg6tDn3M6uIBgu3tlnOtrR+K8ZhgxyIWPTkG9LRGCJJRSE3qdWUg==" saltValue="1TNJy1geG3JEL1dNcKtuSA==" spinCount="100000" sheet="1" objects="1" scenarios="1"/>
  <mergeCells count="5">
    <mergeCell ref="B10:D10"/>
    <mergeCell ref="E10:G10"/>
    <mergeCell ref="H10:J10"/>
    <mergeCell ref="K10:M10"/>
    <mergeCell ref="N10:P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7F92C-5914-4761-8FB4-08EFC73CA51C}">
  <sheetPr>
    <tabColor theme="9" tint="0.79998168889431442"/>
  </sheetPr>
  <dimension ref="A1:BC18"/>
  <sheetViews>
    <sheetView zoomScale="95" zoomScaleNormal="95" workbookViewId="0">
      <selection activeCell="D15" sqref="D15"/>
    </sheetView>
  </sheetViews>
  <sheetFormatPr defaultColWidth="8.77734375" defaultRowHeight="15"/>
  <cols>
    <col min="1" max="1" width="4.109375" style="27" customWidth="1"/>
    <col min="2" max="2" width="68.33203125" style="27" customWidth="1"/>
    <col min="3" max="3" width="9.77734375" style="27" customWidth="1"/>
    <col min="4" max="4" width="17.109375" style="27" customWidth="1"/>
    <col min="5" max="6" width="11" style="27" bestFit="1" customWidth="1"/>
    <col min="7" max="7" width="4.109375" style="27" customWidth="1"/>
    <col min="8" max="8" width="13.77734375" style="27" customWidth="1"/>
    <col min="9" max="17" width="11" style="27" bestFit="1" customWidth="1"/>
    <col min="18" max="18" width="3.109375" style="27" customWidth="1"/>
    <col min="19" max="26" width="11" style="27" bestFit="1" customWidth="1"/>
    <col min="27" max="46" width="11" style="27" customWidth="1"/>
    <col min="47" max="53" width="11" style="27" bestFit="1" customWidth="1"/>
    <col min="54" max="54" width="24.77734375" style="27" bestFit="1" customWidth="1"/>
    <col min="55" max="55" width="2.77734375" style="1" customWidth="1"/>
    <col min="56" max="56" width="16.6640625" style="27" customWidth="1"/>
    <col min="57" max="16384" width="8.77734375" style="27"/>
  </cols>
  <sheetData>
    <row r="1" spans="1:55">
      <c r="A1" s="444"/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6"/>
    </row>
    <row r="2" spans="1:55" ht="23.55" customHeight="1">
      <c r="A2" s="447"/>
      <c r="B2" s="47" t="s">
        <v>385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48"/>
    </row>
    <row r="3" spans="1:55">
      <c r="A3" s="447"/>
      <c r="B3" s="464"/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8"/>
    </row>
    <row r="4" spans="1:55" ht="15.6" thickBot="1">
      <c r="A4" s="447"/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448"/>
    </row>
    <row r="5" spans="1:55" ht="15.6" thickBot="1">
      <c r="A5" s="447"/>
      <c r="B5" s="28" t="s">
        <v>381</v>
      </c>
      <c r="C5" s="29" t="s">
        <v>120</v>
      </c>
      <c r="D5" s="30">
        <v>2025</v>
      </c>
      <c r="E5" s="45"/>
      <c r="F5" s="26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8"/>
    </row>
    <row r="6" spans="1:55">
      <c r="A6" s="447"/>
      <c r="B6" s="32" t="s">
        <v>49</v>
      </c>
      <c r="C6" s="789">
        <v>0.1</v>
      </c>
      <c r="D6" s="788">
        <f>0.0628+0.005</f>
        <v>6.7799999999999999E-2</v>
      </c>
      <c r="E6" s="809">
        <f>(C6*D6)+(C7*D7)</f>
        <v>8.004E-2</v>
      </c>
      <c r="F6" s="39"/>
      <c r="G6" s="442"/>
      <c r="H6" s="442" t="s">
        <v>377</v>
      </c>
      <c r="I6" s="442"/>
      <c r="J6" s="442"/>
      <c r="K6" s="442"/>
      <c r="L6" s="442"/>
      <c r="M6" s="442"/>
      <c r="N6" s="442"/>
      <c r="O6" s="442"/>
      <c r="P6" s="442"/>
      <c r="Q6" s="442"/>
      <c r="R6" s="448"/>
    </row>
    <row r="7" spans="1:55" ht="15.6" thickBot="1">
      <c r="A7" s="447"/>
      <c r="B7" s="32" t="s">
        <v>50</v>
      </c>
      <c r="C7" s="2">
        <v>0.9</v>
      </c>
      <c r="D7" s="788">
        <f>0.0764+0.005</f>
        <v>8.14E-2</v>
      </c>
      <c r="F7" s="39"/>
      <c r="G7" s="442"/>
      <c r="H7" s="442" t="s">
        <v>377</v>
      </c>
      <c r="I7" s="442"/>
      <c r="J7" s="442"/>
      <c r="K7" s="442"/>
      <c r="L7" s="442"/>
      <c r="M7" s="442"/>
      <c r="N7" s="442"/>
      <c r="O7" s="442"/>
      <c r="P7" s="442"/>
      <c r="Q7" s="442"/>
      <c r="R7" s="448"/>
    </row>
    <row r="8" spans="1:55">
      <c r="A8" s="447"/>
      <c r="B8" s="32" t="s">
        <v>51</v>
      </c>
      <c r="C8" s="789">
        <v>0.8</v>
      </c>
      <c r="D8" s="788">
        <v>2.7400000000000001E-2</v>
      </c>
      <c r="E8" s="809">
        <f>(C8*D8)+(C9*D9)</f>
        <v>3.7399999999999996E-2</v>
      </c>
      <c r="F8" s="39"/>
      <c r="G8" s="442"/>
      <c r="H8" s="442" t="s">
        <v>377</v>
      </c>
      <c r="I8" s="442"/>
      <c r="J8" s="442"/>
      <c r="K8" s="442"/>
      <c r="L8" s="442"/>
      <c r="M8" s="442"/>
      <c r="N8" s="442"/>
      <c r="O8" s="442"/>
      <c r="P8" s="442"/>
      <c r="Q8" s="442"/>
      <c r="R8" s="448"/>
    </row>
    <row r="9" spans="1:55" ht="15.6" thickBot="1">
      <c r="A9" s="447"/>
      <c r="B9" s="32" t="s">
        <v>52</v>
      </c>
      <c r="C9" s="2">
        <f>1-C8</f>
        <v>0.19999999999999996</v>
      </c>
      <c r="D9" s="788">
        <v>7.7399999999999997E-2</v>
      </c>
      <c r="F9" s="39"/>
      <c r="G9" s="442"/>
      <c r="H9" s="442" t="s">
        <v>377</v>
      </c>
      <c r="I9" s="442"/>
      <c r="J9" s="442"/>
      <c r="K9" s="442"/>
      <c r="L9" s="442"/>
      <c r="M9" s="442"/>
      <c r="N9" s="442"/>
      <c r="O9" s="442"/>
      <c r="P9" s="442"/>
      <c r="Q9" s="442"/>
      <c r="R9" s="448"/>
    </row>
    <row r="10" spans="1:55">
      <c r="A10" s="447"/>
      <c r="B10" s="32" t="s">
        <v>53</v>
      </c>
      <c r="C10" s="461"/>
      <c r="D10" s="788">
        <v>6.5100000000000005E-2</v>
      </c>
      <c r="F10" s="39"/>
      <c r="G10" s="442"/>
      <c r="H10" s="442" t="s">
        <v>378</v>
      </c>
      <c r="I10" s="442"/>
      <c r="J10" s="442"/>
      <c r="K10" s="442"/>
      <c r="L10" s="442"/>
      <c r="M10" s="442"/>
      <c r="N10" s="442"/>
      <c r="O10" s="442"/>
      <c r="P10" s="442"/>
      <c r="Q10" s="442"/>
      <c r="R10" s="448"/>
    </row>
    <row r="11" spans="1:55">
      <c r="A11" s="447"/>
      <c r="B11" s="32" t="s">
        <v>54</v>
      </c>
      <c r="C11" s="461"/>
      <c r="D11" s="788">
        <v>1.66E-2</v>
      </c>
      <c r="F11" s="39"/>
      <c r="G11" s="442"/>
      <c r="H11" s="442" t="s">
        <v>382</v>
      </c>
      <c r="I11" s="442"/>
      <c r="J11" s="442"/>
      <c r="K11" s="442"/>
      <c r="L11" s="442"/>
      <c r="M11" s="442"/>
      <c r="N11" s="442"/>
      <c r="O11" s="442"/>
      <c r="P11" s="442"/>
      <c r="Q11" s="442"/>
      <c r="R11" s="448"/>
    </row>
    <row r="12" spans="1:55">
      <c r="A12" s="447"/>
      <c r="B12" s="32" t="s">
        <v>48</v>
      </c>
      <c r="C12" s="808">
        <v>4.0000000000000002E-4</v>
      </c>
      <c r="D12" s="37"/>
      <c r="F12" s="39"/>
      <c r="G12" s="442"/>
      <c r="H12" s="442" t="s">
        <v>61</v>
      </c>
      <c r="I12" s="442"/>
      <c r="J12" s="442"/>
      <c r="K12" s="442"/>
      <c r="L12" s="442"/>
      <c r="M12" s="442"/>
      <c r="N12" s="442"/>
      <c r="O12" s="442"/>
      <c r="P12" s="442"/>
      <c r="Q12" s="442"/>
      <c r="R12" s="448"/>
    </row>
    <row r="13" spans="1:55" ht="15.6" thickBot="1">
      <c r="A13" s="447"/>
      <c r="B13" s="33" t="s">
        <v>55</v>
      </c>
      <c r="C13" s="35"/>
      <c r="D13" s="40">
        <f>E13*F13*C9</f>
        <v>1.8533333147999992E-3</v>
      </c>
      <c r="E13" s="38">
        <v>2.7799999999999998E-2</v>
      </c>
      <c r="F13" s="41">
        <v>0.33333332999999998</v>
      </c>
      <c r="G13" s="442"/>
      <c r="H13" s="442"/>
      <c r="I13" s="442"/>
      <c r="J13" s="442"/>
      <c r="K13" s="442"/>
      <c r="L13" s="442"/>
      <c r="M13" s="442"/>
      <c r="N13" s="442"/>
      <c r="O13" s="442"/>
      <c r="P13" s="442"/>
      <c r="Q13" s="442"/>
      <c r="R13" s="448"/>
    </row>
    <row r="14" spans="1:55" ht="16.2" thickTop="1" thickBot="1">
      <c r="A14" s="447"/>
      <c r="B14" s="34" t="s">
        <v>56</v>
      </c>
      <c r="C14" s="36"/>
      <c r="D14" s="31">
        <f>E6+E8+D10+D11+D13+D12</f>
        <v>0.20099333331479999</v>
      </c>
      <c r="E14" s="42"/>
      <c r="F14" s="43"/>
      <c r="G14" s="442"/>
      <c r="H14" s="462"/>
      <c r="I14" s="463"/>
      <c r="J14" s="442"/>
      <c r="K14" s="442"/>
      <c r="L14" s="442"/>
      <c r="M14" s="442"/>
      <c r="N14" s="442"/>
      <c r="O14" s="442"/>
      <c r="P14" s="442"/>
      <c r="Q14" s="442"/>
      <c r="R14" s="448"/>
    </row>
    <row r="15" spans="1:55" ht="15.6" thickBot="1">
      <c r="A15" s="447"/>
      <c r="B15" s="442"/>
      <c r="C15" s="442"/>
      <c r="D15" s="442"/>
      <c r="E15" s="442"/>
      <c r="F15" s="442"/>
      <c r="G15" s="442"/>
      <c r="H15" s="442"/>
      <c r="I15" s="442"/>
      <c r="J15" s="442"/>
      <c r="K15" s="442"/>
      <c r="L15" s="442"/>
      <c r="M15" s="442"/>
      <c r="N15" s="442"/>
      <c r="O15" s="442"/>
      <c r="P15" s="442"/>
      <c r="Q15" s="442"/>
      <c r="R15" s="448"/>
    </row>
    <row r="16" spans="1:55">
      <c r="A16" s="447"/>
      <c r="B16" s="28" t="s">
        <v>384</v>
      </c>
      <c r="C16" s="45"/>
      <c r="D16" s="45"/>
      <c r="E16" s="45"/>
      <c r="F16" s="26"/>
      <c r="G16" s="442"/>
      <c r="H16" s="442"/>
      <c r="I16" s="442"/>
      <c r="J16" s="442"/>
      <c r="K16" s="442"/>
      <c r="L16" s="442"/>
      <c r="M16" s="442"/>
      <c r="N16" s="442"/>
      <c r="O16" s="442"/>
      <c r="P16" s="442"/>
      <c r="Q16" s="442"/>
      <c r="R16" s="448"/>
      <c r="AW16" s="1"/>
      <c r="BC16" s="27"/>
    </row>
    <row r="17" spans="1:55" ht="15.6" thickBot="1">
      <c r="A17" s="447"/>
      <c r="B17" s="459" t="s">
        <v>383</v>
      </c>
      <c r="C17" s="42"/>
      <c r="D17" s="42"/>
      <c r="E17" s="42"/>
      <c r="F17" s="43"/>
      <c r="G17" s="442"/>
      <c r="H17" s="442"/>
      <c r="I17" s="442"/>
      <c r="J17" s="442"/>
      <c r="K17" s="442"/>
      <c r="L17" s="442"/>
      <c r="M17" s="442"/>
      <c r="N17" s="442"/>
      <c r="O17" s="442"/>
      <c r="P17" s="442"/>
      <c r="Q17" s="442"/>
      <c r="R17" s="448"/>
      <c r="AW17" s="1"/>
      <c r="BC17" s="27"/>
    </row>
    <row r="18" spans="1:55" ht="15.6" thickBot="1">
      <c r="A18" s="454"/>
      <c r="B18" s="455"/>
      <c r="C18" s="455"/>
      <c r="D18" s="455"/>
      <c r="E18" s="455"/>
      <c r="F18" s="455"/>
      <c r="G18" s="455"/>
      <c r="H18" s="455"/>
      <c r="I18" s="455"/>
      <c r="J18" s="455"/>
      <c r="K18" s="455"/>
      <c r="L18" s="455"/>
      <c r="M18" s="455"/>
      <c r="N18" s="455"/>
      <c r="O18" s="455"/>
      <c r="P18" s="455"/>
      <c r="Q18" s="455"/>
      <c r="R18" s="458"/>
      <c r="AW18" s="1"/>
      <c r="BC18" s="27"/>
    </row>
  </sheetData>
  <sheetProtection algorithmName="SHA-512" hashValue="/bLaRE1meSYhxhLjUJCpjO7EwFv3B7I7SOoYmbYvTlcNMNbXeSvGKYwiSXwz91JdBP03FklaO0jSNWVh8JZvNg==" saltValue="K4BvRP5RImhhdNJYogNMK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0BE29E609A8E48A738AF15D990DABE" ma:contentTypeVersion="14" ma:contentTypeDescription="Een nieuw document maken." ma:contentTypeScope="" ma:versionID="ae511fe6af914ab8b5e475f522bfe84e">
  <xsd:schema xmlns:xsd="http://www.w3.org/2001/XMLSchema" xmlns:xs="http://www.w3.org/2001/XMLSchema" xmlns:p="http://schemas.microsoft.com/office/2006/metadata/properties" xmlns:ns2="a9071ef3-7415-484d-98a3-12415fb13a4c" xmlns:ns3="2ee36d35-5e7f-41d9-a7e3-3ec8c51c702c" xmlns:ns4="bf4f67b4-1ddd-48a1-b46a-0809bdd0640d" targetNamespace="http://schemas.microsoft.com/office/2006/metadata/properties" ma:root="true" ma:fieldsID="657b4ed58f628266ee255d4a653d5567" ns2:_="" ns3:_="" ns4:_="">
    <xsd:import namespace="a9071ef3-7415-484d-98a3-12415fb13a4c"/>
    <xsd:import namespace="2ee36d35-5e7f-41d9-a7e3-3ec8c51c702c"/>
    <xsd:import namespace="bf4f67b4-1ddd-48a1-b46a-0809bdd064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71ef3-7415-484d-98a3-12415fb13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89f9cbac-0437-4d72-8d16-4ada9315bc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36d35-5e7f-41d9-a7e3-3ec8c51c7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f67b4-1ddd-48a1-b46a-0809bdd0640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13eb78d-5b86-40cc-a31f-99139dc19566}" ma:internalName="TaxCatchAll" ma:showField="CatchAllData" ma:web="2ee36d35-5e7f-41d9-a7e3-3ec8c51c70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071ef3-7415-484d-98a3-12415fb13a4c">
      <Terms xmlns="http://schemas.microsoft.com/office/infopath/2007/PartnerControls"/>
    </lcf76f155ced4ddcb4097134ff3c332f>
    <TaxCatchAll xmlns="bf4f67b4-1ddd-48a1-b46a-0809bdd0640d" xsi:nil="true"/>
  </documentManagement>
</p:properties>
</file>

<file path=customXml/itemProps1.xml><?xml version="1.0" encoding="utf-8"?>
<ds:datastoreItem xmlns:ds="http://schemas.openxmlformats.org/officeDocument/2006/customXml" ds:itemID="{A17D4233-462D-41B5-8BFB-DF984B48E6E9}"/>
</file>

<file path=customXml/itemProps2.xml><?xml version="1.0" encoding="utf-8"?>
<ds:datastoreItem xmlns:ds="http://schemas.openxmlformats.org/officeDocument/2006/customXml" ds:itemID="{BC93E73C-3EE9-44CD-9C53-DDCF7A7CF67D}"/>
</file>

<file path=customXml/itemProps3.xml><?xml version="1.0" encoding="utf-8"?>
<ds:datastoreItem xmlns:ds="http://schemas.openxmlformats.org/officeDocument/2006/customXml" ds:itemID="{0F764107-7CC8-412B-ADAC-C1F51C146E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63</vt:i4>
      </vt:variant>
    </vt:vector>
  </HeadingPairs>
  <TitlesOfParts>
    <vt:vector size="75" baseType="lpstr">
      <vt:lpstr>Legenda</vt:lpstr>
      <vt:lpstr>Producten &amp; tarieven</vt:lpstr>
      <vt:lpstr>Uitleg</vt:lpstr>
      <vt:lpstr>Vervoer</vt:lpstr>
      <vt:lpstr>Samenvatting</vt:lpstr>
      <vt:lpstr>Parameters</vt:lpstr>
      <vt:lpstr>Salarissen</vt:lpstr>
      <vt:lpstr>Salaris cao</vt:lpstr>
      <vt:lpstr>Sociale lasten</vt:lpstr>
      <vt:lpstr>ORT</vt:lpstr>
      <vt:lpstr>Consignatie</vt:lpstr>
      <vt:lpstr>Extra inzet</vt:lpstr>
      <vt:lpstr>'Extra inzet'!aow_franchise_GGZ_GHZ_SW_VVT_JZ</vt:lpstr>
      <vt:lpstr>aow_franchise_GGZ_GHZ_SW_VVT_JZ</vt:lpstr>
      <vt:lpstr>'Extra inzet'!AP_franchise_GGZ_GHZ_SW_VVT_JZ</vt:lpstr>
      <vt:lpstr>AP_franchise_GGZ_GHZ_SW_VVT_JZ</vt:lpstr>
      <vt:lpstr>'Extra inzet'!AP_Premie_GGZ_GHZ_VVT</vt:lpstr>
      <vt:lpstr>AP_Premie_GGZ_GHZ_VVT</vt:lpstr>
      <vt:lpstr>'Extra inzet'!AP_Premie_SW_JZ</vt:lpstr>
      <vt:lpstr>AP_Premie_SW_JZ</vt:lpstr>
      <vt:lpstr>Bereikbaarheid</vt:lpstr>
      <vt:lpstr>Eindejaarsuitkering</vt:lpstr>
      <vt:lpstr>GGZ_FWG20</vt:lpstr>
      <vt:lpstr>GGZ_Overhead</vt:lpstr>
      <vt:lpstr>GGZ_Overhead_WW</vt:lpstr>
      <vt:lpstr>GGZ_Salaris</vt:lpstr>
      <vt:lpstr>GHZ_Overhead</vt:lpstr>
      <vt:lpstr>GHZ_Overhead_GHZ</vt:lpstr>
      <vt:lpstr>GHZ_Salaris</vt:lpstr>
      <vt:lpstr>HBO</vt:lpstr>
      <vt:lpstr>HBO_plus</vt:lpstr>
      <vt:lpstr>Hotelmatige_kosten</vt:lpstr>
      <vt:lpstr>Jeugd_GGZ_Overhead</vt:lpstr>
      <vt:lpstr>Jeugd_GGZ_Overhead_WW</vt:lpstr>
      <vt:lpstr>Jeugd_GHZ_Overhead</vt:lpstr>
      <vt:lpstr>Jeugd_GHZ_Overhead_WW</vt:lpstr>
      <vt:lpstr>Jeugd_JZ_Overhead</vt:lpstr>
      <vt:lpstr>Jeugd_JZ_Overhead_WW</vt:lpstr>
      <vt:lpstr>Jeugd_Overhead</vt:lpstr>
      <vt:lpstr>Jeugd_Overhead_JZ</vt:lpstr>
      <vt:lpstr>Jeugd_SW_Overhead</vt:lpstr>
      <vt:lpstr>Jeugd_SW_Overhead_WW</vt:lpstr>
      <vt:lpstr>Jeugd_VVT_Overhead</vt:lpstr>
      <vt:lpstr>Jeugd_VVT_Overhead_WW</vt:lpstr>
      <vt:lpstr>JZ_Overhead</vt:lpstr>
      <vt:lpstr>JZ_Overhead_WW</vt:lpstr>
      <vt:lpstr>JZ_Salaris</vt:lpstr>
      <vt:lpstr>Locatiekosten</vt:lpstr>
      <vt:lpstr>MBO_2</vt:lpstr>
      <vt:lpstr>MBO_3</vt:lpstr>
      <vt:lpstr>MBO_4</vt:lpstr>
      <vt:lpstr>MOB_3</vt:lpstr>
      <vt:lpstr>NHC_NIC</vt:lpstr>
      <vt:lpstr>'Extra inzet'!OP_Premie_GGZ_GHZ_SW_VVT</vt:lpstr>
      <vt:lpstr>OP_Premie_GGZ_GHZ_SW_VVT</vt:lpstr>
      <vt:lpstr>'Extra inzet'!OP_Premie_JZ</vt:lpstr>
      <vt:lpstr>OP_Premie_JZ</vt:lpstr>
      <vt:lpstr>Overhead_Wmo</vt:lpstr>
      <vt:lpstr>PNIL</vt:lpstr>
      <vt:lpstr>Reiskosten</vt:lpstr>
      <vt:lpstr>Slaapwacht</vt:lpstr>
      <vt:lpstr>Sociale_lasten_Alg</vt:lpstr>
      <vt:lpstr>SW_Overhead</vt:lpstr>
      <vt:lpstr>SW_Overhead_WW</vt:lpstr>
      <vt:lpstr>SW_Salaris</vt:lpstr>
      <vt:lpstr>Vakantietoeslag</vt:lpstr>
      <vt:lpstr>Verlof</vt:lpstr>
      <vt:lpstr>VVT_Overhead</vt:lpstr>
      <vt:lpstr>VVT_Overhead_WW</vt:lpstr>
      <vt:lpstr>VVT_Salaris</vt:lpstr>
      <vt:lpstr>Wmo_GGZ_Overhead</vt:lpstr>
      <vt:lpstr>WO</vt:lpstr>
      <vt:lpstr>WO_plus</vt:lpstr>
      <vt:lpstr>WO_plusplus</vt:lpstr>
      <vt:lpstr>Ziekteverzuim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Kostprijsmodel</dc:title>
  <dc:creator>Harm Eskes</dc:creator>
  <cp:lastModifiedBy>Nikita Buitenhuis</cp:lastModifiedBy>
  <cp:lastPrinted>2024-06-25T10:28:26Z</cp:lastPrinted>
  <dcterms:created xsi:type="dcterms:W3CDTF">2024-01-15T14:07:02Z</dcterms:created>
  <dcterms:modified xsi:type="dcterms:W3CDTF">2025-04-22T09:13:26Z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0x010100F30BE29E609A8E48A738AF15D990DABE</vt:lpwstr>
  </property>
</Properties>
</file>