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anteagroup.sharepoint.com/sites/NLSPR0485398/Shared Documents/General/07. Werkdocumenten/04 Bestek/Bijlagen bij de inschrijving/"/>
    </mc:Choice>
  </mc:AlternateContent>
  <xr:revisionPtr revIDLastSave="92" documentId="8_{32D9B0D7-C941-4B88-B698-08E9C43A1CCC}" xr6:coauthVersionLast="47" xr6:coauthVersionMax="47" xr10:uidLastSave="{76744D8A-2B4A-4CCB-AE1E-DB87DF069FDB}"/>
  <bookViews>
    <workbookView xWindow="57480" yWindow="-120" windowWidth="29040" windowHeight="15840" firstSheet="6" activeTab="6" xr2:uid="{00000000-000D-0000-FFFF-FFFF00000000}"/>
  </bookViews>
  <sheets>
    <sheet name="Blad1" sheetId="27" state="hidden" r:id="rId1"/>
    <sheet name="Variant 6" sheetId="26" state="hidden" r:id="rId2"/>
    <sheet name="Variant 5" sheetId="25" state="hidden" r:id="rId3"/>
    <sheet name="Variant 4" sheetId="24" state="hidden" r:id="rId4"/>
    <sheet name="Variant 3" sheetId="23" state="hidden" r:id="rId5"/>
    <sheet name="Variant 2" sheetId="22" state="hidden" r:id="rId6"/>
    <sheet name="Oxena Brids" sheetId="30" r:id="rId7"/>
    <sheet name="Kootstertille" sheetId="29" state="hidden" r:id="rId8"/>
    <sheet name="Variant 1" sheetId="15" state="hidden" r:id="rId9"/>
    <sheet name="Blad2" sheetId="28" state="hidden" r:id="rId10"/>
    <sheet name="Variant 0 en B roldeur E" sheetId="17" state="hidden" r:id="rId11"/>
    <sheet name="Variant  B  roldeur W" sheetId="16" state="hidden" r:id="rId12"/>
    <sheet name="Variant  B  brug W" sheetId="14" state="hidden" r:id="rId13"/>
    <sheet name="Variant 0 en A E" sheetId="13" state="hidden" r:id="rId14"/>
    <sheet name="Variant 0 en A W" sheetId="12" state="hidden" r:id="rId15"/>
    <sheet name="Variant 0 en A+ W" sheetId="18" state="hidden" r:id="rId16"/>
    <sheet name="Variant 0 en A+ E" sheetId="20" state="hidden" r:id="rId17"/>
    <sheet name="Variant 0 en A++ W" sheetId="19" state="hidden" r:id="rId18"/>
    <sheet name="Variant 0 en A++ E " sheetId="21" state="hidden" r:id="rId19"/>
  </sheets>
  <definedNames>
    <definedName name="_xlnm.Print_Area" localSheetId="7">Kootstertille!$A$1:$N$66</definedName>
    <definedName name="_xlnm.Print_Area" localSheetId="6">'Oxena Brids'!$A$1:$M$75</definedName>
    <definedName name="_xlnm.Print_Area" localSheetId="12">'Variant  B  brug W'!$A$1:$N$54</definedName>
    <definedName name="_xlnm.Print_Area" localSheetId="11">'Variant  B  roldeur W'!$A$1:$N$38</definedName>
    <definedName name="_xlnm.Print_Area" localSheetId="13">'Variant 0 en A E'!$A$1:$N$38</definedName>
    <definedName name="_xlnm.Print_Area" localSheetId="14">'Variant 0 en A W'!$A$1:$N$53</definedName>
    <definedName name="_xlnm.Print_Area" localSheetId="16">'Variant 0 en A+ E'!$A$1:$N$38</definedName>
    <definedName name="_xlnm.Print_Area" localSheetId="15">'Variant 0 en A+ W'!$A$1:$N$53</definedName>
    <definedName name="_xlnm.Print_Area" localSheetId="18">'Variant 0 en A++ E '!$A$1:$N$38</definedName>
    <definedName name="_xlnm.Print_Area" localSheetId="17">'Variant 0 en A++ W'!$A$1:$N$53</definedName>
    <definedName name="_xlnm.Print_Area" localSheetId="10">'Variant 0 en B roldeur E'!$A$1:$N$33</definedName>
    <definedName name="_xlnm.Print_Area" localSheetId="8">'Variant 1'!$A$1:$N$69</definedName>
    <definedName name="_xlnm.Print_Area" localSheetId="5">'Variant 2'!$A$1:$N$56</definedName>
    <definedName name="_xlnm.Print_Area" localSheetId="4">'Variant 3'!$A$1:$N$53</definedName>
    <definedName name="_xlnm.Print_Area" localSheetId="3">'Variant 4'!$A$1:$N$53</definedName>
    <definedName name="_xlnm.Print_Area" localSheetId="2">'Variant 5'!$A$1:$N$54</definedName>
    <definedName name="_xlnm.Print_Area" localSheetId="1">'Variant 6'!$A$1:$N$53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2" i="30" l="1"/>
  <c r="M61" i="30" s="1"/>
  <c r="L66" i="30"/>
  <c r="L65" i="30"/>
  <c r="L64" i="30"/>
  <c r="M63" i="30" s="1"/>
  <c r="L25" i="30"/>
  <c r="L39" i="30"/>
  <c r="L60" i="30"/>
  <c r="L59" i="30"/>
  <c r="L57" i="30"/>
  <c r="L56" i="30"/>
  <c r="M55" i="30" s="1"/>
  <c r="L48" i="30"/>
  <c r="M47" i="30" s="1"/>
  <c r="L46" i="30"/>
  <c r="H50" i="30"/>
  <c r="L50" i="30" s="1"/>
  <c r="L51" i="30"/>
  <c r="L52" i="30"/>
  <c r="L54" i="30"/>
  <c r="M53" i="30" s="1"/>
  <c r="L45" i="30"/>
  <c r="L24" i="30"/>
  <c r="L23" i="30"/>
  <c r="L22" i="30"/>
  <c r="L21" i="30"/>
  <c r="L20" i="30"/>
  <c r="L19" i="30"/>
  <c r="L18" i="30"/>
  <c r="L41" i="30"/>
  <c r="M40" i="30" s="1"/>
  <c r="L38" i="30"/>
  <c r="L36" i="30"/>
  <c r="L35" i="30"/>
  <c r="L34" i="30"/>
  <c r="L33" i="30"/>
  <c r="L32" i="30"/>
  <c r="L28" i="30"/>
  <c r="L29" i="30"/>
  <c r="L30" i="30"/>
  <c r="L27" i="30"/>
  <c r="L43" i="30"/>
  <c r="M42" i="30" s="1"/>
  <c r="L16" i="30"/>
  <c r="L15" i="30"/>
  <c r="L14" i="30"/>
  <c r="M31" i="30" l="1"/>
  <c r="M26" i="30"/>
  <c r="M13" i="30"/>
  <c r="M58" i="30"/>
  <c r="M49" i="30"/>
  <c r="M44" i="30"/>
  <c r="M17" i="30"/>
  <c r="M37" i="30"/>
  <c r="M67" i="30" l="1"/>
  <c r="L24" i="29" l="1"/>
  <c r="M24" i="29" s="1"/>
  <c r="K59" i="29"/>
  <c r="L53" i="29"/>
  <c r="M53" i="29" s="1"/>
  <c r="L52" i="29"/>
  <c r="M52" i="29" s="1"/>
  <c r="L51" i="29"/>
  <c r="M51" i="29" s="1"/>
  <c r="H49" i="29"/>
  <c r="L49" i="29" s="1"/>
  <c r="M49" i="29" s="1"/>
  <c r="L48" i="29"/>
  <c r="M48" i="29" s="1"/>
  <c r="L47" i="29"/>
  <c r="M47" i="29" s="1"/>
  <c r="H46" i="29"/>
  <c r="L46" i="29" s="1"/>
  <c r="M46" i="29" s="1"/>
  <c r="H45" i="29"/>
  <c r="L45" i="29" s="1"/>
  <c r="M45" i="29" s="1"/>
  <c r="H44" i="29"/>
  <c r="L44" i="29" s="1"/>
  <c r="M44" i="29" s="1"/>
  <c r="H43" i="29"/>
  <c r="L43" i="29" s="1"/>
  <c r="M43" i="29" s="1"/>
  <c r="H42" i="29"/>
  <c r="L42" i="29" s="1"/>
  <c r="M42" i="29" s="1"/>
  <c r="L41" i="29"/>
  <c r="M41" i="29" s="1"/>
  <c r="L39" i="29"/>
  <c r="M39" i="29" s="1"/>
  <c r="H38" i="29"/>
  <c r="L38" i="29" s="1"/>
  <c r="M38" i="29" s="1"/>
  <c r="L37" i="29"/>
  <c r="M37" i="29" s="1"/>
  <c r="L36" i="29"/>
  <c r="M36" i="29" s="1"/>
  <c r="H35" i="29"/>
  <c r="L35" i="29" s="1"/>
  <c r="M35" i="29" s="1"/>
  <c r="L31" i="29"/>
  <c r="M31" i="29" s="1"/>
  <c r="L30" i="29"/>
  <c r="M30" i="29" s="1"/>
  <c r="J29" i="29"/>
  <c r="L29" i="29" s="1"/>
  <c r="M29" i="29" s="1"/>
  <c r="L28" i="29"/>
  <c r="M28" i="29" s="1"/>
  <c r="L27" i="29"/>
  <c r="M27" i="29" s="1"/>
  <c r="L26" i="29"/>
  <c r="M26" i="29" s="1"/>
  <c r="J25" i="29"/>
  <c r="L25" i="29" s="1"/>
  <c r="M25" i="29" s="1"/>
  <c r="L23" i="29"/>
  <c r="M23" i="29" s="1"/>
  <c r="J22" i="29"/>
  <c r="L22" i="29" s="1"/>
  <c r="M22" i="29" s="1"/>
  <c r="L21" i="29"/>
  <c r="M21" i="29" s="1"/>
  <c r="L20" i="29"/>
  <c r="M20" i="29" s="1"/>
  <c r="L19" i="29"/>
  <c r="M19" i="29" s="1"/>
  <c r="L18" i="29"/>
  <c r="M18" i="29" s="1"/>
  <c r="H16" i="29"/>
  <c r="L16" i="29" s="1"/>
  <c r="M16" i="29" s="1"/>
  <c r="H15" i="29"/>
  <c r="L15" i="29" s="1"/>
  <c r="M15" i="29" s="1"/>
  <c r="L14" i="29"/>
  <c r="M14" i="29" s="1"/>
  <c r="N17" i="15"/>
  <c r="M66" i="15"/>
  <c r="L50" i="15"/>
  <c r="M50" i="15" s="1"/>
  <c r="L51" i="15"/>
  <c r="M51" i="15" s="1"/>
  <c r="L46" i="15"/>
  <c r="H52" i="15"/>
  <c r="L52" i="15" s="1"/>
  <c r="M52" i="15" s="1"/>
  <c r="H49" i="15"/>
  <c r="L49" i="15" s="1"/>
  <c r="M49" i="15" s="1"/>
  <c r="H48" i="15"/>
  <c r="L48" i="15" s="1"/>
  <c r="M48" i="15" s="1"/>
  <c r="H47" i="15"/>
  <c r="L47" i="15" s="1"/>
  <c r="M47" i="15" s="1"/>
  <c r="H46" i="15"/>
  <c r="H45" i="15"/>
  <c r="N41" i="28"/>
  <c r="M41" i="28"/>
  <c r="H41" i="15"/>
  <c r="L41" i="15" s="1"/>
  <c r="M41" i="15" s="1"/>
  <c r="H40" i="15"/>
  <c r="L40" i="15" s="1"/>
  <c r="M40" i="15" s="1"/>
  <c r="H39" i="15"/>
  <c r="L39" i="15" s="1"/>
  <c r="M39" i="15" s="1"/>
  <c r="H38" i="15"/>
  <c r="L38" i="15" s="1"/>
  <c r="M38" i="15" s="1"/>
  <c r="H37" i="15"/>
  <c r="L34" i="15"/>
  <c r="M34" i="15" s="1"/>
  <c r="L35" i="15"/>
  <c r="M35" i="15" s="1"/>
  <c r="J22" i="15"/>
  <c r="L22" i="15" s="1"/>
  <c r="M22" i="15" s="1"/>
  <c r="H16" i="15"/>
  <c r="H15" i="15"/>
  <c r="L19" i="15"/>
  <c r="M19" i="15" s="1"/>
  <c r="L20" i="15"/>
  <c r="M20" i="15" s="1"/>
  <c r="L21" i="15"/>
  <c r="M21" i="15" s="1"/>
  <c r="L23" i="15"/>
  <c r="M23" i="15" s="1"/>
  <c r="L24" i="15"/>
  <c r="M24" i="15" s="1"/>
  <c r="L26" i="15"/>
  <c r="M26" i="15" s="1"/>
  <c r="L27" i="15"/>
  <c r="M27" i="15" s="1"/>
  <c r="L28" i="15"/>
  <c r="M28" i="15" s="1"/>
  <c r="L33" i="15"/>
  <c r="M33" i="15" s="1"/>
  <c r="J32" i="15"/>
  <c r="L32" i="15" s="1"/>
  <c r="M32" i="15" s="1"/>
  <c r="K43" i="28"/>
  <c r="J31" i="15"/>
  <c r="L31" i="15" s="1"/>
  <c r="M31" i="15" s="1"/>
  <c r="J30" i="15"/>
  <c r="L30" i="15" s="1"/>
  <c r="M30" i="15" s="1"/>
  <c r="L41" i="28"/>
  <c r="L38" i="28"/>
  <c r="J25" i="15"/>
  <c r="L25" i="15" s="1"/>
  <c r="M25" i="15" s="1"/>
  <c r="L35" i="28"/>
  <c r="J29" i="15"/>
  <c r="L29" i="15" s="1"/>
  <c r="M29" i="15" s="1"/>
  <c r="O32" i="28"/>
  <c r="O28" i="28"/>
  <c r="O26" i="28"/>
  <c r="N26" i="28"/>
  <c r="O23" i="28"/>
  <c r="M23" i="28"/>
  <c r="J18" i="28"/>
  <c r="L23" i="28"/>
  <c r="K21" i="28"/>
  <c r="K20" i="28"/>
  <c r="L46" i="26"/>
  <c r="K46" i="26"/>
  <c r="M46" i="26" s="1"/>
  <c r="L46" i="25"/>
  <c r="M46" i="25" s="1"/>
  <c r="K46" i="25"/>
  <c r="L46" i="24"/>
  <c r="K46" i="24"/>
  <c r="M46" i="24" s="1"/>
  <c r="L46" i="23"/>
  <c r="M46" i="23" s="1"/>
  <c r="K46" i="23"/>
  <c r="L49" i="22"/>
  <c r="M49" i="22" s="1"/>
  <c r="K49" i="22"/>
  <c r="K62" i="15"/>
  <c r="N50" i="29" l="1"/>
  <c r="N33" i="29"/>
  <c r="N17" i="29"/>
  <c r="N13" i="29"/>
  <c r="M54" i="29"/>
  <c r="N40" i="29"/>
  <c r="N45" i="26"/>
  <c r="M50" i="26"/>
  <c r="J20" i="25"/>
  <c r="M40" i="26"/>
  <c r="N37" i="26" s="1"/>
  <c r="L40" i="26"/>
  <c r="M39" i="26"/>
  <c r="L39" i="26"/>
  <c r="M38" i="26"/>
  <c r="L38" i="26"/>
  <c r="L36" i="26"/>
  <c r="M36" i="26" s="1"/>
  <c r="N35" i="26" s="1"/>
  <c r="M34" i="26"/>
  <c r="L34" i="26"/>
  <c r="M33" i="26"/>
  <c r="L33" i="26"/>
  <c r="M32" i="26"/>
  <c r="L32" i="26"/>
  <c r="M31" i="26"/>
  <c r="L31" i="26"/>
  <c r="N30" i="26"/>
  <c r="M29" i="26"/>
  <c r="L29" i="26"/>
  <c r="M28" i="26"/>
  <c r="L28" i="26"/>
  <c r="M27" i="26"/>
  <c r="L27" i="26"/>
  <c r="N26" i="26"/>
  <c r="M25" i="26"/>
  <c r="L25" i="26"/>
  <c r="M24" i="26"/>
  <c r="L24" i="26"/>
  <c r="L23" i="26"/>
  <c r="M23" i="26" s="1"/>
  <c r="N21" i="26" s="1"/>
  <c r="M22" i="26"/>
  <c r="L22" i="26"/>
  <c r="H22" i="26"/>
  <c r="M20" i="26"/>
  <c r="L20" i="26"/>
  <c r="M19" i="26"/>
  <c r="L19" i="26"/>
  <c r="M18" i="26"/>
  <c r="L18" i="26"/>
  <c r="M16" i="26"/>
  <c r="L16" i="26"/>
  <c r="M15" i="26"/>
  <c r="L15" i="26"/>
  <c r="M14" i="26"/>
  <c r="L14" i="26"/>
  <c r="L40" i="25"/>
  <c r="M40" i="25" s="1"/>
  <c r="L39" i="25"/>
  <c r="M39" i="25" s="1"/>
  <c r="L38" i="25"/>
  <c r="M38" i="25" s="1"/>
  <c r="L36" i="25"/>
  <c r="M36" i="25" s="1"/>
  <c r="N35" i="25" s="1"/>
  <c r="L34" i="25"/>
  <c r="M34" i="25" s="1"/>
  <c r="L33" i="25"/>
  <c r="M33" i="25" s="1"/>
  <c r="L32" i="25"/>
  <c r="M32" i="25" s="1"/>
  <c r="L31" i="25"/>
  <c r="M31" i="25" s="1"/>
  <c r="L29" i="25"/>
  <c r="M29" i="25" s="1"/>
  <c r="L28" i="25"/>
  <c r="M28" i="25" s="1"/>
  <c r="L27" i="25"/>
  <c r="M27" i="25" s="1"/>
  <c r="M25" i="25"/>
  <c r="L25" i="25"/>
  <c r="L24" i="25"/>
  <c r="M24" i="25" s="1"/>
  <c r="L23" i="25"/>
  <c r="M23" i="25" s="1"/>
  <c r="L22" i="25"/>
  <c r="M22" i="25" s="1"/>
  <c r="H22" i="25"/>
  <c r="L20" i="25"/>
  <c r="M20" i="25" s="1"/>
  <c r="L19" i="25"/>
  <c r="M19" i="25" s="1"/>
  <c r="M18" i="25"/>
  <c r="L18" i="25"/>
  <c r="L16" i="25"/>
  <c r="M16" i="25" s="1"/>
  <c r="L15" i="25"/>
  <c r="M15" i="25" s="1"/>
  <c r="L14" i="25"/>
  <c r="M14" i="25" s="1"/>
  <c r="L40" i="24"/>
  <c r="M40" i="24" s="1"/>
  <c r="L39" i="24"/>
  <c r="M39" i="24" s="1"/>
  <c r="L38" i="24"/>
  <c r="M38" i="24" s="1"/>
  <c r="L36" i="24"/>
  <c r="M36" i="24" s="1"/>
  <c r="N35" i="24" s="1"/>
  <c r="M34" i="24"/>
  <c r="L34" i="24"/>
  <c r="L33" i="24"/>
  <c r="M33" i="24" s="1"/>
  <c r="L32" i="24"/>
  <c r="M32" i="24" s="1"/>
  <c r="M31" i="24"/>
  <c r="L31" i="24"/>
  <c r="L29" i="24"/>
  <c r="M29" i="24" s="1"/>
  <c r="L28" i="24"/>
  <c r="M28" i="24" s="1"/>
  <c r="M27" i="24"/>
  <c r="L27" i="24"/>
  <c r="L25" i="24"/>
  <c r="M25" i="24" s="1"/>
  <c r="L24" i="24"/>
  <c r="M24" i="24" s="1"/>
  <c r="L23" i="24"/>
  <c r="M23" i="24" s="1"/>
  <c r="H22" i="24"/>
  <c r="L22" i="24" s="1"/>
  <c r="M22" i="24" s="1"/>
  <c r="M20" i="24"/>
  <c r="L20" i="24"/>
  <c r="M19" i="24"/>
  <c r="L19" i="24"/>
  <c r="L18" i="24"/>
  <c r="M18" i="24" s="1"/>
  <c r="M16" i="24"/>
  <c r="L16" i="24"/>
  <c r="L15" i="24"/>
  <c r="M15" i="24" s="1"/>
  <c r="L14" i="24"/>
  <c r="M14" i="24" s="1"/>
  <c r="L21" i="22"/>
  <c r="M21" i="22" s="1"/>
  <c r="L40" i="23"/>
  <c r="M40" i="23" s="1"/>
  <c r="L39" i="23"/>
  <c r="M39" i="23" s="1"/>
  <c r="L38" i="23"/>
  <c r="M38" i="23" s="1"/>
  <c r="L36" i="23"/>
  <c r="M36" i="23" s="1"/>
  <c r="N35" i="23" s="1"/>
  <c r="L34" i="23"/>
  <c r="M34" i="23" s="1"/>
  <c r="L33" i="23"/>
  <c r="M33" i="23" s="1"/>
  <c r="L32" i="23"/>
  <c r="M32" i="23" s="1"/>
  <c r="L31" i="23"/>
  <c r="M31" i="23" s="1"/>
  <c r="L29" i="23"/>
  <c r="M29" i="23" s="1"/>
  <c r="L28" i="23"/>
  <c r="M28" i="23" s="1"/>
  <c r="L27" i="23"/>
  <c r="M27" i="23" s="1"/>
  <c r="L25" i="23"/>
  <c r="M25" i="23" s="1"/>
  <c r="L24" i="23"/>
  <c r="M24" i="23" s="1"/>
  <c r="L23" i="23"/>
  <c r="M23" i="23" s="1"/>
  <c r="H22" i="23"/>
  <c r="L22" i="23" s="1"/>
  <c r="M22" i="23" s="1"/>
  <c r="L20" i="23"/>
  <c r="M20" i="23" s="1"/>
  <c r="L19" i="23"/>
  <c r="M19" i="23" s="1"/>
  <c r="L18" i="23"/>
  <c r="M18" i="23" s="1"/>
  <c r="L16" i="23"/>
  <c r="M16" i="23" s="1"/>
  <c r="L15" i="23"/>
  <c r="M15" i="23" s="1"/>
  <c r="L14" i="23"/>
  <c r="M14" i="23" s="1"/>
  <c r="N24" i="22"/>
  <c r="L36" i="22"/>
  <c r="M36" i="22" s="1"/>
  <c r="L37" i="22"/>
  <c r="M37" i="22" s="1"/>
  <c r="L23" i="22"/>
  <c r="M23" i="22" s="1"/>
  <c r="L43" i="22"/>
  <c r="M43" i="22" s="1"/>
  <c r="L42" i="22"/>
  <c r="M42" i="22" s="1"/>
  <c r="L41" i="22"/>
  <c r="M41" i="22" s="1"/>
  <c r="L39" i="22"/>
  <c r="M39" i="22" s="1"/>
  <c r="N38" i="22" s="1"/>
  <c r="L35" i="22"/>
  <c r="M35" i="22" s="1"/>
  <c r="L34" i="22"/>
  <c r="M34" i="22" s="1"/>
  <c r="N33" i="22" s="1"/>
  <c r="L32" i="22"/>
  <c r="M32" i="22" s="1"/>
  <c r="L31" i="22"/>
  <c r="M31" i="22" s="1"/>
  <c r="L30" i="22"/>
  <c r="M30" i="22" s="1"/>
  <c r="L28" i="22"/>
  <c r="M28" i="22" s="1"/>
  <c r="L27" i="22"/>
  <c r="M27" i="22" s="1"/>
  <c r="L26" i="22"/>
  <c r="M26" i="22" s="1"/>
  <c r="H25" i="22"/>
  <c r="L25" i="22" s="1"/>
  <c r="M25" i="22" s="1"/>
  <c r="L22" i="22"/>
  <c r="M22" i="22" s="1"/>
  <c r="L20" i="22"/>
  <c r="M20" i="22" s="1"/>
  <c r="L19" i="22"/>
  <c r="M19" i="22" s="1"/>
  <c r="L18" i="22"/>
  <c r="M18" i="22" s="1"/>
  <c r="L16" i="22"/>
  <c r="M16" i="22" s="1"/>
  <c r="L15" i="22"/>
  <c r="M15" i="22" s="1"/>
  <c r="L14" i="22"/>
  <c r="M14" i="22" s="1"/>
  <c r="L54" i="15"/>
  <c r="M54" i="15" s="1"/>
  <c r="M46" i="15"/>
  <c r="L45" i="15"/>
  <c r="M45" i="15" s="1"/>
  <c r="L18" i="15"/>
  <c r="L33" i="21"/>
  <c r="M33" i="21" s="1"/>
  <c r="L32" i="21"/>
  <c r="M32" i="21" s="1"/>
  <c r="L31" i="21"/>
  <c r="M31" i="21" s="1"/>
  <c r="N30" i="21" s="1"/>
  <c r="L29" i="21"/>
  <c r="M29" i="21" s="1"/>
  <c r="N28" i="21" s="1"/>
  <c r="L27" i="21"/>
  <c r="M27" i="21" s="1"/>
  <c r="L26" i="21"/>
  <c r="M26" i="21" s="1"/>
  <c r="M25" i="21"/>
  <c r="L24" i="21"/>
  <c r="M24" i="21" s="1"/>
  <c r="M21" i="21"/>
  <c r="M20" i="21"/>
  <c r="M19" i="21"/>
  <c r="N18" i="21"/>
  <c r="M16" i="21"/>
  <c r="L16" i="21"/>
  <c r="L15" i="21"/>
  <c r="M15" i="21" s="1"/>
  <c r="L14" i="21"/>
  <c r="M14" i="21" s="1"/>
  <c r="L33" i="20"/>
  <c r="M33" i="20" s="1"/>
  <c r="L32" i="20"/>
  <c r="M32" i="20" s="1"/>
  <c r="L31" i="20"/>
  <c r="M31" i="20" s="1"/>
  <c r="M29" i="20"/>
  <c r="N28" i="20" s="1"/>
  <c r="L29" i="20"/>
  <c r="L27" i="20"/>
  <c r="M27" i="20" s="1"/>
  <c r="L26" i="20"/>
  <c r="M26" i="20" s="1"/>
  <c r="L25" i="20"/>
  <c r="M25" i="20" s="1"/>
  <c r="L24" i="20"/>
  <c r="M24" i="20" s="1"/>
  <c r="M21" i="20"/>
  <c r="M20" i="20"/>
  <c r="M19" i="20"/>
  <c r="N18" i="20" s="1"/>
  <c r="L16" i="20"/>
  <c r="M16" i="20" s="1"/>
  <c r="L15" i="20"/>
  <c r="M15" i="20" s="1"/>
  <c r="L14" i="20"/>
  <c r="M14" i="20" s="1"/>
  <c r="L47" i="19"/>
  <c r="M47" i="19" s="1"/>
  <c r="L46" i="19"/>
  <c r="M46" i="19" s="1"/>
  <c r="L45" i="19"/>
  <c r="M45" i="19" s="1"/>
  <c r="L44" i="19"/>
  <c r="M44" i="19" s="1"/>
  <c r="L42" i="19"/>
  <c r="M42" i="19" s="1"/>
  <c r="L41" i="19"/>
  <c r="M41" i="19" s="1"/>
  <c r="L40" i="19"/>
  <c r="M40" i="19" s="1"/>
  <c r="L39" i="19"/>
  <c r="M39" i="19" s="1"/>
  <c r="L38" i="19"/>
  <c r="M38" i="19" s="1"/>
  <c r="M37" i="19"/>
  <c r="L37" i="19"/>
  <c r="L36" i="19"/>
  <c r="M36" i="19" s="1"/>
  <c r="L34" i="19"/>
  <c r="M34" i="19" s="1"/>
  <c r="L33" i="19"/>
  <c r="M33" i="19" s="1"/>
  <c r="L32" i="19"/>
  <c r="M32" i="19" s="1"/>
  <c r="L31" i="19"/>
  <c r="M31" i="19" s="1"/>
  <c r="N30" i="19" s="1"/>
  <c r="M29" i="19"/>
  <c r="M28" i="19"/>
  <c r="M27" i="19"/>
  <c r="M26" i="19"/>
  <c r="M25" i="19"/>
  <c r="M24" i="19"/>
  <c r="M23" i="19"/>
  <c r="M22" i="19"/>
  <c r="M21" i="19"/>
  <c r="M20" i="19"/>
  <c r="M19" i="19"/>
  <c r="L16" i="19"/>
  <c r="M16" i="19" s="1"/>
  <c r="H15" i="19"/>
  <c r="L15" i="19" s="1"/>
  <c r="M15" i="19" s="1"/>
  <c r="L14" i="19"/>
  <c r="M14" i="19" s="1"/>
  <c r="L47" i="18"/>
  <c r="M47" i="18" s="1"/>
  <c r="L46" i="18"/>
  <c r="M46" i="18" s="1"/>
  <c r="L45" i="18"/>
  <c r="M45" i="18" s="1"/>
  <c r="L44" i="18"/>
  <c r="M44" i="18" s="1"/>
  <c r="L42" i="18"/>
  <c r="M42" i="18" s="1"/>
  <c r="L41" i="18"/>
  <c r="M41" i="18" s="1"/>
  <c r="L40" i="18"/>
  <c r="M40" i="18" s="1"/>
  <c r="L39" i="18"/>
  <c r="M39" i="18" s="1"/>
  <c r="L38" i="18"/>
  <c r="M38" i="18" s="1"/>
  <c r="L37" i="18"/>
  <c r="M37" i="18" s="1"/>
  <c r="L36" i="18"/>
  <c r="M36" i="18" s="1"/>
  <c r="L34" i="18"/>
  <c r="M34" i="18" s="1"/>
  <c r="L33" i="18"/>
  <c r="M33" i="18" s="1"/>
  <c r="M32" i="18"/>
  <c r="L32" i="18"/>
  <c r="L31" i="18"/>
  <c r="M31" i="18" s="1"/>
  <c r="M29" i="18"/>
  <c r="M28" i="18"/>
  <c r="M27" i="18"/>
  <c r="M26" i="18"/>
  <c r="M25" i="18"/>
  <c r="M24" i="18"/>
  <c r="M23" i="18"/>
  <c r="M22" i="18"/>
  <c r="M21" i="18"/>
  <c r="M20" i="18"/>
  <c r="M19" i="18"/>
  <c r="L16" i="18"/>
  <c r="M16" i="18" s="1"/>
  <c r="H15" i="18"/>
  <c r="L15" i="18" s="1"/>
  <c r="M15" i="18" s="1"/>
  <c r="L14" i="18"/>
  <c r="M14" i="18" s="1"/>
  <c r="L59" i="29" l="1"/>
  <c r="M59" i="29" s="1"/>
  <c r="N58" i="29" s="1"/>
  <c r="N54" i="29"/>
  <c r="M41" i="26"/>
  <c r="N17" i="26"/>
  <c r="N13" i="26"/>
  <c r="N26" i="25"/>
  <c r="N17" i="25"/>
  <c r="N13" i="25"/>
  <c r="M41" i="25"/>
  <c r="N21" i="25"/>
  <c r="N37" i="25"/>
  <c r="N30" i="25"/>
  <c r="N17" i="24"/>
  <c r="N21" i="24"/>
  <c r="N26" i="24"/>
  <c r="N37" i="24"/>
  <c r="N13" i="24"/>
  <c r="M41" i="24"/>
  <c r="N30" i="24"/>
  <c r="N21" i="23"/>
  <c r="N37" i="23"/>
  <c r="N30" i="23"/>
  <c r="N17" i="22"/>
  <c r="N17" i="23"/>
  <c r="N13" i="23"/>
  <c r="M41" i="23"/>
  <c r="N26" i="23"/>
  <c r="N29" i="22"/>
  <c r="N40" i="22"/>
  <c r="N13" i="22"/>
  <c r="M44" i="22"/>
  <c r="M34" i="21"/>
  <c r="N13" i="21"/>
  <c r="N23" i="21"/>
  <c r="N13" i="20"/>
  <c r="M34" i="20"/>
  <c r="N23" i="20"/>
  <c r="N30" i="20"/>
  <c r="N18" i="19"/>
  <c r="N13" i="19"/>
  <c r="M49" i="19"/>
  <c r="N35" i="19"/>
  <c r="N43" i="19"/>
  <c r="N18" i="18"/>
  <c r="N35" i="18"/>
  <c r="N43" i="18"/>
  <c r="N13" i="18"/>
  <c r="M49" i="18"/>
  <c r="N30" i="18"/>
  <c r="N63" i="29" l="1"/>
  <c r="M63" i="29"/>
  <c r="N41" i="26"/>
  <c r="N41" i="25"/>
  <c r="N41" i="24"/>
  <c r="N41" i="23"/>
  <c r="N44" i="22"/>
  <c r="N34" i="21"/>
  <c r="L41" i="21"/>
  <c r="M41" i="21" s="1"/>
  <c r="L40" i="21"/>
  <c r="M40" i="21" s="1"/>
  <c r="L39" i="21"/>
  <c r="M39" i="21" s="1"/>
  <c r="L41" i="20"/>
  <c r="M41" i="20" s="1"/>
  <c r="L40" i="20"/>
  <c r="M40" i="20" s="1"/>
  <c r="L39" i="20"/>
  <c r="M39" i="20" s="1"/>
  <c r="N34" i="20"/>
  <c r="L54" i="19"/>
  <c r="M54" i="19" s="1"/>
  <c r="L56" i="19"/>
  <c r="M56" i="19" s="1"/>
  <c r="L55" i="19"/>
  <c r="M55" i="19" s="1"/>
  <c r="N49" i="19"/>
  <c r="L54" i="18"/>
  <c r="M54" i="18" s="1"/>
  <c r="L56" i="18"/>
  <c r="M56" i="18" s="1"/>
  <c r="L55" i="18"/>
  <c r="M55" i="18" s="1"/>
  <c r="N49" i="18"/>
  <c r="L64" i="29" l="1"/>
  <c r="M64" i="29" s="1"/>
  <c r="N64" i="29" s="1"/>
  <c r="N66" i="29" s="1"/>
  <c r="N50" i="26"/>
  <c r="N45" i="25"/>
  <c r="N50" i="25" s="1"/>
  <c r="M50" i="25"/>
  <c r="M50" i="24"/>
  <c r="L51" i="24" s="1"/>
  <c r="M51" i="24" s="1"/>
  <c r="N51" i="24" s="1"/>
  <c r="N45" i="24"/>
  <c r="N50" i="24" s="1"/>
  <c r="M50" i="23"/>
  <c r="L51" i="23" s="1"/>
  <c r="M51" i="23" s="1"/>
  <c r="N51" i="23" s="1"/>
  <c r="N45" i="23"/>
  <c r="N50" i="23" s="1"/>
  <c r="M53" i="22"/>
  <c r="L54" i="22" s="1"/>
  <c r="M54" i="22" s="1"/>
  <c r="N48" i="22"/>
  <c r="N53" i="22" s="1"/>
  <c r="N38" i="21"/>
  <c r="N43" i="21"/>
  <c r="M43" i="21"/>
  <c r="M43" i="20"/>
  <c r="L44" i="20" s="1"/>
  <c r="M44" i="20" s="1"/>
  <c r="N44" i="20" s="1"/>
  <c r="N38" i="20"/>
  <c r="N43" i="20" s="1"/>
  <c r="N53" i="19"/>
  <c r="N58" i="19" s="1"/>
  <c r="M58" i="19"/>
  <c r="N53" i="18"/>
  <c r="N58" i="18" s="1"/>
  <c r="M58" i="18"/>
  <c r="M66" i="29" l="1"/>
  <c r="L51" i="26"/>
  <c r="M51" i="26" s="1"/>
  <c r="N51" i="26" s="1"/>
  <c r="N53" i="26" s="1"/>
  <c r="F10" i="27" s="1"/>
  <c r="L51" i="25"/>
  <c r="M51" i="25" s="1"/>
  <c r="N51" i="25" s="1"/>
  <c r="N53" i="25" s="1"/>
  <c r="F9" i="27" s="1"/>
  <c r="N53" i="24"/>
  <c r="F8" i="27" s="1"/>
  <c r="M53" i="24"/>
  <c r="N54" i="22"/>
  <c r="N53" i="23"/>
  <c r="F7" i="27" s="1"/>
  <c r="M53" i="23"/>
  <c r="M56" i="22"/>
  <c r="N56" i="22"/>
  <c r="F6" i="27" s="1"/>
  <c r="L44" i="21"/>
  <c r="M44" i="21" s="1"/>
  <c r="N44" i="21" s="1"/>
  <c r="N46" i="21" s="1"/>
  <c r="N46" i="20"/>
  <c r="M46" i="20"/>
  <c r="L59" i="19"/>
  <c r="M59" i="19" s="1"/>
  <c r="N59" i="19" s="1"/>
  <c r="N61" i="19" s="1"/>
  <c r="L59" i="18"/>
  <c r="M59" i="18" s="1"/>
  <c r="N59" i="18" s="1"/>
  <c r="N61" i="18" s="1"/>
  <c r="M53" i="26" l="1"/>
  <c r="M53" i="25"/>
  <c r="M46" i="21"/>
  <c r="M61" i="19"/>
  <c r="M61" i="18"/>
  <c r="H68" i="14" l="1"/>
  <c r="L28" i="17" l="1"/>
  <c r="M28" i="17" s="1"/>
  <c r="L27" i="17"/>
  <c r="M27" i="17" s="1"/>
  <c r="L26" i="17"/>
  <c r="M26" i="17" s="1"/>
  <c r="L24" i="17"/>
  <c r="M24" i="17" s="1"/>
  <c r="L23" i="17"/>
  <c r="M23" i="17" s="1"/>
  <c r="L22" i="17"/>
  <c r="M22" i="17" s="1"/>
  <c r="L21" i="17"/>
  <c r="M21" i="17" s="1"/>
  <c r="M19" i="17"/>
  <c r="L16" i="17"/>
  <c r="M16" i="17" s="1"/>
  <c r="L15" i="17"/>
  <c r="M15" i="17" s="1"/>
  <c r="L14" i="17"/>
  <c r="M14" i="17" s="1"/>
  <c r="H26" i="16"/>
  <c r="L26" i="16" s="1"/>
  <c r="M26" i="16" s="1"/>
  <c r="H23" i="16"/>
  <c r="H22" i="16"/>
  <c r="L22" i="16" s="1"/>
  <c r="M22" i="16" s="1"/>
  <c r="L32" i="16"/>
  <c r="M32" i="16" s="1"/>
  <c r="L31" i="16"/>
  <c r="M31" i="16" s="1"/>
  <c r="L30" i="16"/>
  <c r="M30" i="16" s="1"/>
  <c r="L29" i="16"/>
  <c r="M29" i="16" s="1"/>
  <c r="L27" i="16"/>
  <c r="M27" i="16" s="1"/>
  <c r="L25" i="16"/>
  <c r="M25" i="16" s="1"/>
  <c r="L24" i="16"/>
  <c r="M24" i="16" s="1"/>
  <c r="L23" i="16"/>
  <c r="M23" i="16" s="1"/>
  <c r="M20" i="16"/>
  <c r="M19" i="16"/>
  <c r="L16" i="16"/>
  <c r="M16" i="16" s="1"/>
  <c r="H15" i="16"/>
  <c r="L15" i="16" s="1"/>
  <c r="M15" i="16" s="1"/>
  <c r="L14" i="16"/>
  <c r="M14" i="16" s="1"/>
  <c r="L56" i="15"/>
  <c r="M56" i="15" s="1"/>
  <c r="L55" i="15"/>
  <c r="M55" i="15" s="1"/>
  <c r="N53" i="15" s="1"/>
  <c r="L44" i="15"/>
  <c r="M44" i="15" s="1"/>
  <c r="N43" i="15" s="1"/>
  <c r="L42" i="15"/>
  <c r="M42" i="15" s="1"/>
  <c r="L37" i="15"/>
  <c r="M37" i="15" s="1"/>
  <c r="M18" i="15"/>
  <c r="L16" i="15"/>
  <c r="M16" i="15" s="1"/>
  <c r="L15" i="15"/>
  <c r="M15" i="15" s="1"/>
  <c r="L14" i="15"/>
  <c r="M14" i="15" s="1"/>
  <c r="L48" i="14"/>
  <c r="M48" i="14" s="1"/>
  <c r="L47" i="14"/>
  <c r="M47" i="14" s="1"/>
  <c r="L46" i="14"/>
  <c r="M46" i="14" s="1"/>
  <c r="L45" i="14"/>
  <c r="M45" i="14" s="1"/>
  <c r="L43" i="14"/>
  <c r="M43" i="14" s="1"/>
  <c r="L42" i="14"/>
  <c r="M42" i="14" s="1"/>
  <c r="L41" i="14"/>
  <c r="M41" i="14" s="1"/>
  <c r="L40" i="14"/>
  <c r="M40" i="14" s="1"/>
  <c r="L39" i="14"/>
  <c r="M39" i="14" s="1"/>
  <c r="L38" i="14"/>
  <c r="M38" i="14" s="1"/>
  <c r="L37" i="14"/>
  <c r="M37" i="14" s="1"/>
  <c r="L35" i="14"/>
  <c r="M35" i="14" s="1"/>
  <c r="L34" i="14"/>
  <c r="M34" i="14" s="1"/>
  <c r="L33" i="14"/>
  <c r="M33" i="14" s="1"/>
  <c r="L32" i="14"/>
  <c r="M32" i="14" s="1"/>
  <c r="M29" i="14"/>
  <c r="M28" i="14"/>
  <c r="M27" i="14"/>
  <c r="M26" i="14"/>
  <c r="M25" i="14"/>
  <c r="M24" i="14"/>
  <c r="M23" i="14"/>
  <c r="M22" i="14"/>
  <c r="M21" i="14"/>
  <c r="M20" i="14"/>
  <c r="M19" i="14"/>
  <c r="L16" i="14"/>
  <c r="M16" i="14" s="1"/>
  <c r="H15" i="14"/>
  <c r="L15" i="14" s="1"/>
  <c r="M15" i="14" s="1"/>
  <c r="L14" i="14"/>
  <c r="M14" i="14" s="1"/>
  <c r="L27" i="13"/>
  <c r="M27" i="13" s="1"/>
  <c r="N36" i="15" l="1"/>
  <c r="N25" i="17"/>
  <c r="N44" i="14"/>
  <c r="N31" i="14"/>
  <c r="N13" i="14"/>
  <c r="N18" i="17"/>
  <c r="N13" i="17"/>
  <c r="M29" i="17"/>
  <c r="N20" i="17"/>
  <c r="N13" i="16"/>
  <c r="N28" i="16"/>
  <c r="N18" i="16"/>
  <c r="N21" i="16"/>
  <c r="M34" i="16"/>
  <c r="M57" i="15"/>
  <c r="L62" i="15" s="1"/>
  <c r="M62" i="15" s="1"/>
  <c r="N13" i="15"/>
  <c r="N18" i="14"/>
  <c r="M50" i="14"/>
  <c r="N36" i="14"/>
  <c r="L36" i="17" l="1"/>
  <c r="M36" i="17" s="1"/>
  <c r="L35" i="17"/>
  <c r="M35" i="17" s="1"/>
  <c r="L34" i="17"/>
  <c r="M34" i="17" s="1"/>
  <c r="N29" i="17"/>
  <c r="N34" i="16"/>
  <c r="L40" i="16"/>
  <c r="M40" i="16" s="1"/>
  <c r="L39" i="16"/>
  <c r="M39" i="16" s="1"/>
  <c r="L41" i="16"/>
  <c r="M41" i="16" s="1"/>
  <c r="N57" i="15"/>
  <c r="N50" i="14"/>
  <c r="L57" i="14"/>
  <c r="M57" i="14" s="1"/>
  <c r="L56" i="14"/>
  <c r="M56" i="14" s="1"/>
  <c r="L55" i="14"/>
  <c r="M55" i="14" s="1"/>
  <c r="N33" i="17" l="1"/>
  <c r="N38" i="17" s="1"/>
  <c r="M38" i="17"/>
  <c r="N38" i="16"/>
  <c r="N43" i="16" s="1"/>
  <c r="M43" i="16"/>
  <c r="N61" i="15"/>
  <c r="N66" i="15" s="1"/>
  <c r="L67" i="15"/>
  <c r="M67" i="15" s="1"/>
  <c r="N67" i="15" s="1"/>
  <c r="N54" i="14"/>
  <c r="N59" i="14" s="1"/>
  <c r="M59" i="14"/>
  <c r="L60" i="14" s="1"/>
  <c r="M60" i="14" s="1"/>
  <c r="N60" i="14" s="1"/>
  <c r="N69" i="15" l="1"/>
  <c r="F5" i="27" s="1"/>
  <c r="L39" i="17"/>
  <c r="M39" i="17" s="1"/>
  <c r="N39" i="17" s="1"/>
  <c r="N41" i="17" s="1"/>
  <c r="L44" i="16"/>
  <c r="M44" i="16" s="1"/>
  <c r="N44" i="16" s="1"/>
  <c r="N46" i="16" s="1"/>
  <c r="M69" i="15"/>
  <c r="N62" i="14"/>
  <c r="M62" i="14"/>
  <c r="F13" i="27" l="1"/>
  <c r="F14" i="27"/>
  <c r="M41" i="17"/>
  <c r="M46" i="16"/>
  <c r="G10" i="27" l="1"/>
  <c r="G5" i="27"/>
  <c r="G6" i="27"/>
  <c r="G9" i="27"/>
  <c r="G7" i="27"/>
  <c r="G8" i="27"/>
  <c r="L33" i="13"/>
  <c r="M33" i="13" s="1"/>
  <c r="L32" i="13"/>
  <c r="M32" i="13" s="1"/>
  <c r="L31" i="13"/>
  <c r="M31" i="13" s="1"/>
  <c r="L29" i="13"/>
  <c r="M29" i="13" s="1"/>
  <c r="L26" i="13"/>
  <c r="M26" i="13" s="1"/>
  <c r="L25" i="13"/>
  <c r="M25" i="13" s="1"/>
  <c r="L24" i="13"/>
  <c r="M24" i="13" s="1"/>
  <c r="M21" i="13"/>
  <c r="M20" i="13"/>
  <c r="M19" i="13"/>
  <c r="L16" i="13"/>
  <c r="M16" i="13" s="1"/>
  <c r="L15" i="13"/>
  <c r="M15" i="13" s="1"/>
  <c r="L14" i="13"/>
  <c r="M14" i="13" s="1"/>
  <c r="L47" i="12"/>
  <c r="M47" i="12" s="1"/>
  <c r="L46" i="12"/>
  <c r="M46" i="12" s="1"/>
  <c r="L45" i="12"/>
  <c r="M45" i="12" s="1"/>
  <c r="L44" i="12"/>
  <c r="M44" i="12" s="1"/>
  <c r="N30" i="13" l="1"/>
  <c r="N18" i="13"/>
  <c r="N28" i="13"/>
  <c r="N23" i="13"/>
  <c r="N13" i="13"/>
  <c r="M34" i="13"/>
  <c r="N43" i="12"/>
  <c r="N34" i="13" l="1"/>
  <c r="L41" i="13"/>
  <c r="M41" i="13" s="1"/>
  <c r="L39" i="13"/>
  <c r="M39" i="13" s="1"/>
  <c r="L40" i="13"/>
  <c r="M40" i="13" s="1"/>
  <c r="M43" i="13" l="1"/>
  <c r="L44" i="13" s="1"/>
  <c r="M44" i="13" s="1"/>
  <c r="N44" i="13" s="1"/>
  <c r="N38" i="13"/>
  <c r="N43" i="13" s="1"/>
  <c r="N46" i="13" l="1"/>
  <c r="M46" i="13"/>
  <c r="L42" i="12" l="1"/>
  <c r="M42" i="12" s="1"/>
  <c r="L41" i="12"/>
  <c r="M41" i="12" s="1"/>
  <c r="M29" i="12"/>
  <c r="L40" i="12" l="1"/>
  <c r="M40" i="12" s="1"/>
  <c r="L39" i="12"/>
  <c r="M39" i="12" s="1"/>
  <c r="L38" i="12"/>
  <c r="M38" i="12" s="1"/>
  <c r="L37" i="12"/>
  <c r="M37" i="12" s="1"/>
  <c r="L36" i="12"/>
  <c r="M36" i="12" s="1"/>
  <c r="L34" i="12"/>
  <c r="M34" i="12" s="1"/>
  <c r="L33" i="12"/>
  <c r="M33" i="12" s="1"/>
  <c r="L32" i="12"/>
  <c r="M32" i="12" s="1"/>
  <c r="L31" i="12"/>
  <c r="M31" i="12" s="1"/>
  <c r="M28" i="12"/>
  <c r="M27" i="12"/>
  <c r="M26" i="12"/>
  <c r="M25" i="12"/>
  <c r="M24" i="12"/>
  <c r="M23" i="12"/>
  <c r="M22" i="12"/>
  <c r="M21" i="12"/>
  <c r="M20" i="12"/>
  <c r="M19" i="12"/>
  <c r="L16" i="12"/>
  <c r="M16" i="12" s="1"/>
  <c r="H15" i="12"/>
  <c r="L14" i="12"/>
  <c r="M14" i="12" s="1"/>
  <c r="N35" i="12" l="1"/>
  <c r="N18" i="12"/>
  <c r="L15" i="12"/>
  <c r="M15" i="12" s="1"/>
  <c r="N13" i="12" s="1"/>
  <c r="N30" i="12"/>
  <c r="M49" i="12"/>
  <c r="N49" i="12" l="1"/>
  <c r="L54" i="12"/>
  <c r="M54" i="12" s="1"/>
  <c r="L56" i="12"/>
  <c r="M56" i="12" s="1"/>
  <c r="L55" i="12"/>
  <c r="M55" i="12" s="1"/>
  <c r="N53" i="12" l="1"/>
  <c r="N58" i="12" s="1"/>
  <c r="M58" i="12"/>
  <c r="L59" i="12" l="1"/>
  <c r="M59" i="12" s="1"/>
  <c r="N59" i="12" s="1"/>
  <c r="N61" i="12" s="1"/>
  <c r="M61" i="12" l="1"/>
</calcChain>
</file>

<file path=xl/sharedStrings.xml><?xml version="1.0" encoding="utf-8"?>
<sst xmlns="http://schemas.openxmlformats.org/spreadsheetml/2006/main" count="1359" uniqueCount="264">
  <si>
    <t>Project</t>
  </si>
  <si>
    <t>Klant</t>
  </si>
  <si>
    <t>Projectnummer</t>
  </si>
  <si>
    <t>Datum</t>
  </si>
  <si>
    <t>Gemaakt door</t>
  </si>
  <si>
    <t>Revisie</t>
  </si>
  <si>
    <t>Onderwerp</t>
  </si>
  <si>
    <t>Onderdeel</t>
  </si>
  <si>
    <t>Situatie</t>
  </si>
  <si>
    <t>uur</t>
  </si>
  <si>
    <t>Kosten verpakking en bescherming leverancier richting bouwplaats</t>
  </si>
  <si>
    <t>Engineering</t>
  </si>
  <si>
    <t>Einddocumentatie</t>
  </si>
  <si>
    <t>Projectleiding</t>
  </si>
  <si>
    <t>st</t>
  </si>
  <si>
    <t>Kraanassistentie</t>
  </si>
  <si>
    <t>dag</t>
  </si>
  <si>
    <t>Vrachtwagen afvoer machinewerken</t>
  </si>
  <si>
    <t>Monteurs demontage</t>
  </si>
  <si>
    <t>Uitruimen kelders bewegingswerk, verwijderen ankers</t>
  </si>
  <si>
    <t>Bevestigingsmaterialen</t>
  </si>
  <si>
    <t>Touch-up conservering</t>
  </si>
  <si>
    <t>Kostprijs aannemer</t>
  </si>
  <si>
    <t>Algemene kosten</t>
  </si>
  <si>
    <t>Onvoorziene kosten</t>
  </si>
  <si>
    <t>Winst en risico</t>
  </si>
  <si>
    <t>Onvoorzien en algemeen</t>
  </si>
  <si>
    <t>Inschrijfsom aannemer</t>
  </si>
  <si>
    <t>BTW</t>
  </si>
  <si>
    <t>Totaalprijs inclusief B.T.W.</t>
  </si>
  <si>
    <t>Totaal</t>
  </si>
  <si>
    <t>Aantal</t>
  </si>
  <si>
    <t>Eenh</t>
  </si>
  <si>
    <t>Groeptotaal</t>
  </si>
  <si>
    <t>Projecttotaal</t>
  </si>
  <si>
    <t>Per stuk</t>
  </si>
  <si>
    <t>Voorbereiding aandrijvingen</t>
  </si>
  <si>
    <t>Montagegereedschappen</t>
  </si>
  <si>
    <t>FO</t>
  </si>
  <si>
    <t>: J.G.A. Bitter</t>
  </si>
  <si>
    <t>: 0</t>
  </si>
  <si>
    <t xml:space="preserve">: </t>
  </si>
  <si>
    <t>Prijspeil juni 2019</t>
  </si>
  <si>
    <t>Aggregaat</t>
  </si>
  <si>
    <t>Cilinder met toebehoren</t>
  </si>
  <si>
    <t>Leidingwerk</t>
  </si>
  <si>
    <t>Behuizing aggregaat</t>
  </si>
  <si>
    <t>Opvangbak olie</t>
  </si>
  <si>
    <t>Hydrouliek olie</t>
  </si>
  <si>
    <t>Bevestigingsmiddelen en overige</t>
  </si>
  <si>
    <t>Plaatsing cilinder</t>
  </si>
  <si>
    <t>Afstellen / inregelen bewegingswerken</t>
  </si>
  <si>
    <t>Plaatsen aggregaat en aansluiten</t>
  </si>
  <si>
    <t>Opvangbak cilinder olie</t>
  </si>
  <si>
    <t>: 07-04-2020</t>
  </si>
  <si>
    <t>Demontage en uitruimen aandrijfkelder</t>
  </si>
  <si>
    <t>Huur kraan/reachtruck tbv. Verwijderen aandrijfcomponenten</t>
  </si>
  <si>
    <t>: Variant 0 en A</t>
  </si>
  <si>
    <t>Montage bewegingswerken</t>
  </si>
  <si>
    <t>Leveren onderstoel, lagerstoel en lager val</t>
  </si>
  <si>
    <t>Stellen lagerstoelen cilinder</t>
  </si>
  <si>
    <t>Plaatsen hoofdlagers</t>
  </si>
  <si>
    <t>Kraanassistentie lagers val</t>
  </si>
  <si>
    <t>Leveringen Aandrijvingen brug incl. lagers val</t>
  </si>
  <si>
    <t>: Kadoelerbrug</t>
  </si>
  <si>
    <t>: Werktuigbouwkundige installatie</t>
  </si>
  <si>
    <t>Inbedrijfstelling</t>
  </si>
  <si>
    <t>FAT en SAT test</t>
  </si>
  <si>
    <t>Oplevering</t>
  </si>
  <si>
    <t>Arbo en CE markering</t>
  </si>
  <si>
    <t>Voeding</t>
  </si>
  <si>
    <t>Hoofdverdeelinrichting</t>
  </si>
  <si>
    <t>Plaatsen en aansluiten</t>
  </si>
  <si>
    <t>Voeding energiebedrijf</t>
  </si>
  <si>
    <t>Besturingkast</t>
  </si>
  <si>
    <t>Besturingskast</t>
  </si>
  <si>
    <t>PLS/Software/display/encoder</t>
  </si>
  <si>
    <t>Montage ter plaatse</t>
  </si>
  <si>
    <t>Afsluitboomkasten</t>
  </si>
  <si>
    <t>Plaatsen twee afsluitbomen NMA BAS-II</t>
  </si>
  <si>
    <t>: Elektrotechnische installatie</t>
  </si>
  <si>
    <t>: Variant B brug</t>
  </si>
  <si>
    <t>: Variant B roldeur</t>
  </si>
  <si>
    <t>Lieraandrijving met omloopwielen en contragewicht</t>
  </si>
  <si>
    <t>Tandwielkast met elektromotor en rem</t>
  </si>
  <si>
    <t>Plaatsen aandrijfcomponenten</t>
  </si>
  <si>
    <t>Plaatsen lierwerk en omloopwielen</t>
  </si>
  <si>
    <t>zit bij de bruginstallatie</t>
  </si>
  <si>
    <t>: Klapbrug met cilinder</t>
  </si>
  <si>
    <t>Cilinder met toebehoren en opbouw aggregaat EHA compleet opgave Rexroth</t>
  </si>
  <si>
    <t>Cilinder met toebehoren en opbouw aggregaat EHA-C1 compleet opgave Rexroth</t>
  </si>
  <si>
    <t>: Klapbrug met cilinder opbouw aggregaat buffersystem</t>
  </si>
  <si>
    <t>: Klapbrug met cilinder opbouw aggregaat</t>
  </si>
  <si>
    <t>PLC/Software/display/encoder</t>
  </si>
  <si>
    <t>Rexroth</t>
  </si>
  <si>
    <t>: Basculebrug met cilinder</t>
  </si>
  <si>
    <t>: Poldergemaal Baambrugge Westzijds</t>
  </si>
  <si>
    <t>: Waternet</t>
  </si>
  <si>
    <t>: 0475204</t>
  </si>
  <si>
    <t>: 10 januari 2022</t>
  </si>
  <si>
    <t>:Opvoerwerktuig</t>
  </si>
  <si>
    <t>Vijzel</t>
  </si>
  <si>
    <t>Montage en demontage op locatie</t>
  </si>
  <si>
    <t>Civieltechnisch</t>
  </si>
  <si>
    <t>Stralen en conserveren vijzel</t>
  </si>
  <si>
    <t>Transport vijzel van en naar gemaal</t>
  </si>
  <si>
    <t>Hijswerkzaamheden</t>
  </si>
  <si>
    <t>m^2</t>
  </si>
  <si>
    <t>Manuren demontage</t>
  </si>
  <si>
    <t>Manuren montage</t>
  </si>
  <si>
    <t>uren</t>
  </si>
  <si>
    <t>dagen</t>
  </si>
  <si>
    <t>Huur pompen droogzetten gemaal</t>
  </si>
  <si>
    <t>Schoonspuiten beton</t>
  </si>
  <si>
    <t>Klein herstelwerk betonschade</t>
  </si>
  <si>
    <t>Conserveren opleider</t>
  </si>
  <si>
    <t>Transport</t>
  </si>
  <si>
    <t>TPI</t>
  </si>
  <si>
    <t>Weken</t>
  </si>
  <si>
    <t>Tijdelijke pompinstallatie</t>
  </si>
  <si>
    <t>Prijspeil 2022</t>
  </si>
  <si>
    <t>:Variant 2</t>
  </si>
  <si>
    <t>Verlinten</t>
  </si>
  <si>
    <t>Visvriendelijke uitvoering</t>
  </si>
  <si>
    <t>Uithakken en opnieuw indraaien</t>
  </si>
  <si>
    <t>Nieuwe aandrijflijn</t>
  </si>
  <si>
    <t>Nieuwe twk+koppeling+fundatie+olie</t>
  </si>
  <si>
    <t>Elektromotor 45kW IE4</t>
  </si>
  <si>
    <t>Revisie bovenlager en nieuw ECO-lager</t>
  </si>
  <si>
    <t>Leveren nieuwe vijzel</t>
  </si>
  <si>
    <t>Herstelwerkzaamheden</t>
  </si>
  <si>
    <t>Wegnemen maalkant</t>
  </si>
  <si>
    <t>Nieuw bovenlager en nieuw ECO-lager verzwaard</t>
  </si>
  <si>
    <t>Variant 1</t>
  </si>
  <si>
    <t>Variant 2</t>
  </si>
  <si>
    <t>Variant 3</t>
  </si>
  <si>
    <t>Variant 4</t>
  </si>
  <si>
    <t>Variant 5</t>
  </si>
  <si>
    <t>Variant 6</t>
  </si>
  <si>
    <t>:Variant 6</t>
  </si>
  <si>
    <t>:Variant 5</t>
  </si>
  <si>
    <t>:Variant 4</t>
  </si>
  <si>
    <t>:Variant 3</t>
  </si>
  <si>
    <t>Kosten OG</t>
  </si>
  <si>
    <t>: Hartelkanaalbrug</t>
  </si>
  <si>
    <t>: Provincie Zuid-Holland</t>
  </si>
  <si>
    <t>: 0465695</t>
  </si>
  <si>
    <t>: 14 april 2022</t>
  </si>
  <si>
    <t>: 0.1</t>
  </si>
  <si>
    <t>:Bewegingswerk</t>
  </si>
  <si>
    <t>:Raming</t>
  </si>
  <si>
    <t>Aandrijving</t>
  </si>
  <si>
    <t>Noodmotor</t>
  </si>
  <si>
    <t>Schakelbare koppeling</t>
  </si>
  <si>
    <t>Hoofdmotor</t>
  </si>
  <si>
    <t>Tandwielkast</t>
  </si>
  <si>
    <t>Tandboogkoppeling</t>
  </si>
  <si>
    <t>Schelp</t>
  </si>
  <si>
    <t>Rondsel met as</t>
  </si>
  <si>
    <t>Draaipunten rondsel</t>
  </si>
  <si>
    <t>Schamelstel</t>
  </si>
  <si>
    <t>Veerbuffer</t>
  </si>
  <si>
    <t>Heugelstang</t>
  </si>
  <si>
    <t>Frame aandrijfcomponenten</t>
  </si>
  <si>
    <t>Stabilisatoren</t>
  </si>
  <si>
    <t>Draaipunten ballastkist</t>
  </si>
  <si>
    <t>Hoofddraaipunten val</t>
  </si>
  <si>
    <t>A</t>
  </si>
  <si>
    <t>D</t>
  </si>
  <si>
    <t>V</t>
  </si>
  <si>
    <t>M</t>
  </si>
  <si>
    <t>N</t>
  </si>
  <si>
    <t>Mtot</t>
  </si>
  <si>
    <t>kg</t>
  </si>
  <si>
    <t>B</t>
  </si>
  <si>
    <t>H</t>
  </si>
  <si>
    <t>L</t>
  </si>
  <si>
    <t>t</t>
  </si>
  <si>
    <t>1,5 Ton staal</t>
  </si>
  <si>
    <t>7 Ton staal</t>
  </si>
  <si>
    <t>3 Ton staal</t>
  </si>
  <si>
    <t>2 Ton staal</t>
  </si>
  <si>
    <t>15 Ton staal</t>
  </si>
  <si>
    <t>3,5 Ton staal</t>
  </si>
  <si>
    <t>Montage op locatie</t>
  </si>
  <si>
    <t>Rem met afscherming</t>
  </si>
  <si>
    <t>Manuren plaatsing stabilisator</t>
  </si>
  <si>
    <t>Manuren plaatsing aandrijving op kist</t>
  </si>
  <si>
    <t>Manuren plaatsing heugelstang</t>
  </si>
  <si>
    <t>Manuren afbouw schamelstel met schelp</t>
  </si>
  <si>
    <t>Afscherkappen tandboogkoppeling</t>
  </si>
  <si>
    <t>Afschermkappen draaiende delen aandrijfassen motoren</t>
  </si>
  <si>
    <t>Manuren afstellen en inregelen en afbouwen</t>
  </si>
  <si>
    <t>Montagewerkzaamheden werkplaats</t>
  </si>
  <si>
    <t>Conservering</t>
  </si>
  <si>
    <t>Montage tandwielkast</t>
  </si>
  <si>
    <t>Montage remmen</t>
  </si>
  <si>
    <t>Montage motoren</t>
  </si>
  <si>
    <t>Montage rondselas met rondsel en tandboogkoppeling</t>
  </si>
  <si>
    <t>Transporten</t>
  </si>
  <si>
    <t>Uitlijnen</t>
  </si>
  <si>
    <t>Montage veerbuffer</t>
  </si>
  <si>
    <t>Montage heugelstang</t>
  </si>
  <si>
    <t>Kosten project</t>
  </si>
  <si>
    <t>Papamawiel dubbel</t>
  </si>
  <si>
    <t>Rondsels met as</t>
  </si>
  <si>
    <t>Drijfstang</t>
  </si>
  <si>
    <t>Afscherkappen</t>
  </si>
  <si>
    <t>Manuren plaatsing tandwielkast</t>
  </si>
  <si>
    <t>Manuren plaatsing panamawielen</t>
  </si>
  <si>
    <t>Manuren afbouw aandrijving</t>
  </si>
  <si>
    <t>Montage drijfstang</t>
  </si>
  <si>
    <t>: Kootstertille</t>
  </si>
  <si>
    <t>: RWS</t>
  </si>
  <si>
    <t>: XXXXXXX</t>
  </si>
  <si>
    <t>: 01-02-2024</t>
  </si>
  <si>
    <t>Kruk met toebehoren</t>
  </si>
  <si>
    <t>Drijfstang met toebehoren</t>
  </si>
  <si>
    <t>Tandwielkast met toebehoren</t>
  </si>
  <si>
    <t>Rem met toebehoren</t>
  </si>
  <si>
    <t>Elektromotor</t>
  </si>
  <si>
    <t>Handaandrijving met toebehoren</t>
  </si>
  <si>
    <t>Koppelingen</t>
  </si>
  <si>
    <t>Aandrijving elektromechanisch (leveren)</t>
  </si>
  <si>
    <t>Railconstructie (leveren)</t>
  </si>
  <si>
    <t>Loopwielen</t>
  </si>
  <si>
    <t>Rail met toebehoren</t>
  </si>
  <si>
    <t>Reviseren houders wielen</t>
  </si>
  <si>
    <t>Stalen framewerk wielhouders</t>
  </si>
  <si>
    <t>Aandrijfcomponenten SEW</t>
  </si>
  <si>
    <t>Opzetwielen met kruk, lagers en as</t>
  </si>
  <si>
    <t>Bovenzadel</t>
  </si>
  <si>
    <t>Handaandrijving</t>
  </si>
  <si>
    <t>Opleggingen</t>
  </si>
  <si>
    <t>Opzetinrichting (leveren)</t>
  </si>
  <si>
    <t>Reviseren boven en onderzadel met toebehoren</t>
  </si>
  <si>
    <t>Trap</t>
  </si>
  <si>
    <t>Reviseren trap</t>
  </si>
  <si>
    <t>Afsluitboomkast met toebehoren</t>
  </si>
  <si>
    <t>Afsluitboominstallatie (levering)</t>
  </si>
  <si>
    <t>Frame met afschermkappen</t>
  </si>
  <si>
    <t>Val levering</t>
  </si>
  <si>
    <t>Stalen val 20Ton</t>
  </si>
  <si>
    <t>Regelballast</t>
  </si>
  <si>
    <t>TSA val</t>
  </si>
  <si>
    <t>Metaliseren val onderzijde (niet onder slijtlaag)</t>
  </si>
  <si>
    <t>Conserveren val</t>
  </si>
  <si>
    <t>Slijtlaag</t>
  </si>
  <si>
    <t>Leuningwerk</t>
  </si>
  <si>
    <t>Conservering overige</t>
  </si>
  <si>
    <t>Onderzoeken</t>
  </si>
  <si>
    <t>Inmetingen</t>
  </si>
  <si>
    <t>Lasonderzoeken</t>
  </si>
  <si>
    <t>Reviseren hoofddraaipunt</t>
  </si>
  <si>
    <t>Buffer en overige componenten</t>
  </si>
  <si>
    <t>FAT en SAT</t>
  </si>
  <si>
    <t>Montage en demontage</t>
  </si>
  <si>
    <t>Op locatie</t>
  </si>
  <si>
    <t>post</t>
  </si>
  <si>
    <t>m</t>
  </si>
  <si>
    <t>m2</t>
  </si>
  <si>
    <t>Leuningwerk brug</t>
  </si>
  <si>
    <t>Kostprijs aannemer, bedrag invullen bij bestekstpost 800010</t>
  </si>
  <si>
    <t>Inschrijvingsstaat Werktuigbouw Oxena Brids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</si>
</sst>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&quot;€&quot;\ #,##0.00"/>
    <numFmt numFmtId="166" formatCode="0.0"/>
    <numFmt numFmtId="167" formatCode="0.000"/>
  </numFmts>
  <fonts count="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Arial"/>
      <family val="2"/>
    </font>
    <font>
      <sz val="6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2" borderId="2" xfId="2" applyFont="1" applyFill="1" applyBorder="1"/>
    <xf numFmtId="0" fontId="1" fillId="2" borderId="2" xfId="2" applyFill="1" applyBorder="1"/>
    <xf numFmtId="0" fontId="1" fillId="2" borderId="3" xfId="2" applyFill="1" applyBorder="1"/>
    <xf numFmtId="0" fontId="3" fillId="2" borderId="0" xfId="2" applyFont="1" applyFill="1"/>
    <xf numFmtId="0" fontId="1" fillId="2" borderId="0" xfId="2" applyFill="1"/>
    <xf numFmtId="0" fontId="1" fillId="2" borderId="5" xfId="2" applyFill="1" applyBorder="1"/>
    <xf numFmtId="164" fontId="0" fillId="0" borderId="0" xfId="0" applyNumberFormat="1"/>
    <xf numFmtId="9" fontId="0" fillId="0" borderId="0" xfId="0" applyNumberFormat="1"/>
    <xf numFmtId="0" fontId="0" fillId="3" borderId="0" xfId="0" applyFill="1"/>
    <xf numFmtId="0" fontId="2" fillId="3" borderId="0" xfId="0" applyFont="1" applyFill="1"/>
    <xf numFmtId="164" fontId="2" fillId="3" borderId="0" xfId="0" applyNumberFormat="1" applyFont="1" applyFill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6" xfId="0" applyBorder="1"/>
    <xf numFmtId="0" fontId="0" fillId="3" borderId="0" xfId="0" applyFill="1" applyAlignment="1">
      <alignment horizontal="center"/>
    </xf>
    <xf numFmtId="0" fontId="3" fillId="2" borderId="1" xfId="2" applyFont="1" applyFill="1" applyBorder="1" applyAlignment="1">
      <alignment horizontal="left"/>
    </xf>
    <xf numFmtId="0" fontId="3" fillId="2" borderId="4" xfId="2" applyFont="1" applyFill="1" applyBorder="1" applyAlignment="1">
      <alignment horizontal="left"/>
    </xf>
    <xf numFmtId="0" fontId="4" fillId="2" borderId="0" xfId="2" applyFont="1" applyFill="1"/>
    <xf numFmtId="0" fontId="3" fillId="2" borderId="5" xfId="2" applyFont="1" applyFill="1" applyBorder="1"/>
    <xf numFmtId="0" fontId="0" fillId="0" borderId="8" xfId="0" applyBorder="1"/>
    <xf numFmtId="0" fontId="0" fillId="0" borderId="9" xfId="0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1" xfId="0" applyBorder="1"/>
    <xf numFmtId="164" fontId="2" fillId="3" borderId="11" xfId="0" applyNumberFormat="1" applyFont="1" applyFill="1" applyBorder="1"/>
    <xf numFmtId="44" fontId="0" fillId="0" borderId="0" xfId="1" applyFont="1" applyBorder="1"/>
    <xf numFmtId="164" fontId="0" fillId="0" borderId="0" xfId="1" applyNumberFormat="1" applyFont="1" applyBorder="1"/>
    <xf numFmtId="164" fontId="0" fillId="3" borderId="0" xfId="1" applyNumberFormat="1" applyFont="1" applyFill="1" applyBorder="1"/>
    <xf numFmtId="164" fontId="2" fillId="3" borderId="0" xfId="1" applyNumberFormat="1" applyFont="1" applyFill="1" applyBorder="1"/>
    <xf numFmtId="164" fontId="2" fillId="3" borderId="11" xfId="1" applyNumberFormat="1" applyFont="1" applyFill="1" applyBorder="1"/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9" fontId="2" fillId="3" borderId="0" xfId="3" applyFont="1" applyFill="1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0" borderId="0" xfId="1" applyNumberFormat="1" applyFont="1" applyFill="1" applyBorder="1"/>
    <xf numFmtId="0" fontId="3" fillId="2" borderId="0" xfId="2" applyFont="1" applyFill="1" applyAlignment="1">
      <alignment horizontal="left"/>
    </xf>
    <xf numFmtId="44" fontId="0" fillId="0" borderId="0" xfId="1" applyFont="1" applyFill="1" applyBorder="1"/>
    <xf numFmtId="0" fontId="0" fillId="2" borderId="0" xfId="0" applyFill="1"/>
    <xf numFmtId="0" fontId="2" fillId="2" borderId="0" xfId="2" applyFont="1" applyFill="1"/>
    <xf numFmtId="164" fontId="0" fillId="2" borderId="0" xfId="1" applyNumberFormat="1" applyFont="1" applyFill="1" applyBorder="1"/>
    <xf numFmtId="4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">
    <cellStyle name="Procent" xfId="3" builtinId="5"/>
    <cellStyle name="Standaard" xfId="0" builtinId="0"/>
    <cellStyle name="Standaard 3" xfId="2" xr:uid="{00000000-0005-0000-0000-000002000000}"/>
    <cellStyle name="Valuta" xfId="1" builtinId="4"/>
  </cellStyles>
  <dxfs count="0"/>
  <tableStyles count="0" defaultTableStyle="TableStyleMedium2" defaultPivotStyle="PivotStyleLight16"/>
  <colors>
    <mruColors>
      <color rgb="FFE8A9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E3ADB2F3-6815-4397-9B70-7F6BF10B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D6F43DAC-B405-4C9B-B8DF-13C872FF7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068DE82E-BD2F-40D2-B63A-81DDABB4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EEA228B2-06EB-4F38-A09E-8E81B3E9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DB0B06E3-6C9D-492B-8589-404BD1B4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D6DEFF3F-98C9-47A0-9ED0-C29917A70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342899</xdr:colOff>
      <xdr:row>0</xdr:row>
      <xdr:rowOff>57151</xdr:rowOff>
    </xdr:from>
    <xdr:ext cx="1457325" cy="742950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49" y="57151"/>
          <a:ext cx="1457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8C237-6B16-4390-B552-A6C66EE2C713}">
  <dimension ref="E5:G14"/>
  <sheetViews>
    <sheetView workbookViewId="0">
      <selection activeCell="G24" sqref="G24"/>
    </sheetView>
  </sheetViews>
  <sheetFormatPr defaultRowHeight="12.75" x14ac:dyDescent="0.2"/>
  <cols>
    <col min="6" max="6" width="11.28515625" bestFit="1" customWidth="1"/>
    <col min="9" max="9" width="9.140625" customWidth="1"/>
  </cols>
  <sheetData>
    <row r="5" spans="5:7" x14ac:dyDescent="0.2">
      <c r="E5" t="s">
        <v>133</v>
      </c>
      <c r="F5" s="45">
        <f>'Variant 1'!N69</f>
        <v>2455592.3176092003</v>
      </c>
      <c r="G5" s="46">
        <f>1+($F$13-F5)/($F$13-$F$14)*4</f>
        <v>1</v>
      </c>
    </row>
    <row r="6" spans="5:7" x14ac:dyDescent="0.2">
      <c r="E6" t="s">
        <v>134</v>
      </c>
      <c r="F6" s="45">
        <f>'Variant 2'!N56</f>
        <v>579150.02230469999</v>
      </c>
      <c r="G6" s="46">
        <f t="shared" ref="G6:G10" si="0">1+($F$13-F6)/($F$13-$F$14)*4</f>
        <v>4.8989576946658495</v>
      </c>
    </row>
    <row r="7" spans="5:7" x14ac:dyDescent="0.2">
      <c r="E7" t="s">
        <v>135</v>
      </c>
      <c r="F7" s="45">
        <f>'Variant 3'!N53</f>
        <v>530521.62718169997</v>
      </c>
      <c r="G7" s="46">
        <f t="shared" si="0"/>
        <v>5</v>
      </c>
    </row>
    <row r="8" spans="5:7" x14ac:dyDescent="0.2">
      <c r="E8" t="s">
        <v>136</v>
      </c>
      <c r="F8" s="45">
        <f>'Variant 4'!N53</f>
        <v>651856.55481870007</v>
      </c>
      <c r="G8" s="46">
        <f t="shared" si="0"/>
        <v>4.7478847332924587</v>
      </c>
    </row>
    <row r="9" spans="5:7" x14ac:dyDescent="0.2">
      <c r="E9" t="s">
        <v>137</v>
      </c>
      <c r="F9" s="45">
        <f>'Variant 5'!N53</f>
        <v>890277.32702369988</v>
      </c>
      <c r="G9" s="46">
        <f t="shared" si="0"/>
        <v>4.2524831391784179</v>
      </c>
    </row>
    <row r="10" spans="5:7" x14ac:dyDescent="0.2">
      <c r="E10" t="s">
        <v>138</v>
      </c>
      <c r="F10" s="45">
        <f>'Variant 6'!N53</f>
        <v>755250.90949769993</v>
      </c>
      <c r="G10" s="46">
        <f t="shared" si="0"/>
        <v>4.5330472103004293</v>
      </c>
    </row>
    <row r="13" spans="5:7" x14ac:dyDescent="0.2">
      <c r="F13" s="45">
        <f>MAX(F5:F10)</f>
        <v>2455592.3176092003</v>
      </c>
    </row>
    <row r="14" spans="5:7" x14ac:dyDescent="0.2">
      <c r="F14" s="45">
        <f>MIN(F5:F10)</f>
        <v>530521.62718169997</v>
      </c>
    </row>
  </sheetData>
  <sheetProtection algorithmName="SHA-512" hashValue="Ok7NTnUY46jg1797nC8QnHgUO7c/pMkH2lSCOAKyf2STRonPj3qWm3n6fL4SNd6EIb7NrL1Acp9QRIqwTjRd/g==" saltValue="x6jcycvr9moYO5pOyQv0gQ==" spinCount="100000" sheet="1" objects="1" scenarios="1"/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888FD-5F98-4D47-B28F-3D6FD23F8813}">
  <sheetPr>
    <pageSetUpPr fitToPage="1"/>
  </sheetPr>
  <dimension ref="A1:S59"/>
  <sheetViews>
    <sheetView view="pageBreakPreview" zoomScaleNormal="100" zoomScaleSheetLayoutView="100" workbookViewId="0">
      <selection activeCell="E61" sqref="E61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  <col min="19" max="19" width="12.140625" bestFit="1" customWidth="1"/>
  </cols>
  <sheetData>
    <row r="1" spans="1:19" x14ac:dyDescent="0.2">
      <c r="A1" s="17" t="s">
        <v>0</v>
      </c>
      <c r="B1" s="1"/>
      <c r="C1" s="1" t="s">
        <v>96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9" x14ac:dyDescent="0.2">
      <c r="A2" s="18" t="s">
        <v>1</v>
      </c>
      <c r="B2" s="4"/>
      <c r="C2" s="4" t="s">
        <v>97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9" x14ac:dyDescent="0.2">
      <c r="A3" s="18" t="s">
        <v>2</v>
      </c>
      <c r="B3" s="4"/>
      <c r="C3" s="4" t="s">
        <v>98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9" x14ac:dyDescent="0.2">
      <c r="A4" s="18" t="s">
        <v>3</v>
      </c>
      <c r="B4" s="4"/>
      <c r="C4" s="4" t="s">
        <v>99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9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9" x14ac:dyDescent="0.2">
      <c r="A6" s="18" t="s">
        <v>5</v>
      </c>
      <c r="B6" s="4"/>
      <c r="C6" s="39" t="s">
        <v>40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9" x14ac:dyDescent="0.2">
      <c r="A7" s="18" t="s">
        <v>6</v>
      </c>
      <c r="B7" s="4"/>
      <c r="C7" s="4" t="s">
        <v>139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9" x14ac:dyDescent="0.2">
      <c r="A8" s="18" t="s">
        <v>7</v>
      </c>
      <c r="B8" s="4"/>
      <c r="C8" s="4" t="s">
        <v>100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9" x14ac:dyDescent="0.2">
      <c r="A9" s="18" t="s">
        <v>8</v>
      </c>
      <c r="B9" s="4"/>
      <c r="C9" s="4" t="s">
        <v>41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  <c r="S9" s="7"/>
    </row>
    <row r="10" spans="1:19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  <c r="S10" s="7"/>
    </row>
    <row r="11" spans="1:19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  <c r="S11" s="44"/>
    </row>
    <row r="12" spans="1:19" x14ac:dyDescent="0.2">
      <c r="A12" s="32"/>
      <c r="N12" s="25"/>
    </row>
    <row r="13" spans="1:19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28000</v>
      </c>
    </row>
    <row r="14" spans="1:19" x14ac:dyDescent="0.2">
      <c r="A14" s="32">
        <v>1</v>
      </c>
      <c r="B14" t="s">
        <v>13</v>
      </c>
      <c r="H14">
        <v>100</v>
      </c>
      <c r="I14" t="s">
        <v>9</v>
      </c>
      <c r="J14" s="27">
        <v>100</v>
      </c>
      <c r="L14" s="28">
        <f t="shared" ref="L14:L16" si="0">H14*J14</f>
        <v>10000</v>
      </c>
      <c r="M14" s="28">
        <f>A14*L14</f>
        <v>10000</v>
      </c>
      <c r="N14" s="25"/>
    </row>
    <row r="15" spans="1:19" x14ac:dyDescent="0.2">
      <c r="A15" s="32">
        <v>1</v>
      </c>
      <c r="B15" t="s">
        <v>11</v>
      </c>
      <c r="H15">
        <v>120</v>
      </c>
      <c r="I15" t="s">
        <v>9</v>
      </c>
      <c r="J15" s="27">
        <v>90</v>
      </c>
      <c r="L15" s="28">
        <f t="shared" si="0"/>
        <v>10800</v>
      </c>
      <c r="M15" s="28">
        <f>A15*L15</f>
        <v>10800</v>
      </c>
      <c r="N15" s="25"/>
    </row>
    <row r="16" spans="1:19" x14ac:dyDescent="0.2">
      <c r="A16" s="32">
        <v>1</v>
      </c>
      <c r="B16" t="s">
        <v>12</v>
      </c>
      <c r="H16"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4" x14ac:dyDescent="0.2">
      <c r="A17" s="33"/>
      <c r="B17" s="10" t="s">
        <v>101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26">
        <f>SUM(M18:M20)</f>
        <v>168700</v>
      </c>
    </row>
    <row r="18" spans="1:14" x14ac:dyDescent="0.2">
      <c r="A18" s="32">
        <v>1</v>
      </c>
      <c r="B18" t="s">
        <v>105</v>
      </c>
      <c r="H18">
        <v>2</v>
      </c>
      <c r="J18" s="40">
        <v>1000</v>
      </c>
      <c r="L18" s="38">
        <f>H18*J18</f>
        <v>2000</v>
      </c>
      <c r="M18" s="38">
        <f t="shared" ref="M18:M20" si="1">A18*L18</f>
        <v>2000</v>
      </c>
      <c r="N18" s="25"/>
    </row>
    <row r="19" spans="1:14" x14ac:dyDescent="0.2">
      <c r="A19" s="32">
        <v>1</v>
      </c>
      <c r="B19" t="s">
        <v>106</v>
      </c>
      <c r="H19">
        <v>2</v>
      </c>
      <c r="J19" s="40">
        <v>850</v>
      </c>
      <c r="L19" s="38">
        <f t="shared" ref="L19:L20" si="2">H19*J19</f>
        <v>1700</v>
      </c>
      <c r="M19" s="38">
        <f t="shared" si="1"/>
        <v>1700</v>
      </c>
      <c r="N19" s="25"/>
    </row>
    <row r="20" spans="1:14" x14ac:dyDescent="0.2">
      <c r="A20" s="32">
        <v>1</v>
      </c>
      <c r="B20" t="s">
        <v>129</v>
      </c>
      <c r="H20">
        <v>1</v>
      </c>
      <c r="J20" s="40">
        <v>165000</v>
      </c>
      <c r="L20" s="38">
        <f t="shared" si="2"/>
        <v>165000</v>
      </c>
      <c r="M20" s="38">
        <f t="shared" si="1"/>
        <v>165000</v>
      </c>
      <c r="N20" s="25"/>
    </row>
    <row r="21" spans="1:14" x14ac:dyDescent="0.2">
      <c r="A21" s="33"/>
      <c r="B21" s="10" t="s">
        <v>102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29"/>
      <c r="N21" s="26">
        <f>SUM(M22:M25)</f>
        <v>21200</v>
      </c>
    </row>
    <row r="22" spans="1:14" x14ac:dyDescent="0.2">
      <c r="A22" s="32">
        <v>1</v>
      </c>
      <c r="B22" t="s">
        <v>108</v>
      </c>
      <c r="H22">
        <f>2*40</f>
        <v>80</v>
      </c>
      <c r="I22" t="s">
        <v>110</v>
      </c>
      <c r="J22" s="27">
        <v>90</v>
      </c>
      <c r="L22" s="28">
        <f t="shared" ref="L22:L25" si="3">H22*J22</f>
        <v>7200</v>
      </c>
      <c r="M22" s="28">
        <f t="shared" ref="M22:M25" si="4">A22*L22</f>
        <v>7200</v>
      </c>
      <c r="N22" s="25"/>
    </row>
    <row r="23" spans="1:14" x14ac:dyDescent="0.2">
      <c r="A23" s="32">
        <v>1</v>
      </c>
      <c r="B23" t="s">
        <v>109</v>
      </c>
      <c r="H23">
        <v>80</v>
      </c>
      <c r="I23" t="s">
        <v>110</v>
      </c>
      <c r="J23" s="27">
        <v>90</v>
      </c>
      <c r="L23" s="28">
        <f t="shared" si="3"/>
        <v>7200</v>
      </c>
      <c r="M23" s="28">
        <f t="shared" si="4"/>
        <v>7200</v>
      </c>
      <c r="N23" s="25"/>
    </row>
    <row r="24" spans="1:14" x14ac:dyDescent="0.2">
      <c r="A24" s="32">
        <v>1</v>
      </c>
      <c r="B24" t="s">
        <v>15</v>
      </c>
      <c r="H24">
        <v>3</v>
      </c>
      <c r="I24" t="s">
        <v>111</v>
      </c>
      <c r="J24" s="27">
        <v>600</v>
      </c>
      <c r="L24" s="28">
        <f t="shared" si="3"/>
        <v>1800</v>
      </c>
      <c r="M24" s="28">
        <f t="shared" si="4"/>
        <v>1800</v>
      </c>
      <c r="N24" s="25"/>
    </row>
    <row r="25" spans="1:14" x14ac:dyDescent="0.2">
      <c r="A25" s="32">
        <v>1</v>
      </c>
      <c r="B25" t="s">
        <v>112</v>
      </c>
      <c r="H25">
        <v>1</v>
      </c>
      <c r="J25" s="27">
        <v>5000</v>
      </c>
      <c r="L25" s="28">
        <f t="shared" si="3"/>
        <v>5000</v>
      </c>
      <c r="M25" s="28">
        <f t="shared" si="4"/>
        <v>5000</v>
      </c>
      <c r="N25" s="25"/>
    </row>
    <row r="26" spans="1:14" x14ac:dyDescent="0.2">
      <c r="A26" s="33"/>
      <c r="B26" s="10" t="s">
        <v>103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26">
        <f>SUM(M27:M29)</f>
        <v>4440</v>
      </c>
    </row>
    <row r="27" spans="1:14" x14ac:dyDescent="0.2">
      <c r="A27" s="32">
        <v>1</v>
      </c>
      <c r="B27" t="s">
        <v>113</v>
      </c>
      <c r="H27">
        <v>16</v>
      </c>
      <c r="I27" t="s">
        <v>110</v>
      </c>
      <c r="J27" s="27">
        <v>90</v>
      </c>
      <c r="L27" s="28">
        <f t="shared" ref="L27:L29" si="5">H27*J27</f>
        <v>1440</v>
      </c>
      <c r="M27" s="28">
        <f t="shared" ref="M27:M29" si="6">A27*L27</f>
        <v>1440</v>
      </c>
      <c r="N27" s="25"/>
    </row>
    <row r="28" spans="1:14" x14ac:dyDescent="0.2">
      <c r="A28" s="32">
        <v>1</v>
      </c>
      <c r="B28" t="s">
        <v>131</v>
      </c>
      <c r="H28">
        <v>1</v>
      </c>
      <c r="J28" s="27">
        <v>2000</v>
      </c>
      <c r="L28" s="28">
        <f t="shared" si="5"/>
        <v>2000</v>
      </c>
      <c r="M28" s="28">
        <f t="shared" si="6"/>
        <v>2000</v>
      </c>
      <c r="N28" s="25"/>
    </row>
    <row r="29" spans="1:14" x14ac:dyDescent="0.2">
      <c r="A29" s="32">
        <v>1</v>
      </c>
      <c r="B29" t="s">
        <v>115</v>
      </c>
      <c r="H29">
        <v>20</v>
      </c>
      <c r="I29" t="s">
        <v>107</v>
      </c>
      <c r="J29" s="27">
        <v>50</v>
      </c>
      <c r="L29" s="28">
        <f t="shared" si="5"/>
        <v>1000</v>
      </c>
      <c r="M29" s="28">
        <f t="shared" si="6"/>
        <v>1000</v>
      </c>
      <c r="N29" s="25"/>
    </row>
    <row r="30" spans="1:14" x14ac:dyDescent="0.2">
      <c r="A30" s="33"/>
      <c r="B30" s="10" t="s">
        <v>125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26">
        <f>SUM(M31:M34)</f>
        <v>34000</v>
      </c>
    </row>
    <row r="31" spans="1:14" x14ac:dyDescent="0.2">
      <c r="A31" s="32">
        <v>1</v>
      </c>
      <c r="B31" t="s">
        <v>126</v>
      </c>
      <c r="H31">
        <v>1</v>
      </c>
      <c r="J31" s="27">
        <v>13000</v>
      </c>
      <c r="L31" s="28">
        <f t="shared" ref="L31:L34" si="7">H31*J31</f>
        <v>13000</v>
      </c>
      <c r="M31" s="28">
        <f t="shared" ref="M31:M34" si="8">A31*L31</f>
        <v>13000</v>
      </c>
      <c r="N31" s="25"/>
    </row>
    <row r="32" spans="1:14" x14ac:dyDescent="0.2">
      <c r="A32" s="32">
        <v>1</v>
      </c>
      <c r="B32" t="s">
        <v>127</v>
      </c>
      <c r="H32">
        <v>1</v>
      </c>
      <c r="J32" s="27">
        <v>4000</v>
      </c>
      <c r="L32" s="28">
        <f t="shared" si="7"/>
        <v>4000</v>
      </c>
      <c r="M32" s="28">
        <f t="shared" si="8"/>
        <v>4000</v>
      </c>
      <c r="N32" s="25"/>
    </row>
    <row r="33" spans="1:14" x14ac:dyDescent="0.2">
      <c r="A33" s="32">
        <v>1</v>
      </c>
      <c r="B33" t="s">
        <v>132</v>
      </c>
      <c r="H33">
        <v>1</v>
      </c>
      <c r="J33" s="27">
        <v>15000</v>
      </c>
      <c r="L33" s="28">
        <f t="shared" si="7"/>
        <v>15000</v>
      </c>
      <c r="M33" s="28">
        <f t="shared" si="8"/>
        <v>15000</v>
      </c>
      <c r="N33" s="25"/>
    </row>
    <row r="34" spans="1:14" x14ac:dyDescent="0.2">
      <c r="A34" s="32">
        <v>1</v>
      </c>
      <c r="B34" t="s">
        <v>116</v>
      </c>
      <c r="H34">
        <v>2</v>
      </c>
      <c r="J34" s="27">
        <v>1000</v>
      </c>
      <c r="L34" s="28">
        <f t="shared" si="7"/>
        <v>2000</v>
      </c>
      <c r="M34" s="28">
        <f t="shared" si="8"/>
        <v>2000</v>
      </c>
      <c r="N34" s="25"/>
    </row>
    <row r="35" spans="1:14" x14ac:dyDescent="0.2">
      <c r="A35" s="33"/>
      <c r="B35" s="10" t="s">
        <v>119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6">
        <f>SUM(M36:M36)</f>
        <v>60000</v>
      </c>
    </row>
    <row r="36" spans="1:14" x14ac:dyDescent="0.2">
      <c r="A36" s="32">
        <v>1</v>
      </c>
      <c r="B36" t="s">
        <v>117</v>
      </c>
      <c r="H36">
        <v>3</v>
      </c>
      <c r="I36" t="s">
        <v>118</v>
      </c>
      <c r="J36" s="27">
        <v>20000</v>
      </c>
      <c r="L36" s="28">
        <f t="shared" ref="L36" si="9">H36*J36</f>
        <v>60000</v>
      </c>
      <c r="M36" s="28">
        <f t="shared" ref="M36" si="10">A36*L36</f>
        <v>60000</v>
      </c>
      <c r="N36" s="25"/>
    </row>
    <row r="37" spans="1:14" x14ac:dyDescent="0.2">
      <c r="A37" s="33"/>
      <c r="B37" s="10" t="s">
        <v>66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26">
        <f>SUM(M38:M40)</f>
        <v>3600</v>
      </c>
    </row>
    <row r="38" spans="1:14" x14ac:dyDescent="0.2">
      <c r="A38" s="32">
        <v>1</v>
      </c>
      <c r="B38" t="s">
        <v>67</v>
      </c>
      <c r="H38">
        <v>24</v>
      </c>
      <c r="I38" t="s">
        <v>9</v>
      </c>
      <c r="J38" s="27">
        <v>90</v>
      </c>
      <c r="L38" s="28">
        <f t="shared" ref="L38:L40" si="11">H38*J38</f>
        <v>2160</v>
      </c>
      <c r="M38" s="28">
        <f t="shared" ref="M38:M40" si="12">A38*L38</f>
        <v>2160</v>
      </c>
      <c r="N38" s="25"/>
    </row>
    <row r="39" spans="1:14" x14ac:dyDescent="0.2">
      <c r="A39" s="32">
        <v>1</v>
      </c>
      <c r="B39" t="s">
        <v>66</v>
      </c>
      <c r="H39">
        <v>8</v>
      </c>
      <c r="I39" t="s">
        <v>9</v>
      </c>
      <c r="J39" s="27">
        <v>90</v>
      </c>
      <c r="L39" s="28">
        <f t="shared" si="11"/>
        <v>720</v>
      </c>
      <c r="M39" s="28">
        <f t="shared" si="12"/>
        <v>720</v>
      </c>
      <c r="N39" s="25"/>
    </row>
    <row r="40" spans="1:14" x14ac:dyDescent="0.2">
      <c r="A40" s="32">
        <v>1</v>
      </c>
      <c r="B40" t="s">
        <v>68</v>
      </c>
      <c r="H40">
        <v>8</v>
      </c>
      <c r="I40" t="s">
        <v>9</v>
      </c>
      <c r="J40" s="40">
        <v>90</v>
      </c>
      <c r="L40" s="38">
        <f t="shared" si="11"/>
        <v>720</v>
      </c>
      <c r="M40" s="38">
        <f t="shared" si="12"/>
        <v>720</v>
      </c>
      <c r="N40" s="25"/>
    </row>
    <row r="41" spans="1:14" x14ac:dyDescent="0.2">
      <c r="A41" s="33"/>
      <c r="B41" s="10" t="s">
        <v>22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30">
        <f>SUM(M13:M40)</f>
        <v>319940</v>
      </c>
      <c r="N41" s="31">
        <f>SUM(N13:N40)</f>
        <v>319940</v>
      </c>
    </row>
    <row r="42" spans="1:14" x14ac:dyDescent="0.2">
      <c r="A42" s="33"/>
      <c r="B42" s="10"/>
      <c r="C42" s="9"/>
      <c r="D42" s="9"/>
      <c r="E42" s="9"/>
      <c r="F42" s="30"/>
      <c r="G42" s="10"/>
      <c r="H42" s="9"/>
      <c r="I42" s="9"/>
      <c r="J42" s="30"/>
      <c r="K42" s="9"/>
      <c r="L42" s="9"/>
      <c r="M42" s="34"/>
      <c r="N42" s="31"/>
    </row>
    <row r="43" spans="1:14" x14ac:dyDescent="0.2">
      <c r="A43" s="37"/>
      <c r="B43" s="15" t="s">
        <v>120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35"/>
    </row>
    <row r="45" spans="1:14" x14ac:dyDescent="0.2">
      <c r="A45" s="16"/>
      <c r="B45" s="10" t="s">
        <v>26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11">
        <f>SUM(M46:M48)</f>
        <v>304234.30537000002</v>
      </c>
    </row>
    <row r="46" spans="1:14" x14ac:dyDescent="0.2">
      <c r="B46" t="s">
        <v>24</v>
      </c>
      <c r="K46" s="8">
        <f>195.09105/100-1</f>
        <v>0.95091049999999999</v>
      </c>
      <c r="L46" s="7">
        <f>M41</f>
        <v>319940</v>
      </c>
      <c r="M46" s="7">
        <f>K46*L46</f>
        <v>304234.30537000002</v>
      </c>
    </row>
    <row r="47" spans="1:14" x14ac:dyDescent="0.2">
      <c r="B47" t="s">
        <v>23</v>
      </c>
      <c r="K47" s="8"/>
      <c r="L47" s="7"/>
      <c r="M47" s="7"/>
    </row>
    <row r="48" spans="1:14" x14ac:dyDescent="0.2">
      <c r="B48" t="s">
        <v>25</v>
      </c>
      <c r="K48" s="8"/>
      <c r="L48" s="7"/>
      <c r="M48" s="7"/>
    </row>
    <row r="49" spans="1:16" x14ac:dyDescent="0.2">
      <c r="B49" t="s">
        <v>143</v>
      </c>
    </row>
    <row r="50" spans="1:16" x14ac:dyDescent="0.2">
      <c r="A50" s="16"/>
      <c r="B50" s="10" t="s">
        <v>27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1">
        <f>SUM(M41:M49)</f>
        <v>624174.30536999996</v>
      </c>
      <c r="N50" s="11">
        <f>SUM(N41:N49)</f>
        <v>624174.30536999996</v>
      </c>
      <c r="P50" s="47"/>
    </row>
    <row r="51" spans="1:16" x14ac:dyDescent="0.2">
      <c r="B51" t="s">
        <v>28</v>
      </c>
      <c r="K51" s="8">
        <v>0.21</v>
      </c>
      <c r="L51" s="7">
        <f>M50</f>
        <v>624174.30536999996</v>
      </c>
      <c r="M51" s="7">
        <f>K51*L51</f>
        <v>131076.60412769997</v>
      </c>
      <c r="N51" s="7">
        <f>M51</f>
        <v>131076.60412769997</v>
      </c>
    </row>
    <row r="53" spans="1:16" x14ac:dyDescent="0.2">
      <c r="A53" s="16"/>
      <c r="B53" s="10" t="s">
        <v>29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1">
        <f>SUM(M50:M52)</f>
        <v>755250.90949769993</v>
      </c>
      <c r="N53" s="11">
        <f>SUM(N50:N52)</f>
        <v>755250.90949769993</v>
      </c>
    </row>
    <row r="56" spans="1:16" x14ac:dyDescent="0.2">
      <c r="K56" s="8"/>
    </row>
    <row r="57" spans="1:16" x14ac:dyDescent="0.2">
      <c r="K57" s="8"/>
    </row>
    <row r="58" spans="1:16" x14ac:dyDescent="0.2">
      <c r="K58" s="8"/>
    </row>
    <row r="59" spans="1:16" x14ac:dyDescent="0.2">
      <c r="K59" s="8"/>
    </row>
  </sheetData>
  <sheetProtection algorithmName="SHA-512" hashValue="BXhniS0rxDrofMboKFNFcFKCjMG66CLtsX3Ob+Vd07THc0G87DdoEVCTZYs9wVNcYtYGld3xRbRjdemw8gwA/A==" saltValue="0rGS9P8WY9O/OT3tu4fmJQ==" spinCount="100000" sheet="1" objects="1" scenarios="1"/>
  <printOptions gridLines="1"/>
  <pageMargins left="0.9055118110236221" right="0.31496062992125984" top="0.15748031496062992" bottom="0.35433070866141736" header="0" footer="0"/>
  <pageSetup paperSize="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7D3A6-2FB0-415E-B8E6-9BF30BC1D607}">
  <sheetPr>
    <pageSetUpPr fitToPage="1"/>
  </sheetPr>
  <dimension ref="A1:N53"/>
  <sheetViews>
    <sheetView view="pageBreakPreview" topLeftCell="A4" zoomScaleNormal="100" zoomScaleSheetLayoutView="100" workbookViewId="0">
      <selection activeCell="F64" sqref="F64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</cols>
  <sheetData>
    <row r="1" spans="1:14" x14ac:dyDescent="0.2">
      <c r="A1" s="17" t="s">
        <v>0</v>
      </c>
      <c r="B1" s="1"/>
      <c r="C1" s="1" t="s">
        <v>96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97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98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99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40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140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100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41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28000</v>
      </c>
    </row>
    <row r="14" spans="1:14" x14ac:dyDescent="0.2">
      <c r="A14" s="32">
        <v>1</v>
      </c>
      <c r="B14" t="s">
        <v>13</v>
      </c>
      <c r="H14">
        <v>100</v>
      </c>
      <c r="I14" t="s">
        <v>9</v>
      </c>
      <c r="J14" s="27">
        <v>100</v>
      </c>
      <c r="L14" s="28">
        <f t="shared" ref="L14:L16" si="0">H14*J14</f>
        <v>10000</v>
      </c>
      <c r="M14" s="28">
        <f>A14*L14</f>
        <v>10000</v>
      </c>
      <c r="N14" s="25"/>
    </row>
    <row r="15" spans="1:14" x14ac:dyDescent="0.2">
      <c r="A15" s="32">
        <v>1</v>
      </c>
      <c r="B15" t="s">
        <v>11</v>
      </c>
      <c r="H15">
        <v>120</v>
      </c>
      <c r="I15" t="s">
        <v>9</v>
      </c>
      <c r="J15" s="27">
        <v>90</v>
      </c>
      <c r="L15" s="28">
        <f t="shared" si="0"/>
        <v>10800</v>
      </c>
      <c r="M15" s="28">
        <f>A15*L15</f>
        <v>10800</v>
      </c>
      <c r="N15" s="25"/>
    </row>
    <row r="16" spans="1:14" x14ac:dyDescent="0.2">
      <c r="A16" s="32">
        <v>1</v>
      </c>
      <c r="B16" t="s">
        <v>12</v>
      </c>
      <c r="H16"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4" x14ac:dyDescent="0.2">
      <c r="A17" s="33"/>
      <c r="B17" s="10" t="s">
        <v>101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26">
        <f>SUM(M18:M20)</f>
        <v>198700</v>
      </c>
    </row>
    <row r="18" spans="1:14" x14ac:dyDescent="0.2">
      <c r="A18" s="32">
        <v>1</v>
      </c>
      <c r="B18" t="s">
        <v>105</v>
      </c>
      <c r="H18">
        <v>2</v>
      </c>
      <c r="J18" s="40">
        <v>1000</v>
      </c>
      <c r="L18" s="38">
        <f>H18*J18</f>
        <v>2000</v>
      </c>
      <c r="M18" s="38">
        <f t="shared" ref="M18:M20" si="1">A18*L18</f>
        <v>2000</v>
      </c>
      <c r="N18" s="25"/>
    </row>
    <row r="19" spans="1:14" x14ac:dyDescent="0.2">
      <c r="A19" s="32">
        <v>1</v>
      </c>
      <c r="B19" t="s">
        <v>106</v>
      </c>
      <c r="H19">
        <v>2</v>
      </c>
      <c r="J19" s="40">
        <v>850</v>
      </c>
      <c r="L19" s="38">
        <f t="shared" ref="L19:L20" si="2">H19*J19</f>
        <v>1700</v>
      </c>
      <c r="M19" s="38">
        <f t="shared" si="1"/>
        <v>1700</v>
      </c>
      <c r="N19" s="25"/>
    </row>
    <row r="20" spans="1:14" x14ac:dyDescent="0.2">
      <c r="A20" s="32">
        <v>1</v>
      </c>
      <c r="B20" t="s">
        <v>129</v>
      </c>
      <c r="H20">
        <v>1</v>
      </c>
      <c r="J20" s="40">
        <f>65000*3</f>
        <v>195000</v>
      </c>
      <c r="L20" s="38">
        <f t="shared" si="2"/>
        <v>195000</v>
      </c>
      <c r="M20" s="38">
        <f t="shared" si="1"/>
        <v>195000</v>
      </c>
      <c r="N20" s="25"/>
    </row>
    <row r="21" spans="1:14" x14ac:dyDescent="0.2">
      <c r="A21" s="33"/>
      <c r="B21" s="10" t="s">
        <v>102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29"/>
      <c r="N21" s="26">
        <f>SUM(M22:M25)</f>
        <v>28400</v>
      </c>
    </row>
    <row r="22" spans="1:14" x14ac:dyDescent="0.2">
      <c r="A22" s="32">
        <v>1</v>
      </c>
      <c r="B22" t="s">
        <v>108</v>
      </c>
      <c r="H22">
        <f>2*40</f>
        <v>80</v>
      </c>
      <c r="I22" t="s">
        <v>110</v>
      </c>
      <c r="J22" s="27">
        <v>90</v>
      </c>
      <c r="L22" s="28">
        <f t="shared" ref="L22:L25" si="3">H22*J22</f>
        <v>7200</v>
      </c>
      <c r="M22" s="28">
        <f t="shared" ref="M22:M25" si="4">A22*L22</f>
        <v>7200</v>
      </c>
      <c r="N22" s="25"/>
    </row>
    <row r="23" spans="1:14" x14ac:dyDescent="0.2">
      <c r="A23" s="32">
        <v>1</v>
      </c>
      <c r="B23" t="s">
        <v>109</v>
      </c>
      <c r="H23">
        <v>160</v>
      </c>
      <c r="I23" t="s">
        <v>110</v>
      </c>
      <c r="J23" s="27">
        <v>90</v>
      </c>
      <c r="L23" s="28">
        <f t="shared" si="3"/>
        <v>14400</v>
      </c>
      <c r="M23" s="28">
        <f t="shared" si="4"/>
        <v>14400</v>
      </c>
      <c r="N23" s="25"/>
    </row>
    <row r="24" spans="1:14" x14ac:dyDescent="0.2">
      <c r="A24" s="32">
        <v>1</v>
      </c>
      <c r="B24" t="s">
        <v>15</v>
      </c>
      <c r="H24">
        <v>3</v>
      </c>
      <c r="I24" t="s">
        <v>111</v>
      </c>
      <c r="J24" s="27">
        <v>600</v>
      </c>
      <c r="L24" s="28">
        <f t="shared" si="3"/>
        <v>1800</v>
      </c>
      <c r="M24" s="28">
        <f t="shared" si="4"/>
        <v>1800</v>
      </c>
      <c r="N24" s="25"/>
    </row>
    <row r="25" spans="1:14" x14ac:dyDescent="0.2">
      <c r="A25" s="32">
        <v>1</v>
      </c>
      <c r="B25" t="s">
        <v>112</v>
      </c>
      <c r="H25">
        <v>1</v>
      </c>
      <c r="J25" s="27">
        <v>5000</v>
      </c>
      <c r="L25" s="28">
        <f t="shared" si="3"/>
        <v>5000</v>
      </c>
      <c r="M25" s="28">
        <f t="shared" si="4"/>
        <v>5000</v>
      </c>
      <c r="N25" s="25"/>
    </row>
    <row r="26" spans="1:14" x14ac:dyDescent="0.2">
      <c r="A26" s="33"/>
      <c r="B26" s="10" t="s">
        <v>103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26">
        <f>SUM(M27:M29)</f>
        <v>4440</v>
      </c>
    </row>
    <row r="27" spans="1:14" x14ac:dyDescent="0.2">
      <c r="A27" s="32">
        <v>1</v>
      </c>
      <c r="B27" t="s">
        <v>113</v>
      </c>
      <c r="H27">
        <v>16</v>
      </c>
      <c r="I27" t="s">
        <v>110</v>
      </c>
      <c r="J27" s="27">
        <v>90</v>
      </c>
      <c r="L27" s="28">
        <f t="shared" ref="L27:L29" si="5">H27*J27</f>
        <v>1440</v>
      </c>
      <c r="M27" s="28">
        <f t="shared" ref="M27:M29" si="6">A27*L27</f>
        <v>1440</v>
      </c>
      <c r="N27" s="25"/>
    </row>
    <row r="28" spans="1:14" x14ac:dyDescent="0.2">
      <c r="A28" s="32">
        <v>1</v>
      </c>
      <c r="B28" t="s">
        <v>131</v>
      </c>
      <c r="H28">
        <v>1</v>
      </c>
      <c r="J28" s="27">
        <v>2000</v>
      </c>
      <c r="L28" s="28">
        <f t="shared" si="5"/>
        <v>2000</v>
      </c>
      <c r="M28" s="28">
        <f t="shared" si="6"/>
        <v>2000</v>
      </c>
      <c r="N28" s="25"/>
    </row>
    <row r="29" spans="1:14" x14ac:dyDescent="0.2">
      <c r="A29" s="32">
        <v>1</v>
      </c>
      <c r="B29" t="s">
        <v>115</v>
      </c>
      <c r="H29">
        <v>20</v>
      </c>
      <c r="I29" t="s">
        <v>107</v>
      </c>
      <c r="J29" s="27">
        <v>50</v>
      </c>
      <c r="L29" s="28">
        <f t="shared" si="5"/>
        <v>1000</v>
      </c>
      <c r="M29" s="28">
        <f t="shared" si="6"/>
        <v>1000</v>
      </c>
      <c r="N29" s="25"/>
    </row>
    <row r="30" spans="1:14" x14ac:dyDescent="0.2">
      <c r="A30" s="33"/>
      <c r="B30" s="10" t="s">
        <v>125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26">
        <f>SUM(M31:M34)</f>
        <v>34000</v>
      </c>
    </row>
    <row r="31" spans="1:14" x14ac:dyDescent="0.2">
      <c r="A31" s="32">
        <v>1</v>
      </c>
      <c r="B31" t="s">
        <v>126</v>
      </c>
      <c r="H31">
        <v>1</v>
      </c>
      <c r="J31" s="27">
        <v>13000</v>
      </c>
      <c r="L31" s="28">
        <f t="shared" ref="L31:L34" si="7">H31*J31</f>
        <v>13000</v>
      </c>
      <c r="M31" s="28">
        <f t="shared" ref="M31:M34" si="8">A31*L31</f>
        <v>13000</v>
      </c>
      <c r="N31" s="25"/>
    </row>
    <row r="32" spans="1:14" x14ac:dyDescent="0.2">
      <c r="A32" s="32">
        <v>1</v>
      </c>
      <c r="B32" t="s">
        <v>127</v>
      </c>
      <c r="H32">
        <v>1</v>
      </c>
      <c r="J32" s="27">
        <v>4000</v>
      </c>
      <c r="L32" s="28">
        <f t="shared" si="7"/>
        <v>4000</v>
      </c>
      <c r="M32" s="28">
        <f t="shared" si="8"/>
        <v>4000</v>
      </c>
      <c r="N32" s="25"/>
    </row>
    <row r="33" spans="1:14" x14ac:dyDescent="0.2">
      <c r="A33" s="32">
        <v>1</v>
      </c>
      <c r="B33" t="s">
        <v>132</v>
      </c>
      <c r="H33">
        <v>1</v>
      </c>
      <c r="J33" s="27">
        <v>15000</v>
      </c>
      <c r="L33" s="28">
        <f t="shared" si="7"/>
        <v>15000</v>
      </c>
      <c r="M33" s="28">
        <f t="shared" si="8"/>
        <v>15000</v>
      </c>
      <c r="N33" s="25"/>
    </row>
    <row r="34" spans="1:14" x14ac:dyDescent="0.2">
      <c r="A34" s="32">
        <v>1</v>
      </c>
      <c r="B34" t="s">
        <v>116</v>
      </c>
      <c r="H34">
        <v>2</v>
      </c>
      <c r="J34" s="27">
        <v>1000</v>
      </c>
      <c r="L34" s="28">
        <f t="shared" si="7"/>
        <v>2000</v>
      </c>
      <c r="M34" s="28">
        <f t="shared" si="8"/>
        <v>2000</v>
      </c>
      <c r="N34" s="25"/>
    </row>
    <row r="35" spans="1:14" x14ac:dyDescent="0.2">
      <c r="A35" s="33"/>
      <c r="B35" s="10" t="s">
        <v>119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6">
        <f>SUM(M36:M36)</f>
        <v>80000</v>
      </c>
    </row>
    <row r="36" spans="1:14" x14ac:dyDescent="0.2">
      <c r="A36" s="32">
        <v>1</v>
      </c>
      <c r="B36" t="s">
        <v>117</v>
      </c>
      <c r="H36">
        <v>4</v>
      </c>
      <c r="I36" t="s">
        <v>118</v>
      </c>
      <c r="J36" s="27">
        <v>20000</v>
      </c>
      <c r="L36" s="28">
        <f t="shared" ref="L36" si="9">H36*J36</f>
        <v>80000</v>
      </c>
      <c r="M36" s="28">
        <f t="shared" ref="M36" si="10">A36*L36</f>
        <v>80000</v>
      </c>
      <c r="N36" s="25"/>
    </row>
    <row r="37" spans="1:14" x14ac:dyDescent="0.2">
      <c r="A37" s="33"/>
      <c r="B37" s="10" t="s">
        <v>66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26">
        <f>SUM(M38:M40)</f>
        <v>3600</v>
      </c>
    </row>
    <row r="38" spans="1:14" x14ac:dyDescent="0.2">
      <c r="A38" s="32">
        <v>1</v>
      </c>
      <c r="B38" t="s">
        <v>67</v>
      </c>
      <c r="H38">
        <v>24</v>
      </c>
      <c r="I38" t="s">
        <v>9</v>
      </c>
      <c r="J38" s="27">
        <v>90</v>
      </c>
      <c r="L38" s="28">
        <f t="shared" ref="L38:L40" si="11">H38*J38</f>
        <v>2160</v>
      </c>
      <c r="M38" s="28">
        <f t="shared" ref="M38:M40" si="12">A38*L38</f>
        <v>2160</v>
      </c>
      <c r="N38" s="25"/>
    </row>
    <row r="39" spans="1:14" x14ac:dyDescent="0.2">
      <c r="A39" s="32">
        <v>1</v>
      </c>
      <c r="B39" t="s">
        <v>66</v>
      </c>
      <c r="H39">
        <v>8</v>
      </c>
      <c r="I39" t="s">
        <v>9</v>
      </c>
      <c r="J39" s="27">
        <v>90</v>
      </c>
      <c r="L39" s="28">
        <f t="shared" si="11"/>
        <v>720</v>
      </c>
      <c r="M39" s="28">
        <f t="shared" si="12"/>
        <v>720</v>
      </c>
      <c r="N39" s="25"/>
    </row>
    <row r="40" spans="1:14" x14ac:dyDescent="0.2">
      <c r="A40" s="32">
        <v>1</v>
      </c>
      <c r="B40" t="s">
        <v>68</v>
      </c>
      <c r="H40">
        <v>8</v>
      </c>
      <c r="I40" t="s">
        <v>9</v>
      </c>
      <c r="J40" s="40">
        <v>90</v>
      </c>
      <c r="L40" s="38">
        <f t="shared" si="11"/>
        <v>720</v>
      </c>
      <c r="M40" s="38">
        <f t="shared" si="12"/>
        <v>720</v>
      </c>
      <c r="N40" s="25"/>
    </row>
    <row r="41" spans="1:14" x14ac:dyDescent="0.2">
      <c r="A41" s="33"/>
      <c r="B41" s="10" t="s">
        <v>22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30">
        <f>SUM(M13:M40)</f>
        <v>377140</v>
      </c>
      <c r="N41" s="31">
        <f>SUM(N13:N40)</f>
        <v>377140</v>
      </c>
    </row>
    <row r="42" spans="1:14" x14ac:dyDescent="0.2">
      <c r="A42" s="33"/>
      <c r="B42" s="10"/>
      <c r="C42" s="9"/>
      <c r="D42" s="9"/>
      <c r="E42" s="9"/>
      <c r="F42" s="30"/>
      <c r="G42" s="10"/>
      <c r="H42" s="9"/>
      <c r="I42" s="9"/>
      <c r="J42" s="30"/>
      <c r="K42" s="9"/>
      <c r="L42" s="9"/>
      <c r="M42" s="34"/>
      <c r="N42" s="31"/>
    </row>
    <row r="43" spans="1:14" x14ac:dyDescent="0.2">
      <c r="A43" s="37"/>
      <c r="B43" s="15" t="s">
        <v>120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35"/>
    </row>
    <row r="45" spans="1:14" x14ac:dyDescent="0.2">
      <c r="A45" s="16"/>
      <c r="B45" s="10" t="s">
        <v>26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11">
        <f>SUM(M46:M48)</f>
        <v>358626.38597</v>
      </c>
    </row>
    <row r="46" spans="1:14" x14ac:dyDescent="0.2">
      <c r="B46" t="s">
        <v>24</v>
      </c>
      <c r="K46" s="8">
        <f>195.09105/100-1</f>
        <v>0.95091049999999999</v>
      </c>
      <c r="L46" s="7">
        <f>M41</f>
        <v>377140</v>
      </c>
      <c r="M46" s="7">
        <f>K46*L46</f>
        <v>358626.38597</v>
      </c>
    </row>
    <row r="47" spans="1:14" x14ac:dyDescent="0.2">
      <c r="B47" t="s">
        <v>23</v>
      </c>
      <c r="K47" s="8"/>
      <c r="L47" s="7"/>
      <c r="M47" s="7"/>
    </row>
    <row r="48" spans="1:14" x14ac:dyDescent="0.2">
      <c r="B48" t="s">
        <v>25</v>
      </c>
      <c r="K48" s="8"/>
      <c r="L48" s="7"/>
      <c r="M48" s="7"/>
    </row>
    <row r="49" spans="1:14" x14ac:dyDescent="0.2">
      <c r="B49" t="s">
        <v>143</v>
      </c>
    </row>
    <row r="50" spans="1:14" x14ac:dyDescent="0.2">
      <c r="A50" s="16"/>
      <c r="B50" s="10" t="s">
        <v>27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1">
        <f>SUM(M41:M49)</f>
        <v>735766.38596999994</v>
      </c>
      <c r="N50" s="11">
        <f>SUM(N41:N49)</f>
        <v>735766.38596999994</v>
      </c>
    </row>
    <row r="51" spans="1:14" x14ac:dyDescent="0.2">
      <c r="B51" t="s">
        <v>28</v>
      </c>
      <c r="K51" s="8">
        <v>0.21</v>
      </c>
      <c r="L51" s="7">
        <f>M50</f>
        <v>735766.38596999994</v>
      </c>
      <c r="M51" s="7">
        <f>K51*L51</f>
        <v>154510.94105369999</v>
      </c>
      <c r="N51" s="7">
        <f>M51</f>
        <v>154510.94105369999</v>
      </c>
    </row>
    <row r="53" spans="1:14" x14ac:dyDescent="0.2">
      <c r="A53" s="16"/>
      <c r="B53" s="10" t="s">
        <v>29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1">
        <f>SUM(M50:M52)</f>
        <v>890277.32702369988</v>
      </c>
      <c r="N53" s="11">
        <f>SUM(N50:N52)</f>
        <v>890277.32702369988</v>
      </c>
    </row>
  </sheetData>
  <sheetProtection algorithmName="SHA-512" hashValue="v2KvrbuB5/d9wBtQfI7jqeCY3/GpEtx8S5HGd1EfKXHMAwIT3hrXZqcra5ORf4zY0wsEmA1srIhA8/WFNsMg1Q==" saltValue="3RPHrQ8V8lgoGIJpDKsNWg==" spinCount="100000" sheet="1" objects="1" scenarios="1"/>
  <printOptions gridLines="1"/>
  <pageMargins left="0.9055118110236221" right="0.31496062992125984" top="0.15748031496062992" bottom="0.35433070866141736" header="0" footer="0"/>
  <pageSetup paperSize="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14ED5-CD87-4645-AFE1-CCBF3E6D67FB}">
  <sheetPr>
    <pageSetUpPr fitToPage="1"/>
  </sheetPr>
  <dimension ref="A1:N53"/>
  <sheetViews>
    <sheetView view="pageBreakPreview" zoomScaleNormal="100" zoomScaleSheetLayoutView="100" workbookViewId="0">
      <selection activeCell="E30" sqref="E30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</cols>
  <sheetData>
    <row r="1" spans="1:14" x14ac:dyDescent="0.2">
      <c r="A1" s="17" t="s">
        <v>0</v>
      </c>
      <c r="B1" s="1"/>
      <c r="C1" s="1" t="s">
        <v>96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97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98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99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40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141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100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41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28000</v>
      </c>
    </row>
    <row r="14" spans="1:14" x14ac:dyDescent="0.2">
      <c r="A14" s="32">
        <v>1</v>
      </c>
      <c r="B14" t="s">
        <v>13</v>
      </c>
      <c r="H14">
        <v>100</v>
      </c>
      <c r="I14" t="s">
        <v>9</v>
      </c>
      <c r="J14" s="27">
        <v>100</v>
      </c>
      <c r="L14" s="28">
        <f t="shared" ref="L14:L16" si="0">H14*J14</f>
        <v>10000</v>
      </c>
      <c r="M14" s="28">
        <f>A14*L14</f>
        <v>10000</v>
      </c>
      <c r="N14" s="25"/>
    </row>
    <row r="15" spans="1:14" x14ac:dyDescent="0.2">
      <c r="A15" s="32">
        <v>1</v>
      </c>
      <c r="B15" t="s">
        <v>11</v>
      </c>
      <c r="H15">
        <v>120</v>
      </c>
      <c r="I15" t="s">
        <v>9</v>
      </c>
      <c r="J15" s="27">
        <v>90</v>
      </c>
      <c r="L15" s="28">
        <f t="shared" si="0"/>
        <v>10800</v>
      </c>
      <c r="M15" s="28">
        <f>A15*L15</f>
        <v>10800</v>
      </c>
      <c r="N15" s="25"/>
    </row>
    <row r="16" spans="1:14" x14ac:dyDescent="0.2">
      <c r="A16" s="32">
        <v>1</v>
      </c>
      <c r="B16" t="s">
        <v>12</v>
      </c>
      <c r="H16"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4" x14ac:dyDescent="0.2">
      <c r="A17" s="33"/>
      <c r="B17" s="10" t="s">
        <v>101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26">
        <f>SUM(M18:M20)</f>
        <v>56700</v>
      </c>
    </row>
    <row r="18" spans="1:14" x14ac:dyDescent="0.2">
      <c r="A18" s="32">
        <v>1</v>
      </c>
      <c r="B18" t="s">
        <v>105</v>
      </c>
      <c r="H18">
        <v>2</v>
      </c>
      <c r="J18" s="40">
        <v>1000</v>
      </c>
      <c r="L18" s="38">
        <f>H18*J18</f>
        <v>2000</v>
      </c>
      <c r="M18" s="38">
        <f t="shared" ref="M18:M20" si="1">A18*L18</f>
        <v>2000</v>
      </c>
      <c r="N18" s="25"/>
    </row>
    <row r="19" spans="1:14" x14ac:dyDescent="0.2">
      <c r="A19" s="32">
        <v>1</v>
      </c>
      <c r="B19" t="s">
        <v>106</v>
      </c>
      <c r="H19">
        <v>2</v>
      </c>
      <c r="J19" s="40">
        <v>850</v>
      </c>
      <c r="L19" s="38">
        <f t="shared" ref="L19:L20" si="2">H19*J19</f>
        <v>1700</v>
      </c>
      <c r="M19" s="38">
        <f t="shared" si="1"/>
        <v>1700</v>
      </c>
      <c r="N19" s="25"/>
    </row>
    <row r="20" spans="1:14" x14ac:dyDescent="0.2">
      <c r="A20" s="32">
        <v>1</v>
      </c>
      <c r="B20" t="s">
        <v>129</v>
      </c>
      <c r="H20">
        <v>1</v>
      </c>
      <c r="J20" s="40">
        <v>53000</v>
      </c>
      <c r="L20" s="38">
        <f t="shared" si="2"/>
        <v>53000</v>
      </c>
      <c r="M20" s="38">
        <f t="shared" si="1"/>
        <v>53000</v>
      </c>
      <c r="N20" s="25"/>
    </row>
    <row r="21" spans="1:14" x14ac:dyDescent="0.2">
      <c r="A21" s="33"/>
      <c r="B21" s="10" t="s">
        <v>102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29"/>
      <c r="N21" s="26">
        <f>SUM(M22:M25)</f>
        <v>28400</v>
      </c>
    </row>
    <row r="22" spans="1:14" x14ac:dyDescent="0.2">
      <c r="A22" s="32">
        <v>1</v>
      </c>
      <c r="B22" t="s">
        <v>108</v>
      </c>
      <c r="H22">
        <f>2*40</f>
        <v>80</v>
      </c>
      <c r="I22" t="s">
        <v>110</v>
      </c>
      <c r="J22" s="27">
        <v>90</v>
      </c>
      <c r="L22" s="28">
        <f t="shared" ref="L22:L25" si="3">H22*J22</f>
        <v>7200</v>
      </c>
      <c r="M22" s="28">
        <f t="shared" ref="M22:M25" si="4">A22*L22</f>
        <v>7200</v>
      </c>
      <c r="N22" s="25"/>
    </row>
    <row r="23" spans="1:14" x14ac:dyDescent="0.2">
      <c r="A23" s="32">
        <v>1</v>
      </c>
      <c r="B23" t="s">
        <v>109</v>
      </c>
      <c r="H23">
        <v>160</v>
      </c>
      <c r="I23" t="s">
        <v>110</v>
      </c>
      <c r="J23" s="27">
        <v>90</v>
      </c>
      <c r="L23" s="28">
        <f t="shared" si="3"/>
        <v>14400</v>
      </c>
      <c r="M23" s="28">
        <f t="shared" si="4"/>
        <v>14400</v>
      </c>
      <c r="N23" s="25"/>
    </row>
    <row r="24" spans="1:14" x14ac:dyDescent="0.2">
      <c r="A24" s="32">
        <v>1</v>
      </c>
      <c r="B24" t="s">
        <v>15</v>
      </c>
      <c r="H24">
        <v>3</v>
      </c>
      <c r="I24" t="s">
        <v>111</v>
      </c>
      <c r="J24" s="27">
        <v>600</v>
      </c>
      <c r="L24" s="28">
        <f t="shared" si="3"/>
        <v>1800</v>
      </c>
      <c r="M24" s="28">
        <f t="shared" si="4"/>
        <v>1800</v>
      </c>
      <c r="N24" s="25"/>
    </row>
    <row r="25" spans="1:14" x14ac:dyDescent="0.2">
      <c r="A25" s="32">
        <v>1</v>
      </c>
      <c r="B25" t="s">
        <v>112</v>
      </c>
      <c r="H25">
        <v>1</v>
      </c>
      <c r="J25" s="27">
        <v>5000</v>
      </c>
      <c r="L25" s="28">
        <f t="shared" si="3"/>
        <v>5000</v>
      </c>
      <c r="M25" s="28">
        <f t="shared" si="4"/>
        <v>5000</v>
      </c>
      <c r="N25" s="25"/>
    </row>
    <row r="26" spans="1:14" x14ac:dyDescent="0.2">
      <c r="A26" s="33"/>
      <c r="B26" s="10" t="s">
        <v>103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26">
        <f>SUM(M27:M29)</f>
        <v>32440</v>
      </c>
    </row>
    <row r="27" spans="1:14" x14ac:dyDescent="0.2">
      <c r="A27" s="32">
        <v>1</v>
      </c>
      <c r="B27" t="s">
        <v>113</v>
      </c>
      <c r="H27">
        <v>16</v>
      </c>
      <c r="I27" t="s">
        <v>110</v>
      </c>
      <c r="J27" s="27">
        <v>90</v>
      </c>
      <c r="L27" s="28">
        <f t="shared" ref="L27:L29" si="5">H27*J27</f>
        <v>1440</v>
      </c>
      <c r="M27" s="28">
        <f t="shared" ref="M27:M29" si="6">A27*L27</f>
        <v>1440</v>
      </c>
      <c r="N27" s="25"/>
    </row>
    <row r="28" spans="1:14" x14ac:dyDescent="0.2">
      <c r="A28" s="32">
        <v>1</v>
      </c>
      <c r="B28" t="s">
        <v>124</v>
      </c>
      <c r="H28">
        <v>1</v>
      </c>
      <c r="J28" s="27">
        <v>30000</v>
      </c>
      <c r="L28" s="28">
        <f t="shared" si="5"/>
        <v>30000</v>
      </c>
      <c r="M28" s="28">
        <f t="shared" si="6"/>
        <v>30000</v>
      </c>
      <c r="N28" s="25"/>
    </row>
    <row r="29" spans="1:14" x14ac:dyDescent="0.2">
      <c r="A29" s="32">
        <v>1</v>
      </c>
      <c r="B29" t="s">
        <v>115</v>
      </c>
      <c r="H29">
        <v>20</v>
      </c>
      <c r="I29" t="s">
        <v>107</v>
      </c>
      <c r="J29" s="27">
        <v>50</v>
      </c>
      <c r="L29" s="28">
        <f t="shared" si="5"/>
        <v>1000</v>
      </c>
      <c r="M29" s="28">
        <f t="shared" si="6"/>
        <v>1000</v>
      </c>
      <c r="N29" s="25"/>
    </row>
    <row r="30" spans="1:14" x14ac:dyDescent="0.2">
      <c r="A30" s="33"/>
      <c r="B30" s="10" t="s">
        <v>125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26">
        <f>SUM(M31:M34)</f>
        <v>27000</v>
      </c>
    </row>
    <row r="31" spans="1:14" x14ac:dyDescent="0.2">
      <c r="A31" s="32">
        <v>1</v>
      </c>
      <c r="B31" t="s">
        <v>126</v>
      </c>
      <c r="H31">
        <v>1</v>
      </c>
      <c r="J31" s="27">
        <v>13000</v>
      </c>
      <c r="L31" s="28">
        <f t="shared" ref="L31:L34" si="7">H31*J31</f>
        <v>13000</v>
      </c>
      <c r="M31" s="28">
        <f t="shared" ref="M31:M34" si="8">A31*L31</f>
        <v>13000</v>
      </c>
      <c r="N31" s="25"/>
    </row>
    <row r="32" spans="1:14" x14ac:dyDescent="0.2">
      <c r="A32" s="32">
        <v>1</v>
      </c>
      <c r="B32" t="s">
        <v>127</v>
      </c>
      <c r="H32">
        <v>1</v>
      </c>
      <c r="J32" s="27">
        <v>4000</v>
      </c>
      <c r="L32" s="28">
        <f t="shared" si="7"/>
        <v>4000</v>
      </c>
      <c r="M32" s="28">
        <f t="shared" si="8"/>
        <v>4000</v>
      </c>
      <c r="N32" s="25"/>
    </row>
    <row r="33" spans="1:14" x14ac:dyDescent="0.2">
      <c r="A33" s="32">
        <v>1</v>
      </c>
      <c r="B33" t="s">
        <v>128</v>
      </c>
      <c r="H33">
        <v>1</v>
      </c>
      <c r="J33" s="27">
        <v>8000</v>
      </c>
      <c r="L33" s="28">
        <f t="shared" si="7"/>
        <v>8000</v>
      </c>
      <c r="M33" s="28">
        <f t="shared" si="8"/>
        <v>8000</v>
      </c>
      <c r="N33" s="25"/>
    </row>
    <row r="34" spans="1:14" x14ac:dyDescent="0.2">
      <c r="A34" s="32">
        <v>1</v>
      </c>
      <c r="B34" t="s">
        <v>116</v>
      </c>
      <c r="H34">
        <v>2</v>
      </c>
      <c r="J34" s="27">
        <v>1000</v>
      </c>
      <c r="L34" s="28">
        <f t="shared" si="7"/>
        <v>2000</v>
      </c>
      <c r="M34" s="28">
        <f t="shared" si="8"/>
        <v>2000</v>
      </c>
      <c r="N34" s="25"/>
    </row>
    <row r="35" spans="1:14" x14ac:dyDescent="0.2">
      <c r="A35" s="33"/>
      <c r="B35" s="10" t="s">
        <v>119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6">
        <f>SUM(M36:M36)</f>
        <v>100000</v>
      </c>
    </row>
    <row r="36" spans="1:14" x14ac:dyDescent="0.2">
      <c r="A36" s="32">
        <v>1</v>
      </c>
      <c r="B36" t="s">
        <v>117</v>
      </c>
      <c r="H36">
        <v>5</v>
      </c>
      <c r="I36" t="s">
        <v>118</v>
      </c>
      <c r="J36" s="27">
        <v>20000</v>
      </c>
      <c r="L36" s="28">
        <f t="shared" ref="L36" si="9">H36*J36</f>
        <v>100000</v>
      </c>
      <c r="M36" s="28">
        <f t="shared" ref="M36" si="10">A36*L36</f>
        <v>100000</v>
      </c>
      <c r="N36" s="25"/>
    </row>
    <row r="37" spans="1:14" x14ac:dyDescent="0.2">
      <c r="A37" s="33"/>
      <c r="B37" s="10" t="s">
        <v>66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26">
        <f>SUM(M38:M40)</f>
        <v>3600</v>
      </c>
    </row>
    <row r="38" spans="1:14" x14ac:dyDescent="0.2">
      <c r="A38" s="32">
        <v>1</v>
      </c>
      <c r="B38" t="s">
        <v>67</v>
      </c>
      <c r="H38">
        <v>24</v>
      </c>
      <c r="I38" t="s">
        <v>9</v>
      </c>
      <c r="J38" s="27">
        <v>90</v>
      </c>
      <c r="L38" s="28">
        <f t="shared" ref="L38:L40" si="11">H38*J38</f>
        <v>2160</v>
      </c>
      <c r="M38" s="28">
        <f t="shared" ref="M38:M40" si="12">A38*L38</f>
        <v>2160</v>
      </c>
      <c r="N38" s="25"/>
    </row>
    <row r="39" spans="1:14" x14ac:dyDescent="0.2">
      <c r="A39" s="32">
        <v>1</v>
      </c>
      <c r="B39" t="s">
        <v>66</v>
      </c>
      <c r="H39">
        <v>8</v>
      </c>
      <c r="I39" t="s">
        <v>9</v>
      </c>
      <c r="J39" s="27">
        <v>90</v>
      </c>
      <c r="L39" s="28">
        <f t="shared" si="11"/>
        <v>720</v>
      </c>
      <c r="M39" s="28">
        <f t="shared" si="12"/>
        <v>720</v>
      </c>
      <c r="N39" s="25"/>
    </row>
    <row r="40" spans="1:14" x14ac:dyDescent="0.2">
      <c r="A40" s="32">
        <v>1</v>
      </c>
      <c r="B40" t="s">
        <v>68</v>
      </c>
      <c r="H40">
        <v>8</v>
      </c>
      <c r="I40" t="s">
        <v>9</v>
      </c>
      <c r="J40" s="40">
        <v>90</v>
      </c>
      <c r="L40" s="38">
        <f t="shared" si="11"/>
        <v>720</v>
      </c>
      <c r="M40" s="38">
        <f t="shared" si="12"/>
        <v>720</v>
      </c>
      <c r="N40" s="25"/>
    </row>
    <row r="41" spans="1:14" x14ac:dyDescent="0.2">
      <c r="A41" s="33"/>
      <c r="B41" s="10" t="s">
        <v>22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30">
        <f>SUM(M13:M40)</f>
        <v>276140</v>
      </c>
      <c r="N41" s="31">
        <f>SUM(N13:N40)</f>
        <v>276140</v>
      </c>
    </row>
    <row r="42" spans="1:14" x14ac:dyDescent="0.2">
      <c r="A42" s="33"/>
      <c r="B42" s="10"/>
      <c r="C42" s="9"/>
      <c r="D42" s="9"/>
      <c r="E42" s="9"/>
      <c r="F42" s="30"/>
      <c r="G42" s="10"/>
      <c r="H42" s="9"/>
      <c r="I42" s="9"/>
      <c r="J42" s="30"/>
      <c r="K42" s="9"/>
      <c r="L42" s="9"/>
      <c r="M42" s="34"/>
      <c r="N42" s="31"/>
    </row>
    <row r="43" spans="1:14" x14ac:dyDescent="0.2">
      <c r="A43" s="37"/>
      <c r="B43" s="15" t="s">
        <v>120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35"/>
    </row>
    <row r="45" spans="1:14" x14ac:dyDescent="0.2">
      <c r="A45" s="16"/>
      <c r="B45" s="10" t="s">
        <v>26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11">
        <f>SUM(M46:M48)</f>
        <v>262584.42547000002</v>
      </c>
    </row>
    <row r="46" spans="1:14" x14ac:dyDescent="0.2">
      <c r="B46" t="s">
        <v>24</v>
      </c>
      <c r="K46" s="8">
        <f>195.09105/100-1</f>
        <v>0.95091049999999999</v>
      </c>
      <c r="L46" s="7">
        <f>M41</f>
        <v>276140</v>
      </c>
      <c r="M46" s="7">
        <f>K46*L46</f>
        <v>262584.42547000002</v>
      </c>
    </row>
    <row r="47" spans="1:14" x14ac:dyDescent="0.2">
      <c r="B47" t="s">
        <v>23</v>
      </c>
      <c r="K47" s="8"/>
      <c r="L47" s="7"/>
      <c r="M47" s="7"/>
    </row>
    <row r="48" spans="1:14" x14ac:dyDescent="0.2">
      <c r="B48" t="s">
        <v>25</v>
      </c>
      <c r="K48" s="8"/>
      <c r="L48" s="7"/>
      <c r="M48" s="7"/>
    </row>
    <row r="49" spans="1:14" x14ac:dyDescent="0.2">
      <c r="B49" t="s">
        <v>143</v>
      </c>
    </row>
    <row r="50" spans="1:14" x14ac:dyDescent="0.2">
      <c r="A50" s="16"/>
      <c r="B50" s="10" t="s">
        <v>27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1">
        <f>SUM(M41:M49)</f>
        <v>538724.42547000002</v>
      </c>
      <c r="N50" s="11">
        <f>SUM(N41:N49)</f>
        <v>538724.42547000002</v>
      </c>
    </row>
    <row r="51" spans="1:14" x14ac:dyDescent="0.2">
      <c r="B51" t="s">
        <v>28</v>
      </c>
      <c r="K51" s="8">
        <v>0.21</v>
      </c>
      <c r="L51" s="7">
        <f>M50</f>
        <v>538724.42547000002</v>
      </c>
      <c r="M51" s="7">
        <f>K51*L51</f>
        <v>113132.12934869999</v>
      </c>
      <c r="N51" s="7">
        <f>M51</f>
        <v>113132.12934869999</v>
      </c>
    </row>
    <row r="53" spans="1:14" x14ac:dyDescent="0.2">
      <c r="A53" s="16"/>
      <c r="B53" s="10" t="s">
        <v>29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1">
        <f>SUM(M50:M52)</f>
        <v>651856.55481870007</v>
      </c>
      <c r="N53" s="11">
        <f>SUM(N50:N52)</f>
        <v>651856.55481870007</v>
      </c>
    </row>
  </sheetData>
  <sheetProtection algorithmName="SHA-512" hashValue="4N1jHvKB2Ft8Iy0yq867Jz+VIJ+jkbf8WXL8/5DuM7/P+tyUUoF3As8R+K8HC3wgwOIaLbZZb+q/OFH8qEaaIQ==" saltValue="Dr2D27Y9AJhqk8BKFo6n9A==" spinCount="100000" sheet="1" objects="1" scenarios="1"/>
  <printOptions gridLines="1"/>
  <pageMargins left="0.9055118110236221" right="0.31496062992125984" top="0.15748031496062992" bottom="0.35433070866141736" header="0" footer="0"/>
  <pageSetup paperSize="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3AE88-F2A6-42F8-80EA-964F6CA8D41F}">
  <sheetPr>
    <pageSetUpPr fitToPage="1"/>
  </sheetPr>
  <dimension ref="A1:N53"/>
  <sheetViews>
    <sheetView view="pageBreakPreview" zoomScaleNormal="100" zoomScaleSheetLayoutView="100" workbookViewId="0">
      <selection activeCell="G61" sqref="G61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</cols>
  <sheetData>
    <row r="1" spans="1:14" x14ac:dyDescent="0.2">
      <c r="A1" s="17" t="s">
        <v>0</v>
      </c>
      <c r="B1" s="1"/>
      <c r="C1" s="1" t="s">
        <v>96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97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98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99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40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142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100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41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28000</v>
      </c>
    </row>
    <row r="14" spans="1:14" x14ac:dyDescent="0.2">
      <c r="A14" s="32">
        <v>1</v>
      </c>
      <c r="B14" t="s">
        <v>13</v>
      </c>
      <c r="H14">
        <v>100</v>
      </c>
      <c r="I14" t="s">
        <v>9</v>
      </c>
      <c r="J14" s="27">
        <v>100</v>
      </c>
      <c r="L14" s="28">
        <f t="shared" ref="L14:L16" si="0">H14*J14</f>
        <v>10000</v>
      </c>
      <c r="M14" s="28">
        <f>A14*L14</f>
        <v>10000</v>
      </c>
      <c r="N14" s="25"/>
    </row>
    <row r="15" spans="1:14" x14ac:dyDescent="0.2">
      <c r="A15" s="32">
        <v>1</v>
      </c>
      <c r="B15" t="s">
        <v>11</v>
      </c>
      <c r="H15">
        <v>120</v>
      </c>
      <c r="I15" t="s">
        <v>9</v>
      </c>
      <c r="J15" s="27">
        <v>90</v>
      </c>
      <c r="L15" s="28">
        <f t="shared" si="0"/>
        <v>10800</v>
      </c>
      <c r="M15" s="28">
        <f>A15*L15</f>
        <v>10800</v>
      </c>
      <c r="N15" s="25"/>
    </row>
    <row r="16" spans="1:14" x14ac:dyDescent="0.2">
      <c r="A16" s="32">
        <v>1</v>
      </c>
      <c r="B16" t="s">
        <v>12</v>
      </c>
      <c r="H16"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4" x14ac:dyDescent="0.2">
      <c r="A17" s="33"/>
      <c r="B17" s="10" t="s">
        <v>101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26">
        <f>SUM(M18:M20)</f>
        <v>53700</v>
      </c>
    </row>
    <row r="18" spans="1:14" x14ac:dyDescent="0.2">
      <c r="A18" s="32">
        <v>1</v>
      </c>
      <c r="B18" t="s">
        <v>105</v>
      </c>
      <c r="H18">
        <v>2</v>
      </c>
      <c r="J18" s="40">
        <v>1000</v>
      </c>
      <c r="L18" s="38">
        <f>H18*J18</f>
        <v>2000</v>
      </c>
      <c r="M18" s="38">
        <f t="shared" ref="M18:M20" si="1">A18*L18</f>
        <v>2000</v>
      </c>
      <c r="N18" s="25"/>
    </row>
    <row r="19" spans="1:14" x14ac:dyDescent="0.2">
      <c r="A19" s="32">
        <v>1</v>
      </c>
      <c r="B19" t="s">
        <v>106</v>
      </c>
      <c r="H19">
        <v>2</v>
      </c>
      <c r="J19" s="40">
        <v>850</v>
      </c>
      <c r="L19" s="38">
        <f t="shared" ref="L19:L20" si="2">H19*J19</f>
        <v>1700</v>
      </c>
      <c r="M19" s="38">
        <f t="shared" si="1"/>
        <v>1700</v>
      </c>
      <c r="N19" s="25"/>
    </row>
    <row r="20" spans="1:14" x14ac:dyDescent="0.2">
      <c r="A20" s="32">
        <v>1</v>
      </c>
      <c r="B20" t="s">
        <v>129</v>
      </c>
      <c r="H20">
        <v>1</v>
      </c>
      <c r="J20" s="40">
        <v>50000</v>
      </c>
      <c r="L20" s="38">
        <f t="shared" si="2"/>
        <v>50000</v>
      </c>
      <c r="M20" s="38">
        <f t="shared" si="1"/>
        <v>50000</v>
      </c>
      <c r="N20" s="25"/>
    </row>
    <row r="21" spans="1:14" x14ac:dyDescent="0.2">
      <c r="A21" s="33"/>
      <c r="B21" s="10" t="s">
        <v>102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29"/>
      <c r="N21" s="26">
        <f>SUM(M22:M25)</f>
        <v>28400</v>
      </c>
    </row>
    <row r="22" spans="1:14" x14ac:dyDescent="0.2">
      <c r="A22" s="32">
        <v>1</v>
      </c>
      <c r="B22" t="s">
        <v>108</v>
      </c>
      <c r="H22">
        <f>2*40</f>
        <v>80</v>
      </c>
      <c r="I22" t="s">
        <v>110</v>
      </c>
      <c r="J22" s="27">
        <v>90</v>
      </c>
      <c r="L22" s="28">
        <f t="shared" ref="L22:L25" si="3">H22*J22</f>
        <v>7200</v>
      </c>
      <c r="M22" s="28">
        <f t="shared" ref="M22:M25" si="4">A22*L22</f>
        <v>7200</v>
      </c>
      <c r="N22" s="25"/>
    </row>
    <row r="23" spans="1:14" x14ac:dyDescent="0.2">
      <c r="A23" s="32">
        <v>1</v>
      </c>
      <c r="B23" t="s">
        <v>109</v>
      </c>
      <c r="H23">
        <v>160</v>
      </c>
      <c r="I23" t="s">
        <v>110</v>
      </c>
      <c r="J23" s="27">
        <v>90</v>
      </c>
      <c r="L23" s="28">
        <f t="shared" si="3"/>
        <v>14400</v>
      </c>
      <c r="M23" s="28">
        <f t="shared" si="4"/>
        <v>14400</v>
      </c>
      <c r="N23" s="25"/>
    </row>
    <row r="24" spans="1:14" x14ac:dyDescent="0.2">
      <c r="A24" s="32">
        <v>1</v>
      </c>
      <c r="B24" t="s">
        <v>15</v>
      </c>
      <c r="H24">
        <v>3</v>
      </c>
      <c r="I24" t="s">
        <v>111</v>
      </c>
      <c r="J24" s="27">
        <v>600</v>
      </c>
      <c r="L24" s="28">
        <f t="shared" si="3"/>
        <v>1800</v>
      </c>
      <c r="M24" s="28">
        <f t="shared" si="4"/>
        <v>1800</v>
      </c>
      <c r="N24" s="25"/>
    </row>
    <row r="25" spans="1:14" x14ac:dyDescent="0.2">
      <c r="A25" s="32">
        <v>1</v>
      </c>
      <c r="B25" t="s">
        <v>112</v>
      </c>
      <c r="H25">
        <v>1</v>
      </c>
      <c r="J25" s="27">
        <v>5000</v>
      </c>
      <c r="L25" s="28">
        <f t="shared" si="3"/>
        <v>5000</v>
      </c>
      <c r="M25" s="28">
        <f t="shared" si="4"/>
        <v>5000</v>
      </c>
      <c r="N25" s="25"/>
    </row>
    <row r="26" spans="1:14" x14ac:dyDescent="0.2">
      <c r="A26" s="33"/>
      <c r="B26" s="10" t="s">
        <v>103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26">
        <f>SUM(M27:M29)</f>
        <v>4040</v>
      </c>
    </row>
    <row r="27" spans="1:14" x14ac:dyDescent="0.2">
      <c r="A27" s="32">
        <v>1</v>
      </c>
      <c r="B27" t="s">
        <v>113</v>
      </c>
      <c r="H27">
        <v>16</v>
      </c>
      <c r="I27" t="s">
        <v>110</v>
      </c>
      <c r="J27" s="27">
        <v>90</v>
      </c>
      <c r="L27" s="28">
        <f t="shared" ref="L27:L29" si="5">H27*J27</f>
        <v>1440</v>
      </c>
      <c r="M27" s="28">
        <f t="shared" ref="M27:M29" si="6">A27*L27</f>
        <v>1440</v>
      </c>
      <c r="N27" s="25"/>
    </row>
    <row r="28" spans="1:14" x14ac:dyDescent="0.2">
      <c r="A28" s="32">
        <v>1</v>
      </c>
      <c r="B28" t="s">
        <v>114</v>
      </c>
      <c r="H28">
        <v>16</v>
      </c>
      <c r="I28" t="s">
        <v>110</v>
      </c>
      <c r="J28" s="27">
        <v>100</v>
      </c>
      <c r="L28" s="28">
        <f t="shared" si="5"/>
        <v>1600</v>
      </c>
      <c r="M28" s="28">
        <f t="shared" si="6"/>
        <v>1600</v>
      </c>
      <c r="N28" s="25"/>
    </row>
    <row r="29" spans="1:14" x14ac:dyDescent="0.2">
      <c r="A29" s="32">
        <v>1</v>
      </c>
      <c r="B29" t="s">
        <v>115</v>
      </c>
      <c r="H29">
        <v>20</v>
      </c>
      <c r="I29" t="s">
        <v>107</v>
      </c>
      <c r="J29" s="27">
        <v>50</v>
      </c>
      <c r="L29" s="28">
        <f t="shared" si="5"/>
        <v>1000</v>
      </c>
      <c r="M29" s="28">
        <f t="shared" si="6"/>
        <v>1000</v>
      </c>
      <c r="N29" s="25"/>
    </row>
    <row r="30" spans="1:14" x14ac:dyDescent="0.2">
      <c r="A30" s="33"/>
      <c r="B30" s="10" t="s">
        <v>125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26">
        <f>SUM(M31:M34)</f>
        <v>27000</v>
      </c>
    </row>
    <row r="31" spans="1:14" x14ac:dyDescent="0.2">
      <c r="A31" s="32">
        <v>1</v>
      </c>
      <c r="B31" t="s">
        <v>126</v>
      </c>
      <c r="H31">
        <v>1</v>
      </c>
      <c r="J31" s="27">
        <v>13000</v>
      </c>
      <c r="L31" s="28">
        <f t="shared" ref="L31:L34" si="7">H31*J31</f>
        <v>13000</v>
      </c>
      <c r="M31" s="28">
        <f t="shared" ref="M31:M34" si="8">A31*L31</f>
        <v>13000</v>
      </c>
      <c r="N31" s="25"/>
    </row>
    <row r="32" spans="1:14" x14ac:dyDescent="0.2">
      <c r="A32" s="32">
        <v>1</v>
      </c>
      <c r="B32" t="s">
        <v>127</v>
      </c>
      <c r="H32">
        <v>1</v>
      </c>
      <c r="J32" s="27">
        <v>4000</v>
      </c>
      <c r="L32" s="28">
        <f t="shared" si="7"/>
        <v>4000</v>
      </c>
      <c r="M32" s="28">
        <f t="shared" si="8"/>
        <v>4000</v>
      </c>
      <c r="N32" s="25"/>
    </row>
    <row r="33" spans="1:14" x14ac:dyDescent="0.2">
      <c r="A33" s="32">
        <v>1</v>
      </c>
      <c r="B33" t="s">
        <v>128</v>
      </c>
      <c r="H33">
        <v>1</v>
      </c>
      <c r="J33" s="27">
        <v>8000</v>
      </c>
      <c r="L33" s="28">
        <f t="shared" si="7"/>
        <v>8000</v>
      </c>
      <c r="M33" s="28">
        <f t="shared" si="8"/>
        <v>8000</v>
      </c>
      <c r="N33" s="25"/>
    </row>
    <row r="34" spans="1:14" x14ac:dyDescent="0.2">
      <c r="A34" s="32">
        <v>1</v>
      </c>
      <c r="B34" t="s">
        <v>116</v>
      </c>
      <c r="H34">
        <v>2</v>
      </c>
      <c r="J34" s="27">
        <v>1000</v>
      </c>
      <c r="L34" s="28">
        <f t="shared" si="7"/>
        <v>2000</v>
      </c>
      <c r="M34" s="28">
        <f t="shared" si="8"/>
        <v>2000</v>
      </c>
      <c r="N34" s="25"/>
    </row>
    <row r="35" spans="1:14" x14ac:dyDescent="0.2">
      <c r="A35" s="33"/>
      <c r="B35" s="10" t="s">
        <v>119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6">
        <f>SUM(M36:M36)</f>
        <v>80000</v>
      </c>
    </row>
    <row r="36" spans="1:14" x14ac:dyDescent="0.2">
      <c r="A36" s="32">
        <v>1</v>
      </c>
      <c r="B36" t="s">
        <v>117</v>
      </c>
      <c r="H36">
        <v>4</v>
      </c>
      <c r="I36" t="s">
        <v>118</v>
      </c>
      <c r="J36" s="27">
        <v>20000</v>
      </c>
      <c r="L36" s="28">
        <f t="shared" ref="L36" si="9">H36*J36</f>
        <v>80000</v>
      </c>
      <c r="M36" s="28">
        <f t="shared" ref="M36" si="10">A36*L36</f>
        <v>80000</v>
      </c>
      <c r="N36" s="25"/>
    </row>
    <row r="37" spans="1:14" x14ac:dyDescent="0.2">
      <c r="A37" s="33"/>
      <c r="B37" s="10" t="s">
        <v>66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26">
        <f>SUM(M38:M40)</f>
        <v>3600</v>
      </c>
    </row>
    <row r="38" spans="1:14" x14ac:dyDescent="0.2">
      <c r="A38" s="32">
        <v>1</v>
      </c>
      <c r="B38" t="s">
        <v>67</v>
      </c>
      <c r="H38">
        <v>24</v>
      </c>
      <c r="I38" t="s">
        <v>9</v>
      </c>
      <c r="J38" s="27">
        <v>90</v>
      </c>
      <c r="L38" s="28">
        <f t="shared" ref="L38:L40" si="11">H38*J38</f>
        <v>2160</v>
      </c>
      <c r="M38" s="28">
        <f t="shared" ref="M38:M40" si="12">A38*L38</f>
        <v>2160</v>
      </c>
      <c r="N38" s="25"/>
    </row>
    <row r="39" spans="1:14" x14ac:dyDescent="0.2">
      <c r="A39" s="32">
        <v>1</v>
      </c>
      <c r="B39" t="s">
        <v>66</v>
      </c>
      <c r="H39">
        <v>8</v>
      </c>
      <c r="I39" t="s">
        <v>9</v>
      </c>
      <c r="J39" s="27">
        <v>90</v>
      </c>
      <c r="L39" s="28">
        <f t="shared" si="11"/>
        <v>720</v>
      </c>
      <c r="M39" s="28">
        <f t="shared" si="12"/>
        <v>720</v>
      </c>
      <c r="N39" s="25"/>
    </row>
    <row r="40" spans="1:14" x14ac:dyDescent="0.2">
      <c r="A40" s="32">
        <v>1</v>
      </c>
      <c r="B40" t="s">
        <v>68</v>
      </c>
      <c r="H40">
        <v>8</v>
      </c>
      <c r="I40" t="s">
        <v>9</v>
      </c>
      <c r="J40" s="40">
        <v>90</v>
      </c>
      <c r="L40" s="38">
        <f t="shared" si="11"/>
        <v>720</v>
      </c>
      <c r="M40" s="38">
        <f t="shared" si="12"/>
        <v>720</v>
      </c>
      <c r="N40" s="25"/>
    </row>
    <row r="41" spans="1:14" x14ac:dyDescent="0.2">
      <c r="A41" s="33"/>
      <c r="B41" s="10" t="s">
        <v>22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30">
        <f>SUM(M13:M40)</f>
        <v>224740</v>
      </c>
      <c r="N41" s="31">
        <f>SUM(N13:N40)</f>
        <v>224740</v>
      </c>
    </row>
    <row r="42" spans="1:14" x14ac:dyDescent="0.2">
      <c r="A42" s="33"/>
      <c r="B42" s="10"/>
      <c r="C42" s="9"/>
      <c r="D42" s="9"/>
      <c r="E42" s="9"/>
      <c r="F42" s="30"/>
      <c r="G42" s="10"/>
      <c r="H42" s="9"/>
      <c r="I42" s="9"/>
      <c r="J42" s="30"/>
      <c r="K42" s="9"/>
      <c r="L42" s="9"/>
      <c r="M42" s="34"/>
      <c r="N42" s="31"/>
    </row>
    <row r="43" spans="1:14" x14ac:dyDescent="0.2">
      <c r="A43" s="37"/>
      <c r="B43" s="15" t="s">
        <v>120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35"/>
    </row>
    <row r="45" spans="1:14" x14ac:dyDescent="0.2">
      <c r="A45" s="16"/>
      <c r="B45" s="10" t="s">
        <v>26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11">
        <f>SUM(M46:M48)</f>
        <v>213707.62576999998</v>
      </c>
    </row>
    <row r="46" spans="1:14" x14ac:dyDescent="0.2">
      <c r="B46" t="s">
        <v>24</v>
      </c>
      <c r="K46" s="8">
        <f>195.09105/100-1</f>
        <v>0.95091049999999999</v>
      </c>
      <c r="L46" s="7">
        <f>M41</f>
        <v>224740</v>
      </c>
      <c r="M46" s="7">
        <f>K46*L46</f>
        <v>213707.62576999998</v>
      </c>
    </row>
    <row r="47" spans="1:14" x14ac:dyDescent="0.2">
      <c r="B47" t="s">
        <v>23</v>
      </c>
      <c r="K47" s="8"/>
      <c r="L47" s="7"/>
      <c r="M47" s="7"/>
    </row>
    <row r="48" spans="1:14" x14ac:dyDescent="0.2">
      <c r="B48" t="s">
        <v>25</v>
      </c>
      <c r="K48" s="8"/>
      <c r="L48" s="7"/>
      <c r="M48" s="7"/>
    </row>
    <row r="49" spans="1:14" x14ac:dyDescent="0.2">
      <c r="B49" t="s">
        <v>143</v>
      </c>
    </row>
    <row r="50" spans="1:14" x14ac:dyDescent="0.2">
      <c r="A50" s="16"/>
      <c r="B50" s="10" t="s">
        <v>27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1">
        <f>SUM(M41:M49)</f>
        <v>438447.62576999998</v>
      </c>
      <c r="N50" s="11">
        <f>SUM(N41:N49)</f>
        <v>438447.62576999998</v>
      </c>
    </row>
    <row r="51" spans="1:14" x14ac:dyDescent="0.2">
      <c r="B51" t="s">
        <v>28</v>
      </c>
      <c r="K51" s="8">
        <v>0.21</v>
      </c>
      <c r="L51" s="7">
        <f>M50</f>
        <v>438447.62576999998</v>
      </c>
      <c r="M51" s="7">
        <f>K51*L51</f>
        <v>92074.001411699996</v>
      </c>
      <c r="N51" s="7">
        <f>M51</f>
        <v>92074.001411699996</v>
      </c>
    </row>
    <row r="53" spans="1:14" x14ac:dyDescent="0.2">
      <c r="A53" s="16"/>
      <c r="B53" s="10" t="s">
        <v>29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1">
        <f>SUM(M50:M52)</f>
        <v>530521.62718169997</v>
      </c>
      <c r="N53" s="11">
        <f>SUM(N50:N52)</f>
        <v>530521.62718169997</v>
      </c>
    </row>
  </sheetData>
  <sheetProtection algorithmName="SHA-512" hashValue="2oTumvxjJw5euXJU8C5WE2hz1HdX6g1PsTbNwYJo9A97D6LEROgHnRnqhYbTlJRpbT2h9RUDBRnQ4wMHx+8kkg==" saltValue="NhSkm0XR/hFIEptq0xTXIQ==" spinCount="100000" sheet="1" objects="1" scenarios="1"/>
  <printOptions gridLines="1"/>
  <pageMargins left="0.9055118110236221" right="0.31496062992125984" top="0.15748031496062992" bottom="0.35433070866141736" header="0" footer="0"/>
  <pageSetup paperSize="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C5B39-4E87-4411-B3F0-3C9D6DC65F69}">
  <sheetPr>
    <pageSetUpPr fitToPage="1"/>
  </sheetPr>
  <dimension ref="A1:N56"/>
  <sheetViews>
    <sheetView view="pageBreakPreview" zoomScaleNormal="100" zoomScaleSheetLayoutView="100" workbookViewId="0">
      <selection activeCell="U40" sqref="U40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</cols>
  <sheetData>
    <row r="1" spans="1:14" x14ac:dyDescent="0.2">
      <c r="A1" s="17" t="s">
        <v>0</v>
      </c>
      <c r="B1" s="1"/>
      <c r="C1" s="1" t="s">
        <v>96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97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98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99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40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121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100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41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28000</v>
      </c>
    </row>
    <row r="14" spans="1:14" x14ac:dyDescent="0.2">
      <c r="A14" s="32">
        <v>1</v>
      </c>
      <c r="B14" t="s">
        <v>13</v>
      </c>
      <c r="H14">
        <v>100</v>
      </c>
      <c r="I14" t="s">
        <v>9</v>
      </c>
      <c r="J14" s="27">
        <v>100</v>
      </c>
      <c r="L14" s="28">
        <f t="shared" ref="L14:L16" si="0">H14*J14</f>
        <v>10000</v>
      </c>
      <c r="M14" s="28">
        <f>A14*L14</f>
        <v>10000</v>
      </c>
      <c r="N14" s="25"/>
    </row>
    <row r="15" spans="1:14" x14ac:dyDescent="0.2">
      <c r="A15" s="32">
        <v>1</v>
      </c>
      <c r="B15" t="s">
        <v>11</v>
      </c>
      <c r="H15">
        <v>120</v>
      </c>
      <c r="I15" t="s">
        <v>9</v>
      </c>
      <c r="J15" s="27">
        <v>90</v>
      </c>
      <c r="L15" s="28">
        <f t="shared" si="0"/>
        <v>10800</v>
      </c>
      <c r="M15" s="28">
        <f>A15*L15</f>
        <v>10800</v>
      </c>
      <c r="N15" s="25"/>
    </row>
    <row r="16" spans="1:14" x14ac:dyDescent="0.2">
      <c r="A16" s="32">
        <v>1</v>
      </c>
      <c r="B16" t="s">
        <v>12</v>
      </c>
      <c r="H16"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4" x14ac:dyDescent="0.2">
      <c r="A17" s="33"/>
      <c r="B17" s="10" t="s">
        <v>101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26">
        <f>SUM(M18:M23)</f>
        <v>25900</v>
      </c>
    </row>
    <row r="18" spans="1:14" x14ac:dyDescent="0.2">
      <c r="A18" s="32">
        <v>1</v>
      </c>
      <c r="B18" t="s">
        <v>105</v>
      </c>
      <c r="H18">
        <v>2</v>
      </c>
      <c r="J18" s="40">
        <v>1500</v>
      </c>
      <c r="L18" s="38">
        <f>H18*J18</f>
        <v>3000</v>
      </c>
      <c r="M18" s="38">
        <f t="shared" ref="M18:M23" si="1">A18*L18</f>
        <v>3000</v>
      </c>
      <c r="N18" s="25"/>
    </row>
    <row r="19" spans="1:14" x14ac:dyDescent="0.2">
      <c r="A19" s="32">
        <v>1</v>
      </c>
      <c r="B19" t="s">
        <v>106</v>
      </c>
      <c r="H19">
        <v>2</v>
      </c>
      <c r="J19" s="40">
        <v>850</v>
      </c>
      <c r="L19" s="38">
        <f t="shared" ref="L19:L23" si="2">H19*J19</f>
        <v>1700</v>
      </c>
      <c r="M19" s="38">
        <f t="shared" si="1"/>
        <v>1700</v>
      </c>
      <c r="N19" s="25"/>
    </row>
    <row r="20" spans="1:14" x14ac:dyDescent="0.2">
      <c r="A20" s="32">
        <v>1</v>
      </c>
      <c r="B20" t="s">
        <v>104</v>
      </c>
      <c r="H20">
        <v>90</v>
      </c>
      <c r="I20" t="s">
        <v>107</v>
      </c>
      <c r="J20" s="40">
        <v>80</v>
      </c>
      <c r="L20" s="38">
        <f t="shared" si="2"/>
        <v>7200</v>
      </c>
      <c r="M20" s="38">
        <f t="shared" si="1"/>
        <v>7200</v>
      </c>
      <c r="N20" s="25"/>
    </row>
    <row r="21" spans="1:14" x14ac:dyDescent="0.2">
      <c r="A21" s="32">
        <v>1</v>
      </c>
      <c r="B21" t="s">
        <v>130</v>
      </c>
      <c r="H21">
        <v>1</v>
      </c>
      <c r="J21" s="40">
        <v>5000</v>
      </c>
      <c r="L21" s="38">
        <f t="shared" si="2"/>
        <v>5000</v>
      </c>
      <c r="M21" s="38">
        <f t="shared" si="1"/>
        <v>5000</v>
      </c>
      <c r="N21" s="25"/>
    </row>
    <row r="22" spans="1:14" x14ac:dyDescent="0.2">
      <c r="A22" s="32">
        <v>1</v>
      </c>
      <c r="B22" t="s">
        <v>122</v>
      </c>
      <c r="H22">
        <v>1</v>
      </c>
      <c r="J22" s="40">
        <v>7000</v>
      </c>
      <c r="L22" s="38">
        <f t="shared" si="2"/>
        <v>7000</v>
      </c>
      <c r="M22" s="38">
        <f t="shared" si="1"/>
        <v>7000</v>
      </c>
      <c r="N22" s="25"/>
    </row>
    <row r="23" spans="1:14" x14ac:dyDescent="0.2">
      <c r="A23" s="32">
        <v>1</v>
      </c>
      <c r="B23" t="s">
        <v>123</v>
      </c>
      <c r="H23">
        <v>1</v>
      </c>
      <c r="J23" s="40">
        <v>2000</v>
      </c>
      <c r="L23" s="38">
        <f t="shared" si="2"/>
        <v>2000</v>
      </c>
      <c r="M23" s="38">
        <f t="shared" si="1"/>
        <v>2000</v>
      </c>
      <c r="N23" s="25"/>
    </row>
    <row r="24" spans="1:14" x14ac:dyDescent="0.2">
      <c r="A24" s="33"/>
      <c r="B24" s="10" t="s">
        <v>102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29"/>
      <c r="N24" s="26">
        <f>SUM(M25:M28)</f>
        <v>28400</v>
      </c>
    </row>
    <row r="25" spans="1:14" x14ac:dyDescent="0.2">
      <c r="A25" s="32">
        <v>1</v>
      </c>
      <c r="B25" t="s">
        <v>108</v>
      </c>
      <c r="H25">
        <f>2*40</f>
        <v>80</v>
      </c>
      <c r="I25" t="s">
        <v>110</v>
      </c>
      <c r="J25" s="27">
        <v>90</v>
      </c>
      <c r="L25" s="28">
        <f t="shared" ref="L25:L28" si="3">H25*J25</f>
        <v>7200</v>
      </c>
      <c r="M25" s="28">
        <f t="shared" ref="M25:M28" si="4">A25*L25</f>
        <v>7200</v>
      </c>
      <c r="N25" s="25"/>
    </row>
    <row r="26" spans="1:14" x14ac:dyDescent="0.2">
      <c r="A26" s="32">
        <v>1</v>
      </c>
      <c r="B26" t="s">
        <v>109</v>
      </c>
      <c r="H26">
        <v>160</v>
      </c>
      <c r="I26" t="s">
        <v>110</v>
      </c>
      <c r="J26" s="27">
        <v>90</v>
      </c>
      <c r="L26" s="28">
        <f t="shared" si="3"/>
        <v>14400</v>
      </c>
      <c r="M26" s="28">
        <f t="shared" si="4"/>
        <v>14400</v>
      </c>
      <c r="N26" s="25"/>
    </row>
    <row r="27" spans="1:14" x14ac:dyDescent="0.2">
      <c r="A27" s="32">
        <v>1</v>
      </c>
      <c r="B27" t="s">
        <v>15</v>
      </c>
      <c r="H27">
        <v>3</v>
      </c>
      <c r="I27" t="s">
        <v>111</v>
      </c>
      <c r="J27" s="27">
        <v>600</v>
      </c>
      <c r="L27" s="28">
        <f t="shared" si="3"/>
        <v>1800</v>
      </c>
      <c r="M27" s="28">
        <f t="shared" si="4"/>
        <v>1800</v>
      </c>
      <c r="N27" s="25"/>
    </row>
    <row r="28" spans="1:14" x14ac:dyDescent="0.2">
      <c r="A28" s="32">
        <v>1</v>
      </c>
      <c r="B28" t="s">
        <v>112</v>
      </c>
      <c r="H28">
        <v>1</v>
      </c>
      <c r="J28" s="27">
        <v>5000</v>
      </c>
      <c r="L28" s="28">
        <f t="shared" si="3"/>
        <v>5000</v>
      </c>
      <c r="M28" s="28">
        <f t="shared" si="4"/>
        <v>5000</v>
      </c>
      <c r="N28" s="25"/>
    </row>
    <row r="29" spans="1:14" x14ac:dyDescent="0.2">
      <c r="A29" s="33"/>
      <c r="B29" s="10" t="s">
        <v>103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26">
        <f>SUM(M30:M32)</f>
        <v>32440</v>
      </c>
    </row>
    <row r="30" spans="1:14" x14ac:dyDescent="0.2">
      <c r="A30" s="32">
        <v>1</v>
      </c>
      <c r="B30" t="s">
        <v>113</v>
      </c>
      <c r="H30">
        <v>16</v>
      </c>
      <c r="I30" t="s">
        <v>110</v>
      </c>
      <c r="J30" s="27">
        <v>90</v>
      </c>
      <c r="L30" s="28">
        <f t="shared" ref="L30:L32" si="5">H30*J30</f>
        <v>1440</v>
      </c>
      <c r="M30" s="28">
        <f t="shared" ref="M30:M32" si="6">A30*L30</f>
        <v>1440</v>
      </c>
      <c r="N30" s="25"/>
    </row>
    <row r="31" spans="1:14" x14ac:dyDescent="0.2">
      <c r="A31" s="32">
        <v>1</v>
      </c>
      <c r="B31" t="s">
        <v>124</v>
      </c>
      <c r="H31">
        <v>1</v>
      </c>
      <c r="J31" s="27">
        <v>30000</v>
      </c>
      <c r="L31" s="28">
        <f t="shared" si="5"/>
        <v>30000</v>
      </c>
      <c r="M31" s="28">
        <f t="shared" si="6"/>
        <v>30000</v>
      </c>
      <c r="N31" s="25"/>
    </row>
    <row r="32" spans="1:14" x14ac:dyDescent="0.2">
      <c r="A32" s="32">
        <v>1</v>
      </c>
      <c r="B32" t="s">
        <v>115</v>
      </c>
      <c r="H32">
        <v>20</v>
      </c>
      <c r="I32" t="s">
        <v>107</v>
      </c>
      <c r="J32" s="27">
        <v>50</v>
      </c>
      <c r="L32" s="28">
        <f t="shared" si="5"/>
        <v>1000</v>
      </c>
      <c r="M32" s="28">
        <f t="shared" si="6"/>
        <v>1000</v>
      </c>
      <c r="N32" s="25"/>
    </row>
    <row r="33" spans="1:14" x14ac:dyDescent="0.2">
      <c r="A33" s="33"/>
      <c r="B33" s="10" t="s">
        <v>125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26">
        <f>SUM(M34:M37)</f>
        <v>27000</v>
      </c>
    </row>
    <row r="34" spans="1:14" x14ac:dyDescent="0.2">
      <c r="A34" s="32">
        <v>1</v>
      </c>
      <c r="B34" t="s">
        <v>126</v>
      </c>
      <c r="H34">
        <v>1</v>
      </c>
      <c r="J34" s="27">
        <v>13000</v>
      </c>
      <c r="L34" s="28">
        <f t="shared" ref="L34:L37" si="7">H34*J34</f>
        <v>13000</v>
      </c>
      <c r="M34" s="28">
        <f t="shared" ref="M34:M37" si="8">A34*L34</f>
        <v>13000</v>
      </c>
      <c r="N34" s="25"/>
    </row>
    <row r="35" spans="1:14" x14ac:dyDescent="0.2">
      <c r="A35" s="32">
        <v>1</v>
      </c>
      <c r="B35" t="s">
        <v>127</v>
      </c>
      <c r="H35">
        <v>1</v>
      </c>
      <c r="J35" s="27">
        <v>4000</v>
      </c>
      <c r="L35" s="28">
        <f t="shared" si="7"/>
        <v>4000</v>
      </c>
      <c r="M35" s="28">
        <f t="shared" si="8"/>
        <v>4000</v>
      </c>
      <c r="N35" s="25"/>
    </row>
    <row r="36" spans="1:14" x14ac:dyDescent="0.2">
      <c r="A36" s="32">
        <v>1</v>
      </c>
      <c r="B36" t="s">
        <v>128</v>
      </c>
      <c r="H36">
        <v>1</v>
      </c>
      <c r="J36" s="27">
        <v>8000</v>
      </c>
      <c r="L36" s="28">
        <f t="shared" si="7"/>
        <v>8000</v>
      </c>
      <c r="M36" s="28">
        <f t="shared" si="8"/>
        <v>8000</v>
      </c>
      <c r="N36" s="25"/>
    </row>
    <row r="37" spans="1:14" x14ac:dyDescent="0.2">
      <c r="A37" s="32">
        <v>1</v>
      </c>
      <c r="B37" t="s">
        <v>116</v>
      </c>
      <c r="H37">
        <v>2</v>
      </c>
      <c r="J37" s="27">
        <v>1000</v>
      </c>
      <c r="L37" s="28">
        <f t="shared" si="7"/>
        <v>2000</v>
      </c>
      <c r="M37" s="28">
        <f t="shared" si="8"/>
        <v>2000</v>
      </c>
      <c r="N37" s="25"/>
    </row>
    <row r="38" spans="1:14" x14ac:dyDescent="0.2">
      <c r="A38" s="33"/>
      <c r="B38" s="10" t="s">
        <v>119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26">
        <f>SUM(M39:M39)</f>
        <v>100000</v>
      </c>
    </row>
    <row r="39" spans="1:14" x14ac:dyDescent="0.2">
      <c r="A39" s="32">
        <v>1</v>
      </c>
      <c r="B39" t="s">
        <v>117</v>
      </c>
      <c r="H39">
        <v>5</v>
      </c>
      <c r="I39" t="s">
        <v>118</v>
      </c>
      <c r="J39" s="27">
        <v>20000</v>
      </c>
      <c r="L39" s="28">
        <f t="shared" ref="L39" si="9">H39*J39</f>
        <v>100000</v>
      </c>
      <c r="M39" s="28">
        <f t="shared" ref="M39" si="10">A39*L39</f>
        <v>100000</v>
      </c>
      <c r="N39" s="25"/>
    </row>
    <row r="40" spans="1:14" x14ac:dyDescent="0.2">
      <c r="A40" s="33"/>
      <c r="B40" s="10" t="s">
        <v>66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26">
        <f>SUM(M41:M43)</f>
        <v>3600</v>
      </c>
    </row>
    <row r="41" spans="1:14" x14ac:dyDescent="0.2">
      <c r="A41" s="32">
        <v>1</v>
      </c>
      <c r="B41" t="s">
        <v>67</v>
      </c>
      <c r="H41">
        <v>24</v>
      </c>
      <c r="I41" t="s">
        <v>9</v>
      </c>
      <c r="J41" s="27">
        <v>90</v>
      </c>
      <c r="L41" s="28">
        <f t="shared" ref="L41:L43" si="11">H41*J41</f>
        <v>2160</v>
      </c>
      <c r="M41" s="28">
        <f t="shared" ref="M41:M43" si="12">A41*L41</f>
        <v>2160</v>
      </c>
      <c r="N41" s="25"/>
    </row>
    <row r="42" spans="1:14" x14ac:dyDescent="0.2">
      <c r="A42" s="32">
        <v>1</v>
      </c>
      <c r="B42" t="s">
        <v>66</v>
      </c>
      <c r="H42">
        <v>8</v>
      </c>
      <c r="I42" t="s">
        <v>9</v>
      </c>
      <c r="J42" s="27">
        <v>90</v>
      </c>
      <c r="L42" s="28">
        <f t="shared" si="11"/>
        <v>720</v>
      </c>
      <c r="M42" s="28">
        <f t="shared" si="12"/>
        <v>720</v>
      </c>
      <c r="N42" s="25"/>
    </row>
    <row r="43" spans="1:14" x14ac:dyDescent="0.2">
      <c r="A43" s="32">
        <v>1</v>
      </c>
      <c r="B43" t="s">
        <v>68</v>
      </c>
      <c r="H43">
        <v>8</v>
      </c>
      <c r="I43" t="s">
        <v>9</v>
      </c>
      <c r="J43" s="40">
        <v>90</v>
      </c>
      <c r="L43" s="38">
        <f t="shared" si="11"/>
        <v>720</v>
      </c>
      <c r="M43" s="38">
        <f t="shared" si="12"/>
        <v>720</v>
      </c>
      <c r="N43" s="25"/>
    </row>
    <row r="44" spans="1:14" x14ac:dyDescent="0.2">
      <c r="A44" s="33"/>
      <c r="B44" s="10" t="s">
        <v>22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30">
        <f>SUM(M13:M43)</f>
        <v>245340</v>
      </c>
      <c r="N44" s="31">
        <f>SUM(N13:N43)</f>
        <v>245340</v>
      </c>
    </row>
    <row r="45" spans="1:14" x14ac:dyDescent="0.2">
      <c r="A45" s="33"/>
      <c r="B45" s="10"/>
      <c r="C45" s="9"/>
      <c r="D45" s="9"/>
      <c r="E45" s="9"/>
      <c r="F45" s="30"/>
      <c r="G45" s="10"/>
      <c r="H45" s="9"/>
      <c r="I45" s="9"/>
      <c r="J45" s="30"/>
      <c r="K45" s="9"/>
      <c r="L45" s="9"/>
      <c r="M45" s="34"/>
      <c r="N45" s="31"/>
    </row>
    <row r="46" spans="1:14" x14ac:dyDescent="0.2">
      <c r="A46" s="37"/>
      <c r="B46" s="15" t="s">
        <v>120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35"/>
    </row>
    <row r="48" spans="1:14" x14ac:dyDescent="0.2">
      <c r="A48" s="16"/>
      <c r="B48" s="10" t="s">
        <v>26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1">
        <f>SUM(M49:M51)</f>
        <v>233296.38206999999</v>
      </c>
    </row>
    <row r="49" spans="1:14" x14ac:dyDescent="0.2">
      <c r="B49" t="s">
        <v>24</v>
      </c>
      <c r="K49" s="8">
        <f>195.09105/100-1</f>
        <v>0.95091049999999999</v>
      </c>
      <c r="L49" s="7">
        <f>M44</f>
        <v>245340</v>
      </c>
      <c r="M49" s="7">
        <f>K49*L49</f>
        <v>233296.38206999999</v>
      </c>
    </row>
    <row r="50" spans="1:14" x14ac:dyDescent="0.2">
      <c r="B50" t="s">
        <v>23</v>
      </c>
      <c r="K50" s="8"/>
      <c r="L50" s="7"/>
      <c r="M50" s="7"/>
    </row>
    <row r="51" spans="1:14" x14ac:dyDescent="0.2">
      <c r="B51" t="s">
        <v>25</v>
      </c>
      <c r="K51" s="8"/>
      <c r="L51" s="7"/>
      <c r="M51" s="7"/>
    </row>
    <row r="52" spans="1:14" x14ac:dyDescent="0.2">
      <c r="B52" t="s">
        <v>143</v>
      </c>
    </row>
    <row r="53" spans="1:14" x14ac:dyDescent="0.2">
      <c r="A53" s="16"/>
      <c r="B53" s="10" t="s">
        <v>27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1">
        <f>SUM(M44:M52)</f>
        <v>478636.38206999999</v>
      </c>
      <c r="N53" s="11">
        <f>SUM(N44:N52)</f>
        <v>478636.38206999999</v>
      </c>
    </row>
    <row r="54" spans="1:14" x14ac:dyDescent="0.2">
      <c r="B54" t="s">
        <v>28</v>
      </c>
      <c r="K54" s="8">
        <v>0.21</v>
      </c>
      <c r="L54" s="7">
        <f>M53</f>
        <v>478636.38206999999</v>
      </c>
      <c r="M54" s="7">
        <f>K54*L54</f>
        <v>100513.6402347</v>
      </c>
      <c r="N54" s="7">
        <f>M54</f>
        <v>100513.6402347</v>
      </c>
    </row>
    <row r="56" spans="1:14" x14ac:dyDescent="0.2">
      <c r="A56" s="16"/>
      <c r="B56" s="10" t="s">
        <v>29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1">
        <f>SUM(M53:M55)</f>
        <v>579150.02230469999</v>
      </c>
      <c r="N56" s="11">
        <f>SUM(N53:N55)</f>
        <v>579150.02230469999</v>
      </c>
    </row>
  </sheetData>
  <sheetProtection algorithmName="SHA-512" hashValue="H8XV7lD/nIQRiJfuKC2R0bVQm4tYaokYFxHPHR8JNuZlPuyRJbh6P6LC+4dqSG/bf7N65p7jQE31RhpEztnW8Q==" saltValue="ueS6mSgLJGHeK6zFYTye3Q==" spinCount="100000" sheet="1" objects="1" scenarios="1"/>
  <printOptions gridLines="1"/>
  <pageMargins left="0.9055118110236221" right="0.31496062992125984" top="0.15748031496062992" bottom="0.35433070866141736" header="0" footer="0"/>
  <pageSetup paperSize="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06004-AA10-4043-BFB6-80927808A05D}">
  <sheetPr>
    <pageSetUpPr fitToPage="1"/>
  </sheetPr>
  <dimension ref="A1:M75"/>
  <sheetViews>
    <sheetView tabSelected="1" zoomScaleNormal="100" zoomScaleSheetLayoutView="100" workbookViewId="0">
      <selection activeCell="P12" sqref="P12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6.42578125" customWidth="1"/>
  </cols>
  <sheetData>
    <row r="1" spans="1:13" x14ac:dyDescent="0.2">
      <c r="A1" s="17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3"/>
    </row>
    <row r="2" spans="1:13" x14ac:dyDescent="0.2">
      <c r="A2" s="18"/>
      <c r="B2" s="4" t="s">
        <v>263</v>
      </c>
      <c r="C2" s="4"/>
      <c r="D2" s="4"/>
      <c r="E2" s="4"/>
      <c r="F2" s="4"/>
      <c r="G2" s="5"/>
      <c r="H2" s="5"/>
      <c r="I2" s="5"/>
      <c r="J2" s="5"/>
      <c r="K2" s="5"/>
      <c r="L2" s="5"/>
      <c r="M2" s="6"/>
    </row>
    <row r="3" spans="1:13" x14ac:dyDescent="0.2">
      <c r="A3" s="18"/>
      <c r="B3" s="4"/>
      <c r="C3" s="4"/>
      <c r="D3" s="4"/>
      <c r="E3" s="4"/>
      <c r="F3" s="4"/>
      <c r="G3" s="5"/>
      <c r="H3" s="5"/>
      <c r="I3" s="42"/>
      <c r="J3" s="5"/>
      <c r="K3" s="5"/>
      <c r="L3" s="5"/>
      <c r="M3" s="6"/>
    </row>
    <row r="4" spans="1:13" x14ac:dyDescent="0.2">
      <c r="A4" s="18"/>
      <c r="B4" s="4"/>
      <c r="C4" s="4"/>
      <c r="D4" s="4"/>
      <c r="E4" s="4"/>
      <c r="F4" s="4"/>
      <c r="G4" s="5"/>
      <c r="H4" s="5"/>
      <c r="I4" s="41"/>
      <c r="J4" s="41"/>
      <c r="K4" s="41"/>
      <c r="L4" s="5"/>
      <c r="M4" s="6"/>
    </row>
    <row r="5" spans="1:13" x14ac:dyDescent="0.2">
      <c r="A5" s="18"/>
      <c r="B5" s="4"/>
      <c r="C5" s="4"/>
      <c r="D5" s="4"/>
      <c r="E5" s="4"/>
      <c r="F5" s="4"/>
      <c r="G5" s="5"/>
      <c r="H5" s="5"/>
      <c r="I5" s="41"/>
      <c r="J5" s="41"/>
      <c r="K5" s="41"/>
      <c r="L5" s="5"/>
      <c r="M5" s="6"/>
    </row>
    <row r="6" spans="1:13" x14ac:dyDescent="0.2">
      <c r="A6" s="18"/>
      <c r="B6" s="4"/>
      <c r="C6" s="39"/>
      <c r="D6" s="4"/>
      <c r="E6" s="4"/>
      <c r="F6" s="4"/>
      <c r="G6" s="5"/>
      <c r="H6" s="5"/>
      <c r="I6" s="43"/>
      <c r="J6" s="5"/>
      <c r="K6" s="5"/>
      <c r="L6" s="5"/>
      <c r="M6" s="6"/>
    </row>
    <row r="7" spans="1:13" x14ac:dyDescent="0.2">
      <c r="A7" s="18"/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6"/>
    </row>
    <row r="8" spans="1:13" x14ac:dyDescent="0.2">
      <c r="A8" s="18"/>
      <c r="B8" s="4"/>
      <c r="C8" s="4"/>
      <c r="D8" s="4"/>
      <c r="E8" s="4"/>
      <c r="F8" s="4"/>
      <c r="G8" s="5"/>
      <c r="H8" s="5"/>
      <c r="I8" s="5"/>
      <c r="J8" s="5"/>
      <c r="K8" s="5"/>
      <c r="L8" s="5"/>
      <c r="M8" s="6"/>
    </row>
    <row r="9" spans="1:13" x14ac:dyDescent="0.2">
      <c r="A9" s="18"/>
      <c r="B9" s="4"/>
      <c r="C9" s="4"/>
      <c r="D9" s="4"/>
      <c r="E9" s="4"/>
      <c r="F9" s="4"/>
      <c r="G9" s="5"/>
      <c r="H9" s="5"/>
      <c r="I9" s="5"/>
      <c r="J9" s="5"/>
      <c r="K9" s="19"/>
      <c r="L9" s="19"/>
      <c r="M9" s="20"/>
    </row>
    <row r="10" spans="1:13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</row>
    <row r="11" spans="1:13" x14ac:dyDescent="0.2">
      <c r="A11" s="23"/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24" t="s">
        <v>33</v>
      </c>
    </row>
    <row r="12" spans="1:13" x14ac:dyDescent="0.2">
      <c r="A12" s="32"/>
      <c r="M12" s="25"/>
    </row>
    <row r="13" spans="1:13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26">
        <f>SUM(L14:L16)</f>
        <v>0</v>
      </c>
    </row>
    <row r="14" spans="1:13" x14ac:dyDescent="0.2">
      <c r="A14" s="32"/>
      <c r="B14" t="s">
        <v>13</v>
      </c>
      <c r="H14">
        <v>0</v>
      </c>
      <c r="I14" t="s">
        <v>9</v>
      </c>
      <c r="J14" s="27">
        <v>0</v>
      </c>
      <c r="L14" s="28">
        <f t="shared" ref="L14:L25" si="0">H14*J14</f>
        <v>0</v>
      </c>
      <c r="M14" s="25"/>
    </row>
    <row r="15" spans="1:13" x14ac:dyDescent="0.2">
      <c r="A15" s="32"/>
      <c r="B15" t="s">
        <v>11</v>
      </c>
      <c r="H15">
        <v>0</v>
      </c>
      <c r="I15" t="s">
        <v>9</v>
      </c>
      <c r="J15" s="27">
        <v>0</v>
      </c>
      <c r="L15" s="28">
        <f t="shared" si="0"/>
        <v>0</v>
      </c>
      <c r="M15" s="25"/>
    </row>
    <row r="16" spans="1:13" x14ac:dyDescent="0.2">
      <c r="A16" s="32"/>
      <c r="B16" t="s">
        <v>12</v>
      </c>
      <c r="H16">
        <v>0</v>
      </c>
      <c r="I16" t="s">
        <v>9</v>
      </c>
      <c r="J16" s="27">
        <v>0</v>
      </c>
      <c r="L16" s="28">
        <f t="shared" si="0"/>
        <v>0</v>
      </c>
      <c r="M16" s="25"/>
    </row>
    <row r="17" spans="1:13" x14ac:dyDescent="0.2">
      <c r="A17" s="33"/>
      <c r="B17" s="10" t="s">
        <v>223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26">
        <f>SUM(L18:L25)</f>
        <v>0</v>
      </c>
    </row>
    <row r="18" spans="1:13" x14ac:dyDescent="0.2">
      <c r="A18" s="32"/>
      <c r="B18" t="s">
        <v>216</v>
      </c>
      <c r="H18">
        <v>1</v>
      </c>
      <c r="I18" t="s">
        <v>258</v>
      </c>
      <c r="J18" s="40">
        <v>0</v>
      </c>
      <c r="L18" s="28">
        <f t="shared" si="0"/>
        <v>0</v>
      </c>
      <c r="M18" s="25"/>
    </row>
    <row r="19" spans="1:13" x14ac:dyDescent="0.2">
      <c r="A19" s="32"/>
      <c r="B19" t="s">
        <v>217</v>
      </c>
      <c r="H19">
        <v>1</v>
      </c>
      <c r="I19" t="s">
        <v>258</v>
      </c>
      <c r="J19" s="40">
        <v>0</v>
      </c>
      <c r="L19" s="28">
        <f t="shared" si="0"/>
        <v>0</v>
      </c>
      <c r="M19" s="25"/>
    </row>
    <row r="20" spans="1:13" x14ac:dyDescent="0.2">
      <c r="A20" s="32"/>
      <c r="B20" t="s">
        <v>218</v>
      </c>
      <c r="H20">
        <v>1</v>
      </c>
      <c r="I20" t="s">
        <v>258</v>
      </c>
      <c r="J20" s="40">
        <v>0</v>
      </c>
      <c r="L20" s="28">
        <f t="shared" si="0"/>
        <v>0</v>
      </c>
      <c r="M20" s="25"/>
    </row>
    <row r="21" spans="1:13" x14ac:dyDescent="0.2">
      <c r="A21" s="32"/>
      <c r="B21" t="s">
        <v>219</v>
      </c>
      <c r="H21">
        <v>1</v>
      </c>
      <c r="I21" t="s">
        <v>258</v>
      </c>
      <c r="J21" s="40">
        <v>0</v>
      </c>
      <c r="L21" s="28">
        <f t="shared" si="0"/>
        <v>0</v>
      </c>
      <c r="M21" s="25"/>
    </row>
    <row r="22" spans="1:13" x14ac:dyDescent="0.2">
      <c r="A22" s="32"/>
      <c r="B22" t="s">
        <v>220</v>
      </c>
      <c r="H22">
        <v>1</v>
      </c>
      <c r="I22" t="s">
        <v>258</v>
      </c>
      <c r="J22" s="40">
        <v>0</v>
      </c>
      <c r="L22" s="28">
        <f t="shared" si="0"/>
        <v>0</v>
      </c>
      <c r="M22" s="25"/>
    </row>
    <row r="23" spans="1:13" x14ac:dyDescent="0.2">
      <c r="A23" s="32"/>
      <c r="B23" t="s">
        <v>221</v>
      </c>
      <c r="H23">
        <v>1</v>
      </c>
      <c r="I23" t="s">
        <v>258</v>
      </c>
      <c r="J23" s="40">
        <v>0</v>
      </c>
      <c r="L23" s="28">
        <f t="shared" si="0"/>
        <v>0</v>
      </c>
      <c r="M23" s="25"/>
    </row>
    <row r="24" spans="1:13" x14ac:dyDescent="0.2">
      <c r="A24" s="32"/>
      <c r="B24" t="s">
        <v>222</v>
      </c>
      <c r="H24">
        <v>1</v>
      </c>
      <c r="I24" t="s">
        <v>258</v>
      </c>
      <c r="J24" s="40">
        <v>0</v>
      </c>
      <c r="L24" s="28">
        <f t="shared" si="0"/>
        <v>0</v>
      </c>
      <c r="M24" s="25"/>
    </row>
    <row r="25" spans="1:13" x14ac:dyDescent="0.2">
      <c r="A25" s="32"/>
      <c r="B25" t="s">
        <v>254</v>
      </c>
      <c r="H25">
        <v>1</v>
      </c>
      <c r="I25" t="s">
        <v>258</v>
      </c>
      <c r="J25" s="40">
        <v>0</v>
      </c>
      <c r="L25" s="28">
        <f t="shared" si="0"/>
        <v>0</v>
      </c>
      <c r="M25" s="25"/>
    </row>
    <row r="26" spans="1:13" x14ac:dyDescent="0.2">
      <c r="A26" s="33"/>
      <c r="B26" s="10" t="s">
        <v>224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26">
        <f>SUM(L27:L30)</f>
        <v>0</v>
      </c>
    </row>
    <row r="27" spans="1:13" x14ac:dyDescent="0.2">
      <c r="A27" s="32"/>
      <c r="B27" t="s">
        <v>226</v>
      </c>
      <c r="H27">
        <v>1</v>
      </c>
      <c r="I27" t="s">
        <v>258</v>
      </c>
      <c r="J27" s="40">
        <v>0</v>
      </c>
      <c r="L27" s="38">
        <f>H27*J27</f>
        <v>0</v>
      </c>
      <c r="M27" s="25"/>
    </row>
    <row r="28" spans="1:13" x14ac:dyDescent="0.2">
      <c r="A28" s="32"/>
      <c r="B28" t="s">
        <v>225</v>
      </c>
      <c r="H28">
        <v>4</v>
      </c>
      <c r="I28" t="s">
        <v>258</v>
      </c>
      <c r="J28" s="40">
        <v>0</v>
      </c>
      <c r="L28" s="38">
        <f t="shared" ref="L28:L41" si="1">H28*J28</f>
        <v>0</v>
      </c>
      <c r="M28" s="25"/>
    </row>
    <row r="29" spans="1:13" x14ac:dyDescent="0.2">
      <c r="A29" s="32"/>
      <c r="B29" t="s">
        <v>227</v>
      </c>
      <c r="H29">
        <v>4</v>
      </c>
      <c r="I29" t="s">
        <v>258</v>
      </c>
      <c r="J29" s="40">
        <v>0</v>
      </c>
      <c r="L29" s="38">
        <f t="shared" si="1"/>
        <v>0</v>
      </c>
      <c r="M29" s="25"/>
    </row>
    <row r="30" spans="1:13" x14ac:dyDescent="0.2">
      <c r="A30" s="32"/>
      <c r="B30" t="s">
        <v>228</v>
      </c>
      <c r="H30">
        <v>1</v>
      </c>
      <c r="I30" t="s">
        <v>258</v>
      </c>
      <c r="J30" s="40">
        <v>0</v>
      </c>
      <c r="L30" s="38">
        <f t="shared" si="1"/>
        <v>0</v>
      </c>
      <c r="M30" s="25"/>
    </row>
    <row r="31" spans="1:13" x14ac:dyDescent="0.2">
      <c r="A31" s="33"/>
      <c r="B31" s="10" t="s">
        <v>234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26">
        <f>SUM(L32:L36)</f>
        <v>0</v>
      </c>
    </row>
    <row r="32" spans="1:13" x14ac:dyDescent="0.2">
      <c r="A32" s="32"/>
      <c r="B32" t="s">
        <v>229</v>
      </c>
      <c r="H32">
        <v>1</v>
      </c>
      <c r="I32" t="s">
        <v>258</v>
      </c>
      <c r="J32" s="40">
        <v>0</v>
      </c>
      <c r="L32" s="38">
        <f t="shared" si="1"/>
        <v>0</v>
      </c>
      <c r="M32" s="25"/>
    </row>
    <row r="33" spans="1:13" x14ac:dyDescent="0.2">
      <c r="A33" s="32"/>
      <c r="B33" t="s">
        <v>240</v>
      </c>
      <c r="H33">
        <v>1</v>
      </c>
      <c r="I33" t="s">
        <v>258</v>
      </c>
      <c r="J33" s="40">
        <v>0</v>
      </c>
      <c r="L33" s="38">
        <f t="shared" si="1"/>
        <v>0</v>
      </c>
      <c r="M33" s="25"/>
    </row>
    <row r="34" spans="1:13" x14ac:dyDescent="0.2">
      <c r="A34" s="32"/>
      <c r="B34" t="s">
        <v>230</v>
      </c>
      <c r="H34">
        <v>2</v>
      </c>
      <c r="I34" t="s">
        <v>258</v>
      </c>
      <c r="J34" s="40">
        <v>0</v>
      </c>
      <c r="L34" s="38">
        <f t="shared" si="1"/>
        <v>0</v>
      </c>
      <c r="M34" s="25"/>
    </row>
    <row r="35" spans="1:13" x14ac:dyDescent="0.2">
      <c r="A35" s="32"/>
      <c r="B35" t="s">
        <v>231</v>
      </c>
      <c r="H35">
        <v>2</v>
      </c>
      <c r="I35" t="s">
        <v>258</v>
      </c>
      <c r="J35" s="40">
        <v>0</v>
      </c>
      <c r="L35" s="38">
        <f t="shared" si="1"/>
        <v>0</v>
      </c>
      <c r="M35" s="25"/>
    </row>
    <row r="36" spans="1:13" x14ac:dyDescent="0.2">
      <c r="A36" s="32"/>
      <c r="B36" t="s">
        <v>232</v>
      </c>
      <c r="H36">
        <v>1</v>
      </c>
      <c r="I36" t="s">
        <v>258</v>
      </c>
      <c r="J36" s="40">
        <v>0</v>
      </c>
      <c r="L36" s="38">
        <f t="shared" si="1"/>
        <v>0</v>
      </c>
      <c r="M36" s="25"/>
    </row>
    <row r="37" spans="1:13" x14ac:dyDescent="0.2">
      <c r="A37" s="33"/>
      <c r="B37" s="10" t="s">
        <v>233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26">
        <f>SUM(L38:L39)</f>
        <v>0</v>
      </c>
    </row>
    <row r="38" spans="1:13" x14ac:dyDescent="0.2">
      <c r="A38" s="32"/>
      <c r="B38" t="s">
        <v>235</v>
      </c>
      <c r="H38">
        <v>4</v>
      </c>
      <c r="I38" t="s">
        <v>14</v>
      </c>
      <c r="J38" s="40">
        <v>0</v>
      </c>
      <c r="L38" s="38">
        <f t="shared" si="1"/>
        <v>0</v>
      </c>
      <c r="M38" s="25"/>
    </row>
    <row r="39" spans="1:13" x14ac:dyDescent="0.2">
      <c r="A39" s="32"/>
      <c r="B39" t="s">
        <v>253</v>
      </c>
      <c r="H39">
        <v>1</v>
      </c>
      <c r="I39" t="s">
        <v>14</v>
      </c>
      <c r="J39" s="40">
        <v>0</v>
      </c>
      <c r="L39" s="38">
        <f t="shared" ref="L39" si="2">H39*J39</f>
        <v>0</v>
      </c>
      <c r="M39" s="25"/>
    </row>
    <row r="40" spans="1:13" x14ac:dyDescent="0.2">
      <c r="A40" s="33"/>
      <c r="B40" s="10" t="s">
        <v>236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26">
        <f>SUM(L41)</f>
        <v>0</v>
      </c>
    </row>
    <row r="41" spans="1:13" x14ac:dyDescent="0.2">
      <c r="A41" s="32"/>
      <c r="B41" t="s">
        <v>237</v>
      </c>
      <c r="H41">
        <v>1</v>
      </c>
      <c r="I41" t="s">
        <v>14</v>
      </c>
      <c r="J41" s="40">
        <v>0</v>
      </c>
      <c r="L41" s="38">
        <f t="shared" si="1"/>
        <v>0</v>
      </c>
      <c r="M41" s="25"/>
    </row>
    <row r="42" spans="1:13" x14ac:dyDescent="0.2">
      <c r="A42" s="33"/>
      <c r="B42" s="10" t="s">
        <v>239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26">
        <f>SUM(L43)</f>
        <v>0</v>
      </c>
    </row>
    <row r="43" spans="1:13" x14ac:dyDescent="0.2">
      <c r="A43" s="32"/>
      <c r="B43" t="s">
        <v>238</v>
      </c>
      <c r="H43">
        <v>2</v>
      </c>
      <c r="I43" t="s">
        <v>14</v>
      </c>
      <c r="J43" s="40">
        <v>0</v>
      </c>
      <c r="L43" s="38">
        <f t="shared" ref="L43" si="3">H43*J43</f>
        <v>0</v>
      </c>
      <c r="M43" s="25"/>
    </row>
    <row r="44" spans="1:13" x14ac:dyDescent="0.2">
      <c r="A44" s="33"/>
      <c r="B44" s="10" t="s">
        <v>241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26">
        <f>SUM(L45:L46)</f>
        <v>0</v>
      </c>
    </row>
    <row r="45" spans="1:13" x14ac:dyDescent="0.2">
      <c r="A45" s="32"/>
      <c r="B45" t="s">
        <v>242</v>
      </c>
      <c r="H45">
        <v>20000</v>
      </c>
      <c r="I45" t="s">
        <v>173</v>
      </c>
      <c r="J45" s="38">
        <v>0</v>
      </c>
      <c r="L45" s="38">
        <f>H45*J45</f>
        <v>0</v>
      </c>
      <c r="M45" s="25"/>
    </row>
    <row r="46" spans="1:13" x14ac:dyDescent="0.2">
      <c r="A46" s="32"/>
      <c r="B46" t="s">
        <v>243</v>
      </c>
      <c r="H46">
        <v>1000</v>
      </c>
      <c r="I46" t="s">
        <v>173</v>
      </c>
      <c r="J46" s="38">
        <v>0</v>
      </c>
      <c r="L46" s="38">
        <f t="shared" ref="L46:L66" si="4">H46*J46</f>
        <v>0</v>
      </c>
      <c r="M46" s="25"/>
    </row>
    <row r="47" spans="1:13" x14ac:dyDescent="0.2">
      <c r="A47" s="33"/>
      <c r="B47" s="10" t="s">
        <v>248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26">
        <f>SUM(L48)</f>
        <v>0</v>
      </c>
    </row>
    <row r="48" spans="1:13" x14ac:dyDescent="0.2">
      <c r="A48" s="32"/>
      <c r="B48" t="s">
        <v>261</v>
      </c>
      <c r="H48">
        <v>82.5</v>
      </c>
      <c r="I48" t="s">
        <v>259</v>
      </c>
      <c r="J48" s="40">
        <v>0</v>
      </c>
      <c r="L48" s="38">
        <f t="shared" ref="L48" si="5">H48*J48</f>
        <v>0</v>
      </c>
      <c r="M48" s="25"/>
    </row>
    <row r="49" spans="1:13" x14ac:dyDescent="0.2">
      <c r="A49" s="33"/>
      <c r="B49" s="10" t="s">
        <v>244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26">
        <f>SUM(L50:L52)</f>
        <v>0</v>
      </c>
    </row>
    <row r="50" spans="1:13" x14ac:dyDescent="0.2">
      <c r="A50" s="32"/>
      <c r="B50" t="s">
        <v>245</v>
      </c>
      <c r="H50">
        <f>60*1.5</f>
        <v>90</v>
      </c>
      <c r="I50" t="s">
        <v>260</v>
      </c>
      <c r="J50" s="38">
        <v>0</v>
      </c>
      <c r="L50" s="38">
        <f t="shared" si="4"/>
        <v>0</v>
      </c>
      <c r="M50" s="25"/>
    </row>
    <row r="51" spans="1:13" x14ac:dyDescent="0.2">
      <c r="A51" s="32"/>
      <c r="B51" t="s">
        <v>246</v>
      </c>
      <c r="H51">
        <v>90</v>
      </c>
      <c r="I51" s="9" t="s">
        <v>260</v>
      </c>
      <c r="J51" s="38">
        <v>0</v>
      </c>
      <c r="L51" s="38">
        <f t="shared" si="4"/>
        <v>0</v>
      </c>
      <c r="M51" s="25"/>
    </row>
    <row r="52" spans="1:13" x14ac:dyDescent="0.2">
      <c r="A52" s="32"/>
      <c r="B52" t="s">
        <v>247</v>
      </c>
      <c r="H52">
        <v>60</v>
      </c>
      <c r="I52" t="s">
        <v>260</v>
      </c>
      <c r="J52" s="38">
        <v>0</v>
      </c>
      <c r="L52" s="38">
        <f t="shared" si="4"/>
        <v>0</v>
      </c>
      <c r="M52" s="25"/>
    </row>
    <row r="53" spans="1:13" x14ac:dyDescent="0.2">
      <c r="A53" s="33"/>
      <c r="B53" s="10" t="s">
        <v>249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26">
        <f>SUM(L54)</f>
        <v>0</v>
      </c>
    </row>
    <row r="54" spans="1:13" x14ac:dyDescent="0.2">
      <c r="A54" s="32"/>
      <c r="B54" t="s">
        <v>194</v>
      </c>
      <c r="H54">
        <v>1</v>
      </c>
      <c r="J54" s="40">
        <v>0</v>
      </c>
      <c r="L54" s="38">
        <f t="shared" si="4"/>
        <v>0</v>
      </c>
      <c r="M54" s="25"/>
    </row>
    <row r="55" spans="1:13" x14ac:dyDescent="0.2">
      <c r="A55" s="33"/>
      <c r="B55" s="10" t="s">
        <v>250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26">
        <f>SUM(L56:L57)</f>
        <v>0</v>
      </c>
    </row>
    <row r="56" spans="1:13" x14ac:dyDescent="0.2">
      <c r="A56" s="32"/>
      <c r="B56" t="s">
        <v>251</v>
      </c>
      <c r="H56">
        <v>1</v>
      </c>
      <c r="J56" s="40">
        <v>0</v>
      </c>
      <c r="L56" s="38">
        <f t="shared" si="4"/>
        <v>0</v>
      </c>
      <c r="M56" s="25"/>
    </row>
    <row r="57" spans="1:13" x14ac:dyDescent="0.2">
      <c r="A57" s="32"/>
      <c r="B57" t="s">
        <v>252</v>
      </c>
      <c r="H57">
        <v>1</v>
      </c>
      <c r="J57" s="40">
        <v>0</v>
      </c>
      <c r="L57" s="38">
        <f t="shared" si="4"/>
        <v>0</v>
      </c>
      <c r="M57" s="25"/>
    </row>
    <row r="58" spans="1:13" x14ac:dyDescent="0.2">
      <c r="A58" s="33"/>
      <c r="B58" s="10" t="s">
        <v>199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26">
        <f>SUM(L59:L60)</f>
        <v>0</v>
      </c>
    </row>
    <row r="59" spans="1:13" x14ac:dyDescent="0.2">
      <c r="A59" s="32"/>
      <c r="B59" t="s">
        <v>199</v>
      </c>
      <c r="H59">
        <v>1</v>
      </c>
      <c r="J59" s="40">
        <v>0</v>
      </c>
      <c r="L59" s="38">
        <f t="shared" si="4"/>
        <v>0</v>
      </c>
      <c r="M59" s="25"/>
    </row>
    <row r="60" spans="1:13" x14ac:dyDescent="0.2">
      <c r="A60" s="32"/>
      <c r="B60" t="s">
        <v>106</v>
      </c>
      <c r="H60">
        <v>1</v>
      </c>
      <c r="J60" s="40">
        <v>0</v>
      </c>
      <c r="L60" s="38">
        <f t="shared" si="4"/>
        <v>0</v>
      </c>
      <c r="M60" s="25"/>
    </row>
    <row r="61" spans="1:13" x14ac:dyDescent="0.2">
      <c r="A61" s="33"/>
      <c r="B61" s="10" t="s">
        <v>256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26">
        <f>SUM(L62)</f>
        <v>0</v>
      </c>
    </row>
    <row r="62" spans="1:13" x14ac:dyDescent="0.2">
      <c r="A62" s="32"/>
      <c r="B62" t="s">
        <v>257</v>
      </c>
      <c r="H62">
        <v>1280</v>
      </c>
      <c r="J62" s="40">
        <v>0</v>
      </c>
      <c r="L62" s="38">
        <f t="shared" si="4"/>
        <v>0</v>
      </c>
      <c r="M62" s="25"/>
    </row>
    <row r="63" spans="1:13" x14ac:dyDescent="0.2">
      <c r="A63" s="33"/>
      <c r="B63" s="10" t="s">
        <v>66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26">
        <f>SUM(L64:L66)</f>
        <v>0</v>
      </c>
    </row>
    <row r="64" spans="1:13" x14ac:dyDescent="0.2">
      <c r="A64" s="32"/>
      <c r="B64" t="s">
        <v>255</v>
      </c>
      <c r="H64">
        <v>1</v>
      </c>
      <c r="J64" s="40">
        <v>0</v>
      </c>
      <c r="L64" s="38">
        <f t="shared" si="4"/>
        <v>0</v>
      </c>
      <c r="M64" s="25"/>
    </row>
    <row r="65" spans="1:13" x14ac:dyDescent="0.2">
      <c r="A65" s="32"/>
      <c r="B65" t="s">
        <v>66</v>
      </c>
      <c r="H65">
        <v>1</v>
      </c>
      <c r="J65" s="40">
        <v>0</v>
      </c>
      <c r="L65" s="38">
        <f t="shared" si="4"/>
        <v>0</v>
      </c>
      <c r="M65" s="25"/>
    </row>
    <row r="66" spans="1:13" x14ac:dyDescent="0.2">
      <c r="A66" s="32"/>
      <c r="B66" t="s">
        <v>68</v>
      </c>
      <c r="H66">
        <v>1</v>
      </c>
      <c r="J66" s="40">
        <v>0</v>
      </c>
      <c r="L66" s="38">
        <f t="shared" si="4"/>
        <v>0</v>
      </c>
      <c r="M66" s="25"/>
    </row>
    <row r="67" spans="1:13" x14ac:dyDescent="0.2">
      <c r="A67" s="33"/>
      <c r="B67" s="10" t="s">
        <v>262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31">
        <f>SUM(M13:M66)</f>
        <v>0</v>
      </c>
    </row>
    <row r="68" spans="1:13" x14ac:dyDescent="0.2">
      <c r="A68" s="33"/>
      <c r="B68" s="10"/>
      <c r="C68" s="9"/>
      <c r="D68" s="9"/>
      <c r="E68" s="9"/>
      <c r="F68" s="30"/>
      <c r="G68" s="10"/>
      <c r="H68" s="9"/>
      <c r="I68" s="9"/>
      <c r="J68" s="30"/>
      <c r="K68" s="9"/>
      <c r="L68" s="9"/>
      <c r="M68" s="31"/>
    </row>
    <row r="69" spans="1:13" x14ac:dyDescent="0.2">
      <c r="A69" s="37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35"/>
    </row>
    <row r="71" spans="1:13" x14ac:dyDescent="0.2">
      <c r="A71" s="16"/>
      <c r="B71" s="10"/>
      <c r="C71" s="9"/>
      <c r="D71" s="9"/>
      <c r="E71" s="9"/>
      <c r="F71" s="9"/>
      <c r="G71" s="9"/>
      <c r="H71" s="9"/>
      <c r="I71" s="9"/>
      <c r="J71" s="9"/>
      <c r="K71" s="9"/>
      <c r="L71" s="9"/>
      <c r="M71" s="11"/>
    </row>
    <row r="72" spans="1:13" x14ac:dyDescent="0.2">
      <c r="K72" s="8"/>
      <c r="L72" s="7"/>
    </row>
    <row r="73" spans="1:13" x14ac:dyDescent="0.2">
      <c r="K73" s="8"/>
      <c r="L73" s="7"/>
    </row>
    <row r="74" spans="1:13" x14ac:dyDescent="0.2">
      <c r="K74" s="8"/>
      <c r="L74" s="7"/>
    </row>
    <row r="75" spans="1:13" x14ac:dyDescent="0.2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1"/>
    </row>
  </sheetData>
  <printOptions gridLines="1"/>
  <pageMargins left="0.9055118110236221" right="0.31496062992125984" top="0.15748031496062992" bottom="0.35433070866141736" header="0" footer="0"/>
  <pageSetup paperSize="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2A86B-59BD-4BD6-96B2-00DAE43AF084}">
  <sheetPr>
    <pageSetUpPr fitToPage="1"/>
  </sheetPr>
  <dimension ref="A1:N66"/>
  <sheetViews>
    <sheetView topLeftCell="A29" zoomScaleNormal="100" zoomScaleSheetLayoutView="100" workbookViewId="0">
      <selection activeCell="E73" sqref="E73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</cols>
  <sheetData>
    <row r="1" spans="1:14" x14ac:dyDescent="0.2">
      <c r="A1" s="17" t="s">
        <v>0</v>
      </c>
      <c r="B1" s="1"/>
      <c r="C1" s="1" t="s">
        <v>212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213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214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215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148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150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149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41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46000</v>
      </c>
    </row>
    <row r="14" spans="1:14" x14ac:dyDescent="0.2">
      <c r="A14" s="32">
        <v>1</v>
      </c>
      <c r="B14" t="s">
        <v>13</v>
      </c>
      <c r="H14">
        <v>100</v>
      </c>
      <c r="I14" t="s">
        <v>9</v>
      </c>
      <c r="J14" s="27">
        <v>100</v>
      </c>
      <c r="L14" s="28">
        <f t="shared" ref="L14:L16" si="0">H14*J14</f>
        <v>10000</v>
      </c>
      <c r="M14" s="28">
        <f>A14*L14</f>
        <v>10000</v>
      </c>
      <c r="N14" s="25"/>
    </row>
    <row r="15" spans="1:14" x14ac:dyDescent="0.2">
      <c r="A15" s="32">
        <v>1</v>
      </c>
      <c r="B15" t="s">
        <v>11</v>
      </c>
      <c r="H15">
        <f>2*40*4</f>
        <v>320</v>
      </c>
      <c r="I15" t="s">
        <v>9</v>
      </c>
      <c r="J15" s="27">
        <v>90</v>
      </c>
      <c r="L15" s="28">
        <f t="shared" si="0"/>
        <v>28800</v>
      </c>
      <c r="M15" s="28">
        <f>A15*L15</f>
        <v>28800</v>
      </c>
      <c r="N15" s="25"/>
    </row>
    <row r="16" spans="1:14" x14ac:dyDescent="0.2">
      <c r="A16" s="32">
        <v>1</v>
      </c>
      <c r="B16" t="s">
        <v>12</v>
      </c>
      <c r="H16">
        <f>1*40*2</f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4" x14ac:dyDescent="0.2">
      <c r="A17" s="33"/>
      <c r="B17" s="10" t="s">
        <v>151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26">
        <f>SUM(M18:M32)</f>
        <v>1187000</v>
      </c>
    </row>
    <row r="18" spans="1:14" x14ac:dyDescent="0.2">
      <c r="A18" s="32">
        <v>1</v>
      </c>
      <c r="B18" t="s">
        <v>152</v>
      </c>
      <c r="H18">
        <v>1</v>
      </c>
      <c r="J18" s="40">
        <v>4000</v>
      </c>
      <c r="L18" s="38">
        <f>H18*J18</f>
        <v>4000</v>
      </c>
      <c r="M18" s="38">
        <f t="shared" ref="M18" si="1">A18*L18</f>
        <v>4000</v>
      </c>
      <c r="N18" s="25"/>
    </row>
    <row r="19" spans="1:14" x14ac:dyDescent="0.2">
      <c r="A19" s="32">
        <v>1</v>
      </c>
      <c r="B19" t="s">
        <v>153</v>
      </c>
      <c r="H19">
        <v>1</v>
      </c>
      <c r="J19" s="40">
        <v>3000</v>
      </c>
      <c r="L19" s="38">
        <f t="shared" ref="L19:L31" si="2">H19*J19</f>
        <v>3000</v>
      </c>
      <c r="M19" s="38">
        <f>A19*L19</f>
        <v>3000</v>
      </c>
      <c r="N19" s="25"/>
    </row>
    <row r="20" spans="1:14" x14ac:dyDescent="0.2">
      <c r="A20" s="32">
        <v>1</v>
      </c>
      <c r="B20" t="s">
        <v>154</v>
      </c>
      <c r="H20">
        <v>1</v>
      </c>
      <c r="J20" s="40">
        <v>15000</v>
      </c>
      <c r="L20" s="38">
        <f t="shared" si="2"/>
        <v>15000</v>
      </c>
      <c r="M20" s="38">
        <f t="shared" ref="M20:M31" si="3">A20*L20</f>
        <v>15000</v>
      </c>
      <c r="N20" s="25"/>
    </row>
    <row r="21" spans="1:14" x14ac:dyDescent="0.2">
      <c r="A21" s="32">
        <v>1</v>
      </c>
      <c r="B21" t="s">
        <v>155</v>
      </c>
      <c r="H21">
        <v>1</v>
      </c>
      <c r="J21" s="40">
        <v>260000</v>
      </c>
      <c r="L21" s="38">
        <f t="shared" si="2"/>
        <v>260000</v>
      </c>
      <c r="M21" s="38">
        <f t="shared" si="3"/>
        <v>260000</v>
      </c>
      <c r="N21" s="25"/>
    </row>
    <row r="22" spans="1:14" x14ac:dyDescent="0.2">
      <c r="A22" s="32">
        <v>1</v>
      </c>
      <c r="B22" t="s">
        <v>185</v>
      </c>
      <c r="H22">
        <v>2</v>
      </c>
      <c r="J22" s="40">
        <f>22000+5000</f>
        <v>27000</v>
      </c>
      <c r="L22" s="38">
        <f t="shared" si="2"/>
        <v>54000</v>
      </c>
      <c r="M22" s="38">
        <f t="shared" si="3"/>
        <v>54000</v>
      </c>
      <c r="N22" s="25"/>
    </row>
    <row r="23" spans="1:14" x14ac:dyDescent="0.2">
      <c r="A23" s="32">
        <v>1</v>
      </c>
      <c r="B23" t="s">
        <v>156</v>
      </c>
      <c r="H23">
        <v>1</v>
      </c>
      <c r="J23" s="40">
        <v>90000</v>
      </c>
      <c r="L23" s="38">
        <f t="shared" si="2"/>
        <v>90000</v>
      </c>
      <c r="M23" s="38">
        <f t="shared" si="3"/>
        <v>90000</v>
      </c>
      <c r="N23" s="25"/>
    </row>
    <row r="24" spans="1:14" x14ac:dyDescent="0.2">
      <c r="A24" s="32">
        <v>1</v>
      </c>
      <c r="B24" t="s">
        <v>204</v>
      </c>
      <c r="H24">
        <v>2</v>
      </c>
      <c r="J24" s="40">
        <v>200000</v>
      </c>
      <c r="L24" s="38">
        <f t="shared" si="2"/>
        <v>400000</v>
      </c>
      <c r="M24" s="38">
        <f>A24*L24</f>
        <v>400000</v>
      </c>
      <c r="N24" s="25"/>
    </row>
    <row r="25" spans="1:14" x14ac:dyDescent="0.2">
      <c r="A25" s="32">
        <v>1</v>
      </c>
      <c r="B25" t="s">
        <v>205</v>
      </c>
      <c r="E25" t="s">
        <v>180</v>
      </c>
      <c r="H25">
        <v>1</v>
      </c>
      <c r="J25" s="40">
        <f>3000*12</f>
        <v>36000</v>
      </c>
      <c r="L25" s="38">
        <f t="shared" si="2"/>
        <v>36000</v>
      </c>
      <c r="M25" s="38">
        <f t="shared" si="3"/>
        <v>36000</v>
      </c>
      <c r="N25" s="25"/>
    </row>
    <row r="26" spans="1:14" x14ac:dyDescent="0.2">
      <c r="A26" s="32">
        <v>1</v>
      </c>
      <c r="B26" t="s">
        <v>159</v>
      </c>
      <c r="H26">
        <v>2</v>
      </c>
      <c r="J26" s="40">
        <v>25000</v>
      </c>
      <c r="L26" s="38">
        <f t="shared" si="2"/>
        <v>50000</v>
      </c>
      <c r="M26" s="38">
        <f t="shared" si="3"/>
        <v>50000</v>
      </c>
      <c r="N26" s="25"/>
    </row>
    <row r="27" spans="1:14" x14ac:dyDescent="0.2">
      <c r="A27" s="32">
        <v>1</v>
      </c>
      <c r="B27" t="s">
        <v>161</v>
      </c>
      <c r="H27">
        <v>2</v>
      </c>
      <c r="J27" s="40">
        <v>20000</v>
      </c>
      <c r="L27" s="38">
        <f t="shared" si="2"/>
        <v>40000</v>
      </c>
      <c r="M27" s="38">
        <f t="shared" si="3"/>
        <v>40000</v>
      </c>
      <c r="N27" s="25"/>
    </row>
    <row r="28" spans="1:14" x14ac:dyDescent="0.2">
      <c r="A28" s="32">
        <v>1</v>
      </c>
      <c r="B28" t="s">
        <v>206</v>
      </c>
      <c r="H28">
        <v>2</v>
      </c>
      <c r="J28" s="40">
        <v>20000</v>
      </c>
      <c r="L28" s="38">
        <f t="shared" si="2"/>
        <v>40000</v>
      </c>
      <c r="M28" s="38">
        <f t="shared" si="3"/>
        <v>40000</v>
      </c>
      <c r="N28" s="25"/>
    </row>
    <row r="29" spans="1:14" x14ac:dyDescent="0.2">
      <c r="A29" s="32">
        <v>1</v>
      </c>
      <c r="B29" t="s">
        <v>163</v>
      </c>
      <c r="E29" t="s">
        <v>182</v>
      </c>
      <c r="H29">
        <v>1</v>
      </c>
      <c r="J29" s="40">
        <f>15000*6</f>
        <v>90000</v>
      </c>
      <c r="L29" s="38">
        <f t="shared" si="2"/>
        <v>90000</v>
      </c>
      <c r="M29" s="38">
        <f t="shared" si="3"/>
        <v>90000</v>
      </c>
      <c r="N29" s="25"/>
    </row>
    <row r="30" spans="1:14" x14ac:dyDescent="0.2">
      <c r="A30" s="32">
        <v>1</v>
      </c>
      <c r="B30" t="s">
        <v>166</v>
      </c>
      <c r="H30">
        <v>2</v>
      </c>
      <c r="J30" s="40">
        <v>50000</v>
      </c>
      <c r="L30" s="38">
        <f t="shared" si="2"/>
        <v>100000</v>
      </c>
      <c r="M30" s="38">
        <f t="shared" si="3"/>
        <v>100000</v>
      </c>
      <c r="N30" s="25"/>
    </row>
    <row r="31" spans="1:14" x14ac:dyDescent="0.2">
      <c r="A31" s="32">
        <v>1</v>
      </c>
      <c r="B31" t="s">
        <v>207</v>
      </c>
      <c r="H31">
        <v>1</v>
      </c>
      <c r="J31" s="40">
        <v>5000</v>
      </c>
      <c r="L31" s="38">
        <f t="shared" si="2"/>
        <v>5000</v>
      </c>
      <c r="M31" s="38">
        <f t="shared" si="3"/>
        <v>5000</v>
      </c>
      <c r="N31" s="25"/>
    </row>
    <row r="32" spans="1:14" x14ac:dyDescent="0.2">
      <c r="A32" s="32"/>
      <c r="J32" s="40"/>
      <c r="L32" s="38"/>
      <c r="M32" s="38"/>
      <c r="N32" s="25"/>
    </row>
    <row r="33" spans="1:14" x14ac:dyDescent="0.2">
      <c r="A33" s="33"/>
      <c r="B33" s="10" t="s">
        <v>184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29"/>
      <c r="N33" s="26">
        <f>SUM(M34:M39)</f>
        <v>22440</v>
      </c>
    </row>
    <row r="34" spans="1:14" x14ac:dyDescent="0.2">
      <c r="A34" s="32"/>
      <c r="J34" s="27"/>
      <c r="L34" s="28"/>
      <c r="M34" s="28"/>
      <c r="N34" s="25"/>
    </row>
    <row r="35" spans="1:14" x14ac:dyDescent="0.2">
      <c r="A35" s="32">
        <v>1</v>
      </c>
      <c r="B35" t="s">
        <v>208</v>
      </c>
      <c r="H35">
        <f>3*8</f>
        <v>24</v>
      </c>
      <c r="I35" t="s">
        <v>110</v>
      </c>
      <c r="J35" s="27">
        <v>90</v>
      </c>
      <c r="L35" s="28">
        <f t="shared" ref="L35:L39" si="4">H35*J35</f>
        <v>2160</v>
      </c>
      <c r="M35" s="28">
        <f t="shared" ref="M35:M39" si="5">A35*L35</f>
        <v>2160</v>
      </c>
      <c r="N35" s="25"/>
    </row>
    <row r="36" spans="1:14" x14ac:dyDescent="0.2">
      <c r="A36" s="32">
        <v>1</v>
      </c>
      <c r="B36" t="s">
        <v>209</v>
      </c>
      <c r="H36">
        <v>32</v>
      </c>
      <c r="I36" t="s">
        <v>110</v>
      </c>
      <c r="J36" s="27">
        <v>90</v>
      </c>
      <c r="L36" s="28">
        <f t="shared" si="4"/>
        <v>2880</v>
      </c>
      <c r="M36" s="28">
        <f t="shared" si="5"/>
        <v>2880</v>
      </c>
      <c r="N36" s="25"/>
    </row>
    <row r="37" spans="1:14" x14ac:dyDescent="0.2">
      <c r="A37" s="32">
        <v>1</v>
      </c>
      <c r="B37" t="s">
        <v>210</v>
      </c>
      <c r="H37">
        <v>80</v>
      </c>
      <c r="I37" t="s">
        <v>110</v>
      </c>
      <c r="J37" s="27">
        <v>90</v>
      </c>
      <c r="L37" s="28">
        <f t="shared" si="4"/>
        <v>7200</v>
      </c>
      <c r="M37" s="28">
        <f t="shared" si="5"/>
        <v>7200</v>
      </c>
      <c r="N37" s="25"/>
    </row>
    <row r="38" spans="1:14" x14ac:dyDescent="0.2">
      <c r="A38" s="32">
        <v>1</v>
      </c>
      <c r="B38" t="s">
        <v>192</v>
      </c>
      <c r="H38">
        <f>2*8*5</f>
        <v>80</v>
      </c>
      <c r="I38" t="s">
        <v>110</v>
      </c>
      <c r="J38" s="27">
        <v>90</v>
      </c>
      <c r="L38" s="28">
        <f t="shared" si="4"/>
        <v>7200</v>
      </c>
      <c r="M38" s="28">
        <f t="shared" si="5"/>
        <v>7200</v>
      </c>
      <c r="N38" s="25"/>
    </row>
    <row r="39" spans="1:14" x14ac:dyDescent="0.2">
      <c r="A39" s="32">
        <v>1</v>
      </c>
      <c r="B39" t="s">
        <v>15</v>
      </c>
      <c r="H39">
        <v>5</v>
      </c>
      <c r="I39" t="s">
        <v>111</v>
      </c>
      <c r="J39" s="27">
        <v>600</v>
      </c>
      <c r="L39" s="28">
        <f t="shared" si="4"/>
        <v>3000</v>
      </c>
      <c r="M39" s="28">
        <f t="shared" si="5"/>
        <v>3000</v>
      </c>
      <c r="N39" s="25"/>
    </row>
    <row r="40" spans="1:14" x14ac:dyDescent="0.2">
      <c r="A40" s="33"/>
      <c r="B40" s="10" t="s">
        <v>193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26">
        <f>SUM(M41:M49)</f>
        <v>28960</v>
      </c>
    </row>
    <row r="41" spans="1:14" x14ac:dyDescent="0.2">
      <c r="A41" s="32">
        <v>1</v>
      </c>
      <c r="B41" t="s">
        <v>194</v>
      </c>
      <c r="H41">
        <v>1</v>
      </c>
      <c r="J41" s="27">
        <v>10000</v>
      </c>
      <c r="L41" s="28">
        <f t="shared" ref="L41:L42" si="6">H41*J41</f>
        <v>10000</v>
      </c>
      <c r="M41" s="28">
        <f t="shared" ref="M41:M49" si="7">A41*L41</f>
        <v>10000</v>
      </c>
      <c r="N41" s="25"/>
    </row>
    <row r="42" spans="1:14" x14ac:dyDescent="0.2">
      <c r="A42" s="32">
        <v>1</v>
      </c>
      <c r="B42" t="s">
        <v>195</v>
      </c>
      <c r="H42">
        <f>2*8</f>
        <v>16</v>
      </c>
      <c r="I42" t="s">
        <v>110</v>
      </c>
      <c r="J42" s="27">
        <v>80</v>
      </c>
      <c r="L42" s="28">
        <f t="shared" si="6"/>
        <v>1280</v>
      </c>
      <c r="M42" s="28">
        <f>A42*L42</f>
        <v>1280</v>
      </c>
      <c r="N42" s="25"/>
    </row>
    <row r="43" spans="1:14" x14ac:dyDescent="0.2">
      <c r="A43" s="32">
        <v>1</v>
      </c>
      <c r="B43" t="s">
        <v>196</v>
      </c>
      <c r="H43">
        <f>2*8</f>
        <v>16</v>
      </c>
      <c r="I43" t="s">
        <v>110</v>
      </c>
      <c r="J43" s="27">
        <v>80</v>
      </c>
      <c r="L43" s="28">
        <f>H43*J43</f>
        <v>1280</v>
      </c>
      <c r="M43" s="28">
        <f t="shared" si="7"/>
        <v>1280</v>
      </c>
      <c r="N43" s="25"/>
    </row>
    <row r="44" spans="1:14" x14ac:dyDescent="0.2">
      <c r="A44" s="32">
        <v>1</v>
      </c>
      <c r="B44" t="s">
        <v>197</v>
      </c>
      <c r="H44">
        <f>2*8</f>
        <v>16</v>
      </c>
      <c r="I44" t="s">
        <v>110</v>
      </c>
      <c r="J44" s="27">
        <v>80</v>
      </c>
      <c r="L44" s="28">
        <f t="shared" ref="L44:L49" si="8">H44*J44</f>
        <v>1280</v>
      </c>
      <c r="M44" s="28">
        <f t="shared" si="7"/>
        <v>1280</v>
      </c>
      <c r="N44" s="25"/>
    </row>
    <row r="45" spans="1:14" x14ac:dyDescent="0.2">
      <c r="A45" s="32">
        <v>1</v>
      </c>
      <c r="B45" t="s">
        <v>198</v>
      </c>
      <c r="H45">
        <f>2*8</f>
        <v>16</v>
      </c>
      <c r="I45" t="s">
        <v>110</v>
      </c>
      <c r="J45" s="27">
        <v>80</v>
      </c>
      <c r="L45" s="28">
        <f t="shared" si="8"/>
        <v>1280</v>
      </c>
      <c r="M45" s="28">
        <f t="shared" si="7"/>
        <v>1280</v>
      </c>
      <c r="N45" s="25"/>
    </row>
    <row r="46" spans="1:14" x14ac:dyDescent="0.2">
      <c r="A46" s="32">
        <v>1</v>
      </c>
      <c r="B46" t="s">
        <v>201</v>
      </c>
      <c r="H46">
        <f>2*8</f>
        <v>16</v>
      </c>
      <c r="I46" t="s">
        <v>110</v>
      </c>
      <c r="J46" s="27">
        <v>80</v>
      </c>
      <c r="L46" s="28">
        <f t="shared" si="8"/>
        <v>1280</v>
      </c>
      <c r="M46" s="28">
        <f t="shared" si="7"/>
        <v>1280</v>
      </c>
      <c r="N46" s="25"/>
    </row>
    <row r="47" spans="1:14" x14ac:dyDescent="0.2">
      <c r="A47" s="32">
        <v>1</v>
      </c>
      <c r="B47" t="s">
        <v>211</v>
      </c>
      <c r="H47">
        <v>16</v>
      </c>
      <c r="I47" t="s">
        <v>110</v>
      </c>
      <c r="J47" s="27">
        <v>80</v>
      </c>
      <c r="L47" s="28">
        <f t="shared" si="8"/>
        <v>1280</v>
      </c>
      <c r="M47" s="28">
        <f t="shared" si="7"/>
        <v>1280</v>
      </c>
      <c r="N47" s="25"/>
    </row>
    <row r="48" spans="1:14" x14ac:dyDescent="0.2">
      <c r="A48" s="32">
        <v>1</v>
      </c>
      <c r="B48" t="s">
        <v>199</v>
      </c>
      <c r="H48">
        <v>1</v>
      </c>
      <c r="I48" t="s">
        <v>14</v>
      </c>
      <c r="J48" s="27">
        <v>10000</v>
      </c>
      <c r="L48" s="28">
        <f t="shared" si="8"/>
        <v>10000</v>
      </c>
      <c r="M48" s="28">
        <f t="shared" si="7"/>
        <v>10000</v>
      </c>
      <c r="N48" s="25"/>
    </row>
    <row r="49" spans="1:14" x14ac:dyDescent="0.2">
      <c r="A49" s="32">
        <v>1</v>
      </c>
      <c r="B49" t="s">
        <v>200</v>
      </c>
      <c r="H49">
        <f>8*2</f>
        <v>16</v>
      </c>
      <c r="I49" t="s">
        <v>110</v>
      </c>
      <c r="J49" s="27">
        <v>80</v>
      </c>
      <c r="L49" s="28">
        <f t="shared" si="8"/>
        <v>1280</v>
      </c>
      <c r="M49" s="28">
        <f t="shared" si="7"/>
        <v>1280</v>
      </c>
      <c r="N49" s="25"/>
    </row>
    <row r="50" spans="1:14" x14ac:dyDescent="0.2">
      <c r="A50" s="33"/>
      <c r="B50" s="10" t="s">
        <v>66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26">
        <f>SUM(M51:M53)</f>
        <v>8000</v>
      </c>
    </row>
    <row r="51" spans="1:14" x14ac:dyDescent="0.2">
      <c r="A51" s="32">
        <v>1</v>
      </c>
      <c r="B51" t="s">
        <v>67</v>
      </c>
      <c r="H51">
        <v>1</v>
      </c>
      <c r="I51" t="s">
        <v>14</v>
      </c>
      <c r="J51" s="27">
        <v>5000</v>
      </c>
      <c r="L51" s="28">
        <f t="shared" ref="L51:L53" si="9">H51*J51</f>
        <v>5000</v>
      </c>
      <c r="M51" s="28">
        <f t="shared" ref="M51:M53" si="10">A51*L51</f>
        <v>5000</v>
      </c>
      <c r="N51" s="25"/>
    </row>
    <row r="52" spans="1:14" x14ac:dyDescent="0.2">
      <c r="A52" s="32">
        <v>1</v>
      </c>
      <c r="B52" t="s">
        <v>66</v>
      </c>
      <c r="H52">
        <v>1</v>
      </c>
      <c r="I52" t="s">
        <v>14</v>
      </c>
      <c r="J52" s="27">
        <v>2000</v>
      </c>
      <c r="L52" s="28">
        <f t="shared" si="9"/>
        <v>2000</v>
      </c>
      <c r="M52" s="28">
        <f t="shared" si="10"/>
        <v>2000</v>
      </c>
      <c r="N52" s="25"/>
    </row>
    <row r="53" spans="1:14" x14ac:dyDescent="0.2">
      <c r="A53" s="32">
        <v>1</v>
      </c>
      <c r="B53" t="s">
        <v>68</v>
      </c>
      <c r="H53">
        <v>1</v>
      </c>
      <c r="I53" t="s">
        <v>14</v>
      </c>
      <c r="J53" s="40">
        <v>1000</v>
      </c>
      <c r="L53" s="38">
        <f t="shared" si="9"/>
        <v>1000</v>
      </c>
      <c r="M53" s="38">
        <f t="shared" si="10"/>
        <v>1000</v>
      </c>
      <c r="N53" s="25"/>
    </row>
    <row r="54" spans="1:14" x14ac:dyDescent="0.2">
      <c r="A54" s="33"/>
      <c r="B54" s="10" t="s">
        <v>22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30">
        <f>SUM(M13:M53)</f>
        <v>1292400</v>
      </c>
      <c r="N54" s="31">
        <f>SUM(N13:N53)</f>
        <v>1292400</v>
      </c>
    </row>
    <row r="55" spans="1:14" x14ac:dyDescent="0.2">
      <c r="A55" s="33"/>
      <c r="B55" s="10"/>
      <c r="C55" s="9"/>
      <c r="D55" s="9"/>
      <c r="E55" s="9"/>
      <c r="F55" s="30"/>
      <c r="G55" s="10"/>
      <c r="H55" s="9"/>
      <c r="I55" s="9"/>
      <c r="J55" s="30"/>
      <c r="K55" s="9"/>
      <c r="L55" s="9"/>
      <c r="M55" s="34"/>
      <c r="N55" s="31"/>
    </row>
    <row r="56" spans="1:14" x14ac:dyDescent="0.2">
      <c r="A56" s="37"/>
      <c r="B56" s="15" t="s">
        <v>120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35"/>
    </row>
    <row r="58" spans="1:14" x14ac:dyDescent="0.2">
      <c r="A58" s="16"/>
      <c r="B58" s="10" t="s">
        <v>26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11">
        <f>SUM(M59:M61)</f>
        <v>1228956.7301999999</v>
      </c>
    </row>
    <row r="59" spans="1:14" x14ac:dyDescent="0.2">
      <c r="B59" t="s">
        <v>24</v>
      </c>
      <c r="K59" s="8">
        <f>195.09105/100-1</f>
        <v>0.95091049999999999</v>
      </c>
      <c r="L59" s="7">
        <f>M54</f>
        <v>1292400</v>
      </c>
      <c r="M59" s="7">
        <f>K59*L59</f>
        <v>1228956.7301999999</v>
      </c>
    </row>
    <row r="60" spans="1:14" x14ac:dyDescent="0.2">
      <c r="B60" t="s">
        <v>23</v>
      </c>
      <c r="K60" s="8"/>
      <c r="L60" s="7"/>
      <c r="M60" s="7"/>
    </row>
    <row r="61" spans="1:14" x14ac:dyDescent="0.2">
      <c r="B61" t="s">
        <v>25</v>
      </c>
      <c r="K61" s="8"/>
      <c r="L61" s="7"/>
      <c r="M61" s="7"/>
    </row>
    <row r="62" spans="1:14" x14ac:dyDescent="0.2">
      <c r="B62" t="s">
        <v>143</v>
      </c>
    </row>
    <row r="63" spans="1:14" x14ac:dyDescent="0.2">
      <c r="A63" s="16"/>
      <c r="B63" s="10" t="s">
        <v>203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1">
        <f>SUM(M54:M62)</f>
        <v>2521356.7302000001</v>
      </c>
      <c r="N63" s="11">
        <f>SUM(N54:N62)</f>
        <v>2521356.7302000001</v>
      </c>
    </row>
    <row r="64" spans="1:14" x14ac:dyDescent="0.2">
      <c r="B64" t="s">
        <v>28</v>
      </c>
      <c r="K64" s="8">
        <v>0.21</v>
      </c>
      <c r="L64" s="7">
        <f>M63</f>
        <v>2521356.7302000001</v>
      </c>
      <c r="M64" s="7">
        <f>K64*L64</f>
        <v>529484.91334199999</v>
      </c>
      <c r="N64" s="7">
        <f>M64</f>
        <v>529484.91334199999</v>
      </c>
    </row>
    <row r="66" spans="1:14" x14ac:dyDescent="0.2">
      <c r="A66" s="16"/>
      <c r="B66" s="10" t="s">
        <v>29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1">
        <f>SUM(M63:M65)</f>
        <v>3050841.6435420001</v>
      </c>
      <c r="N66" s="11">
        <f>SUM(N63:N65)</f>
        <v>3050841.6435420001</v>
      </c>
    </row>
  </sheetData>
  <printOptions gridLines="1"/>
  <pageMargins left="0.9055118110236221" right="0.31496062992125984" top="0.15748031496062992" bottom="0.35433070866141736" header="0" footer="0"/>
  <pageSetup paperSize="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69"/>
  <sheetViews>
    <sheetView zoomScaleNormal="100" zoomScaleSheetLayoutView="100" workbookViewId="0">
      <selection activeCell="P44" sqref="P44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</cols>
  <sheetData>
    <row r="1" spans="1:14" x14ac:dyDescent="0.2">
      <c r="A1" s="17" t="s">
        <v>0</v>
      </c>
      <c r="B1" s="1"/>
      <c r="C1" s="1" t="s">
        <v>144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145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146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147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148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150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149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41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46000</v>
      </c>
    </row>
    <row r="14" spans="1:14" x14ac:dyDescent="0.2">
      <c r="A14" s="32">
        <v>1</v>
      </c>
      <c r="B14" t="s">
        <v>13</v>
      </c>
      <c r="H14">
        <v>100</v>
      </c>
      <c r="I14" t="s">
        <v>9</v>
      </c>
      <c r="J14" s="27">
        <v>100</v>
      </c>
      <c r="L14" s="28">
        <f t="shared" ref="L14:L16" si="0">H14*J14</f>
        <v>10000</v>
      </c>
      <c r="M14" s="28">
        <f>A14*L14</f>
        <v>10000</v>
      </c>
      <c r="N14" s="25"/>
    </row>
    <row r="15" spans="1:14" x14ac:dyDescent="0.2">
      <c r="A15" s="32">
        <v>1</v>
      </c>
      <c r="B15" t="s">
        <v>11</v>
      </c>
      <c r="H15">
        <f>2*40*4</f>
        <v>320</v>
      </c>
      <c r="I15" t="s">
        <v>9</v>
      </c>
      <c r="J15" s="27">
        <v>90</v>
      </c>
      <c r="L15" s="28">
        <f t="shared" si="0"/>
        <v>28800</v>
      </c>
      <c r="M15" s="28">
        <f>A15*L15</f>
        <v>28800</v>
      </c>
      <c r="N15" s="25"/>
    </row>
    <row r="16" spans="1:14" x14ac:dyDescent="0.2">
      <c r="A16" s="32">
        <v>1</v>
      </c>
      <c r="B16" t="s">
        <v>12</v>
      </c>
      <c r="H16">
        <f>1*40*2</f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4" x14ac:dyDescent="0.2">
      <c r="A17" s="33"/>
      <c r="B17" s="10" t="s">
        <v>151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26">
        <f>SUM(M18:M35)</f>
        <v>937000</v>
      </c>
    </row>
    <row r="18" spans="1:14" x14ac:dyDescent="0.2">
      <c r="A18" s="32">
        <v>1</v>
      </c>
      <c r="B18" t="s">
        <v>152</v>
      </c>
      <c r="H18">
        <v>1</v>
      </c>
      <c r="J18" s="40">
        <v>4000</v>
      </c>
      <c r="L18" s="38">
        <f>H18*J18</f>
        <v>4000</v>
      </c>
      <c r="M18" s="38">
        <f t="shared" ref="M18" si="1">A18*L18</f>
        <v>4000</v>
      </c>
      <c r="N18" s="25"/>
    </row>
    <row r="19" spans="1:14" x14ac:dyDescent="0.2">
      <c r="A19" s="32">
        <v>1</v>
      </c>
      <c r="B19" t="s">
        <v>153</v>
      </c>
      <c r="H19">
        <v>1</v>
      </c>
      <c r="J19" s="40">
        <v>3000</v>
      </c>
      <c r="L19" s="38">
        <f t="shared" ref="L19:L35" si="2">H19*J19</f>
        <v>3000</v>
      </c>
      <c r="M19" s="38">
        <f>A19*L19</f>
        <v>3000</v>
      </c>
      <c r="N19" s="25"/>
    </row>
    <row r="20" spans="1:14" x14ac:dyDescent="0.2">
      <c r="A20" s="32">
        <v>1</v>
      </c>
      <c r="B20" t="s">
        <v>154</v>
      </c>
      <c r="H20">
        <v>1</v>
      </c>
      <c r="J20" s="40">
        <v>15000</v>
      </c>
      <c r="L20" s="38">
        <f t="shared" si="2"/>
        <v>15000</v>
      </c>
      <c r="M20" s="38">
        <f t="shared" ref="M20:M35" si="3">A20*L20</f>
        <v>15000</v>
      </c>
      <c r="N20" s="25"/>
    </row>
    <row r="21" spans="1:14" x14ac:dyDescent="0.2">
      <c r="A21" s="32">
        <v>1</v>
      </c>
      <c r="B21" t="s">
        <v>155</v>
      </c>
      <c r="H21">
        <v>1</v>
      </c>
      <c r="J21" s="40">
        <v>260000</v>
      </c>
      <c r="L21" s="38">
        <f t="shared" si="2"/>
        <v>260000</v>
      </c>
      <c r="M21" s="38">
        <f t="shared" si="3"/>
        <v>260000</v>
      </c>
      <c r="N21" s="25"/>
    </row>
    <row r="22" spans="1:14" x14ac:dyDescent="0.2">
      <c r="A22" s="32">
        <v>1</v>
      </c>
      <c r="B22" t="s">
        <v>185</v>
      </c>
      <c r="H22">
        <v>2</v>
      </c>
      <c r="J22" s="40">
        <f>22000+5000</f>
        <v>27000</v>
      </c>
      <c r="L22" s="38">
        <f t="shared" si="2"/>
        <v>54000</v>
      </c>
      <c r="M22" s="38">
        <f t="shared" si="3"/>
        <v>54000</v>
      </c>
      <c r="N22" s="25"/>
    </row>
    <row r="23" spans="1:14" x14ac:dyDescent="0.2">
      <c r="A23" s="32">
        <v>1</v>
      </c>
      <c r="B23" t="s">
        <v>156</v>
      </c>
      <c r="H23">
        <v>1</v>
      </c>
      <c r="J23" s="40">
        <v>90000</v>
      </c>
      <c r="L23" s="38">
        <f t="shared" si="2"/>
        <v>90000</v>
      </c>
      <c r="M23" s="38">
        <f t="shared" si="3"/>
        <v>90000</v>
      </c>
      <c r="N23" s="25"/>
    </row>
    <row r="24" spans="1:14" x14ac:dyDescent="0.2">
      <c r="A24" s="32">
        <v>1</v>
      </c>
      <c r="B24" t="s">
        <v>157</v>
      </c>
      <c r="E24" t="s">
        <v>181</v>
      </c>
      <c r="H24">
        <v>1</v>
      </c>
      <c r="J24" s="40">
        <v>60000</v>
      </c>
      <c r="L24" s="38">
        <f t="shared" si="2"/>
        <v>60000</v>
      </c>
      <c r="M24" s="38">
        <f t="shared" si="3"/>
        <v>60000</v>
      </c>
      <c r="N24" s="25"/>
    </row>
    <row r="25" spans="1:14" x14ac:dyDescent="0.2">
      <c r="A25" s="32">
        <v>1</v>
      </c>
      <c r="B25" t="s">
        <v>158</v>
      </c>
      <c r="E25" t="s">
        <v>180</v>
      </c>
      <c r="H25">
        <v>1</v>
      </c>
      <c r="J25" s="40">
        <f>3000*12</f>
        <v>36000</v>
      </c>
      <c r="L25" s="38">
        <f t="shared" si="2"/>
        <v>36000</v>
      </c>
      <c r="M25" s="38">
        <f t="shared" si="3"/>
        <v>36000</v>
      </c>
      <c r="N25" s="25"/>
    </row>
    <row r="26" spans="1:14" x14ac:dyDescent="0.2">
      <c r="A26" s="32">
        <v>1</v>
      </c>
      <c r="B26" t="s">
        <v>159</v>
      </c>
      <c r="H26">
        <v>2</v>
      </c>
      <c r="J26" s="40">
        <v>25000</v>
      </c>
      <c r="L26" s="38">
        <f t="shared" si="2"/>
        <v>50000</v>
      </c>
      <c r="M26" s="38">
        <f t="shared" si="3"/>
        <v>50000</v>
      </c>
      <c r="N26" s="25"/>
    </row>
    <row r="27" spans="1:14" x14ac:dyDescent="0.2">
      <c r="A27" s="32">
        <v>1</v>
      </c>
      <c r="B27" t="s">
        <v>160</v>
      </c>
      <c r="H27">
        <v>1</v>
      </c>
      <c r="J27" s="40">
        <v>45000</v>
      </c>
      <c r="L27" s="38">
        <f t="shared" si="2"/>
        <v>45000</v>
      </c>
      <c r="M27" s="38">
        <f t="shared" si="3"/>
        <v>45000</v>
      </c>
      <c r="N27" s="25"/>
    </row>
    <row r="28" spans="1:14" x14ac:dyDescent="0.2">
      <c r="A28" s="32">
        <v>1</v>
      </c>
      <c r="B28" t="s">
        <v>161</v>
      </c>
      <c r="E28" t="s">
        <v>178</v>
      </c>
      <c r="H28">
        <v>1</v>
      </c>
      <c r="J28" s="40">
        <v>20000</v>
      </c>
      <c r="L28" s="38">
        <f t="shared" si="2"/>
        <v>20000</v>
      </c>
      <c r="M28" s="38">
        <f t="shared" si="3"/>
        <v>20000</v>
      </c>
      <c r="N28" s="25"/>
    </row>
    <row r="29" spans="1:14" x14ac:dyDescent="0.2">
      <c r="A29" s="32">
        <v>1</v>
      </c>
      <c r="B29" t="s">
        <v>162</v>
      </c>
      <c r="E29" t="s">
        <v>179</v>
      </c>
      <c r="H29">
        <v>1</v>
      </c>
      <c r="J29" s="40">
        <f>7000*7</f>
        <v>49000</v>
      </c>
      <c r="L29" s="38">
        <f t="shared" si="2"/>
        <v>49000</v>
      </c>
      <c r="M29" s="38">
        <f t="shared" si="3"/>
        <v>49000</v>
      </c>
      <c r="N29" s="25"/>
    </row>
    <row r="30" spans="1:14" x14ac:dyDescent="0.2">
      <c r="A30" s="32">
        <v>1</v>
      </c>
      <c r="B30" t="s">
        <v>163</v>
      </c>
      <c r="E30" t="s">
        <v>182</v>
      </c>
      <c r="H30">
        <v>1</v>
      </c>
      <c r="J30" s="40">
        <f>15000*6</f>
        <v>90000</v>
      </c>
      <c r="L30" s="38">
        <f t="shared" si="2"/>
        <v>90000</v>
      </c>
      <c r="M30" s="38">
        <f t="shared" si="3"/>
        <v>90000</v>
      </c>
      <c r="N30" s="25"/>
    </row>
    <row r="31" spans="1:14" x14ac:dyDescent="0.2">
      <c r="A31" s="32">
        <v>1</v>
      </c>
      <c r="B31" t="s">
        <v>164</v>
      </c>
      <c r="E31" t="s">
        <v>181</v>
      </c>
      <c r="H31">
        <v>1</v>
      </c>
      <c r="J31" s="40">
        <f>2000*5</f>
        <v>10000</v>
      </c>
      <c r="L31" s="38">
        <f t="shared" si="2"/>
        <v>10000</v>
      </c>
      <c r="M31" s="38">
        <f t="shared" si="3"/>
        <v>10000</v>
      </c>
      <c r="N31" s="25"/>
    </row>
    <row r="32" spans="1:14" x14ac:dyDescent="0.2">
      <c r="A32" s="32">
        <v>1</v>
      </c>
      <c r="B32" t="s">
        <v>165</v>
      </c>
      <c r="E32" t="s">
        <v>183</v>
      </c>
      <c r="H32">
        <v>2</v>
      </c>
      <c r="J32" s="40">
        <f>3500*5+2000+3000</f>
        <v>22500</v>
      </c>
      <c r="L32" s="38">
        <f t="shared" si="2"/>
        <v>45000</v>
      </c>
      <c r="M32" s="38">
        <f t="shared" si="3"/>
        <v>45000</v>
      </c>
      <c r="N32" s="25"/>
    </row>
    <row r="33" spans="1:14" x14ac:dyDescent="0.2">
      <c r="A33" s="32">
        <v>1</v>
      </c>
      <c r="B33" t="s">
        <v>166</v>
      </c>
      <c r="H33">
        <v>2</v>
      </c>
      <c r="J33" s="40">
        <v>50000</v>
      </c>
      <c r="L33" s="38">
        <f t="shared" si="2"/>
        <v>100000</v>
      </c>
      <c r="M33" s="38">
        <f t="shared" si="3"/>
        <v>100000</v>
      </c>
      <c r="N33" s="25"/>
    </row>
    <row r="34" spans="1:14" x14ac:dyDescent="0.2">
      <c r="A34" s="32">
        <v>1</v>
      </c>
      <c r="B34" t="s">
        <v>190</v>
      </c>
      <c r="H34">
        <v>1</v>
      </c>
      <c r="J34" s="40">
        <v>2000</v>
      </c>
      <c r="L34" s="38">
        <f t="shared" si="2"/>
        <v>2000</v>
      </c>
      <c r="M34" s="38">
        <f t="shared" si="3"/>
        <v>2000</v>
      </c>
      <c r="N34" s="25"/>
    </row>
    <row r="35" spans="1:14" x14ac:dyDescent="0.2">
      <c r="A35" s="32">
        <v>1</v>
      </c>
      <c r="B35" t="s">
        <v>191</v>
      </c>
      <c r="H35">
        <v>2</v>
      </c>
      <c r="J35" s="40">
        <v>2000</v>
      </c>
      <c r="L35" s="38">
        <f t="shared" si="2"/>
        <v>4000</v>
      </c>
      <c r="M35" s="38">
        <f t="shared" si="3"/>
        <v>4000</v>
      </c>
      <c r="N35" s="25"/>
    </row>
    <row r="36" spans="1:14" x14ac:dyDescent="0.2">
      <c r="A36" s="33"/>
      <c r="B36" s="10" t="s">
        <v>184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29"/>
      <c r="N36" s="26">
        <f>SUM(M37:M42)</f>
        <v>20280</v>
      </c>
    </row>
    <row r="37" spans="1:14" x14ac:dyDescent="0.2">
      <c r="A37" s="32">
        <v>1</v>
      </c>
      <c r="B37" t="s">
        <v>186</v>
      </c>
      <c r="H37">
        <f>2*8</f>
        <v>16</v>
      </c>
      <c r="I37" t="s">
        <v>110</v>
      </c>
      <c r="J37" s="27">
        <v>90</v>
      </c>
      <c r="L37" s="28">
        <f t="shared" ref="L37:L42" si="4">H37*J37</f>
        <v>1440</v>
      </c>
      <c r="M37" s="28">
        <f t="shared" ref="M37:M42" si="5">A37*L37</f>
        <v>1440</v>
      </c>
      <c r="N37" s="25"/>
    </row>
    <row r="38" spans="1:14" x14ac:dyDescent="0.2">
      <c r="A38" s="32">
        <v>1</v>
      </c>
      <c r="B38" t="s">
        <v>187</v>
      </c>
      <c r="H38">
        <f>3*8</f>
        <v>24</v>
      </c>
      <c r="I38" t="s">
        <v>110</v>
      </c>
      <c r="J38" s="27">
        <v>90</v>
      </c>
      <c r="L38" s="28">
        <f t="shared" si="4"/>
        <v>2160</v>
      </c>
      <c r="M38" s="28">
        <f t="shared" si="5"/>
        <v>2160</v>
      </c>
      <c r="N38" s="25"/>
    </row>
    <row r="39" spans="1:14" x14ac:dyDescent="0.2">
      <c r="A39" s="32">
        <v>1</v>
      </c>
      <c r="B39" t="s">
        <v>188</v>
      </c>
      <c r="H39">
        <f>3*8</f>
        <v>24</v>
      </c>
      <c r="I39" t="s">
        <v>110</v>
      </c>
      <c r="J39" s="27">
        <v>90</v>
      </c>
      <c r="L39" s="28">
        <f t="shared" si="4"/>
        <v>2160</v>
      </c>
      <c r="M39" s="28">
        <f t="shared" si="5"/>
        <v>2160</v>
      </c>
      <c r="N39" s="25"/>
    </row>
    <row r="40" spans="1:14" x14ac:dyDescent="0.2">
      <c r="A40" s="32">
        <v>1</v>
      </c>
      <c r="B40" t="s">
        <v>189</v>
      </c>
      <c r="H40">
        <f>3*8*2</f>
        <v>48</v>
      </c>
      <c r="I40" t="s">
        <v>110</v>
      </c>
      <c r="J40" s="27">
        <v>90</v>
      </c>
      <c r="L40" s="28">
        <f t="shared" si="4"/>
        <v>4320</v>
      </c>
      <c r="M40" s="28">
        <f t="shared" si="5"/>
        <v>4320</v>
      </c>
      <c r="N40" s="25"/>
    </row>
    <row r="41" spans="1:14" x14ac:dyDescent="0.2">
      <c r="A41" s="32">
        <v>1</v>
      </c>
      <c r="B41" t="s">
        <v>192</v>
      </c>
      <c r="H41">
        <f>2*8*5</f>
        <v>80</v>
      </c>
      <c r="I41" t="s">
        <v>110</v>
      </c>
      <c r="J41" s="27">
        <v>90</v>
      </c>
      <c r="L41" s="28">
        <f t="shared" si="4"/>
        <v>7200</v>
      </c>
      <c r="M41" s="28">
        <f t="shared" si="5"/>
        <v>7200</v>
      </c>
      <c r="N41" s="25"/>
    </row>
    <row r="42" spans="1:14" x14ac:dyDescent="0.2">
      <c r="A42" s="32">
        <v>1</v>
      </c>
      <c r="B42" t="s">
        <v>15</v>
      </c>
      <c r="H42">
        <v>5</v>
      </c>
      <c r="I42" t="s">
        <v>111</v>
      </c>
      <c r="J42" s="27">
        <v>600</v>
      </c>
      <c r="L42" s="28">
        <f t="shared" si="4"/>
        <v>3000</v>
      </c>
      <c r="M42" s="28">
        <f t="shared" si="5"/>
        <v>3000</v>
      </c>
      <c r="N42" s="25"/>
    </row>
    <row r="43" spans="1:14" x14ac:dyDescent="0.2">
      <c r="A43" s="33"/>
      <c r="B43" s="10" t="s">
        <v>193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26">
        <f>SUM(M44:M52)</f>
        <v>28960</v>
      </c>
    </row>
    <row r="44" spans="1:14" x14ac:dyDescent="0.2">
      <c r="A44" s="32">
        <v>1</v>
      </c>
      <c r="B44" t="s">
        <v>194</v>
      </c>
      <c r="H44">
        <v>1</v>
      </c>
      <c r="J44" s="27">
        <v>10000</v>
      </c>
      <c r="L44" s="28">
        <f t="shared" ref="L44:L45" si="6">H44*J44</f>
        <v>10000</v>
      </c>
      <c r="M44" s="28">
        <f t="shared" ref="M44:M52" si="7">A44*L44</f>
        <v>10000</v>
      </c>
      <c r="N44" s="25"/>
    </row>
    <row r="45" spans="1:14" x14ac:dyDescent="0.2">
      <c r="A45" s="32">
        <v>1</v>
      </c>
      <c r="B45" t="s">
        <v>195</v>
      </c>
      <c r="H45">
        <f>2*8</f>
        <v>16</v>
      </c>
      <c r="I45" t="s">
        <v>110</v>
      </c>
      <c r="J45" s="27">
        <v>80</v>
      </c>
      <c r="L45" s="28">
        <f t="shared" si="6"/>
        <v>1280</v>
      </c>
      <c r="M45" s="28">
        <f>A45*L45</f>
        <v>1280</v>
      </c>
      <c r="N45" s="25"/>
    </row>
    <row r="46" spans="1:14" x14ac:dyDescent="0.2">
      <c r="A46" s="32">
        <v>1</v>
      </c>
      <c r="B46" t="s">
        <v>196</v>
      </c>
      <c r="H46">
        <f>2*8</f>
        <v>16</v>
      </c>
      <c r="I46" t="s">
        <v>110</v>
      </c>
      <c r="J46" s="27">
        <v>80</v>
      </c>
      <c r="L46" s="28">
        <f>H46*J46</f>
        <v>1280</v>
      </c>
      <c r="M46" s="28">
        <f t="shared" si="7"/>
        <v>1280</v>
      </c>
      <c r="N46" s="25"/>
    </row>
    <row r="47" spans="1:14" x14ac:dyDescent="0.2">
      <c r="A47" s="32">
        <v>1</v>
      </c>
      <c r="B47" t="s">
        <v>197</v>
      </c>
      <c r="H47">
        <f>2*8</f>
        <v>16</v>
      </c>
      <c r="I47" t="s">
        <v>110</v>
      </c>
      <c r="J47" s="27">
        <v>80</v>
      </c>
      <c r="L47" s="28">
        <f t="shared" ref="L47:L52" si="8">H47*J47</f>
        <v>1280</v>
      </c>
      <c r="M47" s="28">
        <f t="shared" si="7"/>
        <v>1280</v>
      </c>
      <c r="N47" s="25"/>
    </row>
    <row r="48" spans="1:14" x14ac:dyDescent="0.2">
      <c r="A48" s="32">
        <v>1</v>
      </c>
      <c r="B48" t="s">
        <v>198</v>
      </c>
      <c r="H48">
        <f>2*8</f>
        <v>16</v>
      </c>
      <c r="I48" t="s">
        <v>110</v>
      </c>
      <c r="J48" s="27">
        <v>80</v>
      </c>
      <c r="L48" s="28">
        <f t="shared" si="8"/>
        <v>1280</v>
      </c>
      <c r="M48" s="28">
        <f t="shared" si="7"/>
        <v>1280</v>
      </c>
      <c r="N48" s="25"/>
    </row>
    <row r="49" spans="1:14" x14ac:dyDescent="0.2">
      <c r="A49" s="32">
        <v>1</v>
      </c>
      <c r="B49" t="s">
        <v>201</v>
      </c>
      <c r="H49">
        <f>2*8</f>
        <v>16</v>
      </c>
      <c r="I49" t="s">
        <v>110</v>
      </c>
      <c r="J49" s="27">
        <v>80</v>
      </c>
      <c r="L49" s="28">
        <f t="shared" si="8"/>
        <v>1280</v>
      </c>
      <c r="M49" s="28">
        <f t="shared" si="7"/>
        <v>1280</v>
      </c>
      <c r="N49" s="25"/>
    </row>
    <row r="50" spans="1:14" x14ac:dyDescent="0.2">
      <c r="A50" s="32">
        <v>1</v>
      </c>
      <c r="B50" t="s">
        <v>202</v>
      </c>
      <c r="H50">
        <v>16</v>
      </c>
      <c r="I50" t="s">
        <v>110</v>
      </c>
      <c r="J50" s="27">
        <v>80</v>
      </c>
      <c r="L50" s="28">
        <f t="shared" si="8"/>
        <v>1280</v>
      </c>
      <c r="M50" s="28">
        <f t="shared" si="7"/>
        <v>1280</v>
      </c>
      <c r="N50" s="25"/>
    </row>
    <row r="51" spans="1:14" x14ac:dyDescent="0.2">
      <c r="A51" s="32">
        <v>1</v>
      </c>
      <c r="B51" t="s">
        <v>199</v>
      </c>
      <c r="H51">
        <v>1</v>
      </c>
      <c r="I51" t="s">
        <v>14</v>
      </c>
      <c r="J51" s="27">
        <v>10000</v>
      </c>
      <c r="L51" s="28">
        <f t="shared" si="8"/>
        <v>10000</v>
      </c>
      <c r="M51" s="28">
        <f t="shared" si="7"/>
        <v>10000</v>
      </c>
      <c r="N51" s="25"/>
    </row>
    <row r="52" spans="1:14" x14ac:dyDescent="0.2">
      <c r="A52" s="32">
        <v>1</v>
      </c>
      <c r="B52" t="s">
        <v>200</v>
      </c>
      <c r="H52">
        <f>8*2</f>
        <v>16</v>
      </c>
      <c r="I52" t="s">
        <v>110</v>
      </c>
      <c r="J52" s="27">
        <v>80</v>
      </c>
      <c r="L52" s="28">
        <f t="shared" si="8"/>
        <v>1280</v>
      </c>
      <c r="M52" s="28">
        <f t="shared" si="7"/>
        <v>1280</v>
      </c>
      <c r="N52" s="25"/>
    </row>
    <row r="53" spans="1:14" x14ac:dyDescent="0.2">
      <c r="A53" s="33"/>
      <c r="B53" s="10" t="s">
        <v>66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26">
        <f>SUM(M54:M56)</f>
        <v>8000</v>
      </c>
    </row>
    <row r="54" spans="1:14" x14ac:dyDescent="0.2">
      <c r="A54" s="32">
        <v>1</v>
      </c>
      <c r="B54" t="s">
        <v>67</v>
      </c>
      <c r="H54">
        <v>1</v>
      </c>
      <c r="I54" t="s">
        <v>14</v>
      </c>
      <c r="J54" s="27">
        <v>5000</v>
      </c>
      <c r="L54" s="28">
        <f t="shared" ref="L54:L56" si="9">H54*J54</f>
        <v>5000</v>
      </c>
      <c r="M54" s="28">
        <f t="shared" ref="M54:M56" si="10">A54*L54</f>
        <v>5000</v>
      </c>
      <c r="N54" s="25"/>
    </row>
    <row r="55" spans="1:14" x14ac:dyDescent="0.2">
      <c r="A55" s="32">
        <v>1</v>
      </c>
      <c r="B55" t="s">
        <v>66</v>
      </c>
      <c r="H55">
        <v>1</v>
      </c>
      <c r="I55" t="s">
        <v>14</v>
      </c>
      <c r="J55" s="27">
        <v>2000</v>
      </c>
      <c r="L55" s="28">
        <f t="shared" si="9"/>
        <v>2000</v>
      </c>
      <c r="M55" s="28">
        <f t="shared" si="10"/>
        <v>2000</v>
      </c>
      <c r="N55" s="25"/>
    </row>
    <row r="56" spans="1:14" x14ac:dyDescent="0.2">
      <c r="A56" s="32">
        <v>1</v>
      </c>
      <c r="B56" t="s">
        <v>68</v>
      </c>
      <c r="H56">
        <v>1</v>
      </c>
      <c r="I56" t="s">
        <v>14</v>
      </c>
      <c r="J56" s="40">
        <v>1000</v>
      </c>
      <c r="L56" s="38">
        <f t="shared" si="9"/>
        <v>1000</v>
      </c>
      <c r="M56" s="38">
        <f t="shared" si="10"/>
        <v>1000</v>
      </c>
      <c r="N56" s="25"/>
    </row>
    <row r="57" spans="1:14" x14ac:dyDescent="0.2">
      <c r="A57" s="33"/>
      <c r="B57" s="10" t="s">
        <v>22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30">
        <f>SUM(M13:M56)</f>
        <v>1040240</v>
      </c>
      <c r="N57" s="31">
        <f>SUM(N13:N56)</f>
        <v>1040240</v>
      </c>
    </row>
    <row r="58" spans="1:14" x14ac:dyDescent="0.2">
      <c r="A58" s="33"/>
      <c r="B58" s="10"/>
      <c r="C58" s="9"/>
      <c r="D58" s="9"/>
      <c r="E58" s="9"/>
      <c r="F58" s="30"/>
      <c r="G58" s="10"/>
      <c r="H58" s="9"/>
      <c r="I58" s="9"/>
      <c r="J58" s="30"/>
      <c r="K58" s="9"/>
      <c r="L58" s="9"/>
      <c r="M58" s="34"/>
      <c r="N58" s="31"/>
    </row>
    <row r="59" spans="1:14" x14ac:dyDescent="0.2">
      <c r="A59" s="37"/>
      <c r="B59" s="15" t="s">
        <v>120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35"/>
    </row>
    <row r="61" spans="1:14" x14ac:dyDescent="0.2">
      <c r="A61" s="16"/>
      <c r="B61" s="10" t="s">
        <v>26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1">
        <f>SUM(M62:M64)</f>
        <v>989175.13852000004</v>
      </c>
    </row>
    <row r="62" spans="1:14" x14ac:dyDescent="0.2">
      <c r="B62" t="s">
        <v>24</v>
      </c>
      <c r="K62" s="8">
        <f>195.09105/100-1</f>
        <v>0.95091049999999999</v>
      </c>
      <c r="L62" s="7">
        <f>M57</f>
        <v>1040240</v>
      </c>
      <c r="M62" s="7">
        <f>K62*L62</f>
        <v>989175.13852000004</v>
      </c>
    </row>
    <row r="63" spans="1:14" x14ac:dyDescent="0.2">
      <c r="B63" t="s">
        <v>23</v>
      </c>
      <c r="K63" s="8"/>
      <c r="L63" s="7"/>
      <c r="M63" s="7"/>
    </row>
    <row r="64" spans="1:14" x14ac:dyDescent="0.2">
      <c r="B64" t="s">
        <v>25</v>
      </c>
      <c r="K64" s="8"/>
      <c r="L64" s="7"/>
      <c r="M64" s="7"/>
    </row>
    <row r="65" spans="1:14" x14ac:dyDescent="0.2">
      <c r="B65" t="s">
        <v>143</v>
      </c>
    </row>
    <row r="66" spans="1:14" x14ac:dyDescent="0.2">
      <c r="A66" s="16"/>
      <c r="B66" s="10" t="s">
        <v>203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1">
        <f>SUM(M57:M65)</f>
        <v>2029415.13852</v>
      </c>
      <c r="N66" s="11">
        <f>SUM(N57:N65)</f>
        <v>2029415.13852</v>
      </c>
    </row>
    <row r="67" spans="1:14" x14ac:dyDescent="0.2">
      <c r="B67" t="s">
        <v>28</v>
      </c>
      <c r="K67" s="8">
        <v>0.21</v>
      </c>
      <c r="L67" s="7">
        <f>M66</f>
        <v>2029415.13852</v>
      </c>
      <c r="M67" s="7">
        <f>K67*L67</f>
        <v>426177.17908919998</v>
      </c>
      <c r="N67" s="7">
        <f>M67</f>
        <v>426177.17908919998</v>
      </c>
    </row>
    <row r="69" spans="1:14" x14ac:dyDescent="0.2">
      <c r="A69" s="16"/>
      <c r="B69" s="10" t="s">
        <v>29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1">
        <f>SUM(M66:M68)</f>
        <v>2455592.3176092003</v>
      </c>
      <c r="N69" s="11">
        <f>SUM(N66:N68)</f>
        <v>2455592.3176092003</v>
      </c>
    </row>
  </sheetData>
  <printOptions gridLines="1"/>
  <pageMargins left="0.9055118110236221" right="0.31496062992125984" top="0.15748031496062992" bottom="0.35433070866141736" header="0" footer="0"/>
  <pageSetup paperSize="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062F-2352-43FA-A55E-DB8D786C74BD}">
  <dimension ref="H18:P43"/>
  <sheetViews>
    <sheetView topLeftCell="A13" workbookViewId="0">
      <selection activeCell="N41" sqref="N41"/>
    </sheetView>
  </sheetViews>
  <sheetFormatPr defaultRowHeight="12.75" x14ac:dyDescent="0.2"/>
  <cols>
    <col min="10" max="10" width="11" bestFit="1" customWidth="1"/>
  </cols>
  <sheetData>
    <row r="18" spans="10:16" x14ac:dyDescent="0.2">
      <c r="J18">
        <f>7.85*10^-6</f>
        <v>7.8499999999999994E-6</v>
      </c>
    </row>
    <row r="19" spans="10:16" x14ac:dyDescent="0.2">
      <c r="J19" t="s">
        <v>168</v>
      </c>
      <c r="K19" t="s">
        <v>167</v>
      </c>
      <c r="L19" t="s">
        <v>169</v>
      </c>
      <c r="M19" t="s">
        <v>170</v>
      </c>
      <c r="N19" t="s">
        <v>171</v>
      </c>
      <c r="O19" t="s">
        <v>172</v>
      </c>
    </row>
    <row r="20" spans="10:16" x14ac:dyDescent="0.2">
      <c r="J20">
        <v>500</v>
      </c>
      <c r="K20">
        <f>PI()/4*J20^2</f>
        <v>196349.54084936206</v>
      </c>
      <c r="N20">
        <v>14</v>
      </c>
    </row>
    <row r="21" spans="10:16" x14ac:dyDescent="0.2">
      <c r="J21">
        <v>251</v>
      </c>
      <c r="K21">
        <f t="shared" ref="K21" si="0">PI()/4*J21^2</f>
        <v>49480.869692202636</v>
      </c>
    </row>
    <row r="22" spans="10:16" x14ac:dyDescent="0.2">
      <c r="J22">
        <v>27.8</v>
      </c>
    </row>
    <row r="23" spans="10:16" x14ac:dyDescent="0.2">
      <c r="L23">
        <f>(K20-K21)*J22</f>
        <v>4082949.0581690324</v>
      </c>
      <c r="M23">
        <f>L23*J18</f>
        <v>32.051150106626899</v>
      </c>
      <c r="O23">
        <f>M23*N20</f>
        <v>448.7161014927766</v>
      </c>
      <c r="P23" t="s">
        <v>173</v>
      </c>
    </row>
    <row r="25" spans="10:16" x14ac:dyDescent="0.2">
      <c r="J25" t="s">
        <v>174</v>
      </c>
      <c r="K25" t="s">
        <v>175</v>
      </c>
      <c r="L25" t="s">
        <v>176</v>
      </c>
      <c r="M25" t="s">
        <v>177</v>
      </c>
    </row>
    <row r="26" spans="10:16" x14ac:dyDescent="0.2">
      <c r="J26">
        <v>600</v>
      </c>
      <c r="K26">
        <v>600</v>
      </c>
      <c r="L26">
        <v>1000</v>
      </c>
      <c r="M26">
        <v>16</v>
      </c>
      <c r="N26">
        <f>2*(J26+K26)*L26*M26*1.5</f>
        <v>57600000</v>
      </c>
      <c r="O26">
        <f>N26*J18</f>
        <v>452.15999999999997</v>
      </c>
      <c r="P26" t="s">
        <v>173</v>
      </c>
    </row>
    <row r="28" spans="10:16" x14ac:dyDescent="0.2">
      <c r="O28">
        <f>SUM(O23:O26)</f>
        <v>900.87610149277657</v>
      </c>
    </row>
    <row r="32" spans="10:16" x14ac:dyDescent="0.2">
      <c r="O32">
        <f>15*O26</f>
        <v>6782.4</v>
      </c>
    </row>
    <row r="35" spans="8:14" x14ac:dyDescent="0.2">
      <c r="J35">
        <v>500</v>
      </c>
      <c r="K35">
        <v>800</v>
      </c>
      <c r="L35">
        <f>PI()/4*K35^2*J35*1.5*J18</f>
        <v>2959.3802796815849</v>
      </c>
    </row>
    <row r="38" spans="8:14" x14ac:dyDescent="0.2">
      <c r="J38">
        <v>1500</v>
      </c>
      <c r="K38">
        <v>100</v>
      </c>
      <c r="L38">
        <f>PI()/4*J38^2*K38*J18*1.5</f>
        <v>2080.8142591511141</v>
      </c>
      <c r="M38" t="s">
        <v>173</v>
      </c>
    </row>
    <row r="41" spans="8:14" x14ac:dyDescent="0.2">
      <c r="H41">
        <v>200</v>
      </c>
      <c r="I41">
        <v>10</v>
      </c>
      <c r="J41">
        <v>5000</v>
      </c>
      <c r="K41">
        <v>10000</v>
      </c>
      <c r="L41">
        <f>4*H41*I41*(J41+K41)*2*3*J18</f>
        <v>5652</v>
      </c>
      <c r="M41">
        <f>L41/J18/I41</f>
        <v>72000000</v>
      </c>
      <c r="N41">
        <f>M41/1000/1000</f>
        <v>72</v>
      </c>
    </row>
    <row r="43" spans="8:14" x14ac:dyDescent="0.2">
      <c r="H43">
        <v>2000</v>
      </c>
      <c r="I43">
        <v>1500</v>
      </c>
      <c r="J43">
        <v>40</v>
      </c>
      <c r="K43">
        <f>2*H43*I43*J43*J18*2</f>
        <v>3767.9999999999995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1"/>
  <sheetViews>
    <sheetView zoomScaleNormal="100" zoomScaleSheetLayoutView="100" workbookViewId="0">
      <selection activeCell="A25" sqref="A25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</cols>
  <sheetData>
    <row r="1" spans="1:14" x14ac:dyDescent="0.2">
      <c r="A1" s="17" t="s">
        <v>0</v>
      </c>
      <c r="B1" s="1"/>
      <c r="C1" s="1" t="s">
        <v>64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41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41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54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40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81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80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41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29600</v>
      </c>
    </row>
    <row r="14" spans="1:14" x14ac:dyDescent="0.2">
      <c r="A14" s="32">
        <v>1</v>
      </c>
      <c r="B14" t="s">
        <v>13</v>
      </c>
      <c r="H14">
        <v>80</v>
      </c>
      <c r="I14" t="s">
        <v>9</v>
      </c>
      <c r="J14" s="27">
        <v>100</v>
      </c>
      <c r="L14" s="28">
        <f t="shared" ref="L14:L16" si="0">H14*J14</f>
        <v>8000</v>
      </c>
      <c r="M14" s="28">
        <f>A14*L14</f>
        <v>8000</v>
      </c>
      <c r="N14" s="25"/>
    </row>
    <row r="15" spans="1:14" x14ac:dyDescent="0.2">
      <c r="A15" s="32">
        <v>1</v>
      </c>
      <c r="B15" t="s">
        <v>11</v>
      </c>
      <c r="H15">
        <v>160</v>
      </c>
      <c r="I15" t="s">
        <v>9</v>
      </c>
      <c r="J15" s="27">
        <v>90</v>
      </c>
      <c r="L15" s="28">
        <f t="shared" si="0"/>
        <v>14400</v>
      </c>
      <c r="M15" s="28">
        <f>A15*L15</f>
        <v>14400</v>
      </c>
      <c r="N15" s="25"/>
    </row>
    <row r="16" spans="1:14" x14ac:dyDescent="0.2">
      <c r="A16" s="32">
        <v>1</v>
      </c>
      <c r="B16" t="s">
        <v>12</v>
      </c>
      <c r="H16"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4" x14ac:dyDescent="0.2">
      <c r="A17" s="32"/>
      <c r="N17" s="25"/>
    </row>
    <row r="18" spans="1:14" x14ac:dyDescent="0.2">
      <c r="A18" s="33"/>
      <c r="B18" s="10" t="s">
        <v>70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26">
        <f>SUM(M19:M19)</f>
        <v>0</v>
      </c>
    </row>
    <row r="19" spans="1:14" x14ac:dyDescent="0.2">
      <c r="A19" s="32"/>
      <c r="B19" t="s">
        <v>87</v>
      </c>
      <c r="L19" s="38">
        <v>0</v>
      </c>
      <c r="M19" s="38">
        <f t="shared" ref="M19" si="1">A19*L19</f>
        <v>0</v>
      </c>
      <c r="N19" s="25"/>
    </row>
    <row r="20" spans="1:14" x14ac:dyDescent="0.2">
      <c r="A20" s="33"/>
      <c r="B20" s="10" t="s">
        <v>74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29"/>
      <c r="N20" s="26">
        <f>SUM(M21:M23)</f>
        <v>118000</v>
      </c>
    </row>
    <row r="21" spans="1:14" x14ac:dyDescent="0.2">
      <c r="A21" s="32">
        <v>2</v>
      </c>
      <c r="B21" t="s">
        <v>75</v>
      </c>
      <c r="H21">
        <v>1</v>
      </c>
      <c r="J21" s="27">
        <v>30000</v>
      </c>
      <c r="L21" s="28">
        <f t="shared" ref="L21:L24" si="2">H21*J21</f>
        <v>30000</v>
      </c>
      <c r="M21" s="28">
        <f t="shared" ref="M21:M24" si="3">A21*L21</f>
        <v>60000</v>
      </c>
      <c r="N21" s="25"/>
    </row>
    <row r="22" spans="1:14" x14ac:dyDescent="0.2">
      <c r="A22" s="32">
        <v>2</v>
      </c>
      <c r="B22" t="s">
        <v>76</v>
      </c>
      <c r="H22">
        <v>1</v>
      </c>
      <c r="J22" s="27">
        <v>25000</v>
      </c>
      <c r="L22" s="28">
        <f t="shared" si="2"/>
        <v>25000</v>
      </c>
      <c r="M22" s="28">
        <f t="shared" si="3"/>
        <v>50000</v>
      </c>
      <c r="N22" s="25"/>
    </row>
    <row r="23" spans="1:14" x14ac:dyDescent="0.2">
      <c r="A23" s="32">
        <v>2</v>
      </c>
      <c r="B23" t="s">
        <v>38</v>
      </c>
      <c r="H23">
        <v>1</v>
      </c>
      <c r="J23" s="27">
        <v>4000</v>
      </c>
      <c r="L23" s="28">
        <f t="shared" si="2"/>
        <v>4000</v>
      </c>
      <c r="M23" s="28">
        <f t="shared" si="3"/>
        <v>8000</v>
      </c>
      <c r="N23" s="25"/>
    </row>
    <row r="24" spans="1:14" x14ac:dyDescent="0.2">
      <c r="A24" s="32">
        <v>2</v>
      </c>
      <c r="B24" t="s">
        <v>77</v>
      </c>
      <c r="H24">
        <v>80</v>
      </c>
      <c r="I24" t="s">
        <v>9</v>
      </c>
      <c r="J24" s="27">
        <v>75</v>
      </c>
      <c r="L24" s="28">
        <f t="shared" si="2"/>
        <v>6000</v>
      </c>
      <c r="M24" s="28">
        <f t="shared" si="3"/>
        <v>12000</v>
      </c>
      <c r="N24" s="25"/>
    </row>
    <row r="25" spans="1:14" x14ac:dyDescent="0.2">
      <c r="A25" s="33"/>
      <c r="B25" s="10" t="s">
        <v>66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26">
        <f>SUM(M26:M28)</f>
        <v>1950</v>
      </c>
    </row>
    <row r="26" spans="1:14" x14ac:dyDescent="0.2">
      <c r="A26" s="32">
        <v>1</v>
      </c>
      <c r="B26" t="s">
        <v>67</v>
      </c>
      <c r="H26">
        <v>16</v>
      </c>
      <c r="I26" t="s">
        <v>9</v>
      </c>
      <c r="J26" s="27">
        <v>75</v>
      </c>
      <c r="L26" s="28">
        <f t="shared" ref="L26:L28" si="4">H26*J26</f>
        <v>1200</v>
      </c>
      <c r="M26" s="28">
        <f t="shared" ref="M26:M28" si="5">A26*L26</f>
        <v>1200</v>
      </c>
      <c r="N26" s="25"/>
    </row>
    <row r="27" spans="1:14" x14ac:dyDescent="0.2">
      <c r="A27" s="32">
        <v>1</v>
      </c>
      <c r="B27" t="s">
        <v>66</v>
      </c>
      <c r="H27">
        <v>2</v>
      </c>
      <c r="I27" t="s">
        <v>9</v>
      </c>
      <c r="J27" s="27">
        <v>75</v>
      </c>
      <c r="L27" s="28">
        <f t="shared" si="4"/>
        <v>150</v>
      </c>
      <c r="M27" s="28">
        <f t="shared" si="5"/>
        <v>150</v>
      </c>
      <c r="N27" s="25"/>
    </row>
    <row r="28" spans="1:14" x14ac:dyDescent="0.2">
      <c r="A28" s="32">
        <v>1</v>
      </c>
      <c r="B28" t="s">
        <v>68</v>
      </c>
      <c r="H28">
        <v>8</v>
      </c>
      <c r="I28" t="s">
        <v>9</v>
      </c>
      <c r="J28" s="40">
        <v>75</v>
      </c>
      <c r="L28" s="38">
        <f t="shared" si="4"/>
        <v>600</v>
      </c>
      <c r="M28" s="38">
        <f t="shared" si="5"/>
        <v>600</v>
      </c>
      <c r="N28" s="25"/>
    </row>
    <row r="29" spans="1:14" x14ac:dyDescent="0.2">
      <c r="A29" s="33"/>
      <c r="B29" s="10" t="s">
        <v>22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30">
        <f>SUM(M13:M28)</f>
        <v>161550</v>
      </c>
      <c r="N29" s="31">
        <f>SUM(N13:N28)</f>
        <v>149550</v>
      </c>
    </row>
    <row r="30" spans="1:14" x14ac:dyDescent="0.2">
      <c r="A30" s="33"/>
      <c r="B30" s="10"/>
      <c r="C30" s="9"/>
      <c r="D30" s="9"/>
      <c r="E30" s="9"/>
      <c r="F30" s="30"/>
      <c r="G30" s="10"/>
      <c r="H30" s="9"/>
      <c r="I30" s="9"/>
      <c r="J30" s="30"/>
      <c r="K30" s="9"/>
      <c r="L30" s="9"/>
      <c r="M30" s="34"/>
      <c r="N30" s="31"/>
    </row>
    <row r="31" spans="1:14" x14ac:dyDescent="0.2">
      <c r="A31" s="37"/>
      <c r="B31" s="15" t="s">
        <v>42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35"/>
    </row>
    <row r="32" spans="1:14" hidden="1" x14ac:dyDescent="0.2"/>
    <row r="33" spans="1:14" hidden="1" x14ac:dyDescent="0.2">
      <c r="A33" s="16"/>
      <c r="B33" s="10" t="s">
        <v>26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1">
        <f>SUM(M34:M36)</f>
        <v>64620</v>
      </c>
    </row>
    <row r="34" spans="1:14" hidden="1" x14ac:dyDescent="0.2">
      <c r="B34" t="s">
        <v>24</v>
      </c>
      <c r="K34" s="8">
        <v>0.1</v>
      </c>
      <c r="L34" s="7">
        <f>M29</f>
        <v>161550</v>
      </c>
      <c r="M34" s="7">
        <f>K34*L34</f>
        <v>16155</v>
      </c>
    </row>
    <row r="35" spans="1:14" hidden="1" x14ac:dyDescent="0.2">
      <c r="B35" t="s">
        <v>23</v>
      </c>
      <c r="K35" s="8">
        <v>0.15</v>
      </c>
      <c r="L35" s="7">
        <f>M29</f>
        <v>161550</v>
      </c>
      <c r="M35" s="7">
        <f>K35*L35</f>
        <v>24232.5</v>
      </c>
    </row>
    <row r="36" spans="1:14" hidden="1" x14ac:dyDescent="0.2">
      <c r="B36" t="s">
        <v>25</v>
      </c>
      <c r="K36" s="8">
        <v>0.15</v>
      </c>
      <c r="L36" s="7">
        <f>M29</f>
        <v>161550</v>
      </c>
      <c r="M36" s="7">
        <f>K36*L36</f>
        <v>24232.5</v>
      </c>
    </row>
    <row r="37" spans="1:14" hidden="1" x14ac:dyDescent="0.2"/>
    <row r="38" spans="1:14" hidden="1" x14ac:dyDescent="0.2">
      <c r="A38" s="16"/>
      <c r="B38" s="10" t="s">
        <v>27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1">
        <f>SUM(M29:M37)</f>
        <v>226170</v>
      </c>
      <c r="N38" s="11">
        <f>SUM(N29:N37)</f>
        <v>214170</v>
      </c>
    </row>
    <row r="39" spans="1:14" hidden="1" x14ac:dyDescent="0.2">
      <c r="B39" t="s">
        <v>28</v>
      </c>
      <c r="K39" s="8">
        <v>0.21</v>
      </c>
      <c r="L39" s="7">
        <f>M38</f>
        <v>226170</v>
      </c>
      <c r="M39" s="7">
        <f>K39*L39</f>
        <v>47495.7</v>
      </c>
      <c r="N39" s="7">
        <f>M39</f>
        <v>47495.7</v>
      </c>
    </row>
    <row r="40" spans="1:14" hidden="1" x14ac:dyDescent="0.2"/>
    <row r="41" spans="1:14" hidden="1" x14ac:dyDescent="0.2">
      <c r="A41" s="16"/>
      <c r="B41" s="10" t="s">
        <v>29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1">
        <f>SUM(M38:M40)</f>
        <v>273665.7</v>
      </c>
      <c r="N41" s="11">
        <f>SUM(N38:N40)</f>
        <v>261665.7</v>
      </c>
    </row>
  </sheetData>
  <printOptions gridLines="1"/>
  <pageMargins left="0.9055118110236221" right="0.31496062992125984" top="0.15748031496062992" bottom="0.35433070866141736" header="0" footer="0"/>
  <pageSetup paperSize="9" scale="67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6"/>
  <sheetViews>
    <sheetView zoomScaleNormal="100" zoomScaleSheetLayoutView="100" workbookViewId="0">
      <selection activeCell="A28" sqref="A28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</cols>
  <sheetData>
    <row r="1" spans="1:14" x14ac:dyDescent="0.2">
      <c r="A1" s="17" t="s">
        <v>0</v>
      </c>
      <c r="B1" s="1"/>
      <c r="C1" s="1" t="s">
        <v>64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41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41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54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40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82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65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41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48000</v>
      </c>
    </row>
    <row r="14" spans="1:14" x14ac:dyDescent="0.2">
      <c r="A14" s="32">
        <v>1</v>
      </c>
      <c r="B14" t="s">
        <v>13</v>
      </c>
      <c r="H14">
        <v>120</v>
      </c>
      <c r="I14" t="s">
        <v>9</v>
      </c>
      <c r="J14" s="27">
        <v>100</v>
      </c>
      <c r="L14" s="28">
        <f t="shared" ref="L14:L16" si="0">H14*J14</f>
        <v>12000</v>
      </c>
      <c r="M14" s="28">
        <f>A14*L14</f>
        <v>12000</v>
      </c>
      <c r="N14" s="25"/>
    </row>
    <row r="15" spans="1:14" x14ac:dyDescent="0.2">
      <c r="A15" s="32">
        <v>1</v>
      </c>
      <c r="B15" t="s">
        <v>11</v>
      </c>
      <c r="H15">
        <f>2*4*40</f>
        <v>320</v>
      </c>
      <c r="I15" t="s">
        <v>9</v>
      </c>
      <c r="J15" s="27">
        <v>90</v>
      </c>
      <c r="L15" s="28">
        <f t="shared" si="0"/>
        <v>28800</v>
      </c>
      <c r="M15" s="28">
        <f>A15*L15</f>
        <v>28800</v>
      </c>
      <c r="N15" s="25"/>
    </row>
    <row r="16" spans="1:14" x14ac:dyDescent="0.2">
      <c r="A16" s="32">
        <v>1</v>
      </c>
      <c r="B16" t="s">
        <v>12</v>
      </c>
      <c r="H16"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4" x14ac:dyDescent="0.2">
      <c r="A17" s="32"/>
      <c r="N17" s="25"/>
    </row>
    <row r="18" spans="1:14" x14ac:dyDescent="0.2">
      <c r="A18" s="33"/>
      <c r="B18" s="10" t="s">
        <v>63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26">
        <f>SUM(M19:M20)</f>
        <v>200000</v>
      </c>
    </row>
    <row r="19" spans="1:14" x14ac:dyDescent="0.2">
      <c r="A19" s="32">
        <v>2</v>
      </c>
      <c r="B19" t="s">
        <v>84</v>
      </c>
      <c r="L19" s="38">
        <v>40000</v>
      </c>
      <c r="M19" s="38">
        <f t="shared" ref="M19:M20" si="1">A19*L19</f>
        <v>80000</v>
      </c>
      <c r="N19" s="25"/>
    </row>
    <row r="20" spans="1:14" x14ac:dyDescent="0.2">
      <c r="A20" s="32">
        <v>2</v>
      </c>
      <c r="B20" t="s">
        <v>83</v>
      </c>
      <c r="L20" s="38">
        <v>60000</v>
      </c>
      <c r="M20" s="38">
        <f t="shared" si="1"/>
        <v>120000</v>
      </c>
      <c r="N20" s="25"/>
    </row>
    <row r="21" spans="1:14" x14ac:dyDescent="0.2">
      <c r="A21" s="33"/>
      <c r="B21" s="10" t="s">
        <v>58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26">
        <f>SUM(M22:M27)</f>
        <v>44360</v>
      </c>
    </row>
    <row r="22" spans="1:14" x14ac:dyDescent="0.2">
      <c r="A22" s="32">
        <v>2</v>
      </c>
      <c r="B22" t="s">
        <v>85</v>
      </c>
      <c r="H22">
        <f>40*2</f>
        <v>80</v>
      </c>
      <c r="I22" t="s">
        <v>9</v>
      </c>
      <c r="J22" s="27">
        <v>75</v>
      </c>
      <c r="L22" s="28">
        <f t="shared" ref="L22:L27" si="2">H22*J22</f>
        <v>6000</v>
      </c>
      <c r="M22" s="28">
        <f t="shared" ref="M22:M27" si="3">A22*L22</f>
        <v>12000</v>
      </c>
      <c r="N22" s="25"/>
    </row>
    <row r="23" spans="1:14" x14ac:dyDescent="0.2">
      <c r="A23" s="32">
        <v>2</v>
      </c>
      <c r="B23" t="s">
        <v>86</v>
      </c>
      <c r="H23">
        <f>40*2</f>
        <v>80</v>
      </c>
      <c r="I23" t="s">
        <v>9</v>
      </c>
      <c r="J23" s="40">
        <v>75</v>
      </c>
      <c r="L23" s="38">
        <f t="shared" si="2"/>
        <v>6000</v>
      </c>
      <c r="M23" s="38">
        <f t="shared" si="3"/>
        <v>12000</v>
      </c>
      <c r="N23" s="25"/>
    </row>
    <row r="24" spans="1:14" x14ac:dyDescent="0.2">
      <c r="A24" s="32">
        <v>2</v>
      </c>
      <c r="B24" t="s">
        <v>51</v>
      </c>
      <c r="H24">
        <v>40</v>
      </c>
      <c r="I24" t="s">
        <v>9</v>
      </c>
      <c r="J24" s="27">
        <v>75</v>
      </c>
      <c r="L24" s="28">
        <f t="shared" si="2"/>
        <v>3000</v>
      </c>
      <c r="M24" s="28">
        <f t="shared" si="3"/>
        <v>6000</v>
      </c>
      <c r="N24" s="25"/>
    </row>
    <row r="25" spans="1:14" x14ac:dyDescent="0.2">
      <c r="A25" s="32">
        <v>2</v>
      </c>
      <c r="B25" t="s">
        <v>20</v>
      </c>
      <c r="H25">
        <v>1</v>
      </c>
      <c r="I25" t="s">
        <v>14</v>
      </c>
      <c r="J25" s="27">
        <v>500</v>
      </c>
      <c r="L25" s="28">
        <f t="shared" si="2"/>
        <v>500</v>
      </c>
      <c r="M25" s="28">
        <f t="shared" si="3"/>
        <v>1000</v>
      </c>
      <c r="N25" s="25"/>
    </row>
    <row r="26" spans="1:14" x14ac:dyDescent="0.2">
      <c r="A26" s="32">
        <v>2</v>
      </c>
      <c r="B26" t="s">
        <v>15</v>
      </c>
      <c r="H26">
        <f>4*8</f>
        <v>32</v>
      </c>
      <c r="I26" t="s">
        <v>9</v>
      </c>
      <c r="J26" s="27">
        <v>190</v>
      </c>
      <c r="L26" s="28">
        <f t="shared" si="2"/>
        <v>6080</v>
      </c>
      <c r="M26" s="28">
        <f t="shared" si="3"/>
        <v>12160</v>
      </c>
      <c r="N26" s="25"/>
    </row>
    <row r="27" spans="1:14" x14ac:dyDescent="0.2">
      <c r="A27" s="32">
        <v>2</v>
      </c>
      <c r="B27" t="s">
        <v>21</v>
      </c>
      <c r="H27">
        <v>8</v>
      </c>
      <c r="I27" t="s">
        <v>9</v>
      </c>
      <c r="J27" s="27">
        <v>75</v>
      </c>
      <c r="L27" s="28">
        <f t="shared" si="2"/>
        <v>600</v>
      </c>
      <c r="M27" s="28">
        <f t="shared" si="3"/>
        <v>1200</v>
      </c>
      <c r="N27" s="25"/>
    </row>
    <row r="28" spans="1:14" x14ac:dyDescent="0.2">
      <c r="A28" s="33"/>
      <c r="B28" s="10" t="s">
        <v>66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26">
        <f>SUM(M29:M32)</f>
        <v>7950</v>
      </c>
    </row>
    <row r="29" spans="1:14" x14ac:dyDescent="0.2">
      <c r="A29" s="32">
        <v>1</v>
      </c>
      <c r="B29" t="s">
        <v>67</v>
      </c>
      <c r="H29">
        <v>16</v>
      </c>
      <c r="I29" t="s">
        <v>9</v>
      </c>
      <c r="J29" s="27">
        <v>75</v>
      </c>
      <c r="L29" s="28">
        <f t="shared" ref="L29:L32" si="4">H29*J29</f>
        <v>1200</v>
      </c>
      <c r="M29" s="28">
        <f t="shared" ref="M29:M32" si="5">A29*L29</f>
        <v>1200</v>
      </c>
      <c r="N29" s="25"/>
    </row>
    <row r="30" spans="1:14" x14ac:dyDescent="0.2">
      <c r="A30" s="32">
        <v>1</v>
      </c>
      <c r="B30" t="s">
        <v>66</v>
      </c>
      <c r="H30">
        <v>2</v>
      </c>
      <c r="I30" t="s">
        <v>9</v>
      </c>
      <c r="J30" s="27">
        <v>75</v>
      </c>
      <c r="L30" s="28">
        <f t="shared" si="4"/>
        <v>150</v>
      </c>
      <c r="M30" s="28">
        <f t="shared" si="5"/>
        <v>150</v>
      </c>
      <c r="N30" s="25"/>
    </row>
    <row r="31" spans="1:14" x14ac:dyDescent="0.2">
      <c r="A31" s="32">
        <v>1</v>
      </c>
      <c r="B31" t="s">
        <v>68</v>
      </c>
      <c r="H31">
        <v>8</v>
      </c>
      <c r="I31" t="s">
        <v>9</v>
      </c>
      <c r="J31" s="40">
        <v>75</v>
      </c>
      <c r="L31" s="38">
        <f t="shared" si="4"/>
        <v>600</v>
      </c>
      <c r="M31" s="38">
        <f t="shared" si="5"/>
        <v>600</v>
      </c>
      <c r="N31" s="25"/>
    </row>
    <row r="32" spans="1:14" x14ac:dyDescent="0.2">
      <c r="A32" s="32">
        <v>1</v>
      </c>
      <c r="B32" t="s">
        <v>69</v>
      </c>
      <c r="H32">
        <v>1</v>
      </c>
      <c r="I32" t="s">
        <v>14</v>
      </c>
      <c r="J32" s="27">
        <v>6000</v>
      </c>
      <c r="L32" s="38">
        <f t="shared" si="4"/>
        <v>6000</v>
      </c>
      <c r="M32" s="28">
        <f t="shared" si="5"/>
        <v>6000</v>
      </c>
      <c r="N32" s="25"/>
    </row>
    <row r="33" spans="1:14" x14ac:dyDescent="0.2">
      <c r="A33" s="32"/>
      <c r="N33" s="25"/>
    </row>
    <row r="34" spans="1:14" x14ac:dyDescent="0.2">
      <c r="A34" s="33"/>
      <c r="B34" s="10" t="s">
        <v>22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30">
        <f>SUM(M13:M33)</f>
        <v>300310</v>
      </c>
      <c r="N34" s="31">
        <f>SUM(N13:N33)</f>
        <v>300310</v>
      </c>
    </row>
    <row r="35" spans="1:14" x14ac:dyDescent="0.2">
      <c r="A35" s="33"/>
      <c r="B35" s="10"/>
      <c r="C35" s="9"/>
      <c r="D35" s="9"/>
      <c r="E35" s="9"/>
      <c r="F35" s="30"/>
      <c r="G35" s="10"/>
      <c r="H35" s="9"/>
      <c r="I35" s="9"/>
      <c r="J35" s="30"/>
      <c r="K35" s="9"/>
      <c r="L35" s="9"/>
      <c r="M35" s="34"/>
      <c r="N35" s="31"/>
    </row>
    <row r="36" spans="1:14" x14ac:dyDescent="0.2">
      <c r="A36" s="37"/>
      <c r="B36" s="15" t="s">
        <v>42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35"/>
    </row>
    <row r="37" spans="1:14" hidden="1" x14ac:dyDescent="0.2"/>
    <row r="38" spans="1:14" hidden="1" x14ac:dyDescent="0.2">
      <c r="A38" s="16"/>
      <c r="B38" s="10" t="s">
        <v>26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1">
        <f>SUM(M39:M41)</f>
        <v>120124</v>
      </c>
    </row>
    <row r="39" spans="1:14" hidden="1" x14ac:dyDescent="0.2">
      <c r="B39" t="s">
        <v>24</v>
      </c>
      <c r="K39" s="8">
        <v>0.1</v>
      </c>
      <c r="L39" s="7">
        <f>M34</f>
        <v>300310</v>
      </c>
      <c r="M39" s="7">
        <f>K39*L39</f>
        <v>30031</v>
      </c>
    </row>
    <row r="40" spans="1:14" hidden="1" x14ac:dyDescent="0.2">
      <c r="B40" t="s">
        <v>23</v>
      </c>
      <c r="K40" s="8">
        <v>0.15</v>
      </c>
      <c r="L40" s="7">
        <f>M34</f>
        <v>300310</v>
      </c>
      <c r="M40" s="7">
        <f>K40*L40</f>
        <v>45046.5</v>
      </c>
    </row>
    <row r="41" spans="1:14" hidden="1" x14ac:dyDescent="0.2">
      <c r="B41" t="s">
        <v>25</v>
      </c>
      <c r="K41" s="8">
        <v>0.15</v>
      </c>
      <c r="L41" s="7">
        <f>M34</f>
        <v>300310</v>
      </c>
      <c r="M41" s="7">
        <f>K41*L41</f>
        <v>45046.5</v>
      </c>
    </row>
    <row r="42" spans="1:14" hidden="1" x14ac:dyDescent="0.2"/>
    <row r="43" spans="1:14" hidden="1" x14ac:dyDescent="0.2">
      <c r="A43" s="16"/>
      <c r="B43" s="10" t="s">
        <v>27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1">
        <f>SUM(M34:M42)</f>
        <v>420434</v>
      </c>
      <c r="N43" s="11">
        <f>SUM(N34:N42)</f>
        <v>420434</v>
      </c>
    </row>
    <row r="44" spans="1:14" hidden="1" x14ac:dyDescent="0.2">
      <c r="B44" t="s">
        <v>28</v>
      </c>
      <c r="K44" s="8">
        <v>0.21</v>
      </c>
      <c r="L44" s="7">
        <f>M43</f>
        <v>420434</v>
      </c>
      <c r="M44" s="7">
        <f>K44*L44</f>
        <v>88291.14</v>
      </c>
      <c r="N44" s="7">
        <f>M44</f>
        <v>88291.14</v>
      </c>
    </row>
    <row r="45" spans="1:14" hidden="1" x14ac:dyDescent="0.2"/>
    <row r="46" spans="1:14" hidden="1" x14ac:dyDescent="0.2">
      <c r="A46" s="16"/>
      <c r="B46" s="10" t="s">
        <v>29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1">
        <f>SUM(M43:M45)</f>
        <v>508725.14</v>
      </c>
      <c r="N46" s="11">
        <f>SUM(N43:N45)</f>
        <v>508725.14</v>
      </c>
    </row>
  </sheetData>
  <printOptions gridLines="1"/>
  <pageMargins left="0.9055118110236221" right="0.31496062992125984" top="0.15748031496062992" bottom="0.35433070866141736" header="0" footer="0"/>
  <pageSetup paperSize="9" scale="67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68"/>
  <sheetViews>
    <sheetView topLeftCell="A21" zoomScaleNormal="100" zoomScaleSheetLayoutView="100" workbookViewId="0">
      <selection activeCell="L21" sqref="L21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</cols>
  <sheetData>
    <row r="1" spans="1:14" x14ac:dyDescent="0.2">
      <c r="A1" s="17" t="s">
        <v>0</v>
      </c>
      <c r="B1" s="1"/>
      <c r="C1" s="1" t="s">
        <v>64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41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41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54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40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81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65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95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48000</v>
      </c>
    </row>
    <row r="14" spans="1:14" x14ac:dyDescent="0.2">
      <c r="A14" s="32">
        <v>1</v>
      </c>
      <c r="B14" t="s">
        <v>13</v>
      </c>
      <c r="H14">
        <v>120</v>
      </c>
      <c r="I14" t="s">
        <v>9</v>
      </c>
      <c r="J14" s="27">
        <v>100</v>
      </c>
      <c r="L14" s="28">
        <f t="shared" ref="L14:L16" si="0">H14*J14</f>
        <v>12000</v>
      </c>
      <c r="M14" s="28">
        <f>A14*L14</f>
        <v>12000</v>
      </c>
      <c r="N14" s="25"/>
    </row>
    <row r="15" spans="1:14" x14ac:dyDescent="0.2">
      <c r="A15" s="32">
        <v>1</v>
      </c>
      <c r="B15" t="s">
        <v>11</v>
      </c>
      <c r="H15">
        <f>2*4*40</f>
        <v>320</v>
      </c>
      <c r="I15" t="s">
        <v>9</v>
      </c>
      <c r="J15" s="27">
        <v>90</v>
      </c>
      <c r="L15" s="28">
        <f t="shared" si="0"/>
        <v>28800</v>
      </c>
      <c r="M15" s="28">
        <f>A15*L15</f>
        <v>28800</v>
      </c>
      <c r="N15" s="25"/>
    </row>
    <row r="16" spans="1:14" x14ac:dyDescent="0.2">
      <c r="A16" s="32">
        <v>1</v>
      </c>
      <c r="B16" t="s">
        <v>12</v>
      </c>
      <c r="H16"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4" x14ac:dyDescent="0.2">
      <c r="A17" s="32"/>
      <c r="N17" s="25"/>
    </row>
    <row r="18" spans="1:14" x14ac:dyDescent="0.2">
      <c r="A18" s="33"/>
      <c r="B18" s="10" t="s">
        <v>63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26">
        <f>SUM(M19:M29)</f>
        <v>178000</v>
      </c>
    </row>
    <row r="19" spans="1:14" x14ac:dyDescent="0.2">
      <c r="A19" s="32">
        <v>1</v>
      </c>
      <c r="B19" t="s">
        <v>43</v>
      </c>
      <c r="L19" s="38">
        <v>40000</v>
      </c>
      <c r="M19" s="38">
        <f t="shared" ref="M19:M29" si="1">A19*L19</f>
        <v>40000</v>
      </c>
      <c r="N19" s="25"/>
    </row>
    <row r="20" spans="1:14" x14ac:dyDescent="0.2">
      <c r="A20" s="32">
        <v>2</v>
      </c>
      <c r="B20" t="s">
        <v>44</v>
      </c>
      <c r="L20" s="38">
        <v>30000</v>
      </c>
      <c r="M20" s="38">
        <f t="shared" si="1"/>
        <v>60000</v>
      </c>
      <c r="N20" s="25"/>
    </row>
    <row r="21" spans="1:14" x14ac:dyDescent="0.2">
      <c r="A21" s="32">
        <v>1</v>
      </c>
      <c r="B21" t="s">
        <v>45</v>
      </c>
      <c r="L21" s="38">
        <v>15000</v>
      </c>
      <c r="M21" s="38">
        <f t="shared" si="1"/>
        <v>15000</v>
      </c>
      <c r="N21" s="25"/>
    </row>
    <row r="22" spans="1:14" x14ac:dyDescent="0.2">
      <c r="A22" s="32">
        <v>1</v>
      </c>
      <c r="B22" t="s">
        <v>46</v>
      </c>
      <c r="L22" s="38">
        <v>5000</v>
      </c>
      <c r="M22" s="38">
        <f t="shared" si="1"/>
        <v>5000</v>
      </c>
      <c r="N22" s="25"/>
    </row>
    <row r="23" spans="1:14" x14ac:dyDescent="0.2">
      <c r="A23" s="32">
        <v>1</v>
      </c>
      <c r="B23" t="s">
        <v>47</v>
      </c>
      <c r="L23" s="38">
        <v>3000</v>
      </c>
      <c r="M23" s="38">
        <f t="shared" si="1"/>
        <v>3000</v>
      </c>
      <c r="N23" s="25"/>
    </row>
    <row r="24" spans="1:14" x14ac:dyDescent="0.2">
      <c r="A24" s="32">
        <v>2</v>
      </c>
      <c r="B24" t="s">
        <v>53</v>
      </c>
      <c r="L24" s="38">
        <v>1000</v>
      </c>
      <c r="M24" s="38">
        <f t="shared" si="1"/>
        <v>2000</v>
      </c>
      <c r="N24" s="25"/>
    </row>
    <row r="25" spans="1:14" x14ac:dyDescent="0.2">
      <c r="A25" s="32">
        <v>1</v>
      </c>
      <c r="B25" t="s">
        <v>49</v>
      </c>
      <c r="L25" s="38">
        <v>1000</v>
      </c>
      <c r="M25" s="38">
        <f t="shared" si="1"/>
        <v>1000</v>
      </c>
      <c r="N25" s="25"/>
    </row>
    <row r="26" spans="1:14" x14ac:dyDescent="0.2">
      <c r="A26" s="32">
        <v>1</v>
      </c>
      <c r="B26" t="s">
        <v>10</v>
      </c>
      <c r="L26" s="38">
        <v>2000</v>
      </c>
      <c r="M26" s="38">
        <f t="shared" si="1"/>
        <v>2000</v>
      </c>
      <c r="N26" s="25"/>
    </row>
    <row r="27" spans="1:14" x14ac:dyDescent="0.2">
      <c r="A27" s="32">
        <v>1</v>
      </c>
      <c r="B27" t="s">
        <v>48</v>
      </c>
      <c r="L27" s="38">
        <v>7000</v>
      </c>
      <c r="M27" s="38">
        <f t="shared" si="1"/>
        <v>7000</v>
      </c>
      <c r="N27" s="25"/>
    </row>
    <row r="28" spans="1:14" x14ac:dyDescent="0.2">
      <c r="A28" s="32">
        <v>1</v>
      </c>
      <c r="B28" t="s">
        <v>37</v>
      </c>
      <c r="L28" s="38">
        <v>7000</v>
      </c>
      <c r="M28" s="38">
        <f t="shared" si="1"/>
        <v>7000</v>
      </c>
      <c r="N28" s="25"/>
    </row>
    <row r="29" spans="1:14" x14ac:dyDescent="0.2">
      <c r="A29" s="32">
        <v>2</v>
      </c>
      <c r="B29" t="s">
        <v>59</v>
      </c>
      <c r="L29" s="38">
        <v>18000</v>
      </c>
      <c r="M29" s="38">
        <f t="shared" si="1"/>
        <v>36000</v>
      </c>
      <c r="N29" s="25"/>
    </row>
    <row r="30" spans="1:14" x14ac:dyDescent="0.2">
      <c r="A30" s="32"/>
      <c r="J30" s="40"/>
      <c r="N30" s="25"/>
    </row>
    <row r="31" spans="1:14" x14ac:dyDescent="0.2">
      <c r="A31" s="33"/>
      <c r="B31" s="10" t="s">
        <v>55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29"/>
      <c r="N31" s="26">
        <f>SUM(M32:M35)</f>
        <v>5760</v>
      </c>
    </row>
    <row r="32" spans="1:14" x14ac:dyDescent="0.2">
      <c r="A32" s="32">
        <v>1</v>
      </c>
      <c r="B32" t="s">
        <v>18</v>
      </c>
      <c r="H32">
        <v>40</v>
      </c>
      <c r="I32" t="s">
        <v>9</v>
      </c>
      <c r="J32" s="27">
        <v>75</v>
      </c>
      <c r="L32" s="28">
        <f t="shared" ref="L32:L35" si="2">H32*J32</f>
        <v>3000</v>
      </c>
      <c r="M32" s="28">
        <f t="shared" ref="M32:M35" si="3">A32*L32</f>
        <v>3000</v>
      </c>
      <c r="N32" s="25"/>
    </row>
    <row r="33" spans="1:14" x14ac:dyDescent="0.2">
      <c r="A33" s="32">
        <v>1</v>
      </c>
      <c r="B33" t="s">
        <v>56</v>
      </c>
      <c r="H33">
        <v>1</v>
      </c>
      <c r="I33" t="s">
        <v>16</v>
      </c>
      <c r="J33" s="27">
        <v>1000</v>
      </c>
      <c r="L33" s="28">
        <f t="shared" si="2"/>
        <v>1000</v>
      </c>
      <c r="M33" s="28">
        <f t="shared" si="3"/>
        <v>1000</v>
      </c>
      <c r="N33" s="25"/>
    </row>
    <row r="34" spans="1:14" x14ac:dyDescent="0.2">
      <c r="A34" s="32">
        <v>1</v>
      </c>
      <c r="B34" t="s">
        <v>17</v>
      </c>
      <c r="H34">
        <v>8</v>
      </c>
      <c r="I34" t="s">
        <v>9</v>
      </c>
      <c r="J34" s="27">
        <v>70</v>
      </c>
      <c r="L34" s="28">
        <f t="shared" si="2"/>
        <v>560</v>
      </c>
      <c r="M34" s="28">
        <f t="shared" si="3"/>
        <v>560</v>
      </c>
      <c r="N34" s="25"/>
    </row>
    <row r="35" spans="1:14" x14ac:dyDescent="0.2">
      <c r="A35" s="32">
        <v>1</v>
      </c>
      <c r="B35" t="s">
        <v>19</v>
      </c>
      <c r="H35">
        <v>16</v>
      </c>
      <c r="I35" t="s">
        <v>9</v>
      </c>
      <c r="J35" s="27">
        <v>75</v>
      </c>
      <c r="L35" s="28">
        <f t="shared" si="2"/>
        <v>1200</v>
      </c>
      <c r="M35" s="28">
        <f t="shared" si="3"/>
        <v>1200</v>
      </c>
      <c r="N35" s="25"/>
    </row>
    <row r="36" spans="1:14" x14ac:dyDescent="0.2">
      <c r="A36" s="33"/>
      <c r="B36" s="10" t="s">
        <v>58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26">
        <f>SUM(M37:M43)</f>
        <v>21560</v>
      </c>
    </row>
    <row r="37" spans="1:14" x14ac:dyDescent="0.2">
      <c r="A37" s="32">
        <v>2</v>
      </c>
      <c r="B37" t="s">
        <v>60</v>
      </c>
      <c r="H37">
        <v>16</v>
      </c>
      <c r="I37" t="s">
        <v>9</v>
      </c>
      <c r="J37" s="27">
        <v>75</v>
      </c>
      <c r="L37" s="28">
        <f t="shared" ref="L37:L43" si="4">H37*J37</f>
        <v>1200</v>
      </c>
      <c r="M37" s="28">
        <f t="shared" ref="M37:M43" si="5">A37*L37</f>
        <v>2400</v>
      </c>
      <c r="N37" s="25"/>
    </row>
    <row r="38" spans="1:14" x14ac:dyDescent="0.2">
      <c r="A38" s="32">
        <v>2</v>
      </c>
      <c r="B38" t="s">
        <v>50</v>
      </c>
      <c r="H38">
        <v>16</v>
      </c>
      <c r="I38" t="s">
        <v>9</v>
      </c>
      <c r="J38" s="40">
        <v>75</v>
      </c>
      <c r="L38" s="38">
        <f t="shared" si="4"/>
        <v>1200</v>
      </c>
      <c r="M38" s="38">
        <f t="shared" si="5"/>
        <v>2400</v>
      </c>
      <c r="N38" s="25"/>
    </row>
    <row r="39" spans="1:14" x14ac:dyDescent="0.2">
      <c r="A39" s="32">
        <v>1</v>
      </c>
      <c r="B39" t="s">
        <v>52</v>
      </c>
      <c r="H39">
        <v>80</v>
      </c>
      <c r="I39" t="s">
        <v>9</v>
      </c>
      <c r="J39" s="27">
        <v>85</v>
      </c>
      <c r="L39" s="28">
        <f t="shared" si="4"/>
        <v>6800</v>
      </c>
      <c r="M39" s="28">
        <f t="shared" si="5"/>
        <v>6800</v>
      </c>
      <c r="N39" s="25"/>
    </row>
    <row r="40" spans="1:14" x14ac:dyDescent="0.2">
      <c r="A40" s="32">
        <v>1</v>
      </c>
      <c r="B40" t="s">
        <v>51</v>
      </c>
      <c r="H40">
        <v>40</v>
      </c>
      <c r="I40" t="s">
        <v>9</v>
      </c>
      <c r="J40" s="27">
        <v>75</v>
      </c>
      <c r="L40" s="28">
        <f t="shared" si="4"/>
        <v>3000</v>
      </c>
      <c r="M40" s="28">
        <f t="shared" si="5"/>
        <v>3000</v>
      </c>
      <c r="N40" s="25"/>
    </row>
    <row r="41" spans="1:14" x14ac:dyDescent="0.2">
      <c r="A41" s="32">
        <v>2</v>
      </c>
      <c r="B41" t="s">
        <v>15</v>
      </c>
      <c r="H41">
        <v>8</v>
      </c>
      <c r="I41" t="s">
        <v>9</v>
      </c>
      <c r="J41" s="27">
        <v>190</v>
      </c>
      <c r="L41" s="28">
        <f t="shared" si="4"/>
        <v>1520</v>
      </c>
      <c r="M41" s="28">
        <f t="shared" si="5"/>
        <v>3040</v>
      </c>
      <c r="N41" s="25"/>
    </row>
    <row r="42" spans="1:14" x14ac:dyDescent="0.2">
      <c r="A42" s="32">
        <v>2</v>
      </c>
      <c r="B42" t="s">
        <v>61</v>
      </c>
      <c r="H42">
        <v>16</v>
      </c>
      <c r="I42" t="s">
        <v>9</v>
      </c>
      <c r="J42" s="27">
        <v>75</v>
      </c>
      <c r="L42" s="28">
        <f t="shared" si="4"/>
        <v>1200</v>
      </c>
      <c r="M42" s="28">
        <f t="shared" si="5"/>
        <v>2400</v>
      </c>
      <c r="N42" s="25"/>
    </row>
    <row r="43" spans="1:14" x14ac:dyDescent="0.2">
      <c r="A43" s="32">
        <v>1</v>
      </c>
      <c r="B43" t="s">
        <v>62</v>
      </c>
      <c r="H43">
        <v>8</v>
      </c>
      <c r="I43" t="s">
        <v>9</v>
      </c>
      <c r="J43" s="27">
        <v>190</v>
      </c>
      <c r="L43" s="28">
        <f t="shared" si="4"/>
        <v>1520</v>
      </c>
      <c r="M43" s="28">
        <f t="shared" si="5"/>
        <v>1520</v>
      </c>
      <c r="N43" s="25"/>
    </row>
    <row r="44" spans="1:14" x14ac:dyDescent="0.2">
      <c r="A44" s="33"/>
      <c r="B44" s="10" t="s">
        <v>66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26">
        <f>SUM(M45:M48)</f>
        <v>9000</v>
      </c>
    </row>
    <row r="45" spans="1:14" x14ac:dyDescent="0.2">
      <c r="A45" s="32">
        <v>1</v>
      </c>
      <c r="B45" t="s">
        <v>67</v>
      </c>
      <c r="H45">
        <v>16</v>
      </c>
      <c r="I45" t="s">
        <v>9</v>
      </c>
      <c r="J45" s="27">
        <v>75</v>
      </c>
      <c r="L45" s="28">
        <f t="shared" ref="L45:L48" si="6">H45*J45</f>
        <v>1200</v>
      </c>
      <c r="M45" s="28">
        <f t="shared" ref="M45:M48" si="7">A45*L45</f>
        <v>1200</v>
      </c>
      <c r="N45" s="25"/>
    </row>
    <row r="46" spans="1:14" x14ac:dyDescent="0.2">
      <c r="A46" s="32">
        <v>1</v>
      </c>
      <c r="B46" t="s">
        <v>66</v>
      </c>
      <c r="H46">
        <v>16</v>
      </c>
      <c r="I46" t="s">
        <v>9</v>
      </c>
      <c r="J46" s="27">
        <v>75</v>
      </c>
      <c r="L46" s="28">
        <f t="shared" si="6"/>
        <v>1200</v>
      </c>
      <c r="M46" s="28">
        <f t="shared" si="7"/>
        <v>1200</v>
      </c>
      <c r="N46" s="25"/>
    </row>
    <row r="47" spans="1:14" x14ac:dyDescent="0.2">
      <c r="A47" s="32">
        <v>1</v>
      </c>
      <c r="B47" t="s">
        <v>68</v>
      </c>
      <c r="H47">
        <v>8</v>
      </c>
      <c r="I47" t="s">
        <v>9</v>
      </c>
      <c r="J47" s="40">
        <v>75</v>
      </c>
      <c r="L47" s="38">
        <f t="shared" si="6"/>
        <v>600</v>
      </c>
      <c r="M47" s="38">
        <f t="shared" si="7"/>
        <v>600</v>
      </c>
      <c r="N47" s="25"/>
    </row>
    <row r="48" spans="1:14" x14ac:dyDescent="0.2">
      <c r="A48" s="32">
        <v>1</v>
      </c>
      <c r="B48" t="s">
        <v>69</v>
      </c>
      <c r="H48">
        <v>1</v>
      </c>
      <c r="I48" t="s">
        <v>14</v>
      </c>
      <c r="J48" s="27">
        <v>6000</v>
      </c>
      <c r="L48" s="38">
        <f t="shared" si="6"/>
        <v>6000</v>
      </c>
      <c r="M48" s="28">
        <f t="shared" si="7"/>
        <v>6000</v>
      </c>
      <c r="N48" s="25"/>
    </row>
    <row r="49" spans="1:14" x14ac:dyDescent="0.2">
      <c r="A49" s="32"/>
      <c r="N49" s="25"/>
    </row>
    <row r="50" spans="1:14" x14ac:dyDescent="0.2">
      <c r="A50" s="33"/>
      <c r="B50" s="10" t="s">
        <v>22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30">
        <f>SUM(M13:M49)</f>
        <v>262320</v>
      </c>
      <c r="N50" s="31">
        <f>SUM(N13:N49)</f>
        <v>262320</v>
      </c>
    </row>
    <row r="51" spans="1:14" x14ac:dyDescent="0.2">
      <c r="A51" s="33"/>
      <c r="B51" s="10"/>
      <c r="C51" s="9"/>
      <c r="D51" s="9"/>
      <c r="E51" s="9"/>
      <c r="F51" s="30"/>
      <c r="G51" s="10"/>
      <c r="H51" s="9"/>
      <c r="I51" s="9"/>
      <c r="J51" s="30"/>
      <c r="K51" s="9"/>
      <c r="L51" s="9"/>
      <c r="M51" s="34"/>
      <c r="N51" s="31"/>
    </row>
    <row r="52" spans="1:14" x14ac:dyDescent="0.2">
      <c r="A52" s="37"/>
      <c r="B52" s="15" t="s">
        <v>42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35"/>
    </row>
    <row r="53" spans="1:14" hidden="1" x14ac:dyDescent="0.2"/>
    <row r="54" spans="1:14" hidden="1" x14ac:dyDescent="0.2">
      <c r="A54" s="16"/>
      <c r="B54" s="10" t="s">
        <v>26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1">
        <f>SUM(M55:M57)</f>
        <v>104928</v>
      </c>
    </row>
    <row r="55" spans="1:14" hidden="1" x14ac:dyDescent="0.2">
      <c r="B55" t="s">
        <v>24</v>
      </c>
      <c r="K55" s="8">
        <v>0.1</v>
      </c>
      <c r="L55" s="7">
        <f>M50</f>
        <v>262320</v>
      </c>
      <c r="M55" s="7">
        <f>K55*L55</f>
        <v>26232</v>
      </c>
    </row>
    <row r="56" spans="1:14" hidden="1" x14ac:dyDescent="0.2">
      <c r="B56" t="s">
        <v>23</v>
      </c>
      <c r="K56" s="8">
        <v>0.15</v>
      </c>
      <c r="L56" s="7">
        <f>M50</f>
        <v>262320</v>
      </c>
      <c r="M56" s="7">
        <f>K56*L56</f>
        <v>39348</v>
      </c>
    </row>
    <row r="57" spans="1:14" hidden="1" x14ac:dyDescent="0.2">
      <c r="B57" t="s">
        <v>25</v>
      </c>
      <c r="K57" s="8">
        <v>0.15</v>
      </c>
      <c r="L57" s="7">
        <f>M50</f>
        <v>262320</v>
      </c>
      <c r="M57" s="7">
        <f>K57*L57</f>
        <v>39348</v>
      </c>
    </row>
    <row r="58" spans="1:14" hidden="1" x14ac:dyDescent="0.2"/>
    <row r="59" spans="1:14" hidden="1" x14ac:dyDescent="0.2">
      <c r="A59" s="16"/>
      <c r="B59" s="10" t="s">
        <v>27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1">
        <f>SUM(M50:M58)</f>
        <v>367248</v>
      </c>
      <c r="N59" s="11">
        <f>SUM(N50:N58)</f>
        <v>367248</v>
      </c>
    </row>
    <row r="60" spans="1:14" hidden="1" x14ac:dyDescent="0.2">
      <c r="B60" t="s">
        <v>28</v>
      </c>
      <c r="K60" s="8">
        <v>0.21</v>
      </c>
      <c r="L60" s="7">
        <f>M59</f>
        <v>367248</v>
      </c>
      <c r="M60" s="7">
        <f>K60*L60</f>
        <v>77122.080000000002</v>
      </c>
      <c r="N60" s="7">
        <f>M60</f>
        <v>77122.080000000002</v>
      </c>
    </row>
    <row r="61" spans="1:14" hidden="1" x14ac:dyDescent="0.2"/>
    <row r="62" spans="1:14" hidden="1" x14ac:dyDescent="0.2">
      <c r="A62" s="16"/>
      <c r="B62" s="10" t="s">
        <v>29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1">
        <f>SUM(M59:M61)</f>
        <v>444370.08</v>
      </c>
      <c r="N62" s="11">
        <f>SUM(N59:N61)</f>
        <v>444370.08</v>
      </c>
    </row>
    <row r="65" spans="8:8" x14ac:dyDescent="0.2">
      <c r="H65">
        <v>151000</v>
      </c>
    </row>
    <row r="66" spans="8:8" x14ac:dyDescent="0.2">
      <c r="H66">
        <v>1.03</v>
      </c>
    </row>
    <row r="67" spans="8:8" x14ac:dyDescent="0.2">
      <c r="H67">
        <v>5</v>
      </c>
    </row>
    <row r="68" spans="8:8" x14ac:dyDescent="0.2">
      <c r="H68">
        <f>H66^5*H65</f>
        <v>175050.38521929999</v>
      </c>
    </row>
  </sheetData>
  <printOptions gridLines="1"/>
  <pageMargins left="0.9055118110236221" right="0.31496062992125984" top="0.15748031496062992" bottom="0.35433070866141736" header="0" footer="0"/>
  <pageSetup paperSize="9" scale="67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46"/>
  <sheetViews>
    <sheetView zoomScaleNormal="100" zoomScaleSheetLayoutView="100" workbookViewId="0">
      <selection activeCell="L19" sqref="L19:L21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</cols>
  <sheetData>
    <row r="1" spans="1:14" x14ac:dyDescent="0.2">
      <c r="A1" s="17" t="s">
        <v>0</v>
      </c>
      <c r="B1" s="1"/>
      <c r="C1" s="1" t="s">
        <v>64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41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41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54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40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57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80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41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33600</v>
      </c>
    </row>
    <row r="14" spans="1:14" x14ac:dyDescent="0.2">
      <c r="A14" s="32">
        <v>1</v>
      </c>
      <c r="B14" t="s">
        <v>13</v>
      </c>
      <c r="H14">
        <v>120</v>
      </c>
      <c r="I14" t="s">
        <v>9</v>
      </c>
      <c r="J14" s="27">
        <v>100</v>
      </c>
      <c r="L14" s="28">
        <f t="shared" ref="L14:L16" si="0">H14*J14</f>
        <v>12000</v>
      </c>
      <c r="M14" s="28">
        <f>A14*L14</f>
        <v>12000</v>
      </c>
      <c r="N14" s="25"/>
    </row>
    <row r="15" spans="1:14" x14ac:dyDescent="0.2">
      <c r="A15" s="32">
        <v>1</v>
      </c>
      <c r="B15" t="s">
        <v>11</v>
      </c>
      <c r="H15">
        <v>160</v>
      </c>
      <c r="I15" t="s">
        <v>9</v>
      </c>
      <c r="J15" s="27">
        <v>90</v>
      </c>
      <c r="L15" s="28">
        <f t="shared" si="0"/>
        <v>14400</v>
      </c>
      <c r="M15" s="28">
        <f>A15*L15</f>
        <v>14400</v>
      </c>
      <c r="N15" s="25"/>
    </row>
    <row r="16" spans="1:14" x14ac:dyDescent="0.2">
      <c r="A16" s="32">
        <v>1</v>
      </c>
      <c r="B16" t="s">
        <v>12</v>
      </c>
      <c r="H16"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4" x14ac:dyDescent="0.2">
      <c r="A17" s="32"/>
      <c r="N17" s="25"/>
    </row>
    <row r="18" spans="1:14" x14ac:dyDescent="0.2">
      <c r="A18" s="33"/>
      <c r="B18" s="10" t="s">
        <v>70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26">
        <f>SUM(M19:M21)</f>
        <v>5000</v>
      </c>
    </row>
    <row r="19" spans="1:14" x14ac:dyDescent="0.2">
      <c r="A19" s="32">
        <v>1</v>
      </c>
      <c r="B19" t="s">
        <v>73</v>
      </c>
      <c r="L19" s="38">
        <v>1500</v>
      </c>
      <c r="M19" s="38">
        <f t="shared" ref="M19:M21" si="1">A19*L19</f>
        <v>1500</v>
      </c>
      <c r="N19" s="25"/>
    </row>
    <row r="20" spans="1:14" x14ac:dyDescent="0.2">
      <c r="A20" s="32">
        <v>1</v>
      </c>
      <c r="B20" t="s">
        <v>71</v>
      </c>
      <c r="L20" s="38">
        <v>2500</v>
      </c>
      <c r="M20" s="38">
        <f t="shared" si="1"/>
        <v>2500</v>
      </c>
      <c r="N20" s="25"/>
    </row>
    <row r="21" spans="1:14" x14ac:dyDescent="0.2">
      <c r="A21" s="32">
        <v>1</v>
      </c>
      <c r="B21" t="s">
        <v>72</v>
      </c>
      <c r="L21" s="38">
        <v>1000</v>
      </c>
      <c r="M21" s="38">
        <f t="shared" si="1"/>
        <v>1000</v>
      </c>
      <c r="N21" s="25"/>
    </row>
    <row r="22" spans="1:14" x14ac:dyDescent="0.2">
      <c r="A22" s="32"/>
      <c r="J22" s="40"/>
      <c r="N22" s="25"/>
    </row>
    <row r="23" spans="1:14" x14ac:dyDescent="0.2">
      <c r="A23" s="33"/>
      <c r="B23" s="10" t="s">
        <v>74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29"/>
      <c r="N23" s="26">
        <f>SUM(M24:M26)</f>
        <v>71000</v>
      </c>
    </row>
    <row r="24" spans="1:14" x14ac:dyDescent="0.2">
      <c r="A24" s="32">
        <v>1</v>
      </c>
      <c r="B24" t="s">
        <v>75</v>
      </c>
      <c r="H24">
        <v>1</v>
      </c>
      <c r="J24" s="27">
        <v>40000</v>
      </c>
      <c r="L24" s="28">
        <f t="shared" ref="L24:L26" si="2">H24*J24</f>
        <v>40000</v>
      </c>
      <c r="M24" s="28">
        <f t="shared" ref="M24:M26" si="3">A24*L24</f>
        <v>40000</v>
      </c>
      <c r="N24" s="25"/>
    </row>
    <row r="25" spans="1:14" x14ac:dyDescent="0.2">
      <c r="A25" s="32">
        <v>1</v>
      </c>
      <c r="B25" t="s">
        <v>76</v>
      </c>
      <c r="H25">
        <v>1</v>
      </c>
      <c r="J25" s="27">
        <v>25000</v>
      </c>
      <c r="L25" s="28">
        <f t="shared" si="2"/>
        <v>25000</v>
      </c>
      <c r="M25" s="28">
        <f t="shared" si="3"/>
        <v>25000</v>
      </c>
      <c r="N25" s="25"/>
    </row>
    <row r="26" spans="1:14" x14ac:dyDescent="0.2">
      <c r="A26" s="32">
        <v>1</v>
      </c>
      <c r="B26" t="s">
        <v>38</v>
      </c>
      <c r="H26">
        <v>1</v>
      </c>
      <c r="J26" s="27">
        <v>6000</v>
      </c>
      <c r="L26" s="28">
        <f t="shared" si="2"/>
        <v>6000</v>
      </c>
      <c r="M26" s="28">
        <f t="shared" si="3"/>
        <v>6000</v>
      </c>
      <c r="N26" s="25"/>
    </row>
    <row r="27" spans="1:14" x14ac:dyDescent="0.2">
      <c r="A27" s="32">
        <v>1</v>
      </c>
      <c r="B27" t="s">
        <v>77</v>
      </c>
      <c r="H27">
        <v>80</v>
      </c>
      <c r="I27" t="s">
        <v>9</v>
      </c>
      <c r="J27" s="27">
        <v>75</v>
      </c>
      <c r="L27" s="28">
        <f t="shared" ref="L27" si="4">H27*J27</f>
        <v>6000</v>
      </c>
      <c r="M27" s="28">
        <f t="shared" ref="M27" si="5">A27*L27</f>
        <v>6000</v>
      </c>
      <c r="N27" s="25"/>
    </row>
    <row r="28" spans="1:14" x14ac:dyDescent="0.2">
      <c r="A28" s="33"/>
      <c r="B28" s="10" t="s">
        <v>78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26">
        <f>SUM(M29:M29)</f>
        <v>74000</v>
      </c>
    </row>
    <row r="29" spans="1:14" x14ac:dyDescent="0.2">
      <c r="A29" s="32">
        <v>2</v>
      </c>
      <c r="B29" t="s">
        <v>79</v>
      </c>
      <c r="H29">
        <v>1</v>
      </c>
      <c r="I29" t="s">
        <v>14</v>
      </c>
      <c r="J29" s="27">
        <v>37000</v>
      </c>
      <c r="L29" s="28">
        <f t="shared" ref="L29" si="6">H29*J29</f>
        <v>37000</v>
      </c>
      <c r="M29" s="28">
        <f t="shared" ref="M29" si="7">A29*L29</f>
        <v>74000</v>
      </c>
      <c r="N29" s="25"/>
    </row>
    <row r="30" spans="1:14" x14ac:dyDescent="0.2">
      <c r="A30" s="33"/>
      <c r="B30" s="10" t="s">
        <v>66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26">
        <f>SUM(M31:M33)</f>
        <v>1950</v>
      </c>
    </row>
    <row r="31" spans="1:14" x14ac:dyDescent="0.2">
      <c r="A31" s="32">
        <v>1</v>
      </c>
      <c r="B31" t="s">
        <v>67</v>
      </c>
      <c r="H31">
        <v>16</v>
      </c>
      <c r="I31" t="s">
        <v>9</v>
      </c>
      <c r="J31" s="27">
        <v>75</v>
      </c>
      <c r="L31" s="28">
        <f t="shared" ref="L31:L33" si="8">H31*J31</f>
        <v>1200</v>
      </c>
      <c r="M31" s="28">
        <f t="shared" ref="M31:M33" si="9">A31*L31</f>
        <v>1200</v>
      </c>
      <c r="N31" s="25"/>
    </row>
    <row r="32" spans="1:14" x14ac:dyDescent="0.2">
      <c r="A32" s="32">
        <v>1</v>
      </c>
      <c r="B32" t="s">
        <v>66</v>
      </c>
      <c r="H32">
        <v>2</v>
      </c>
      <c r="I32" t="s">
        <v>9</v>
      </c>
      <c r="J32" s="27">
        <v>75</v>
      </c>
      <c r="L32" s="28">
        <f t="shared" si="8"/>
        <v>150</v>
      </c>
      <c r="M32" s="28">
        <f t="shared" si="9"/>
        <v>150</v>
      </c>
      <c r="N32" s="25"/>
    </row>
    <row r="33" spans="1:14" x14ac:dyDescent="0.2">
      <c r="A33" s="32">
        <v>1</v>
      </c>
      <c r="B33" t="s">
        <v>68</v>
      </c>
      <c r="H33">
        <v>8</v>
      </c>
      <c r="I33" t="s">
        <v>9</v>
      </c>
      <c r="J33" s="40">
        <v>75</v>
      </c>
      <c r="L33" s="38">
        <f t="shared" si="8"/>
        <v>600</v>
      </c>
      <c r="M33" s="38">
        <f t="shared" si="9"/>
        <v>600</v>
      </c>
      <c r="N33" s="25"/>
    </row>
    <row r="34" spans="1:14" x14ac:dyDescent="0.2">
      <c r="A34" s="33"/>
      <c r="B34" s="10" t="s">
        <v>22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30">
        <f>SUM(M13:M33)</f>
        <v>191550</v>
      </c>
      <c r="N34" s="31">
        <f>SUM(N13:N33)</f>
        <v>185550</v>
      </c>
    </row>
    <row r="35" spans="1:14" x14ac:dyDescent="0.2">
      <c r="A35" s="33"/>
      <c r="B35" s="10"/>
      <c r="C35" s="9"/>
      <c r="D35" s="9"/>
      <c r="E35" s="9"/>
      <c r="F35" s="30"/>
      <c r="G35" s="10"/>
      <c r="H35" s="9"/>
      <c r="I35" s="9"/>
      <c r="J35" s="30"/>
      <c r="K35" s="9"/>
      <c r="L35" s="9"/>
      <c r="M35" s="34"/>
      <c r="N35" s="31"/>
    </row>
    <row r="36" spans="1:14" x14ac:dyDescent="0.2">
      <c r="A36" s="37"/>
      <c r="B36" s="15" t="s">
        <v>42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35"/>
    </row>
    <row r="37" spans="1:14" hidden="1" x14ac:dyDescent="0.2"/>
    <row r="38" spans="1:14" hidden="1" x14ac:dyDescent="0.2">
      <c r="A38" s="16"/>
      <c r="B38" s="10" t="s">
        <v>26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1">
        <f>SUM(M39:M41)</f>
        <v>76620</v>
      </c>
    </row>
    <row r="39" spans="1:14" hidden="1" x14ac:dyDescent="0.2">
      <c r="B39" t="s">
        <v>24</v>
      </c>
      <c r="K39" s="8">
        <v>0.1</v>
      </c>
      <c r="L39" s="7">
        <f>M34</f>
        <v>191550</v>
      </c>
      <c r="M39" s="7">
        <f>K39*L39</f>
        <v>19155</v>
      </c>
    </row>
    <row r="40" spans="1:14" hidden="1" x14ac:dyDescent="0.2">
      <c r="B40" t="s">
        <v>23</v>
      </c>
      <c r="K40" s="8">
        <v>0.15</v>
      </c>
      <c r="L40" s="7">
        <f>M34</f>
        <v>191550</v>
      </c>
      <c r="M40" s="7">
        <f>K40*L40</f>
        <v>28732.5</v>
      </c>
    </row>
    <row r="41" spans="1:14" hidden="1" x14ac:dyDescent="0.2">
      <c r="B41" t="s">
        <v>25</v>
      </c>
      <c r="K41" s="8">
        <v>0.15</v>
      </c>
      <c r="L41" s="7">
        <f>M34</f>
        <v>191550</v>
      </c>
      <c r="M41" s="7">
        <f>K41*L41</f>
        <v>28732.5</v>
      </c>
    </row>
    <row r="42" spans="1:14" hidden="1" x14ac:dyDescent="0.2"/>
    <row r="43" spans="1:14" hidden="1" x14ac:dyDescent="0.2">
      <c r="A43" s="16"/>
      <c r="B43" s="10" t="s">
        <v>27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1">
        <f>SUM(M34:M42)</f>
        <v>268170</v>
      </c>
      <c r="N43" s="11">
        <f>SUM(N34:N42)</f>
        <v>262170</v>
      </c>
    </row>
    <row r="44" spans="1:14" hidden="1" x14ac:dyDescent="0.2">
      <c r="B44" t="s">
        <v>28</v>
      </c>
      <c r="K44" s="8">
        <v>0.21</v>
      </c>
      <c r="L44" s="7">
        <f>M43</f>
        <v>268170</v>
      </c>
      <c r="M44" s="7">
        <f>K44*L44</f>
        <v>56315.7</v>
      </c>
      <c r="N44" s="7">
        <f>M44</f>
        <v>56315.7</v>
      </c>
    </row>
    <row r="45" spans="1:14" hidden="1" x14ac:dyDescent="0.2"/>
    <row r="46" spans="1:14" hidden="1" x14ac:dyDescent="0.2">
      <c r="A46" s="16"/>
      <c r="B46" s="10" t="s">
        <v>29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1">
        <f>SUM(M43:M45)</f>
        <v>324485.7</v>
      </c>
      <c r="N46" s="11">
        <f>SUM(N43:N45)</f>
        <v>318485.7</v>
      </c>
    </row>
  </sheetData>
  <printOptions gridLines="1"/>
  <pageMargins left="0.9055118110236221" right="0.31496062992125984" top="0.15748031496062992" bottom="0.35433070866141736" header="0" footer="0"/>
  <pageSetup paperSize="9" scale="67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1"/>
  <sheetViews>
    <sheetView topLeftCell="A19" zoomScaleNormal="100" zoomScaleSheetLayoutView="100" workbookViewId="0">
      <selection activeCell="C9" sqref="C9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</cols>
  <sheetData>
    <row r="1" spans="1:14" x14ac:dyDescent="0.2">
      <c r="A1" s="17" t="s">
        <v>0</v>
      </c>
      <c r="B1" s="1"/>
      <c r="C1" s="1" t="s">
        <v>64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41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41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54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40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57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65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88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48000</v>
      </c>
    </row>
    <row r="14" spans="1:14" x14ac:dyDescent="0.2">
      <c r="A14" s="32">
        <v>1</v>
      </c>
      <c r="B14" t="s">
        <v>13</v>
      </c>
      <c r="H14">
        <v>120</v>
      </c>
      <c r="I14" t="s">
        <v>9</v>
      </c>
      <c r="J14" s="27">
        <v>100</v>
      </c>
      <c r="L14" s="28">
        <f t="shared" ref="L14:L16" si="0">H14*J14</f>
        <v>12000</v>
      </c>
      <c r="M14" s="28">
        <f>A14*L14</f>
        <v>12000</v>
      </c>
      <c r="N14" s="25"/>
    </row>
    <row r="15" spans="1:14" x14ac:dyDescent="0.2">
      <c r="A15" s="32">
        <v>1</v>
      </c>
      <c r="B15" t="s">
        <v>11</v>
      </c>
      <c r="H15">
        <f>2*4*40</f>
        <v>320</v>
      </c>
      <c r="I15" t="s">
        <v>9</v>
      </c>
      <c r="J15" s="27">
        <v>90</v>
      </c>
      <c r="L15" s="28">
        <f t="shared" si="0"/>
        <v>28800</v>
      </c>
      <c r="M15" s="28">
        <f>A15*L15</f>
        <v>28800</v>
      </c>
      <c r="N15" s="25"/>
    </row>
    <row r="16" spans="1:14" x14ac:dyDescent="0.2">
      <c r="A16" s="32">
        <v>1</v>
      </c>
      <c r="B16" t="s">
        <v>12</v>
      </c>
      <c r="H16"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4" x14ac:dyDescent="0.2">
      <c r="A17" s="32"/>
      <c r="N17" s="25"/>
    </row>
    <row r="18" spans="1:14" x14ac:dyDescent="0.2">
      <c r="A18" s="33"/>
      <c r="B18" s="10" t="s">
        <v>63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26">
        <f>SUM(M19:M29)</f>
        <v>198000</v>
      </c>
    </row>
    <row r="19" spans="1:14" x14ac:dyDescent="0.2">
      <c r="A19" s="32">
        <v>1</v>
      </c>
      <c r="B19" t="s">
        <v>43</v>
      </c>
      <c r="L19" s="38">
        <v>50000</v>
      </c>
      <c r="M19" s="38">
        <f t="shared" ref="M19:M29" si="1">A19*L19</f>
        <v>50000</v>
      </c>
      <c r="N19" s="25"/>
    </row>
    <row r="20" spans="1:14" x14ac:dyDescent="0.2">
      <c r="A20" s="32">
        <v>2</v>
      </c>
      <c r="B20" t="s">
        <v>44</v>
      </c>
      <c r="L20" s="38">
        <v>40000</v>
      </c>
      <c r="M20" s="38">
        <f t="shared" si="1"/>
        <v>80000</v>
      </c>
      <c r="N20" s="25"/>
    </row>
    <row r="21" spans="1:14" x14ac:dyDescent="0.2">
      <c r="A21" s="32">
        <v>1</v>
      </c>
      <c r="B21" t="s">
        <v>45</v>
      </c>
      <c r="L21" s="38">
        <v>15000</v>
      </c>
      <c r="M21" s="38">
        <f t="shared" si="1"/>
        <v>15000</v>
      </c>
      <c r="N21" s="25"/>
    </row>
    <row r="22" spans="1:14" x14ac:dyDescent="0.2">
      <c r="A22" s="32">
        <v>1</v>
      </c>
      <c r="B22" t="s">
        <v>46</v>
      </c>
      <c r="L22" s="38">
        <v>5000</v>
      </c>
      <c r="M22" s="38">
        <f t="shared" si="1"/>
        <v>5000</v>
      </c>
      <c r="N22" s="25"/>
    </row>
    <row r="23" spans="1:14" x14ac:dyDescent="0.2">
      <c r="A23" s="32">
        <v>1</v>
      </c>
      <c r="B23" t="s">
        <v>47</v>
      </c>
      <c r="L23" s="38">
        <v>3000</v>
      </c>
      <c r="M23" s="38">
        <f t="shared" si="1"/>
        <v>3000</v>
      </c>
      <c r="N23" s="25"/>
    </row>
    <row r="24" spans="1:14" x14ac:dyDescent="0.2">
      <c r="A24" s="32">
        <v>2</v>
      </c>
      <c r="B24" t="s">
        <v>53</v>
      </c>
      <c r="L24" s="38">
        <v>1000</v>
      </c>
      <c r="M24" s="38">
        <f t="shared" si="1"/>
        <v>2000</v>
      </c>
      <c r="N24" s="25"/>
    </row>
    <row r="25" spans="1:14" x14ac:dyDescent="0.2">
      <c r="A25" s="32">
        <v>1</v>
      </c>
      <c r="B25" t="s">
        <v>49</v>
      </c>
      <c r="L25" s="38">
        <v>1000</v>
      </c>
      <c r="M25" s="38">
        <f t="shared" si="1"/>
        <v>1000</v>
      </c>
      <c r="N25" s="25"/>
    </row>
    <row r="26" spans="1:14" x14ac:dyDescent="0.2">
      <c r="A26" s="32">
        <v>1</v>
      </c>
      <c r="B26" t="s">
        <v>10</v>
      </c>
      <c r="L26" s="38">
        <v>2000</v>
      </c>
      <c r="M26" s="38">
        <f t="shared" si="1"/>
        <v>2000</v>
      </c>
      <c r="N26" s="25"/>
    </row>
    <row r="27" spans="1:14" x14ac:dyDescent="0.2">
      <c r="A27" s="32">
        <v>1</v>
      </c>
      <c r="B27" t="s">
        <v>48</v>
      </c>
      <c r="L27" s="38">
        <v>5000</v>
      </c>
      <c r="M27" s="38">
        <f t="shared" si="1"/>
        <v>5000</v>
      </c>
      <c r="N27" s="25"/>
    </row>
    <row r="28" spans="1:14" x14ac:dyDescent="0.2">
      <c r="A28" s="32">
        <v>1</v>
      </c>
      <c r="B28" t="s">
        <v>37</v>
      </c>
      <c r="L28" s="38">
        <v>5000</v>
      </c>
      <c r="M28" s="38">
        <f t="shared" si="1"/>
        <v>5000</v>
      </c>
      <c r="N28" s="25"/>
    </row>
    <row r="29" spans="1:14" x14ac:dyDescent="0.2">
      <c r="A29" s="32">
        <v>2</v>
      </c>
      <c r="B29" t="s">
        <v>59</v>
      </c>
      <c r="L29" s="38">
        <v>15000</v>
      </c>
      <c r="M29" s="38">
        <f t="shared" si="1"/>
        <v>30000</v>
      </c>
      <c r="N29" s="25"/>
    </row>
    <row r="30" spans="1:14" x14ac:dyDescent="0.2">
      <c r="A30" s="33"/>
      <c r="B30" s="10" t="s">
        <v>55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29"/>
      <c r="N30" s="26">
        <f>SUM(M31:M34)</f>
        <v>5760</v>
      </c>
    </row>
    <row r="31" spans="1:14" x14ac:dyDescent="0.2">
      <c r="A31" s="32">
        <v>1</v>
      </c>
      <c r="B31" t="s">
        <v>18</v>
      </c>
      <c r="H31">
        <v>40</v>
      </c>
      <c r="I31" t="s">
        <v>9</v>
      </c>
      <c r="J31" s="27">
        <v>75</v>
      </c>
      <c r="L31" s="28">
        <f t="shared" ref="L31:L34" si="2">H31*J31</f>
        <v>3000</v>
      </c>
      <c r="M31" s="28">
        <f t="shared" ref="M31:M34" si="3">A31*L31</f>
        <v>3000</v>
      </c>
      <c r="N31" s="25"/>
    </row>
    <row r="32" spans="1:14" x14ac:dyDescent="0.2">
      <c r="A32" s="32">
        <v>1</v>
      </c>
      <c r="B32" t="s">
        <v>56</v>
      </c>
      <c r="H32">
        <v>1</v>
      </c>
      <c r="I32" t="s">
        <v>16</v>
      </c>
      <c r="J32" s="27">
        <v>1000</v>
      </c>
      <c r="L32" s="28">
        <f t="shared" si="2"/>
        <v>1000</v>
      </c>
      <c r="M32" s="28">
        <f t="shared" si="3"/>
        <v>1000</v>
      </c>
      <c r="N32" s="25"/>
    </row>
    <row r="33" spans="1:14" x14ac:dyDescent="0.2">
      <c r="A33" s="32">
        <v>1</v>
      </c>
      <c r="B33" t="s">
        <v>17</v>
      </c>
      <c r="H33">
        <v>8</v>
      </c>
      <c r="I33" t="s">
        <v>9</v>
      </c>
      <c r="J33" s="27">
        <v>70</v>
      </c>
      <c r="L33" s="28">
        <f t="shared" si="2"/>
        <v>560</v>
      </c>
      <c r="M33" s="28">
        <f t="shared" si="3"/>
        <v>560</v>
      </c>
      <c r="N33" s="25"/>
    </row>
    <row r="34" spans="1:14" x14ac:dyDescent="0.2">
      <c r="A34" s="32">
        <v>1</v>
      </c>
      <c r="B34" t="s">
        <v>19</v>
      </c>
      <c r="H34">
        <v>16</v>
      </c>
      <c r="I34" t="s">
        <v>9</v>
      </c>
      <c r="J34" s="27">
        <v>75</v>
      </c>
      <c r="L34" s="28">
        <f t="shared" si="2"/>
        <v>1200</v>
      </c>
      <c r="M34" s="28">
        <f t="shared" si="3"/>
        <v>1200</v>
      </c>
      <c r="N34" s="25"/>
    </row>
    <row r="35" spans="1:14" x14ac:dyDescent="0.2">
      <c r="A35" s="33"/>
      <c r="B35" s="10" t="s">
        <v>58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6">
        <f>SUM(M36:M42)</f>
        <v>21560</v>
      </c>
    </row>
    <row r="36" spans="1:14" x14ac:dyDescent="0.2">
      <c r="A36" s="32">
        <v>2</v>
      </c>
      <c r="B36" t="s">
        <v>60</v>
      </c>
      <c r="H36">
        <v>16</v>
      </c>
      <c r="I36" t="s">
        <v>9</v>
      </c>
      <c r="J36" s="27">
        <v>75</v>
      </c>
      <c r="L36" s="28">
        <f t="shared" ref="L36:L42" si="4">H36*J36</f>
        <v>1200</v>
      </c>
      <c r="M36" s="28">
        <f t="shared" ref="M36:M42" si="5">A36*L36</f>
        <v>2400</v>
      </c>
      <c r="N36" s="25"/>
    </row>
    <row r="37" spans="1:14" x14ac:dyDescent="0.2">
      <c r="A37" s="32">
        <v>2</v>
      </c>
      <c r="B37" t="s">
        <v>50</v>
      </c>
      <c r="H37">
        <v>16</v>
      </c>
      <c r="I37" t="s">
        <v>9</v>
      </c>
      <c r="J37" s="40">
        <v>75</v>
      </c>
      <c r="L37" s="38">
        <f t="shared" si="4"/>
        <v>1200</v>
      </c>
      <c r="M37" s="38">
        <f t="shared" si="5"/>
        <v>2400</v>
      </c>
      <c r="N37" s="25"/>
    </row>
    <row r="38" spans="1:14" x14ac:dyDescent="0.2">
      <c r="A38" s="32">
        <v>1</v>
      </c>
      <c r="B38" t="s">
        <v>52</v>
      </c>
      <c r="H38">
        <v>80</v>
      </c>
      <c r="I38" t="s">
        <v>9</v>
      </c>
      <c r="J38" s="27">
        <v>85</v>
      </c>
      <c r="L38" s="28">
        <f t="shared" si="4"/>
        <v>6800</v>
      </c>
      <c r="M38" s="28">
        <f t="shared" si="5"/>
        <v>6800</v>
      </c>
      <c r="N38" s="25"/>
    </row>
    <row r="39" spans="1:14" x14ac:dyDescent="0.2">
      <c r="A39" s="32">
        <v>1</v>
      </c>
      <c r="B39" t="s">
        <v>51</v>
      </c>
      <c r="H39">
        <v>40</v>
      </c>
      <c r="I39" t="s">
        <v>9</v>
      </c>
      <c r="J39" s="27">
        <v>75</v>
      </c>
      <c r="L39" s="28">
        <f t="shared" si="4"/>
        <v>3000</v>
      </c>
      <c r="M39" s="28">
        <f t="shared" si="5"/>
        <v>3000</v>
      </c>
      <c r="N39" s="25"/>
    </row>
    <row r="40" spans="1:14" x14ac:dyDescent="0.2">
      <c r="A40" s="32">
        <v>2</v>
      </c>
      <c r="B40" t="s">
        <v>15</v>
      </c>
      <c r="H40">
        <v>8</v>
      </c>
      <c r="I40" t="s">
        <v>9</v>
      </c>
      <c r="J40" s="27">
        <v>190</v>
      </c>
      <c r="L40" s="28">
        <f t="shared" si="4"/>
        <v>1520</v>
      </c>
      <c r="M40" s="28">
        <f t="shared" si="5"/>
        <v>3040</v>
      </c>
      <c r="N40" s="25"/>
    </row>
    <row r="41" spans="1:14" x14ac:dyDescent="0.2">
      <c r="A41" s="32">
        <v>2</v>
      </c>
      <c r="B41" t="s">
        <v>61</v>
      </c>
      <c r="H41">
        <v>16</v>
      </c>
      <c r="I41" t="s">
        <v>9</v>
      </c>
      <c r="J41" s="27">
        <v>75</v>
      </c>
      <c r="L41" s="28">
        <f t="shared" si="4"/>
        <v>1200</v>
      </c>
      <c r="M41" s="28">
        <f t="shared" si="5"/>
        <v>2400</v>
      </c>
      <c r="N41" s="25"/>
    </row>
    <row r="42" spans="1:14" x14ac:dyDescent="0.2">
      <c r="A42" s="32">
        <v>1</v>
      </c>
      <c r="B42" t="s">
        <v>62</v>
      </c>
      <c r="H42">
        <v>8</v>
      </c>
      <c r="I42" t="s">
        <v>9</v>
      </c>
      <c r="J42" s="27">
        <v>190</v>
      </c>
      <c r="L42" s="28">
        <f t="shared" si="4"/>
        <v>1520</v>
      </c>
      <c r="M42" s="28">
        <f t="shared" si="5"/>
        <v>1520</v>
      </c>
      <c r="N42" s="25"/>
    </row>
    <row r="43" spans="1:14" x14ac:dyDescent="0.2">
      <c r="A43" s="33"/>
      <c r="B43" s="10" t="s">
        <v>66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26">
        <f>SUM(M44:M47)</f>
        <v>7950</v>
      </c>
    </row>
    <row r="44" spans="1:14" x14ac:dyDescent="0.2">
      <c r="A44" s="32">
        <v>1</v>
      </c>
      <c r="B44" t="s">
        <v>67</v>
      </c>
      <c r="H44">
        <v>16</v>
      </c>
      <c r="I44" t="s">
        <v>9</v>
      </c>
      <c r="J44" s="27">
        <v>75</v>
      </c>
      <c r="L44" s="28">
        <f t="shared" ref="L44:L47" si="6">H44*J44</f>
        <v>1200</v>
      </c>
      <c r="M44" s="28">
        <f t="shared" ref="M44:M47" si="7">A44*L44</f>
        <v>1200</v>
      </c>
      <c r="N44" s="25"/>
    </row>
    <row r="45" spans="1:14" x14ac:dyDescent="0.2">
      <c r="A45" s="32">
        <v>1</v>
      </c>
      <c r="B45" t="s">
        <v>66</v>
      </c>
      <c r="H45">
        <v>2</v>
      </c>
      <c r="I45" t="s">
        <v>9</v>
      </c>
      <c r="J45" s="27">
        <v>75</v>
      </c>
      <c r="L45" s="28">
        <f t="shared" si="6"/>
        <v>150</v>
      </c>
      <c r="M45" s="28">
        <f t="shared" si="7"/>
        <v>150</v>
      </c>
      <c r="N45" s="25"/>
    </row>
    <row r="46" spans="1:14" x14ac:dyDescent="0.2">
      <c r="A46" s="32">
        <v>1</v>
      </c>
      <c r="B46" t="s">
        <v>68</v>
      </c>
      <c r="H46">
        <v>8</v>
      </c>
      <c r="I46" t="s">
        <v>9</v>
      </c>
      <c r="J46" s="40">
        <v>75</v>
      </c>
      <c r="L46" s="38">
        <f t="shared" si="6"/>
        <v>600</v>
      </c>
      <c r="M46" s="38">
        <f t="shared" si="7"/>
        <v>600</v>
      </c>
      <c r="N46" s="25"/>
    </row>
    <row r="47" spans="1:14" x14ac:dyDescent="0.2">
      <c r="A47" s="32">
        <v>1</v>
      </c>
      <c r="B47" t="s">
        <v>69</v>
      </c>
      <c r="H47">
        <v>1</v>
      </c>
      <c r="I47" t="s">
        <v>14</v>
      </c>
      <c r="J47" s="27">
        <v>6000</v>
      </c>
      <c r="L47" s="38">
        <f t="shared" si="6"/>
        <v>6000</v>
      </c>
      <c r="M47" s="28">
        <f t="shared" si="7"/>
        <v>6000</v>
      </c>
      <c r="N47" s="25"/>
    </row>
    <row r="48" spans="1:14" x14ac:dyDescent="0.2">
      <c r="A48" s="32"/>
      <c r="N48" s="25"/>
    </row>
    <row r="49" spans="1:14" x14ac:dyDescent="0.2">
      <c r="A49" s="33"/>
      <c r="B49" s="10" t="s">
        <v>22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30">
        <f>SUM(M13:M48)</f>
        <v>281270</v>
      </c>
      <c r="N49" s="31">
        <f>SUM(N13:N48)</f>
        <v>281270</v>
      </c>
    </row>
    <row r="50" spans="1:14" x14ac:dyDescent="0.2">
      <c r="A50" s="33"/>
      <c r="B50" s="10"/>
      <c r="C50" s="9"/>
      <c r="D50" s="9"/>
      <c r="E50" s="9"/>
      <c r="F50" s="30"/>
      <c r="G50" s="10"/>
      <c r="H50" s="9"/>
      <c r="I50" s="9"/>
      <c r="J50" s="30"/>
      <c r="K50" s="9"/>
      <c r="L50" s="9"/>
      <c r="M50" s="34"/>
      <c r="N50" s="31"/>
    </row>
    <row r="51" spans="1:14" x14ac:dyDescent="0.2">
      <c r="A51" s="37"/>
      <c r="B51" s="15" t="s">
        <v>42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35"/>
    </row>
    <row r="52" spans="1:14" hidden="1" x14ac:dyDescent="0.2"/>
    <row r="53" spans="1:14" hidden="1" x14ac:dyDescent="0.2">
      <c r="A53" s="16"/>
      <c r="B53" s="10" t="s">
        <v>26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11">
        <f>SUM(M54:M56)</f>
        <v>112508</v>
      </c>
    </row>
    <row r="54" spans="1:14" hidden="1" x14ac:dyDescent="0.2">
      <c r="B54" t="s">
        <v>24</v>
      </c>
      <c r="K54" s="8">
        <v>0.1</v>
      </c>
      <c r="L54" s="7">
        <f>M49</f>
        <v>281270</v>
      </c>
      <c r="M54" s="7">
        <f>K54*L54</f>
        <v>28127</v>
      </c>
    </row>
    <row r="55" spans="1:14" hidden="1" x14ac:dyDescent="0.2">
      <c r="B55" t="s">
        <v>23</v>
      </c>
      <c r="K55" s="8">
        <v>0.15</v>
      </c>
      <c r="L55" s="7">
        <f>M49</f>
        <v>281270</v>
      </c>
      <c r="M55" s="7">
        <f>K55*L55</f>
        <v>42190.5</v>
      </c>
    </row>
    <row r="56" spans="1:14" hidden="1" x14ac:dyDescent="0.2">
      <c r="B56" t="s">
        <v>25</v>
      </c>
      <c r="K56" s="8">
        <v>0.15</v>
      </c>
      <c r="L56" s="7">
        <f>M49</f>
        <v>281270</v>
      </c>
      <c r="M56" s="7">
        <f>K56*L56</f>
        <v>42190.5</v>
      </c>
    </row>
    <row r="57" spans="1:14" hidden="1" x14ac:dyDescent="0.2"/>
    <row r="58" spans="1:14" hidden="1" x14ac:dyDescent="0.2">
      <c r="A58" s="16"/>
      <c r="B58" s="10" t="s">
        <v>27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1">
        <f>SUM(M49:M57)</f>
        <v>393778</v>
      </c>
      <c r="N58" s="11">
        <f>SUM(N49:N57)</f>
        <v>393778</v>
      </c>
    </row>
    <row r="59" spans="1:14" hidden="1" x14ac:dyDescent="0.2">
      <c r="B59" t="s">
        <v>28</v>
      </c>
      <c r="K59" s="8">
        <v>0.21</v>
      </c>
      <c r="L59" s="7">
        <f>M58</f>
        <v>393778</v>
      </c>
      <c r="M59" s="7">
        <f>K59*L59</f>
        <v>82693.37999999999</v>
      </c>
      <c r="N59" s="7">
        <f>M59</f>
        <v>82693.37999999999</v>
      </c>
    </row>
    <row r="60" spans="1:14" hidden="1" x14ac:dyDescent="0.2"/>
    <row r="61" spans="1:14" hidden="1" x14ac:dyDescent="0.2">
      <c r="A61" s="16"/>
      <c r="B61" s="10" t="s">
        <v>29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1">
        <f>SUM(M58:M60)</f>
        <v>476471.38</v>
      </c>
      <c r="N61" s="11">
        <f>SUM(N58:N60)</f>
        <v>476471.38</v>
      </c>
    </row>
  </sheetData>
  <printOptions gridLines="1"/>
  <pageMargins left="0.9055118110236221" right="0.31496062992125984" top="0.15748031496062992" bottom="0.35433070866141736" header="0" footer="0"/>
  <pageSetup paperSize="9" scale="67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61"/>
  <sheetViews>
    <sheetView topLeftCell="A13" zoomScaleNormal="100" zoomScaleSheetLayoutView="100" workbookViewId="0">
      <selection activeCell="E65" sqref="E65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  <col min="18" max="18" width="10.28515625" bestFit="1" customWidth="1"/>
  </cols>
  <sheetData>
    <row r="1" spans="1:14" x14ac:dyDescent="0.2">
      <c r="A1" s="17" t="s">
        <v>0</v>
      </c>
      <c r="B1" s="1"/>
      <c r="C1" s="1" t="s">
        <v>64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41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41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54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40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57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65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92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19200</v>
      </c>
    </row>
    <row r="14" spans="1:14" x14ac:dyDescent="0.2">
      <c r="A14" s="32">
        <v>1</v>
      </c>
      <c r="B14" t="s">
        <v>13</v>
      </c>
      <c r="H14">
        <v>120</v>
      </c>
      <c r="I14" t="s">
        <v>9</v>
      </c>
      <c r="J14" s="27">
        <v>100</v>
      </c>
      <c r="L14" s="28">
        <f t="shared" ref="L14:L16" si="0">H14*J14</f>
        <v>12000</v>
      </c>
      <c r="M14" s="28">
        <f>A14*L14</f>
        <v>12000</v>
      </c>
      <c r="N14" s="25"/>
    </row>
    <row r="15" spans="1:14" x14ac:dyDescent="0.2">
      <c r="A15" s="32">
        <v>0</v>
      </c>
      <c r="B15" t="s">
        <v>11</v>
      </c>
      <c r="H15">
        <f>2*4*40</f>
        <v>320</v>
      </c>
      <c r="I15" t="s">
        <v>9</v>
      </c>
      <c r="J15" s="27">
        <v>90</v>
      </c>
      <c r="L15" s="28">
        <f t="shared" si="0"/>
        <v>28800</v>
      </c>
      <c r="M15" s="28">
        <f>A15*L15</f>
        <v>0</v>
      </c>
      <c r="N15" s="25"/>
    </row>
    <row r="16" spans="1:14" x14ac:dyDescent="0.2">
      <c r="A16" s="32">
        <v>1</v>
      </c>
      <c r="B16" t="s">
        <v>12</v>
      </c>
      <c r="H16"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8" x14ac:dyDescent="0.2">
      <c r="A17" s="32"/>
      <c r="N17" s="25"/>
    </row>
    <row r="18" spans="1:18" x14ac:dyDescent="0.2">
      <c r="A18" s="33"/>
      <c r="B18" s="10" t="s">
        <v>63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26">
        <f>SUM(M19:M29)</f>
        <v>260000</v>
      </c>
    </row>
    <row r="19" spans="1:18" x14ac:dyDescent="0.2">
      <c r="A19" s="32">
        <v>0</v>
      </c>
      <c r="B19" t="s">
        <v>43</v>
      </c>
      <c r="L19" s="38">
        <v>50000</v>
      </c>
      <c r="M19" s="38">
        <f t="shared" ref="M19:M29" si="1">A19*L19</f>
        <v>0</v>
      </c>
      <c r="N19" s="25"/>
    </row>
    <row r="20" spans="1:18" x14ac:dyDescent="0.2">
      <c r="A20" s="32">
        <v>2</v>
      </c>
      <c r="B20" t="s">
        <v>89</v>
      </c>
      <c r="L20" s="38">
        <v>130000</v>
      </c>
      <c r="M20" s="38">
        <f t="shared" si="1"/>
        <v>260000</v>
      </c>
      <c r="N20" s="25"/>
    </row>
    <row r="21" spans="1:18" x14ac:dyDescent="0.2">
      <c r="A21" s="32">
        <v>0</v>
      </c>
      <c r="B21" t="s">
        <v>45</v>
      </c>
      <c r="L21" s="38">
        <v>15000</v>
      </c>
      <c r="M21" s="38">
        <f t="shared" si="1"/>
        <v>0</v>
      </c>
      <c r="N21" s="25"/>
    </row>
    <row r="22" spans="1:18" x14ac:dyDescent="0.2">
      <c r="A22" s="32">
        <v>0</v>
      </c>
      <c r="B22" t="s">
        <v>46</v>
      </c>
      <c r="L22" s="38">
        <v>5000</v>
      </c>
      <c r="M22" s="38">
        <f t="shared" si="1"/>
        <v>0</v>
      </c>
      <c r="N22" s="25"/>
    </row>
    <row r="23" spans="1:18" x14ac:dyDescent="0.2">
      <c r="A23" s="32">
        <v>0</v>
      </c>
      <c r="B23" t="s">
        <v>47</v>
      </c>
      <c r="L23" s="38">
        <v>3000</v>
      </c>
      <c r="M23" s="38">
        <f t="shared" si="1"/>
        <v>0</v>
      </c>
      <c r="N23" s="25"/>
    </row>
    <row r="24" spans="1:18" x14ac:dyDescent="0.2">
      <c r="A24" s="32">
        <v>0</v>
      </c>
      <c r="B24" t="s">
        <v>53</v>
      </c>
      <c r="L24" s="38">
        <v>1000</v>
      </c>
      <c r="M24" s="38">
        <f t="shared" si="1"/>
        <v>0</v>
      </c>
      <c r="N24" s="25"/>
    </row>
    <row r="25" spans="1:18" x14ac:dyDescent="0.2">
      <c r="A25" s="32">
        <v>0</v>
      </c>
      <c r="B25" t="s">
        <v>49</v>
      </c>
      <c r="L25" s="38">
        <v>1000</v>
      </c>
      <c r="M25" s="38">
        <f t="shared" si="1"/>
        <v>0</v>
      </c>
      <c r="N25" s="25"/>
    </row>
    <row r="26" spans="1:18" x14ac:dyDescent="0.2">
      <c r="A26" s="32">
        <v>0</v>
      </c>
      <c r="B26" t="s">
        <v>10</v>
      </c>
      <c r="L26" s="38">
        <v>2000</v>
      </c>
      <c r="M26" s="38">
        <f t="shared" si="1"/>
        <v>0</v>
      </c>
      <c r="N26" s="25"/>
    </row>
    <row r="27" spans="1:18" x14ac:dyDescent="0.2">
      <c r="A27" s="32">
        <v>0</v>
      </c>
      <c r="B27" t="s">
        <v>48</v>
      </c>
      <c r="L27" s="38">
        <v>5000</v>
      </c>
      <c r="M27" s="38">
        <f t="shared" si="1"/>
        <v>0</v>
      </c>
      <c r="N27" s="25"/>
    </row>
    <row r="28" spans="1:18" x14ac:dyDescent="0.2">
      <c r="A28" s="32">
        <v>0</v>
      </c>
      <c r="B28" t="s">
        <v>37</v>
      </c>
      <c r="L28" s="38">
        <v>5000</v>
      </c>
      <c r="M28" s="38">
        <f t="shared" si="1"/>
        <v>0</v>
      </c>
      <c r="N28" s="25"/>
    </row>
    <row r="29" spans="1:18" x14ac:dyDescent="0.2">
      <c r="A29" s="32">
        <v>0</v>
      </c>
      <c r="B29" t="s">
        <v>59</v>
      </c>
      <c r="L29" s="38">
        <v>15000</v>
      </c>
      <c r="M29" s="38">
        <f t="shared" si="1"/>
        <v>0</v>
      </c>
      <c r="N29" s="25"/>
    </row>
    <row r="30" spans="1:18" x14ac:dyDescent="0.2">
      <c r="A30" s="33"/>
      <c r="B30" s="10" t="s">
        <v>55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29"/>
      <c r="N30" s="26">
        <f>SUM(M31:M34)</f>
        <v>5760</v>
      </c>
    </row>
    <row r="31" spans="1:18" x14ac:dyDescent="0.2">
      <c r="A31" s="32">
        <v>1</v>
      </c>
      <c r="B31" t="s">
        <v>18</v>
      </c>
      <c r="H31">
        <v>40</v>
      </c>
      <c r="I31" t="s">
        <v>9</v>
      </c>
      <c r="J31" s="27">
        <v>75</v>
      </c>
      <c r="L31" s="28">
        <f t="shared" ref="L31:L34" si="2">H31*J31</f>
        <v>3000</v>
      </c>
      <c r="M31" s="28">
        <f t="shared" ref="M31:M34" si="3">A31*L31</f>
        <v>3000</v>
      </c>
      <c r="N31" s="25"/>
      <c r="R31" s="7"/>
    </row>
    <row r="32" spans="1:18" x14ac:dyDescent="0.2">
      <c r="A32" s="32">
        <v>1</v>
      </c>
      <c r="B32" t="s">
        <v>56</v>
      </c>
      <c r="H32">
        <v>1</v>
      </c>
      <c r="I32" t="s">
        <v>16</v>
      </c>
      <c r="J32" s="27">
        <v>1000</v>
      </c>
      <c r="L32" s="28">
        <f t="shared" si="2"/>
        <v>1000</v>
      </c>
      <c r="M32" s="28">
        <f t="shared" si="3"/>
        <v>1000</v>
      </c>
      <c r="N32" s="25"/>
      <c r="R32" s="7"/>
    </row>
    <row r="33" spans="1:14" x14ac:dyDescent="0.2">
      <c r="A33" s="32">
        <v>1</v>
      </c>
      <c r="B33" t="s">
        <v>17</v>
      </c>
      <c r="H33">
        <v>8</v>
      </c>
      <c r="I33" t="s">
        <v>9</v>
      </c>
      <c r="J33" s="27">
        <v>70</v>
      </c>
      <c r="L33" s="28">
        <f t="shared" si="2"/>
        <v>560</v>
      </c>
      <c r="M33" s="28">
        <f t="shared" si="3"/>
        <v>560</v>
      </c>
      <c r="N33" s="25"/>
    </row>
    <row r="34" spans="1:14" x14ac:dyDescent="0.2">
      <c r="A34" s="32">
        <v>1</v>
      </c>
      <c r="B34" t="s">
        <v>19</v>
      </c>
      <c r="H34">
        <v>16</v>
      </c>
      <c r="I34" t="s">
        <v>9</v>
      </c>
      <c r="J34" s="27">
        <v>75</v>
      </c>
      <c r="L34" s="28">
        <f t="shared" si="2"/>
        <v>1200</v>
      </c>
      <c r="M34" s="28">
        <f t="shared" si="3"/>
        <v>1200</v>
      </c>
      <c r="N34" s="25"/>
    </row>
    <row r="35" spans="1:14" x14ac:dyDescent="0.2">
      <c r="A35" s="33"/>
      <c r="B35" s="10" t="s">
        <v>58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6">
        <f>SUM(M36:M42)</f>
        <v>14760</v>
      </c>
    </row>
    <row r="36" spans="1:14" x14ac:dyDescent="0.2">
      <c r="A36" s="32">
        <v>2</v>
      </c>
      <c r="B36" t="s">
        <v>60</v>
      </c>
      <c r="H36">
        <v>16</v>
      </c>
      <c r="I36" t="s">
        <v>9</v>
      </c>
      <c r="J36" s="27">
        <v>75</v>
      </c>
      <c r="L36" s="28">
        <f t="shared" ref="L36:L42" si="4">H36*J36</f>
        <v>1200</v>
      </c>
      <c r="M36" s="28">
        <f t="shared" ref="M36:M42" si="5">A36*L36</f>
        <v>2400</v>
      </c>
      <c r="N36" s="25"/>
    </row>
    <row r="37" spans="1:14" x14ac:dyDescent="0.2">
      <c r="A37" s="32">
        <v>2</v>
      </c>
      <c r="B37" t="s">
        <v>50</v>
      </c>
      <c r="H37">
        <v>16</v>
      </c>
      <c r="I37" t="s">
        <v>9</v>
      </c>
      <c r="J37" s="40">
        <v>75</v>
      </c>
      <c r="L37" s="38">
        <f t="shared" si="4"/>
        <v>1200</v>
      </c>
      <c r="M37" s="38">
        <f t="shared" si="5"/>
        <v>2400</v>
      </c>
      <c r="N37" s="25"/>
    </row>
    <row r="38" spans="1:14" x14ac:dyDescent="0.2">
      <c r="A38" s="32">
        <v>0</v>
      </c>
      <c r="B38" t="s">
        <v>52</v>
      </c>
      <c r="H38">
        <v>80</v>
      </c>
      <c r="I38" t="s">
        <v>9</v>
      </c>
      <c r="J38" s="27">
        <v>85</v>
      </c>
      <c r="L38" s="28">
        <f t="shared" si="4"/>
        <v>6800</v>
      </c>
      <c r="M38" s="28">
        <f t="shared" si="5"/>
        <v>0</v>
      </c>
      <c r="N38" s="25"/>
    </row>
    <row r="39" spans="1:14" x14ac:dyDescent="0.2">
      <c r="A39" s="32">
        <v>1</v>
      </c>
      <c r="B39" t="s">
        <v>51</v>
      </c>
      <c r="H39">
        <v>40</v>
      </c>
      <c r="I39" t="s">
        <v>9</v>
      </c>
      <c r="J39" s="27">
        <v>75</v>
      </c>
      <c r="L39" s="28">
        <f t="shared" si="4"/>
        <v>3000</v>
      </c>
      <c r="M39" s="28">
        <f t="shared" si="5"/>
        <v>3000</v>
      </c>
      <c r="N39" s="25"/>
    </row>
    <row r="40" spans="1:14" x14ac:dyDescent="0.2">
      <c r="A40" s="32">
        <v>2</v>
      </c>
      <c r="B40" t="s">
        <v>15</v>
      </c>
      <c r="H40">
        <v>8</v>
      </c>
      <c r="I40" t="s">
        <v>9</v>
      </c>
      <c r="J40" s="27">
        <v>190</v>
      </c>
      <c r="L40" s="28">
        <f t="shared" si="4"/>
        <v>1520</v>
      </c>
      <c r="M40" s="28">
        <f t="shared" si="5"/>
        <v>3040</v>
      </c>
      <c r="N40" s="25"/>
    </row>
    <row r="41" spans="1:14" x14ac:dyDescent="0.2">
      <c r="A41" s="32">
        <v>2</v>
      </c>
      <c r="B41" t="s">
        <v>61</v>
      </c>
      <c r="H41">
        <v>16</v>
      </c>
      <c r="I41" t="s">
        <v>9</v>
      </c>
      <c r="J41" s="27">
        <v>75</v>
      </c>
      <c r="L41" s="28">
        <f t="shared" si="4"/>
        <v>1200</v>
      </c>
      <c r="M41" s="28">
        <f t="shared" si="5"/>
        <v>2400</v>
      </c>
      <c r="N41" s="25"/>
    </row>
    <row r="42" spans="1:14" x14ac:dyDescent="0.2">
      <c r="A42" s="32">
        <v>1</v>
      </c>
      <c r="B42" t="s">
        <v>62</v>
      </c>
      <c r="H42">
        <v>8</v>
      </c>
      <c r="I42" t="s">
        <v>9</v>
      </c>
      <c r="J42" s="27">
        <v>190</v>
      </c>
      <c r="L42" s="28">
        <f t="shared" si="4"/>
        <v>1520</v>
      </c>
      <c r="M42" s="28">
        <f t="shared" si="5"/>
        <v>1520</v>
      </c>
      <c r="N42" s="25"/>
    </row>
    <row r="43" spans="1:14" x14ac:dyDescent="0.2">
      <c r="A43" s="33"/>
      <c r="B43" s="10" t="s">
        <v>66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26">
        <f>SUM(M44:M47)</f>
        <v>7950</v>
      </c>
    </row>
    <row r="44" spans="1:14" x14ac:dyDescent="0.2">
      <c r="A44" s="32">
        <v>1</v>
      </c>
      <c r="B44" t="s">
        <v>67</v>
      </c>
      <c r="H44">
        <v>16</v>
      </c>
      <c r="I44" t="s">
        <v>9</v>
      </c>
      <c r="J44" s="27">
        <v>75</v>
      </c>
      <c r="L44" s="28">
        <f t="shared" ref="L44:L47" si="6">H44*J44</f>
        <v>1200</v>
      </c>
      <c r="M44" s="28">
        <f t="shared" ref="M44:M47" si="7">A44*L44</f>
        <v>1200</v>
      </c>
      <c r="N44" s="25"/>
    </row>
    <row r="45" spans="1:14" x14ac:dyDescent="0.2">
      <c r="A45" s="32">
        <v>1</v>
      </c>
      <c r="B45" t="s">
        <v>66</v>
      </c>
      <c r="H45">
        <v>2</v>
      </c>
      <c r="I45" t="s">
        <v>9</v>
      </c>
      <c r="J45" s="27">
        <v>75</v>
      </c>
      <c r="L45" s="28">
        <f t="shared" si="6"/>
        <v>150</v>
      </c>
      <c r="M45" s="28">
        <f t="shared" si="7"/>
        <v>150</v>
      </c>
      <c r="N45" s="25"/>
    </row>
    <row r="46" spans="1:14" x14ac:dyDescent="0.2">
      <c r="A46" s="32">
        <v>1</v>
      </c>
      <c r="B46" t="s">
        <v>68</v>
      </c>
      <c r="H46">
        <v>8</v>
      </c>
      <c r="I46" t="s">
        <v>9</v>
      </c>
      <c r="J46" s="40">
        <v>75</v>
      </c>
      <c r="L46" s="38">
        <f t="shared" si="6"/>
        <v>600</v>
      </c>
      <c r="M46" s="38">
        <f t="shared" si="7"/>
        <v>600</v>
      </c>
      <c r="N46" s="25"/>
    </row>
    <row r="47" spans="1:14" x14ac:dyDescent="0.2">
      <c r="A47" s="32">
        <v>1</v>
      </c>
      <c r="B47" t="s">
        <v>69</v>
      </c>
      <c r="H47">
        <v>1</v>
      </c>
      <c r="I47" t="s">
        <v>14</v>
      </c>
      <c r="J47" s="27">
        <v>6000</v>
      </c>
      <c r="L47" s="38">
        <f t="shared" si="6"/>
        <v>6000</v>
      </c>
      <c r="M47" s="28">
        <f t="shared" si="7"/>
        <v>6000</v>
      </c>
      <c r="N47" s="25"/>
    </row>
    <row r="48" spans="1:14" x14ac:dyDescent="0.2">
      <c r="A48" s="32"/>
      <c r="N48" s="25"/>
    </row>
    <row r="49" spans="1:14" x14ac:dyDescent="0.2">
      <c r="A49" s="33"/>
      <c r="B49" s="10" t="s">
        <v>22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30">
        <f>SUM(M13:M48)</f>
        <v>307670</v>
      </c>
      <c r="N49" s="31">
        <f>SUM(N13:N48)</f>
        <v>307670</v>
      </c>
    </row>
    <row r="50" spans="1:14" x14ac:dyDescent="0.2">
      <c r="A50" s="33"/>
      <c r="B50" s="10"/>
      <c r="C50" s="9"/>
      <c r="D50" s="9"/>
      <c r="E50" s="9"/>
      <c r="F50" s="30"/>
      <c r="G50" s="10"/>
      <c r="H50" s="9"/>
      <c r="I50" s="9"/>
      <c r="J50" s="30"/>
      <c r="K50" s="9"/>
      <c r="L50" s="9"/>
      <c r="M50" s="34"/>
      <c r="N50" s="31"/>
    </row>
    <row r="51" spans="1:14" x14ac:dyDescent="0.2">
      <c r="A51" s="37"/>
      <c r="B51" s="15" t="s">
        <v>42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35"/>
    </row>
    <row r="52" spans="1:14" hidden="1" x14ac:dyDescent="0.2"/>
    <row r="53" spans="1:14" hidden="1" x14ac:dyDescent="0.2">
      <c r="A53" s="16"/>
      <c r="B53" s="10" t="s">
        <v>26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11">
        <f>SUM(M54:M56)</f>
        <v>123068</v>
      </c>
    </row>
    <row r="54" spans="1:14" hidden="1" x14ac:dyDescent="0.2">
      <c r="B54" t="s">
        <v>24</v>
      </c>
      <c r="K54" s="8">
        <v>0.1</v>
      </c>
      <c r="L54" s="7">
        <f>M49</f>
        <v>307670</v>
      </c>
      <c r="M54" s="7">
        <f>K54*L54</f>
        <v>30767</v>
      </c>
    </row>
    <row r="55" spans="1:14" hidden="1" x14ac:dyDescent="0.2">
      <c r="B55" t="s">
        <v>23</v>
      </c>
      <c r="K55" s="8">
        <v>0.15</v>
      </c>
      <c r="L55" s="7">
        <f>M49</f>
        <v>307670</v>
      </c>
      <c r="M55" s="7">
        <f>K55*L55</f>
        <v>46150.5</v>
      </c>
    </row>
    <row r="56" spans="1:14" hidden="1" x14ac:dyDescent="0.2">
      <c r="B56" t="s">
        <v>25</v>
      </c>
      <c r="K56" s="8">
        <v>0.15</v>
      </c>
      <c r="L56" s="7">
        <f>M49</f>
        <v>307670</v>
      </c>
      <c r="M56" s="7">
        <f>K56*L56</f>
        <v>46150.5</v>
      </c>
    </row>
    <row r="57" spans="1:14" hidden="1" x14ac:dyDescent="0.2"/>
    <row r="58" spans="1:14" hidden="1" x14ac:dyDescent="0.2">
      <c r="A58" s="16"/>
      <c r="B58" s="10" t="s">
        <v>27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1">
        <f>SUM(M49:M57)</f>
        <v>430738</v>
      </c>
      <c r="N58" s="11">
        <f>SUM(N49:N57)</f>
        <v>430738</v>
      </c>
    </row>
    <row r="59" spans="1:14" hidden="1" x14ac:dyDescent="0.2">
      <c r="B59" t="s">
        <v>28</v>
      </c>
      <c r="K59" s="8">
        <v>0.21</v>
      </c>
      <c r="L59" s="7">
        <f>M58</f>
        <v>430738</v>
      </c>
      <c r="M59" s="7">
        <f>K59*L59</f>
        <v>90454.98</v>
      </c>
      <c r="N59" s="7">
        <f>M59</f>
        <v>90454.98</v>
      </c>
    </row>
    <row r="60" spans="1:14" hidden="1" x14ac:dyDescent="0.2"/>
    <row r="61" spans="1:14" hidden="1" x14ac:dyDescent="0.2">
      <c r="A61" s="16"/>
      <c r="B61" s="10" t="s">
        <v>29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1">
        <f>SUM(M58:M60)</f>
        <v>521192.98</v>
      </c>
      <c r="N61" s="11">
        <f>SUM(N58:N60)</f>
        <v>521192.98</v>
      </c>
    </row>
  </sheetData>
  <printOptions gridLines="1"/>
  <pageMargins left="0.9055118110236221" right="0.31496062992125984" top="0.15748031496062992" bottom="0.35433070866141736" header="0" footer="0"/>
  <pageSetup paperSize="9" scale="67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46"/>
  <sheetViews>
    <sheetView zoomScaleNormal="100" zoomScaleSheetLayoutView="100" workbookViewId="0">
      <selection activeCell="L21" sqref="L21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</cols>
  <sheetData>
    <row r="1" spans="1:14" x14ac:dyDescent="0.2">
      <c r="A1" s="17" t="s">
        <v>0</v>
      </c>
      <c r="B1" s="1"/>
      <c r="C1" s="1" t="s">
        <v>64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41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41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54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40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57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80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92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26400</v>
      </c>
    </row>
    <row r="14" spans="1:14" x14ac:dyDescent="0.2">
      <c r="A14" s="32">
        <v>1</v>
      </c>
      <c r="B14" t="s">
        <v>13</v>
      </c>
      <c r="H14">
        <v>120</v>
      </c>
      <c r="I14" t="s">
        <v>9</v>
      </c>
      <c r="J14" s="27">
        <v>100</v>
      </c>
      <c r="L14" s="28">
        <f t="shared" ref="L14:L16" si="0">H14*J14</f>
        <v>12000</v>
      </c>
      <c r="M14" s="28">
        <f>A14*L14</f>
        <v>12000</v>
      </c>
      <c r="N14" s="25"/>
    </row>
    <row r="15" spans="1:14" x14ac:dyDescent="0.2">
      <c r="A15" s="32">
        <v>0.5</v>
      </c>
      <c r="B15" t="s">
        <v>11</v>
      </c>
      <c r="H15">
        <v>160</v>
      </c>
      <c r="I15" t="s">
        <v>9</v>
      </c>
      <c r="J15" s="27">
        <v>90</v>
      </c>
      <c r="L15" s="28">
        <f t="shared" si="0"/>
        <v>14400</v>
      </c>
      <c r="M15" s="28">
        <f>A15*L15</f>
        <v>7200</v>
      </c>
      <c r="N15" s="25"/>
    </row>
    <row r="16" spans="1:14" x14ac:dyDescent="0.2">
      <c r="A16" s="32">
        <v>1</v>
      </c>
      <c r="B16" t="s">
        <v>12</v>
      </c>
      <c r="H16"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4" x14ac:dyDescent="0.2">
      <c r="A17" s="32"/>
      <c r="N17" s="25"/>
    </row>
    <row r="18" spans="1:14" x14ac:dyDescent="0.2">
      <c r="A18" s="33"/>
      <c r="B18" s="10" t="s">
        <v>70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26">
        <f>SUM(M19:M21)</f>
        <v>5000</v>
      </c>
    </row>
    <row r="19" spans="1:14" x14ac:dyDescent="0.2">
      <c r="A19" s="32">
        <v>1</v>
      </c>
      <c r="B19" t="s">
        <v>73</v>
      </c>
      <c r="L19" s="38">
        <v>1500</v>
      </c>
      <c r="M19" s="38">
        <f t="shared" ref="M19:M21" si="1">A19*L19</f>
        <v>1500</v>
      </c>
      <c r="N19" s="25"/>
    </row>
    <row r="20" spans="1:14" x14ac:dyDescent="0.2">
      <c r="A20" s="32">
        <v>1</v>
      </c>
      <c r="B20" t="s">
        <v>71</v>
      </c>
      <c r="L20" s="38">
        <v>2500</v>
      </c>
      <c r="M20" s="38">
        <f t="shared" si="1"/>
        <v>2500</v>
      </c>
      <c r="N20" s="25"/>
    </row>
    <row r="21" spans="1:14" x14ac:dyDescent="0.2">
      <c r="A21" s="32">
        <v>1</v>
      </c>
      <c r="B21" t="s">
        <v>72</v>
      </c>
      <c r="L21" s="38">
        <v>1000</v>
      </c>
      <c r="M21" s="38">
        <f t="shared" si="1"/>
        <v>1000</v>
      </c>
      <c r="N21" s="25"/>
    </row>
    <row r="22" spans="1:14" x14ac:dyDescent="0.2">
      <c r="A22" s="32"/>
      <c r="J22" s="40"/>
      <c r="N22" s="25"/>
    </row>
    <row r="23" spans="1:14" x14ac:dyDescent="0.2">
      <c r="A23" s="33"/>
      <c r="B23" s="10" t="s">
        <v>74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29"/>
      <c r="N23" s="26">
        <f>SUM(M24:M26)</f>
        <v>55000</v>
      </c>
    </row>
    <row r="24" spans="1:14" x14ac:dyDescent="0.2">
      <c r="A24" s="32">
        <v>1</v>
      </c>
      <c r="B24" t="s">
        <v>75</v>
      </c>
      <c r="H24">
        <v>1</v>
      </c>
      <c r="J24" s="27">
        <v>20000</v>
      </c>
      <c r="L24" s="28">
        <f t="shared" ref="L24:L27" si="2">H24*J24</f>
        <v>20000</v>
      </c>
      <c r="M24" s="28">
        <f t="shared" ref="M24:M27" si="3">A24*L24</f>
        <v>20000</v>
      </c>
      <c r="N24" s="25"/>
    </row>
    <row r="25" spans="1:14" x14ac:dyDescent="0.2">
      <c r="A25" s="32">
        <v>1</v>
      </c>
      <c r="B25" t="s">
        <v>93</v>
      </c>
      <c r="E25" t="s">
        <v>94</v>
      </c>
      <c r="H25">
        <v>1</v>
      </c>
      <c r="J25" s="27">
        <v>35000</v>
      </c>
      <c r="L25" s="28">
        <f t="shared" si="2"/>
        <v>35000</v>
      </c>
      <c r="M25" s="28">
        <f t="shared" si="3"/>
        <v>35000</v>
      </c>
      <c r="N25" s="25"/>
    </row>
    <row r="26" spans="1:14" x14ac:dyDescent="0.2">
      <c r="A26" s="32">
        <v>0</v>
      </c>
      <c r="B26" t="s">
        <v>38</v>
      </c>
      <c r="H26">
        <v>1</v>
      </c>
      <c r="J26" s="27">
        <v>6000</v>
      </c>
      <c r="L26" s="28">
        <f t="shared" si="2"/>
        <v>6000</v>
      </c>
      <c r="M26" s="28">
        <f t="shared" si="3"/>
        <v>0</v>
      </c>
      <c r="N26" s="25"/>
    </row>
    <row r="27" spans="1:14" x14ac:dyDescent="0.2">
      <c r="A27" s="32">
        <v>0</v>
      </c>
      <c r="B27" t="s">
        <v>77</v>
      </c>
      <c r="H27">
        <v>80</v>
      </c>
      <c r="I27" t="s">
        <v>9</v>
      </c>
      <c r="J27" s="27">
        <v>75</v>
      </c>
      <c r="L27" s="28">
        <f t="shared" si="2"/>
        <v>6000</v>
      </c>
      <c r="M27" s="28">
        <f t="shared" si="3"/>
        <v>0</v>
      </c>
      <c r="N27" s="25"/>
    </row>
    <row r="28" spans="1:14" x14ac:dyDescent="0.2">
      <c r="A28" s="33"/>
      <c r="B28" s="10" t="s">
        <v>78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26">
        <f>SUM(M29:M29)</f>
        <v>74000</v>
      </c>
    </row>
    <row r="29" spans="1:14" x14ac:dyDescent="0.2">
      <c r="A29" s="32">
        <v>2</v>
      </c>
      <c r="B29" t="s">
        <v>79</v>
      </c>
      <c r="H29">
        <v>1</v>
      </c>
      <c r="I29" t="s">
        <v>14</v>
      </c>
      <c r="J29" s="27">
        <v>37000</v>
      </c>
      <c r="L29" s="28">
        <f t="shared" ref="L29" si="4">H29*J29</f>
        <v>37000</v>
      </c>
      <c r="M29" s="28">
        <f t="shared" ref="M29" si="5">A29*L29</f>
        <v>74000</v>
      </c>
      <c r="N29" s="25"/>
    </row>
    <row r="30" spans="1:14" x14ac:dyDescent="0.2">
      <c r="A30" s="33"/>
      <c r="B30" s="10" t="s">
        <v>66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26">
        <f>SUM(M31:M33)</f>
        <v>1950</v>
      </c>
    </row>
    <row r="31" spans="1:14" x14ac:dyDescent="0.2">
      <c r="A31" s="32">
        <v>1</v>
      </c>
      <c r="B31" t="s">
        <v>67</v>
      </c>
      <c r="H31">
        <v>16</v>
      </c>
      <c r="I31" t="s">
        <v>9</v>
      </c>
      <c r="J31" s="27">
        <v>75</v>
      </c>
      <c r="L31" s="28">
        <f t="shared" ref="L31:L33" si="6">H31*J31</f>
        <v>1200</v>
      </c>
      <c r="M31" s="28">
        <f t="shared" ref="M31:M33" si="7">A31*L31</f>
        <v>1200</v>
      </c>
      <c r="N31" s="25"/>
    </row>
    <row r="32" spans="1:14" x14ac:dyDescent="0.2">
      <c r="A32" s="32">
        <v>1</v>
      </c>
      <c r="B32" t="s">
        <v>66</v>
      </c>
      <c r="H32">
        <v>2</v>
      </c>
      <c r="I32" t="s">
        <v>9</v>
      </c>
      <c r="J32" s="27">
        <v>75</v>
      </c>
      <c r="L32" s="28">
        <f t="shared" si="6"/>
        <v>150</v>
      </c>
      <c r="M32" s="28">
        <f t="shared" si="7"/>
        <v>150</v>
      </c>
      <c r="N32" s="25"/>
    </row>
    <row r="33" spans="1:14" x14ac:dyDescent="0.2">
      <c r="A33" s="32">
        <v>1</v>
      </c>
      <c r="B33" t="s">
        <v>68</v>
      </c>
      <c r="H33">
        <v>8</v>
      </c>
      <c r="I33" t="s">
        <v>9</v>
      </c>
      <c r="J33" s="40">
        <v>75</v>
      </c>
      <c r="L33" s="38">
        <f t="shared" si="6"/>
        <v>600</v>
      </c>
      <c r="M33" s="38">
        <f t="shared" si="7"/>
        <v>600</v>
      </c>
      <c r="N33" s="25"/>
    </row>
    <row r="34" spans="1:14" x14ac:dyDescent="0.2">
      <c r="A34" s="33"/>
      <c r="B34" s="10" t="s">
        <v>22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30">
        <f>SUM(M13:M33)</f>
        <v>162350</v>
      </c>
      <c r="N34" s="31">
        <f>SUM(N13:N33)</f>
        <v>162350</v>
      </c>
    </row>
    <row r="35" spans="1:14" x14ac:dyDescent="0.2">
      <c r="A35" s="33"/>
      <c r="B35" s="10"/>
      <c r="C35" s="9"/>
      <c r="D35" s="9"/>
      <c r="E35" s="9"/>
      <c r="F35" s="30"/>
      <c r="G35" s="10"/>
      <c r="H35" s="9"/>
      <c r="I35" s="9"/>
      <c r="J35" s="30"/>
      <c r="K35" s="9"/>
      <c r="L35" s="9"/>
      <c r="M35" s="34"/>
      <c r="N35" s="31"/>
    </row>
    <row r="36" spans="1:14" x14ac:dyDescent="0.2">
      <c r="A36" s="37"/>
      <c r="B36" s="15" t="s">
        <v>42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35"/>
    </row>
    <row r="37" spans="1:14" hidden="1" x14ac:dyDescent="0.2"/>
    <row r="38" spans="1:14" hidden="1" x14ac:dyDescent="0.2">
      <c r="A38" s="16"/>
      <c r="B38" s="10" t="s">
        <v>26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1">
        <f>SUM(M39:M41)</f>
        <v>64940</v>
      </c>
    </row>
    <row r="39" spans="1:14" hidden="1" x14ac:dyDescent="0.2">
      <c r="B39" t="s">
        <v>24</v>
      </c>
      <c r="K39" s="8">
        <v>0.1</v>
      </c>
      <c r="L39" s="7">
        <f>M34</f>
        <v>162350</v>
      </c>
      <c r="M39" s="7">
        <f>K39*L39</f>
        <v>16235</v>
      </c>
    </row>
    <row r="40" spans="1:14" hidden="1" x14ac:dyDescent="0.2">
      <c r="B40" t="s">
        <v>23</v>
      </c>
      <c r="K40" s="8">
        <v>0.15</v>
      </c>
      <c r="L40" s="7">
        <f>M34</f>
        <v>162350</v>
      </c>
      <c r="M40" s="7">
        <f>K40*L40</f>
        <v>24352.5</v>
      </c>
    </row>
    <row r="41" spans="1:14" hidden="1" x14ac:dyDescent="0.2">
      <c r="B41" t="s">
        <v>25</v>
      </c>
      <c r="K41" s="8">
        <v>0.15</v>
      </c>
      <c r="L41" s="7">
        <f>M34</f>
        <v>162350</v>
      </c>
      <c r="M41" s="7">
        <f>K41*L41</f>
        <v>24352.5</v>
      </c>
    </row>
    <row r="42" spans="1:14" hidden="1" x14ac:dyDescent="0.2"/>
    <row r="43" spans="1:14" hidden="1" x14ac:dyDescent="0.2">
      <c r="A43" s="16"/>
      <c r="B43" s="10" t="s">
        <v>27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1">
        <f>SUM(M34:M42)</f>
        <v>227290</v>
      </c>
      <c r="N43" s="11">
        <f>SUM(N34:N42)</f>
        <v>227290</v>
      </c>
    </row>
    <row r="44" spans="1:14" hidden="1" x14ac:dyDescent="0.2">
      <c r="B44" t="s">
        <v>28</v>
      </c>
      <c r="K44" s="8">
        <v>0.21</v>
      </c>
      <c r="L44" s="7">
        <f>M43</f>
        <v>227290</v>
      </c>
      <c r="M44" s="7">
        <f>K44*L44</f>
        <v>47730.9</v>
      </c>
      <c r="N44" s="7">
        <f>M44</f>
        <v>47730.9</v>
      </c>
    </row>
    <row r="45" spans="1:14" hidden="1" x14ac:dyDescent="0.2"/>
    <row r="46" spans="1:14" hidden="1" x14ac:dyDescent="0.2">
      <c r="A46" s="16"/>
      <c r="B46" s="10" t="s">
        <v>29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1">
        <f>SUM(M43:M45)</f>
        <v>275020.90000000002</v>
      </c>
      <c r="N46" s="11">
        <f>SUM(N43:N45)</f>
        <v>275020.90000000002</v>
      </c>
    </row>
  </sheetData>
  <printOptions gridLines="1"/>
  <pageMargins left="0.9055118110236221" right="0.31496062992125984" top="0.15748031496062992" bottom="0.35433070866141736" header="0" footer="0"/>
  <pageSetup paperSize="9" scale="67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61"/>
  <sheetViews>
    <sheetView topLeftCell="A7" zoomScaleNormal="100" zoomScaleSheetLayoutView="100" workbookViewId="0">
      <selection activeCell="C9" sqref="C9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  <col min="16" max="16" width="9.7109375" bestFit="1" customWidth="1"/>
    <col min="18" max="18" width="10.28515625" bestFit="1" customWidth="1"/>
  </cols>
  <sheetData>
    <row r="1" spans="1:14" x14ac:dyDescent="0.2">
      <c r="A1" s="17" t="s">
        <v>0</v>
      </c>
      <c r="B1" s="1"/>
      <c r="C1" s="1" t="s">
        <v>64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41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41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54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40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57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65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91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19200</v>
      </c>
    </row>
    <row r="14" spans="1:14" x14ac:dyDescent="0.2">
      <c r="A14" s="32">
        <v>1</v>
      </c>
      <c r="B14" t="s">
        <v>13</v>
      </c>
      <c r="H14">
        <v>120</v>
      </c>
      <c r="I14" t="s">
        <v>9</v>
      </c>
      <c r="J14" s="27">
        <v>100</v>
      </c>
      <c r="L14" s="28">
        <f t="shared" ref="L14:L16" si="0">H14*J14</f>
        <v>12000</v>
      </c>
      <c r="M14" s="28">
        <f>A14*L14</f>
        <v>12000</v>
      </c>
      <c r="N14" s="25"/>
    </row>
    <row r="15" spans="1:14" x14ac:dyDescent="0.2">
      <c r="A15" s="32">
        <v>0</v>
      </c>
      <c r="B15" t="s">
        <v>11</v>
      </c>
      <c r="H15">
        <f>2*4*40</f>
        <v>320</v>
      </c>
      <c r="I15" t="s">
        <v>9</v>
      </c>
      <c r="J15" s="27">
        <v>90</v>
      </c>
      <c r="L15" s="28">
        <f t="shared" si="0"/>
        <v>28800</v>
      </c>
      <c r="M15" s="28">
        <f>A15*L15</f>
        <v>0</v>
      </c>
      <c r="N15" s="25"/>
    </row>
    <row r="16" spans="1:14" x14ac:dyDescent="0.2">
      <c r="A16" s="32">
        <v>1</v>
      </c>
      <c r="B16" t="s">
        <v>12</v>
      </c>
      <c r="H16"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8" x14ac:dyDescent="0.2">
      <c r="A17" s="32"/>
      <c r="N17" s="25"/>
    </row>
    <row r="18" spans="1:18" x14ac:dyDescent="0.2">
      <c r="A18" s="33"/>
      <c r="B18" s="10" t="s">
        <v>63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26">
        <f>SUM(M19:M29)</f>
        <v>460000</v>
      </c>
    </row>
    <row r="19" spans="1:18" x14ac:dyDescent="0.2">
      <c r="A19" s="32">
        <v>0</v>
      </c>
      <c r="B19" t="s">
        <v>43</v>
      </c>
      <c r="L19" s="38">
        <v>50000</v>
      </c>
      <c r="M19" s="38">
        <f t="shared" ref="M19:M29" si="1">A19*L19</f>
        <v>0</v>
      </c>
      <c r="N19" s="25"/>
    </row>
    <row r="20" spans="1:18" x14ac:dyDescent="0.2">
      <c r="A20" s="32">
        <v>2</v>
      </c>
      <c r="B20" t="s">
        <v>90</v>
      </c>
      <c r="L20" s="38">
        <v>230000</v>
      </c>
      <c r="M20" s="38">
        <f t="shared" si="1"/>
        <v>460000</v>
      </c>
      <c r="N20" s="25"/>
    </row>
    <row r="21" spans="1:18" x14ac:dyDescent="0.2">
      <c r="A21" s="32">
        <v>0</v>
      </c>
      <c r="B21" t="s">
        <v>45</v>
      </c>
      <c r="L21" s="38">
        <v>15000</v>
      </c>
      <c r="M21" s="38">
        <f t="shared" si="1"/>
        <v>0</v>
      </c>
      <c r="N21" s="25"/>
    </row>
    <row r="22" spans="1:18" x14ac:dyDescent="0.2">
      <c r="A22" s="32">
        <v>0</v>
      </c>
      <c r="B22" t="s">
        <v>46</v>
      </c>
      <c r="L22" s="38">
        <v>5000</v>
      </c>
      <c r="M22" s="38">
        <f t="shared" si="1"/>
        <v>0</v>
      </c>
      <c r="N22" s="25"/>
    </row>
    <row r="23" spans="1:18" x14ac:dyDescent="0.2">
      <c r="A23" s="32">
        <v>0</v>
      </c>
      <c r="B23" t="s">
        <v>47</v>
      </c>
      <c r="L23" s="38">
        <v>3000</v>
      </c>
      <c r="M23" s="38">
        <f t="shared" si="1"/>
        <v>0</v>
      </c>
      <c r="N23" s="25"/>
    </row>
    <row r="24" spans="1:18" x14ac:dyDescent="0.2">
      <c r="A24" s="32">
        <v>0</v>
      </c>
      <c r="B24" t="s">
        <v>53</v>
      </c>
      <c r="L24" s="38">
        <v>1000</v>
      </c>
      <c r="M24" s="38">
        <f t="shared" si="1"/>
        <v>0</v>
      </c>
      <c r="N24" s="25"/>
    </row>
    <row r="25" spans="1:18" x14ac:dyDescent="0.2">
      <c r="A25" s="32">
        <v>0</v>
      </c>
      <c r="B25" t="s">
        <v>49</v>
      </c>
      <c r="L25" s="38">
        <v>1000</v>
      </c>
      <c r="M25" s="38">
        <f t="shared" si="1"/>
        <v>0</v>
      </c>
      <c r="N25" s="25"/>
    </row>
    <row r="26" spans="1:18" x14ac:dyDescent="0.2">
      <c r="A26" s="32">
        <v>0</v>
      </c>
      <c r="B26" t="s">
        <v>10</v>
      </c>
      <c r="L26" s="38">
        <v>2000</v>
      </c>
      <c r="M26" s="38">
        <f t="shared" si="1"/>
        <v>0</v>
      </c>
      <c r="N26" s="25"/>
    </row>
    <row r="27" spans="1:18" x14ac:dyDescent="0.2">
      <c r="A27" s="32">
        <v>0</v>
      </c>
      <c r="B27" t="s">
        <v>48</v>
      </c>
      <c r="L27" s="38">
        <v>5000</v>
      </c>
      <c r="M27" s="38">
        <f t="shared" si="1"/>
        <v>0</v>
      </c>
      <c r="N27" s="25"/>
    </row>
    <row r="28" spans="1:18" x14ac:dyDescent="0.2">
      <c r="A28" s="32">
        <v>0</v>
      </c>
      <c r="B28" t="s">
        <v>37</v>
      </c>
      <c r="L28" s="38">
        <v>5000</v>
      </c>
      <c r="M28" s="38">
        <f t="shared" si="1"/>
        <v>0</v>
      </c>
      <c r="N28" s="25"/>
    </row>
    <row r="29" spans="1:18" x14ac:dyDescent="0.2">
      <c r="A29" s="32">
        <v>0</v>
      </c>
      <c r="B29" t="s">
        <v>59</v>
      </c>
      <c r="L29" s="38">
        <v>15000</v>
      </c>
      <c r="M29" s="38">
        <f t="shared" si="1"/>
        <v>0</v>
      </c>
      <c r="N29" s="25"/>
    </row>
    <row r="30" spans="1:18" x14ac:dyDescent="0.2">
      <c r="A30" s="33"/>
      <c r="B30" s="10" t="s">
        <v>55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29"/>
      <c r="N30" s="26">
        <f>SUM(M31:M34)</f>
        <v>5760</v>
      </c>
    </row>
    <row r="31" spans="1:18" x14ac:dyDescent="0.2">
      <c r="A31" s="32">
        <v>1</v>
      </c>
      <c r="B31" t="s">
        <v>18</v>
      </c>
      <c r="H31">
        <v>40</v>
      </c>
      <c r="I31" t="s">
        <v>9</v>
      </c>
      <c r="J31" s="27">
        <v>75</v>
      </c>
      <c r="L31" s="28">
        <f t="shared" ref="L31:L34" si="2">H31*J31</f>
        <v>3000</v>
      </c>
      <c r="M31" s="28">
        <f t="shared" ref="M31:M34" si="3">A31*L31</f>
        <v>3000</v>
      </c>
      <c r="N31" s="25"/>
      <c r="R31" s="7"/>
    </row>
    <row r="32" spans="1:18" x14ac:dyDescent="0.2">
      <c r="A32" s="32">
        <v>1</v>
      </c>
      <c r="B32" t="s">
        <v>56</v>
      </c>
      <c r="H32">
        <v>1</v>
      </c>
      <c r="I32" t="s">
        <v>16</v>
      </c>
      <c r="J32" s="27">
        <v>1000</v>
      </c>
      <c r="L32" s="28">
        <f t="shared" si="2"/>
        <v>1000</v>
      </c>
      <c r="M32" s="28">
        <f t="shared" si="3"/>
        <v>1000</v>
      </c>
      <c r="N32" s="25"/>
      <c r="R32" s="7"/>
    </row>
    <row r="33" spans="1:16" x14ac:dyDescent="0.2">
      <c r="A33" s="32">
        <v>1</v>
      </c>
      <c r="B33" t="s">
        <v>17</v>
      </c>
      <c r="H33">
        <v>8</v>
      </c>
      <c r="I33" t="s">
        <v>9</v>
      </c>
      <c r="J33" s="27">
        <v>70</v>
      </c>
      <c r="L33" s="28">
        <f t="shared" si="2"/>
        <v>560</v>
      </c>
      <c r="M33" s="28">
        <f t="shared" si="3"/>
        <v>560</v>
      </c>
      <c r="N33" s="25"/>
    </row>
    <row r="34" spans="1:16" x14ac:dyDescent="0.2">
      <c r="A34" s="32">
        <v>1</v>
      </c>
      <c r="B34" t="s">
        <v>19</v>
      </c>
      <c r="H34">
        <v>16</v>
      </c>
      <c r="I34" t="s">
        <v>9</v>
      </c>
      <c r="J34" s="27">
        <v>75</v>
      </c>
      <c r="L34" s="28">
        <f t="shared" si="2"/>
        <v>1200</v>
      </c>
      <c r="M34" s="28">
        <f t="shared" si="3"/>
        <v>1200</v>
      </c>
      <c r="N34" s="25"/>
    </row>
    <row r="35" spans="1:16" x14ac:dyDescent="0.2">
      <c r="A35" s="33"/>
      <c r="B35" s="10" t="s">
        <v>58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6">
        <f>SUM(M36:M42)</f>
        <v>14760</v>
      </c>
    </row>
    <row r="36" spans="1:16" x14ac:dyDescent="0.2">
      <c r="A36" s="32">
        <v>2</v>
      </c>
      <c r="B36" t="s">
        <v>60</v>
      </c>
      <c r="H36">
        <v>16</v>
      </c>
      <c r="I36" t="s">
        <v>9</v>
      </c>
      <c r="J36" s="27">
        <v>75</v>
      </c>
      <c r="L36" s="28">
        <f t="shared" ref="L36:L42" si="4">H36*J36</f>
        <v>1200</v>
      </c>
      <c r="M36" s="28">
        <f t="shared" ref="M36:M42" si="5">A36*L36</f>
        <v>2400</v>
      </c>
      <c r="N36" s="25"/>
    </row>
    <row r="37" spans="1:16" x14ac:dyDescent="0.2">
      <c r="A37" s="32">
        <v>2</v>
      </c>
      <c r="B37" t="s">
        <v>50</v>
      </c>
      <c r="H37">
        <v>16</v>
      </c>
      <c r="I37" t="s">
        <v>9</v>
      </c>
      <c r="J37" s="40">
        <v>75</v>
      </c>
      <c r="L37" s="38">
        <f t="shared" si="4"/>
        <v>1200</v>
      </c>
      <c r="M37" s="38">
        <f t="shared" si="5"/>
        <v>2400</v>
      </c>
      <c r="N37" s="25"/>
    </row>
    <row r="38" spans="1:16" x14ac:dyDescent="0.2">
      <c r="A38" s="32">
        <v>0</v>
      </c>
      <c r="B38" t="s">
        <v>52</v>
      </c>
      <c r="H38">
        <v>80</v>
      </c>
      <c r="I38" t="s">
        <v>9</v>
      </c>
      <c r="J38" s="27">
        <v>85</v>
      </c>
      <c r="L38" s="28">
        <f t="shared" si="4"/>
        <v>6800</v>
      </c>
      <c r="M38" s="28">
        <f t="shared" si="5"/>
        <v>0</v>
      </c>
      <c r="N38" s="25"/>
    </row>
    <row r="39" spans="1:16" x14ac:dyDescent="0.2">
      <c r="A39" s="32">
        <v>1</v>
      </c>
      <c r="B39" t="s">
        <v>51</v>
      </c>
      <c r="H39">
        <v>40</v>
      </c>
      <c r="I39" t="s">
        <v>9</v>
      </c>
      <c r="J39" s="27">
        <v>75</v>
      </c>
      <c r="L39" s="28">
        <f t="shared" si="4"/>
        <v>3000</v>
      </c>
      <c r="M39" s="28">
        <f t="shared" si="5"/>
        <v>3000</v>
      </c>
      <c r="N39" s="25"/>
    </row>
    <row r="40" spans="1:16" x14ac:dyDescent="0.2">
      <c r="A40" s="32">
        <v>2</v>
      </c>
      <c r="B40" t="s">
        <v>15</v>
      </c>
      <c r="H40">
        <v>8</v>
      </c>
      <c r="I40" t="s">
        <v>9</v>
      </c>
      <c r="J40" s="27">
        <v>190</v>
      </c>
      <c r="L40" s="28">
        <f t="shared" si="4"/>
        <v>1520</v>
      </c>
      <c r="M40" s="28">
        <f t="shared" si="5"/>
        <v>3040</v>
      </c>
      <c r="N40" s="25"/>
    </row>
    <row r="41" spans="1:16" x14ac:dyDescent="0.2">
      <c r="A41" s="32">
        <v>2</v>
      </c>
      <c r="B41" t="s">
        <v>61</v>
      </c>
      <c r="H41">
        <v>16</v>
      </c>
      <c r="I41" t="s">
        <v>9</v>
      </c>
      <c r="J41" s="27">
        <v>75</v>
      </c>
      <c r="L41" s="28">
        <f t="shared" si="4"/>
        <v>1200</v>
      </c>
      <c r="M41" s="28">
        <f t="shared" si="5"/>
        <v>2400</v>
      </c>
      <c r="N41" s="25"/>
    </row>
    <row r="42" spans="1:16" x14ac:dyDescent="0.2">
      <c r="A42" s="32">
        <v>1</v>
      </c>
      <c r="B42" t="s">
        <v>62</v>
      </c>
      <c r="H42">
        <v>8</v>
      </c>
      <c r="I42" t="s">
        <v>9</v>
      </c>
      <c r="J42" s="27">
        <v>190</v>
      </c>
      <c r="L42" s="28">
        <f t="shared" si="4"/>
        <v>1520</v>
      </c>
      <c r="M42" s="28">
        <f t="shared" si="5"/>
        <v>1520</v>
      </c>
      <c r="N42" s="25"/>
    </row>
    <row r="43" spans="1:16" x14ac:dyDescent="0.2">
      <c r="A43" s="33"/>
      <c r="B43" s="10" t="s">
        <v>66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26">
        <f>SUM(M44:M47)</f>
        <v>7950</v>
      </c>
    </row>
    <row r="44" spans="1:16" x14ac:dyDescent="0.2">
      <c r="A44" s="32">
        <v>1</v>
      </c>
      <c r="B44" t="s">
        <v>67</v>
      </c>
      <c r="H44">
        <v>16</v>
      </c>
      <c r="I44" t="s">
        <v>9</v>
      </c>
      <c r="J44" s="27">
        <v>75</v>
      </c>
      <c r="L44" s="28">
        <f t="shared" ref="L44:L47" si="6">H44*J44</f>
        <v>1200</v>
      </c>
      <c r="M44" s="28">
        <f t="shared" ref="M44:M47" si="7">A44*L44</f>
        <v>1200</v>
      </c>
      <c r="N44" s="25"/>
      <c r="P44" s="7"/>
    </row>
    <row r="45" spans="1:16" x14ac:dyDescent="0.2">
      <c r="A45" s="32">
        <v>1</v>
      </c>
      <c r="B45" t="s">
        <v>66</v>
      </c>
      <c r="H45">
        <v>2</v>
      </c>
      <c r="I45" t="s">
        <v>9</v>
      </c>
      <c r="J45" s="27">
        <v>75</v>
      </c>
      <c r="L45" s="28">
        <f t="shared" si="6"/>
        <v>150</v>
      </c>
      <c r="M45" s="28">
        <f t="shared" si="7"/>
        <v>150</v>
      </c>
      <c r="N45" s="25"/>
      <c r="P45" s="7"/>
    </row>
    <row r="46" spans="1:16" x14ac:dyDescent="0.2">
      <c r="A46" s="32">
        <v>1</v>
      </c>
      <c r="B46" t="s">
        <v>68</v>
      </c>
      <c r="H46">
        <v>8</v>
      </c>
      <c r="I46" t="s">
        <v>9</v>
      </c>
      <c r="J46" s="40">
        <v>75</v>
      </c>
      <c r="L46" s="38">
        <f t="shared" si="6"/>
        <v>600</v>
      </c>
      <c r="M46" s="38">
        <f t="shared" si="7"/>
        <v>600</v>
      </c>
      <c r="N46" s="25"/>
    </row>
    <row r="47" spans="1:16" x14ac:dyDescent="0.2">
      <c r="A47" s="32">
        <v>1</v>
      </c>
      <c r="B47" t="s">
        <v>69</v>
      </c>
      <c r="H47">
        <v>1</v>
      </c>
      <c r="I47" t="s">
        <v>14</v>
      </c>
      <c r="J47" s="27">
        <v>6000</v>
      </c>
      <c r="L47" s="38">
        <f t="shared" si="6"/>
        <v>6000</v>
      </c>
      <c r="M47" s="28">
        <f t="shared" si="7"/>
        <v>6000</v>
      </c>
      <c r="N47" s="25"/>
    </row>
    <row r="48" spans="1:16" x14ac:dyDescent="0.2">
      <c r="A48" s="32"/>
      <c r="N48" s="25"/>
    </row>
    <row r="49" spans="1:14" x14ac:dyDescent="0.2">
      <c r="A49" s="33"/>
      <c r="B49" s="10" t="s">
        <v>22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30">
        <f>SUM(M13:M48)</f>
        <v>507670</v>
      </c>
      <c r="N49" s="31">
        <f>SUM(N13:N48)</f>
        <v>507670</v>
      </c>
    </row>
    <row r="50" spans="1:14" x14ac:dyDescent="0.2">
      <c r="A50" s="33"/>
      <c r="B50" s="10"/>
      <c r="C50" s="9"/>
      <c r="D50" s="9"/>
      <c r="E50" s="9"/>
      <c r="F50" s="30"/>
      <c r="G50" s="10"/>
      <c r="H50" s="9"/>
      <c r="I50" s="9"/>
      <c r="J50" s="30"/>
      <c r="K50" s="9"/>
      <c r="L50" s="9"/>
      <c r="M50" s="34"/>
      <c r="N50" s="31"/>
    </row>
    <row r="51" spans="1:14" x14ac:dyDescent="0.2">
      <c r="A51" s="37"/>
      <c r="B51" s="15" t="s">
        <v>42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35"/>
    </row>
    <row r="52" spans="1:14" hidden="1" x14ac:dyDescent="0.2"/>
    <row r="53" spans="1:14" hidden="1" x14ac:dyDescent="0.2">
      <c r="A53" s="16"/>
      <c r="B53" s="10" t="s">
        <v>26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11">
        <f>SUM(M54:M56)</f>
        <v>203068</v>
      </c>
    </row>
    <row r="54" spans="1:14" hidden="1" x14ac:dyDescent="0.2">
      <c r="B54" t="s">
        <v>24</v>
      </c>
      <c r="K54" s="8">
        <v>0.1</v>
      </c>
      <c r="L54" s="7">
        <f>M49</f>
        <v>507670</v>
      </c>
      <c r="M54" s="7">
        <f>K54*L54</f>
        <v>50767</v>
      </c>
    </row>
    <row r="55" spans="1:14" hidden="1" x14ac:dyDescent="0.2">
      <c r="B55" t="s">
        <v>23</v>
      </c>
      <c r="K55" s="8">
        <v>0.15</v>
      </c>
      <c r="L55" s="7">
        <f>M49</f>
        <v>507670</v>
      </c>
      <c r="M55" s="7">
        <f>K55*L55</f>
        <v>76150.5</v>
      </c>
    </row>
    <row r="56" spans="1:14" hidden="1" x14ac:dyDescent="0.2">
      <c r="B56" t="s">
        <v>25</v>
      </c>
      <c r="K56" s="8">
        <v>0.15</v>
      </c>
      <c r="L56" s="7">
        <f>M49</f>
        <v>507670</v>
      </c>
      <c r="M56" s="7">
        <f>K56*L56</f>
        <v>76150.5</v>
      </c>
    </row>
    <row r="57" spans="1:14" hidden="1" x14ac:dyDescent="0.2"/>
    <row r="58" spans="1:14" hidden="1" x14ac:dyDescent="0.2">
      <c r="A58" s="16"/>
      <c r="B58" s="10" t="s">
        <v>27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1">
        <f>SUM(M49:M57)</f>
        <v>710738</v>
      </c>
      <c r="N58" s="11">
        <f>SUM(N49:N57)</f>
        <v>710738</v>
      </c>
    </row>
    <row r="59" spans="1:14" hidden="1" x14ac:dyDescent="0.2">
      <c r="B59" t="s">
        <v>28</v>
      </c>
      <c r="K59" s="8">
        <v>0.21</v>
      </c>
      <c r="L59" s="7">
        <f>M58</f>
        <v>710738</v>
      </c>
      <c r="M59" s="7">
        <f>K59*L59</f>
        <v>149254.97999999998</v>
      </c>
      <c r="N59" s="7">
        <f>M59</f>
        <v>149254.97999999998</v>
      </c>
    </row>
    <row r="60" spans="1:14" hidden="1" x14ac:dyDescent="0.2"/>
    <row r="61" spans="1:14" hidden="1" x14ac:dyDescent="0.2">
      <c r="A61" s="16"/>
      <c r="B61" s="10" t="s">
        <v>29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1">
        <f>SUM(M58:M60)</f>
        <v>859992.98</v>
      </c>
      <c r="N61" s="11">
        <f>SUM(N58:N60)</f>
        <v>859992.98</v>
      </c>
    </row>
  </sheetData>
  <printOptions gridLines="1"/>
  <pageMargins left="0.9055118110236221" right="0.31496062992125984" top="0.15748031496062992" bottom="0.35433070866141736" header="0" footer="0"/>
  <pageSetup paperSize="9" scale="67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6"/>
  <sheetViews>
    <sheetView zoomScaleNormal="100" zoomScaleSheetLayoutView="100" workbookViewId="0">
      <selection activeCell="M52" sqref="M52"/>
    </sheetView>
  </sheetViews>
  <sheetFormatPr defaultRowHeight="12.75" x14ac:dyDescent="0.2"/>
  <cols>
    <col min="1" max="1" width="9.140625" style="12"/>
    <col min="6" max="6" width="9.7109375" bestFit="1" customWidth="1"/>
    <col min="10" max="10" width="12.140625" customWidth="1"/>
    <col min="12" max="12" width="14.42578125" customWidth="1"/>
    <col min="13" max="13" width="14.28515625" customWidth="1"/>
    <col min="14" max="14" width="16.42578125" customWidth="1"/>
  </cols>
  <sheetData>
    <row r="1" spans="1:14" x14ac:dyDescent="0.2">
      <c r="A1" s="17" t="s">
        <v>0</v>
      </c>
      <c r="B1" s="1"/>
      <c r="C1" s="1" t="s">
        <v>64</v>
      </c>
      <c r="D1" s="1"/>
      <c r="E1" s="1"/>
      <c r="F1" s="1"/>
      <c r="G1" s="2"/>
      <c r="H1" s="2"/>
      <c r="I1" s="2"/>
      <c r="J1" s="2"/>
      <c r="K1" s="2"/>
      <c r="L1" s="2"/>
      <c r="M1" s="2"/>
      <c r="N1" s="3"/>
    </row>
    <row r="2" spans="1:14" x14ac:dyDescent="0.2">
      <c r="A2" s="18" t="s">
        <v>1</v>
      </c>
      <c r="B2" s="4"/>
      <c r="C2" s="4" t="s">
        <v>41</v>
      </c>
      <c r="D2" s="4"/>
      <c r="E2" s="4"/>
      <c r="F2" s="4"/>
      <c r="G2" s="5"/>
      <c r="H2" s="5"/>
      <c r="I2" s="5"/>
      <c r="J2" s="5"/>
      <c r="K2" s="5"/>
      <c r="L2" s="5"/>
      <c r="M2" s="5"/>
      <c r="N2" s="6"/>
    </row>
    <row r="3" spans="1:14" x14ac:dyDescent="0.2">
      <c r="A3" s="18" t="s">
        <v>2</v>
      </c>
      <c r="B3" s="4"/>
      <c r="C3" s="4" t="s">
        <v>41</v>
      </c>
      <c r="D3" s="4"/>
      <c r="E3" s="4"/>
      <c r="F3" s="4"/>
      <c r="G3" s="5"/>
      <c r="H3" s="5"/>
      <c r="I3" s="42"/>
      <c r="J3" s="5"/>
      <c r="K3" s="5"/>
      <c r="L3" s="5"/>
      <c r="M3" s="5"/>
      <c r="N3" s="6"/>
    </row>
    <row r="4" spans="1:14" x14ac:dyDescent="0.2">
      <c r="A4" s="18" t="s">
        <v>3</v>
      </c>
      <c r="B4" s="4"/>
      <c r="C4" s="4" t="s">
        <v>54</v>
      </c>
      <c r="D4" s="4"/>
      <c r="E4" s="4"/>
      <c r="F4" s="4"/>
      <c r="G4" s="5"/>
      <c r="H4" s="5"/>
      <c r="I4" s="41"/>
      <c r="J4" s="41"/>
      <c r="K4" s="41"/>
      <c r="L4" s="5"/>
      <c r="M4" s="5"/>
      <c r="N4" s="6"/>
    </row>
    <row r="5" spans="1:14" x14ac:dyDescent="0.2">
      <c r="A5" s="18" t="s">
        <v>4</v>
      </c>
      <c r="B5" s="4"/>
      <c r="C5" s="4" t="s">
        <v>39</v>
      </c>
      <c r="D5" s="4"/>
      <c r="E5" s="4"/>
      <c r="F5" s="4"/>
      <c r="G5" s="5"/>
      <c r="H5" s="5"/>
      <c r="I5" s="41"/>
      <c r="J5" s="41"/>
      <c r="K5" s="41"/>
      <c r="L5" s="5"/>
      <c r="M5" s="5"/>
      <c r="N5" s="6"/>
    </row>
    <row r="6" spans="1:14" x14ac:dyDescent="0.2">
      <c r="A6" s="18" t="s">
        <v>5</v>
      </c>
      <c r="B6" s="4"/>
      <c r="C6" s="39" t="s">
        <v>40</v>
      </c>
      <c r="D6" s="4"/>
      <c r="E6" s="4"/>
      <c r="F6" s="4"/>
      <c r="G6" s="5"/>
      <c r="H6" s="5"/>
      <c r="I6" s="43"/>
      <c r="J6" s="5"/>
      <c r="K6" s="5"/>
      <c r="L6" s="5"/>
      <c r="M6" s="5"/>
      <c r="N6" s="6"/>
    </row>
    <row r="7" spans="1:14" x14ac:dyDescent="0.2">
      <c r="A7" s="18" t="s">
        <v>6</v>
      </c>
      <c r="B7" s="4"/>
      <c r="C7" s="4" t="s">
        <v>57</v>
      </c>
      <c r="D7" s="4"/>
      <c r="E7" s="4"/>
      <c r="F7" s="4"/>
      <c r="G7" s="5"/>
      <c r="H7" s="5"/>
      <c r="I7" s="5"/>
      <c r="J7" s="5"/>
      <c r="K7" s="5"/>
      <c r="L7" s="5"/>
      <c r="M7" s="5"/>
      <c r="N7" s="6"/>
    </row>
    <row r="8" spans="1:14" x14ac:dyDescent="0.2">
      <c r="A8" s="18" t="s">
        <v>7</v>
      </c>
      <c r="B8" s="4"/>
      <c r="C8" s="4" t="s">
        <v>80</v>
      </c>
      <c r="D8" s="4"/>
      <c r="E8" s="4"/>
      <c r="F8" s="4"/>
      <c r="G8" s="5"/>
      <c r="H8" s="5"/>
      <c r="I8" s="5"/>
      <c r="J8" s="5"/>
      <c r="K8" s="5"/>
      <c r="L8" s="5"/>
      <c r="M8" s="5"/>
      <c r="N8" s="6"/>
    </row>
    <row r="9" spans="1:14" x14ac:dyDescent="0.2">
      <c r="A9" s="18" t="s">
        <v>8</v>
      </c>
      <c r="B9" s="4"/>
      <c r="C9" s="4" t="s">
        <v>91</v>
      </c>
      <c r="D9" s="4"/>
      <c r="E9" s="4"/>
      <c r="F9" s="4"/>
      <c r="G9" s="5"/>
      <c r="H9" s="5"/>
      <c r="I9" s="5"/>
      <c r="J9" s="5"/>
      <c r="K9" s="19"/>
      <c r="L9" s="19"/>
      <c r="M9" s="19"/>
      <c r="N9" s="20"/>
    </row>
    <row r="10" spans="1:14" x14ac:dyDescent="0.2">
      <c r="A10" s="3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">
      <c r="A11" s="23" t="s">
        <v>31</v>
      </c>
      <c r="B11" s="13" t="s">
        <v>7</v>
      </c>
      <c r="D11" s="13"/>
      <c r="E11" s="13"/>
      <c r="F11" s="14"/>
      <c r="G11" s="14"/>
      <c r="H11" s="14" t="s">
        <v>31</v>
      </c>
      <c r="I11" s="14" t="s">
        <v>32</v>
      </c>
      <c r="J11" s="14" t="s">
        <v>35</v>
      </c>
      <c r="K11" s="14"/>
      <c r="L11" s="14" t="s">
        <v>30</v>
      </c>
      <c r="M11" s="14" t="s">
        <v>33</v>
      </c>
      <c r="N11" s="24" t="s">
        <v>34</v>
      </c>
    </row>
    <row r="12" spans="1:14" x14ac:dyDescent="0.2">
      <c r="A12" s="32"/>
      <c r="N12" s="25"/>
    </row>
    <row r="13" spans="1:14" x14ac:dyDescent="0.2">
      <c r="A13" s="33"/>
      <c r="B13" s="10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6">
        <f>SUM(M14:M16)</f>
        <v>26400</v>
      </c>
    </row>
    <row r="14" spans="1:14" x14ac:dyDescent="0.2">
      <c r="A14" s="32">
        <v>1</v>
      </c>
      <c r="B14" t="s">
        <v>13</v>
      </c>
      <c r="H14">
        <v>120</v>
      </c>
      <c r="I14" t="s">
        <v>9</v>
      </c>
      <c r="J14" s="27">
        <v>100</v>
      </c>
      <c r="L14" s="28">
        <f t="shared" ref="L14:L16" si="0">H14*J14</f>
        <v>12000</v>
      </c>
      <c r="M14" s="28">
        <f>A14*L14</f>
        <v>12000</v>
      </c>
      <c r="N14" s="25"/>
    </row>
    <row r="15" spans="1:14" x14ac:dyDescent="0.2">
      <c r="A15" s="32">
        <v>0.5</v>
      </c>
      <c r="B15" t="s">
        <v>11</v>
      </c>
      <c r="H15">
        <v>160</v>
      </c>
      <c r="I15" t="s">
        <v>9</v>
      </c>
      <c r="J15" s="27">
        <v>90</v>
      </c>
      <c r="L15" s="28">
        <f t="shared" si="0"/>
        <v>14400</v>
      </c>
      <c r="M15" s="28">
        <f>A15*L15</f>
        <v>7200</v>
      </c>
      <c r="N15" s="25"/>
    </row>
    <row r="16" spans="1:14" x14ac:dyDescent="0.2">
      <c r="A16" s="32">
        <v>1</v>
      </c>
      <c r="B16" t="s">
        <v>12</v>
      </c>
      <c r="H16">
        <v>80</v>
      </c>
      <c r="I16" t="s">
        <v>9</v>
      </c>
      <c r="J16" s="27">
        <v>90</v>
      </c>
      <c r="L16" s="28">
        <f t="shared" si="0"/>
        <v>7200</v>
      </c>
      <c r="M16" s="28">
        <f>A16*L16</f>
        <v>7200</v>
      </c>
      <c r="N16" s="25"/>
    </row>
    <row r="17" spans="1:14" x14ac:dyDescent="0.2">
      <c r="A17" s="32"/>
      <c r="N17" s="25"/>
    </row>
    <row r="18" spans="1:14" x14ac:dyDescent="0.2">
      <c r="A18" s="33"/>
      <c r="B18" s="10" t="s">
        <v>70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26">
        <f>SUM(M19:M21)</f>
        <v>5000</v>
      </c>
    </row>
    <row r="19" spans="1:14" x14ac:dyDescent="0.2">
      <c r="A19" s="32">
        <v>1</v>
      </c>
      <c r="B19" t="s">
        <v>73</v>
      </c>
      <c r="L19" s="38">
        <v>1500</v>
      </c>
      <c r="M19" s="38">
        <f t="shared" ref="M19:M21" si="1">A19*L19</f>
        <v>1500</v>
      </c>
      <c r="N19" s="25"/>
    </row>
    <row r="20" spans="1:14" x14ac:dyDescent="0.2">
      <c r="A20" s="32">
        <v>1</v>
      </c>
      <c r="B20" t="s">
        <v>71</v>
      </c>
      <c r="L20" s="38">
        <v>2500</v>
      </c>
      <c r="M20" s="38">
        <f t="shared" si="1"/>
        <v>2500</v>
      </c>
      <c r="N20" s="25"/>
    </row>
    <row r="21" spans="1:14" x14ac:dyDescent="0.2">
      <c r="A21" s="32">
        <v>1</v>
      </c>
      <c r="B21" t="s">
        <v>72</v>
      </c>
      <c r="L21" s="38">
        <v>1000</v>
      </c>
      <c r="M21" s="38">
        <f t="shared" si="1"/>
        <v>1000</v>
      </c>
      <c r="N21" s="25"/>
    </row>
    <row r="22" spans="1:14" x14ac:dyDescent="0.2">
      <c r="A22" s="32"/>
      <c r="J22" s="40"/>
      <c r="N22" s="25"/>
    </row>
    <row r="23" spans="1:14" x14ac:dyDescent="0.2">
      <c r="A23" s="33"/>
      <c r="B23" s="10" t="s">
        <v>74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29"/>
      <c r="N23" s="26">
        <f>SUM(M24:M26)</f>
        <v>110000</v>
      </c>
    </row>
    <row r="24" spans="1:14" x14ac:dyDescent="0.2">
      <c r="A24" s="32">
        <v>1</v>
      </c>
      <c r="B24" t="s">
        <v>75</v>
      </c>
      <c r="H24">
        <v>1</v>
      </c>
      <c r="J24" s="27">
        <v>20000</v>
      </c>
      <c r="L24" s="28">
        <f t="shared" ref="L24:L27" si="2">H24*J24</f>
        <v>20000</v>
      </c>
      <c r="M24" s="28">
        <f t="shared" ref="M24:M27" si="3">A24*L24</f>
        <v>20000</v>
      </c>
      <c r="N24" s="25"/>
    </row>
    <row r="25" spans="1:14" x14ac:dyDescent="0.2">
      <c r="A25" s="32">
        <v>1</v>
      </c>
      <c r="B25" t="s">
        <v>93</v>
      </c>
      <c r="E25" t="s">
        <v>94</v>
      </c>
      <c r="H25">
        <v>1</v>
      </c>
      <c r="J25" s="27">
        <v>35000</v>
      </c>
      <c r="L25" s="28">
        <v>90000</v>
      </c>
      <c r="M25" s="28">
        <f t="shared" si="3"/>
        <v>90000</v>
      </c>
      <c r="N25" s="25"/>
    </row>
    <row r="26" spans="1:14" x14ac:dyDescent="0.2">
      <c r="A26" s="32">
        <v>0</v>
      </c>
      <c r="B26" t="s">
        <v>38</v>
      </c>
      <c r="H26">
        <v>1</v>
      </c>
      <c r="J26" s="27">
        <v>6000</v>
      </c>
      <c r="L26" s="28">
        <f t="shared" si="2"/>
        <v>6000</v>
      </c>
      <c r="M26" s="28">
        <f t="shared" si="3"/>
        <v>0</v>
      </c>
      <c r="N26" s="25"/>
    </row>
    <row r="27" spans="1:14" x14ac:dyDescent="0.2">
      <c r="A27" s="32">
        <v>0</v>
      </c>
      <c r="B27" t="s">
        <v>77</v>
      </c>
      <c r="H27">
        <v>80</v>
      </c>
      <c r="I27" t="s">
        <v>9</v>
      </c>
      <c r="J27" s="27">
        <v>75</v>
      </c>
      <c r="L27" s="28">
        <f t="shared" si="2"/>
        <v>6000</v>
      </c>
      <c r="M27" s="28">
        <f t="shared" si="3"/>
        <v>0</v>
      </c>
      <c r="N27" s="25"/>
    </row>
    <row r="28" spans="1:14" x14ac:dyDescent="0.2">
      <c r="A28" s="33"/>
      <c r="B28" s="10" t="s">
        <v>78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26">
        <f>SUM(M29:M29)</f>
        <v>74000</v>
      </c>
    </row>
    <row r="29" spans="1:14" x14ac:dyDescent="0.2">
      <c r="A29" s="32">
        <v>2</v>
      </c>
      <c r="B29" t="s">
        <v>79</v>
      </c>
      <c r="H29">
        <v>1</v>
      </c>
      <c r="I29" t="s">
        <v>14</v>
      </c>
      <c r="J29" s="27">
        <v>37000</v>
      </c>
      <c r="L29" s="28">
        <f t="shared" ref="L29" si="4">H29*J29</f>
        <v>37000</v>
      </c>
      <c r="M29" s="28">
        <f t="shared" ref="M29" si="5">A29*L29</f>
        <v>74000</v>
      </c>
      <c r="N29" s="25"/>
    </row>
    <row r="30" spans="1:14" x14ac:dyDescent="0.2">
      <c r="A30" s="33"/>
      <c r="B30" s="10" t="s">
        <v>66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26">
        <f>SUM(M31:M33)</f>
        <v>1950</v>
      </c>
    </row>
    <row r="31" spans="1:14" x14ac:dyDescent="0.2">
      <c r="A31" s="32">
        <v>1</v>
      </c>
      <c r="B31" t="s">
        <v>67</v>
      </c>
      <c r="H31">
        <v>16</v>
      </c>
      <c r="I31" t="s">
        <v>9</v>
      </c>
      <c r="J31" s="27">
        <v>75</v>
      </c>
      <c r="L31" s="28">
        <f t="shared" ref="L31:L33" si="6">H31*J31</f>
        <v>1200</v>
      </c>
      <c r="M31" s="28">
        <f t="shared" ref="M31:M33" si="7">A31*L31</f>
        <v>1200</v>
      </c>
      <c r="N31" s="25"/>
    </row>
    <row r="32" spans="1:14" x14ac:dyDescent="0.2">
      <c r="A32" s="32">
        <v>1</v>
      </c>
      <c r="B32" t="s">
        <v>66</v>
      </c>
      <c r="H32">
        <v>2</v>
      </c>
      <c r="I32" t="s">
        <v>9</v>
      </c>
      <c r="J32" s="27">
        <v>75</v>
      </c>
      <c r="L32" s="28">
        <f t="shared" si="6"/>
        <v>150</v>
      </c>
      <c r="M32" s="28">
        <f t="shared" si="7"/>
        <v>150</v>
      </c>
      <c r="N32" s="25"/>
    </row>
    <row r="33" spans="1:14" x14ac:dyDescent="0.2">
      <c r="A33" s="32">
        <v>1</v>
      </c>
      <c r="B33" t="s">
        <v>68</v>
      </c>
      <c r="H33">
        <v>8</v>
      </c>
      <c r="I33" t="s">
        <v>9</v>
      </c>
      <c r="J33" s="40">
        <v>75</v>
      </c>
      <c r="L33" s="38">
        <f t="shared" si="6"/>
        <v>600</v>
      </c>
      <c r="M33" s="38">
        <f t="shared" si="7"/>
        <v>600</v>
      </c>
      <c r="N33" s="25"/>
    </row>
    <row r="34" spans="1:14" x14ac:dyDescent="0.2">
      <c r="A34" s="33"/>
      <c r="B34" s="10" t="s">
        <v>22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30">
        <f>SUM(M13:M33)</f>
        <v>217350</v>
      </c>
      <c r="N34" s="31">
        <f>SUM(N13:N33)</f>
        <v>217350</v>
      </c>
    </row>
    <row r="35" spans="1:14" x14ac:dyDescent="0.2">
      <c r="A35" s="33"/>
      <c r="B35" s="10"/>
      <c r="C35" s="9"/>
      <c r="D35" s="9"/>
      <c r="E35" s="9"/>
      <c r="F35" s="30"/>
      <c r="G35" s="10"/>
      <c r="H35" s="9"/>
      <c r="I35" s="9"/>
      <c r="J35" s="30"/>
      <c r="K35" s="9"/>
      <c r="L35" s="9"/>
      <c r="M35" s="34"/>
      <c r="N35" s="31"/>
    </row>
    <row r="36" spans="1:14" x14ac:dyDescent="0.2">
      <c r="A36" s="37"/>
      <c r="B36" s="15" t="s">
        <v>42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35"/>
    </row>
    <row r="37" spans="1:14" hidden="1" x14ac:dyDescent="0.2"/>
    <row r="38" spans="1:14" hidden="1" x14ac:dyDescent="0.2">
      <c r="A38" s="16"/>
      <c r="B38" s="10" t="s">
        <v>26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1">
        <f>SUM(M39:M41)</f>
        <v>86940</v>
      </c>
    </row>
    <row r="39" spans="1:14" hidden="1" x14ac:dyDescent="0.2">
      <c r="B39" t="s">
        <v>24</v>
      </c>
      <c r="K39" s="8">
        <v>0.1</v>
      </c>
      <c r="L39" s="7">
        <f>M34</f>
        <v>217350</v>
      </c>
      <c r="M39" s="7">
        <f>K39*L39</f>
        <v>21735</v>
      </c>
    </row>
    <row r="40" spans="1:14" hidden="1" x14ac:dyDescent="0.2">
      <c r="B40" t="s">
        <v>23</v>
      </c>
      <c r="K40" s="8">
        <v>0.15</v>
      </c>
      <c r="L40" s="7">
        <f>M34</f>
        <v>217350</v>
      </c>
      <c r="M40" s="7">
        <f>K40*L40</f>
        <v>32602.5</v>
      </c>
    </row>
    <row r="41" spans="1:14" hidden="1" x14ac:dyDescent="0.2">
      <c r="B41" t="s">
        <v>25</v>
      </c>
      <c r="K41" s="8">
        <v>0.15</v>
      </c>
      <c r="L41" s="7">
        <f>M34</f>
        <v>217350</v>
      </c>
      <c r="M41" s="7">
        <f>K41*L41</f>
        <v>32602.5</v>
      </c>
    </row>
    <row r="42" spans="1:14" hidden="1" x14ac:dyDescent="0.2"/>
    <row r="43" spans="1:14" hidden="1" x14ac:dyDescent="0.2">
      <c r="A43" s="16"/>
      <c r="B43" s="10" t="s">
        <v>27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1">
        <f>SUM(M34:M42)</f>
        <v>304290</v>
      </c>
      <c r="N43" s="11">
        <f>SUM(N34:N42)</f>
        <v>304290</v>
      </c>
    </row>
    <row r="44" spans="1:14" hidden="1" x14ac:dyDescent="0.2">
      <c r="B44" t="s">
        <v>28</v>
      </c>
      <c r="K44" s="8">
        <v>0.21</v>
      </c>
      <c r="L44" s="7">
        <f>M43</f>
        <v>304290</v>
      </c>
      <c r="M44" s="7">
        <f>K44*L44</f>
        <v>63900.899999999994</v>
      </c>
      <c r="N44" s="7">
        <f>M44</f>
        <v>63900.899999999994</v>
      </c>
    </row>
    <row r="45" spans="1:14" hidden="1" x14ac:dyDescent="0.2"/>
    <row r="46" spans="1:14" hidden="1" x14ac:dyDescent="0.2">
      <c r="A46" s="16"/>
      <c r="B46" s="10" t="s">
        <v>29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1">
        <f>SUM(M43:M45)</f>
        <v>368190.9</v>
      </c>
      <c r="N46" s="11">
        <f>SUM(N43:N45)</f>
        <v>368190.9</v>
      </c>
    </row>
  </sheetData>
  <printOptions gridLines="1"/>
  <pageMargins left="0.9055118110236221" right="0.31496062992125984" top="0.15748031496062992" bottom="0.35433070866141736" header="0" footer="0"/>
  <pageSetup paperSize="9" scale="6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DF507FC800D74DA2303BDC19EB86B9" ma:contentTypeVersion="16" ma:contentTypeDescription="Een nieuw document maken." ma:contentTypeScope="" ma:versionID="bf0060ed49e0cd3b5c1b8f4540214cc8">
  <xsd:schema xmlns:xsd="http://www.w3.org/2001/XMLSchema" xmlns:xs="http://www.w3.org/2001/XMLSchema" xmlns:p="http://schemas.microsoft.com/office/2006/metadata/properties" xmlns:ns2="ba28d3eb-5e55-40f2-bb6b-ec1e0185edf4" xmlns:ns3="52e07cd2-5351-4906-b03d-5e39d7bfb466" targetNamespace="http://schemas.microsoft.com/office/2006/metadata/properties" ma:root="true" ma:fieldsID="a389307502cdec461add1e861119e2c2" ns2:_="" ns3:_="">
    <xsd:import namespace="ba28d3eb-5e55-40f2-bb6b-ec1e0185edf4"/>
    <xsd:import namespace="52e07cd2-5351-4906-b03d-5e39d7bfb466"/>
    <xsd:element name="properties">
      <xsd:complexType>
        <xsd:sequence>
          <xsd:element name="documentManagement">
            <xsd:complexType>
              <xsd:all>
                <xsd:element ref="ns2:ProjectNumbe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8d3eb-5e55-40f2-bb6b-ec1e0185edf4" elementFormDefault="qualified">
    <xsd:import namespace="http://schemas.microsoft.com/office/2006/documentManagement/types"/>
    <xsd:import namespace="http://schemas.microsoft.com/office/infopath/2007/PartnerControls"/>
    <xsd:element name="ProjectNumber" ma:index="8" nillable="true" ma:displayName="Projectnummer" ma:default="0485398" ma:internalName="ProjectNumber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6ab94752-7f26-429d-8be8-b2122cabd3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e07cd2-5351-4906-b03d-5e39d7bfb466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67a3122-537d-4c08-9f42-3fc3b0f43263}" ma:internalName="TaxCatchAll" ma:showField="CatchAllData" ma:web="52e07cd2-5351-4906-b03d-5e39d7bfb4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e07cd2-5351-4906-b03d-5e39d7bfb466" xsi:nil="true"/>
    <ProjectNumber xmlns="ba28d3eb-5e55-40f2-bb6b-ec1e0185edf4">0485398.100</ProjectNumber>
    <lcf76f155ced4ddcb4097134ff3c332f xmlns="ba28d3eb-5e55-40f2-bb6b-ec1e0185ed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4B6272-159F-4289-A29D-C0D5BABDA22F}"/>
</file>

<file path=customXml/itemProps2.xml><?xml version="1.0" encoding="utf-8"?>
<ds:datastoreItem xmlns:ds="http://schemas.openxmlformats.org/officeDocument/2006/customXml" ds:itemID="{C6FF6D88-DEA7-4199-A82B-E4E85F6D88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1261AD-B77B-4B3C-A619-1B4E217EE061}">
  <ds:schemaRefs>
    <ds:schemaRef ds:uri="52e07cd2-5351-4906-b03d-5e39d7bfb466"/>
    <ds:schemaRef ds:uri="http://www.w3.org/XML/1998/namespace"/>
    <ds:schemaRef ds:uri="http://schemas.microsoft.com/office/2006/metadata/properties"/>
    <ds:schemaRef ds:uri="70c55440-f26b-43e0-8f3e-539a3d300ce7"/>
    <ds:schemaRef ds:uri="http://schemas.microsoft.com/office/infopath/2007/PartnerControls"/>
    <ds:schemaRef ds:uri="ff940178-ab1f-45f4-9b1c-1d8dc3ecd487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9bf691e-28e2-4dbc-9709-02294a8c1bf5}" enabled="0" method="" siteId="{89bf691e-28e2-4dbc-9709-02294a8c1b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19</vt:i4>
      </vt:variant>
      <vt:variant>
        <vt:lpstr>Benoemde bereiken</vt:lpstr>
      </vt:variant>
      <vt:variant>
        <vt:i4>17</vt:i4>
      </vt:variant>
    </vt:vector>
  </HeadingPairs>
  <TitlesOfParts>
    <vt:vector size="36" baseType="lpstr">
      <vt:lpstr>Blad1</vt:lpstr>
      <vt:lpstr>Variant 6</vt:lpstr>
      <vt:lpstr>Variant 5</vt:lpstr>
      <vt:lpstr>Variant 4</vt:lpstr>
      <vt:lpstr>Variant 3</vt:lpstr>
      <vt:lpstr>Variant 2</vt:lpstr>
      <vt:lpstr>Oxena Brids</vt:lpstr>
      <vt:lpstr>Kootstertille</vt:lpstr>
      <vt:lpstr>Variant 1</vt:lpstr>
      <vt:lpstr>Blad2</vt:lpstr>
      <vt:lpstr>Variant 0 en B roldeur E</vt:lpstr>
      <vt:lpstr>Variant  B  roldeur W</vt:lpstr>
      <vt:lpstr>Variant  B  brug W</vt:lpstr>
      <vt:lpstr>Variant 0 en A E</vt:lpstr>
      <vt:lpstr>Variant 0 en A W</vt:lpstr>
      <vt:lpstr>Variant 0 en A+ W</vt:lpstr>
      <vt:lpstr>Variant 0 en A+ E</vt:lpstr>
      <vt:lpstr>Variant 0 en A++ W</vt:lpstr>
      <vt:lpstr>Variant 0 en A++ E </vt:lpstr>
      <vt:lpstr>Kootstertille!Afdrukbereik</vt:lpstr>
      <vt:lpstr>'Oxena Brids'!Afdrukbereik</vt:lpstr>
      <vt:lpstr>'Variant  B  brug W'!Afdrukbereik</vt:lpstr>
      <vt:lpstr>'Variant  B  roldeur W'!Afdrukbereik</vt:lpstr>
      <vt:lpstr>'Variant 0 en A E'!Afdrukbereik</vt:lpstr>
      <vt:lpstr>'Variant 0 en A W'!Afdrukbereik</vt:lpstr>
      <vt:lpstr>'Variant 0 en A+ E'!Afdrukbereik</vt:lpstr>
      <vt:lpstr>'Variant 0 en A+ W'!Afdrukbereik</vt:lpstr>
      <vt:lpstr>'Variant 0 en A++ E '!Afdrukbereik</vt:lpstr>
      <vt:lpstr>'Variant 0 en A++ W'!Afdrukbereik</vt:lpstr>
      <vt:lpstr>'Variant 0 en B roldeur E'!Afdrukbereik</vt:lpstr>
      <vt:lpstr>'Variant 1'!Afdrukbereik</vt:lpstr>
      <vt:lpstr>'Variant 2'!Afdrukbereik</vt:lpstr>
      <vt:lpstr>'Variant 3'!Afdrukbereik</vt:lpstr>
      <vt:lpstr>'Variant 4'!Afdrukbereik</vt:lpstr>
      <vt:lpstr>'Variant 5'!Afdrukbereik</vt:lpstr>
      <vt:lpstr>'Variant 6'!Afdrukbereik</vt:lpstr>
    </vt:vector>
  </TitlesOfParts>
  <Company>Antea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 Bouwe, B. de</dc:creator>
  <cp:lastModifiedBy>Marien van Belzen</cp:lastModifiedBy>
  <cp:lastPrinted>2022-02-11T11:18:50Z</cp:lastPrinted>
  <dcterms:created xsi:type="dcterms:W3CDTF">2016-03-17T09:32:59Z</dcterms:created>
  <dcterms:modified xsi:type="dcterms:W3CDTF">2025-04-23T07:03:31Z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0x010100E1DF507FC800D74DA2303BDC19EB86B9</vt:lpwstr>
  </property>
  <property fmtid="{D5CDD505-2E9C-101B-9397-08002B2CF9AE}" pid="3" name="MediaServiceImageTags">
    <vt:lpwstr/>
  </property>
</Properties>
</file>