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Restafval\"/>
    </mc:Choice>
  </mc:AlternateContent>
  <xr:revisionPtr revIDLastSave="0" documentId="8_{CBC11034-BBC9-4E19-BE59-583CFB41550F}" xr6:coauthVersionLast="47" xr6:coauthVersionMax="47" xr10:uidLastSave="{00000000-0000-0000-0000-000000000000}"/>
  <bookViews>
    <workbookView xWindow="-120" yWindow="-16320" windowWidth="29040" windowHeight="15720" tabRatio="861" firstSheet="3" activeTab="9" xr2:uid="{82060E88-1CCB-4F33-98AF-01AE61D745DA}"/>
  </bookViews>
  <sheets>
    <sheet name="Voorblad" sheetId="1" r:id="rId1"/>
    <sheet name="1. Invulinstructie" sheetId="5" r:id="rId2"/>
    <sheet name="2.Kwal gunningscriteria 2026" sheetId="6" r:id="rId3"/>
    <sheet name="2.Kwal gunningscriteria 2027" sheetId="9" r:id="rId4"/>
    <sheet name="2.Kwal gunningscriteria 2028" sheetId="11" r:id="rId5"/>
    <sheet name="2.Kwal gunningscriteria 2029" sheetId="17" r:id="rId6"/>
    <sheet name="2.Kwal gunn.criteria 2030-2033" sheetId="13" r:id="rId7"/>
    <sheet name="3. Prijsinvulformulier 2026" sheetId="7" r:id="rId8"/>
    <sheet name="3. Prijsinvulformulier 2027" sheetId="10" r:id="rId9"/>
    <sheet name="3. Prijsinvulformulier 2028" sheetId="12" r:id="rId10"/>
    <sheet name="3. Prijsinvulformulier 2029" sheetId="14" r:id="rId11"/>
    <sheet name="3.Prijsinvulformulier 2030-2033" sheetId="15" r:id="rId12"/>
    <sheet name="4. Fictieve inschrijfprijs" sheetId="4" r:id="rId13"/>
  </sheets>
  <externalReferences>
    <externalReference r:id="rId14"/>
    <externalReference r:id="rId15"/>
    <externalReference r:id="rId16"/>
    <externalReference r:id="rId17"/>
  </externalReferences>
  <definedNames>
    <definedName name="Activiteit">'[1]projecten en planning'!$A$122:$A$128</definedName>
    <definedName name="_xlnm.Print_Area" localSheetId="1">'1. Invulinstructie'!$A$1:$A$9</definedName>
    <definedName name="_xlnm.Print_Area" localSheetId="6">'2.Kwal gunn.criteria 2030-2033'!$A$1:$H$131</definedName>
    <definedName name="_xlnm.Print_Area" localSheetId="2">'2.Kwal gunningscriteria 2026'!$A$1:$H$84</definedName>
    <definedName name="_xlnm.Print_Area" localSheetId="3">'2.Kwal gunningscriteria 2027'!$A$1:$H$131</definedName>
    <definedName name="_xlnm.Print_Area" localSheetId="4">'2.Kwal gunningscriteria 2028'!$A$1:$H$131</definedName>
    <definedName name="_xlnm.Print_Area" localSheetId="5">'2.Kwal gunningscriteria 2029'!$A$1:$H$131</definedName>
    <definedName name="_xlnm.Print_Area" localSheetId="7">'3. Prijsinvulformulier 2026'!$A$1:$G$44</definedName>
    <definedName name="_xlnm.Print_Area" localSheetId="8">'3. Prijsinvulformulier 2027'!$A$1:$G$55</definedName>
    <definedName name="_xlnm.Print_Area" localSheetId="9">'3. Prijsinvulformulier 2028'!$A$1:$G$55</definedName>
    <definedName name="_xlnm.Print_Area" localSheetId="10">'3. Prijsinvulformulier 2029'!$A$1:$G$55</definedName>
    <definedName name="_xlnm.Print_Area" localSheetId="11">'3.Prijsinvulformulier 2030-2033'!$A$1:$G$55</definedName>
    <definedName name="_xlnm.Print_Area" localSheetId="12">'4. Fictieve inschrijfprijs'!$A$1:$C$18</definedName>
    <definedName name="_xlnm.Print_Area" localSheetId="0">Voorblad!$B$2:$I$13</definedName>
    <definedName name="AREA">'[2]Weeggegevens Overslag T1'!$B$40:$B$49</definedName>
    <definedName name="AVU">'[2]Weeggegevens Overslag T1'!$B$9:$B$36</definedName>
    <definedName name="CBM">'[2]Weeggegevens Overslag T1'!$B$53:$B$60</definedName>
    <definedName name="Dagen" localSheetId="1">{0,1,2,3,4,5,6} + {0;1;2;3;4;5}*7</definedName>
    <definedName name="Dagen" localSheetId="6">{0,1,2,3,4,5,6} + {0;1;2;3;4;5}*7</definedName>
    <definedName name="Dagen" localSheetId="2">{0,1,2,3,4,5,6} + {0;1;2;3;4;5}*7</definedName>
    <definedName name="Dagen" localSheetId="3">{0,1,2,3,4,5,6} + {0;1;2;3;4;5}*7</definedName>
    <definedName name="Dagen" localSheetId="4">{0,1,2,3,4,5,6} + {0;1;2;3;4;5}*7</definedName>
    <definedName name="Dagen" localSheetId="5">{0,1,2,3,4,5,6} + {0;1;2;3;4;5}*7</definedName>
    <definedName name="Dagen" localSheetId="7">{0,1,2,3,4,5,6} + {0;1;2;3;4;5}*7</definedName>
    <definedName name="Dagen" localSheetId="8">{0,1,2,3,4,5,6} + {0;1;2;3;4;5}*7</definedName>
    <definedName name="Dagen" localSheetId="9">{0,1,2,3,4,5,6} + {0;1;2;3;4;5}*7</definedName>
    <definedName name="Dagen" localSheetId="10">{0,1,2,3,4,5,6} + {0;1;2;3;4;5}*7</definedName>
    <definedName name="Dagen" localSheetId="11">{0,1,2,3,4,5,6}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7" l="1"/>
  <c r="E15" i="10"/>
  <c r="D21" i="10"/>
  <c r="G74" i="9"/>
  <c r="G73" i="9"/>
  <c r="G60" i="13" l="1"/>
  <c r="G60" i="17"/>
  <c r="G60" i="11"/>
  <c r="G10" i="12"/>
  <c r="F12" i="13"/>
  <c r="F11" i="13"/>
  <c r="H10" i="13" s="1"/>
  <c r="H11" i="13" s="1"/>
  <c r="F10" i="13"/>
  <c r="F19" i="17"/>
  <c r="F18" i="17"/>
  <c r="F17" i="17"/>
  <c r="F12" i="17"/>
  <c r="F11" i="17"/>
  <c r="H10" i="17" s="1"/>
  <c r="F10" i="17"/>
  <c r="F19" i="11"/>
  <c r="F18" i="11"/>
  <c r="F12" i="11"/>
  <c r="F11" i="11"/>
  <c r="H10" i="11" s="1"/>
  <c r="H11" i="11" s="1"/>
  <c r="H11" i="9"/>
  <c r="E20" i="12" l="1"/>
  <c r="D11" i="7"/>
  <c r="E15" i="12"/>
  <c r="D21" i="12"/>
  <c r="E4" i="10"/>
  <c r="F17" i="13" l="1"/>
  <c r="E9" i="12"/>
  <c r="E9" i="14" s="1"/>
  <c r="E9" i="15" s="1"/>
  <c r="E20" i="14"/>
  <c r="E20" i="15" s="1"/>
  <c r="E5" i="10"/>
  <c r="E5" i="12" s="1"/>
  <c r="E5" i="14" s="1"/>
  <c r="E5" i="15" s="1"/>
  <c r="E4" i="12"/>
  <c r="E4" i="14" s="1"/>
  <c r="E4" i="15" s="1"/>
  <c r="E15" i="14" l="1"/>
  <c r="E15" i="15" s="1"/>
  <c r="E17" i="15"/>
  <c r="E22" i="15"/>
  <c r="D21" i="15"/>
  <c r="D21" i="14"/>
  <c r="D16" i="15"/>
  <c r="D16" i="14"/>
  <c r="G10" i="15"/>
  <c r="G9" i="15"/>
  <c r="G5" i="15"/>
  <c r="G4" i="15"/>
  <c r="F19" i="13"/>
  <c r="F18" i="13"/>
  <c r="D16" i="12"/>
  <c r="E21" i="10"/>
  <c r="D16" i="10"/>
  <c r="E16" i="10" s="1"/>
  <c r="F17" i="11"/>
  <c r="F10" i="11"/>
  <c r="E22" i="10"/>
  <c r="F17" i="9"/>
  <c r="G57" i="9"/>
  <c r="F19" i="9"/>
  <c r="F18" i="9"/>
  <c r="F12" i="9"/>
  <c r="F11" i="9"/>
  <c r="E12" i="7"/>
  <c r="F9" i="6"/>
  <c r="G20" i="10" l="1"/>
  <c r="E163" i="17"/>
  <c r="E162" i="17"/>
  <c r="G159" i="17"/>
  <c r="F159" i="17"/>
  <c r="E159" i="17"/>
  <c r="G158" i="17"/>
  <c r="F158" i="17"/>
  <c r="E158" i="17"/>
  <c r="G157" i="17"/>
  <c r="F157" i="17"/>
  <c r="E157" i="17"/>
  <c r="G156" i="17"/>
  <c r="F156" i="17"/>
  <c r="E156" i="17"/>
  <c r="G155" i="17"/>
  <c r="F155" i="17"/>
  <c r="E155" i="17"/>
  <c r="G154" i="17"/>
  <c r="F154" i="17"/>
  <c r="E154" i="17"/>
  <c r="G153" i="17"/>
  <c r="F153" i="17"/>
  <c r="E153" i="17"/>
  <c r="G152" i="17"/>
  <c r="F152" i="17"/>
  <c r="F149" i="17"/>
  <c r="E149" i="17"/>
  <c r="G148" i="17"/>
  <c r="F148" i="17"/>
  <c r="E148" i="17"/>
  <c r="G121" i="17"/>
  <c r="G96" i="17"/>
  <c r="G93" i="17"/>
  <c r="G91" i="17"/>
  <c r="G90" i="17"/>
  <c r="G89" i="17"/>
  <c r="G87" i="17"/>
  <c r="G86" i="17"/>
  <c r="G85" i="17"/>
  <c r="G84" i="17"/>
  <c r="G83" i="17"/>
  <c r="G82" i="17"/>
  <c r="G81" i="17"/>
  <c r="G80" i="17"/>
  <c r="G79" i="17"/>
  <c r="G78" i="17"/>
  <c r="G77" i="17"/>
  <c r="G76" i="17"/>
  <c r="G75" i="17"/>
  <c r="G74" i="17"/>
  <c r="G73" i="17"/>
  <c r="G71" i="17"/>
  <c r="G70" i="17"/>
  <c r="G68" i="17"/>
  <c r="G67" i="17"/>
  <c r="G66" i="17"/>
  <c r="G57" i="17"/>
  <c r="G54" i="17"/>
  <c r="G58" i="17" s="1"/>
  <c r="G52" i="17"/>
  <c r="G51" i="17"/>
  <c r="G50" i="17"/>
  <c r="G48" i="17"/>
  <c r="G47" i="17"/>
  <c r="G46" i="17"/>
  <c r="G45" i="17"/>
  <c r="G44" i="17"/>
  <c r="G43" i="17"/>
  <c r="G42" i="17"/>
  <c r="G41" i="17"/>
  <c r="G40" i="17"/>
  <c r="G39" i="17"/>
  <c r="G38" i="17"/>
  <c r="G37" i="17"/>
  <c r="G36" i="17"/>
  <c r="G35" i="17"/>
  <c r="G34" i="17"/>
  <c r="G32" i="17"/>
  <c r="G31" i="17"/>
  <c r="G29" i="17"/>
  <c r="G28" i="17"/>
  <c r="G27" i="17"/>
  <c r="H17" i="13"/>
  <c r="H18" i="13" s="1"/>
  <c r="H20" i="13" s="1"/>
  <c r="E21" i="15"/>
  <c r="G20" i="15" s="1"/>
  <c r="E16" i="15"/>
  <c r="G15" i="15" s="1"/>
  <c r="E22" i="14"/>
  <c r="E21" i="14"/>
  <c r="E17" i="14"/>
  <c r="E16" i="14"/>
  <c r="G15" i="14" s="1"/>
  <c r="G10" i="14"/>
  <c r="G9" i="14"/>
  <c r="G5" i="14"/>
  <c r="G4" i="14"/>
  <c r="E163" i="13"/>
  <c r="E162" i="13"/>
  <c r="G159" i="13"/>
  <c r="F159" i="13"/>
  <c r="E159" i="13"/>
  <c r="G158" i="13"/>
  <c r="F158" i="13"/>
  <c r="E158" i="13"/>
  <c r="G157" i="13"/>
  <c r="F157" i="13"/>
  <c r="E157" i="13"/>
  <c r="G156" i="13"/>
  <c r="F156" i="13"/>
  <c r="E156" i="13"/>
  <c r="G155" i="13"/>
  <c r="F155" i="13"/>
  <c r="E155" i="13"/>
  <c r="G154" i="13"/>
  <c r="F154" i="13"/>
  <c r="E154" i="13"/>
  <c r="G153" i="13"/>
  <c r="F153" i="13"/>
  <c r="E153" i="13"/>
  <c r="G152" i="13"/>
  <c r="F152" i="13"/>
  <c r="F149" i="13"/>
  <c r="E149" i="13"/>
  <c r="G148" i="13"/>
  <c r="F148" i="13"/>
  <c r="E148" i="13"/>
  <c r="G121" i="13"/>
  <c r="G96" i="13"/>
  <c r="G93" i="13"/>
  <c r="G91" i="13"/>
  <c r="G90" i="13"/>
  <c r="G89" i="13"/>
  <c r="G87" i="13"/>
  <c r="G86" i="13"/>
  <c r="G85" i="13"/>
  <c r="G84" i="13"/>
  <c r="G83" i="13"/>
  <c r="G82" i="13"/>
  <c r="G81" i="13"/>
  <c r="G80" i="13"/>
  <c r="G79" i="13"/>
  <c r="G78" i="13"/>
  <c r="G77" i="13"/>
  <c r="G76" i="13"/>
  <c r="G75" i="13"/>
  <c r="G74" i="13"/>
  <c r="G73" i="13"/>
  <c r="G71" i="13"/>
  <c r="G70" i="13"/>
  <c r="G68" i="13"/>
  <c r="G67" i="13"/>
  <c r="G66" i="13"/>
  <c r="G57" i="13"/>
  <c r="G54" i="13"/>
  <c r="G52" i="13"/>
  <c r="G51" i="13"/>
  <c r="G50" i="13"/>
  <c r="G48" i="13"/>
  <c r="G47" i="13"/>
  <c r="G46" i="13"/>
  <c r="G45" i="13"/>
  <c r="G44" i="13"/>
  <c r="G43" i="13"/>
  <c r="G42" i="13"/>
  <c r="G41" i="13"/>
  <c r="G40" i="13"/>
  <c r="G39" i="13"/>
  <c r="G38" i="13"/>
  <c r="G37" i="13"/>
  <c r="G36" i="13"/>
  <c r="G35" i="13"/>
  <c r="G34" i="13"/>
  <c r="G32" i="13"/>
  <c r="G31" i="13"/>
  <c r="G29" i="13"/>
  <c r="G28" i="13"/>
  <c r="G27" i="13"/>
  <c r="E21" i="12"/>
  <c r="E22" i="12"/>
  <c r="E17" i="12"/>
  <c r="E16" i="12"/>
  <c r="G15" i="12" s="1"/>
  <c r="G9" i="12"/>
  <c r="G5" i="12"/>
  <c r="G4" i="12"/>
  <c r="E163" i="11"/>
  <c r="E162" i="11"/>
  <c r="G159" i="11"/>
  <c r="F159" i="11"/>
  <c r="E159" i="11"/>
  <c r="G158" i="11"/>
  <c r="F158" i="11"/>
  <c r="E158" i="11"/>
  <c r="G157" i="11"/>
  <c r="F157" i="11"/>
  <c r="E157" i="11"/>
  <c r="G156" i="11"/>
  <c r="F156" i="11"/>
  <c r="E156" i="11"/>
  <c r="G155" i="11"/>
  <c r="F155" i="11"/>
  <c r="E155" i="11"/>
  <c r="G154" i="11"/>
  <c r="F154" i="11"/>
  <c r="E154" i="11"/>
  <c r="G153" i="11"/>
  <c r="F153" i="11"/>
  <c r="E153" i="11"/>
  <c r="G152" i="11"/>
  <c r="F152" i="11"/>
  <c r="F149" i="11"/>
  <c r="E149" i="11"/>
  <c r="G148" i="11"/>
  <c r="F148" i="11"/>
  <c r="E148" i="11"/>
  <c r="G121" i="11"/>
  <c r="G96" i="11"/>
  <c r="G93" i="11"/>
  <c r="G91" i="11"/>
  <c r="G90" i="11"/>
  <c r="G89" i="11"/>
  <c r="G87" i="11"/>
  <c r="G86" i="11"/>
  <c r="G85" i="11"/>
  <c r="G84" i="11"/>
  <c r="G83" i="11"/>
  <c r="G82" i="11"/>
  <c r="G81" i="11"/>
  <c r="G80" i="11"/>
  <c r="G79" i="11"/>
  <c r="G78" i="11"/>
  <c r="G77" i="11"/>
  <c r="G76" i="11"/>
  <c r="G75" i="11"/>
  <c r="G74" i="11"/>
  <c r="G73" i="11"/>
  <c r="G71" i="11"/>
  <c r="G70" i="11"/>
  <c r="G68" i="11"/>
  <c r="G67" i="11"/>
  <c r="G66" i="11"/>
  <c r="G57" i="11"/>
  <c r="G54" i="11"/>
  <c r="G52" i="11"/>
  <c r="G51" i="11"/>
  <c r="G50" i="11"/>
  <c r="G48" i="11"/>
  <c r="G47" i="11"/>
  <c r="G46" i="11"/>
  <c r="G45" i="11"/>
  <c r="G44" i="11"/>
  <c r="G43" i="11"/>
  <c r="G42" i="11"/>
  <c r="G41" i="11"/>
  <c r="G40" i="11"/>
  <c r="G39" i="11"/>
  <c r="G38" i="11"/>
  <c r="G37" i="11"/>
  <c r="G36" i="11"/>
  <c r="G35" i="11"/>
  <c r="G34" i="11"/>
  <c r="G32" i="11"/>
  <c r="G31" i="11"/>
  <c r="G29" i="11"/>
  <c r="G28" i="11"/>
  <c r="G27" i="11"/>
  <c r="F10" i="9"/>
  <c r="H10" i="9" s="1"/>
  <c r="E17" i="10"/>
  <c r="G15" i="10" s="1"/>
  <c r="G10" i="10"/>
  <c r="G9" i="10"/>
  <c r="G5" i="10"/>
  <c r="G4" i="10"/>
  <c r="E163" i="9"/>
  <c r="E162" i="9"/>
  <c r="G159" i="9"/>
  <c r="F159" i="9"/>
  <c r="E159" i="9"/>
  <c r="G158" i="9"/>
  <c r="F158" i="9"/>
  <c r="E158" i="9"/>
  <c r="G157" i="9"/>
  <c r="F157" i="9"/>
  <c r="E157" i="9"/>
  <c r="G156" i="9"/>
  <c r="F156" i="9"/>
  <c r="E156" i="9"/>
  <c r="G155" i="9"/>
  <c r="F155" i="9"/>
  <c r="E155" i="9"/>
  <c r="G154" i="9"/>
  <c r="F154" i="9"/>
  <c r="E154" i="9"/>
  <c r="G153" i="9"/>
  <c r="F153" i="9"/>
  <c r="E153" i="9"/>
  <c r="G152" i="9"/>
  <c r="F152" i="9"/>
  <c r="F149" i="9"/>
  <c r="E149" i="9"/>
  <c r="G148" i="9"/>
  <c r="F148" i="9"/>
  <c r="E148" i="9"/>
  <c r="G121" i="9"/>
  <c r="G96" i="9"/>
  <c r="G93" i="9"/>
  <c r="G91" i="9"/>
  <c r="G90" i="9"/>
  <c r="G89" i="9"/>
  <c r="G87" i="9"/>
  <c r="G86" i="9"/>
  <c r="G85" i="9"/>
  <c r="G84" i="9"/>
  <c r="G83" i="9"/>
  <c r="G82" i="9"/>
  <c r="G81" i="9"/>
  <c r="G80" i="9"/>
  <c r="G79" i="9"/>
  <c r="G78" i="9"/>
  <c r="G77" i="9"/>
  <c r="G76" i="9"/>
  <c r="G75" i="9"/>
  <c r="G71" i="9"/>
  <c r="G70" i="9"/>
  <c r="G68" i="9"/>
  <c r="G67" i="9"/>
  <c r="G66" i="9"/>
  <c r="G54" i="9"/>
  <c r="G52" i="9"/>
  <c r="G51" i="9"/>
  <c r="G50" i="9"/>
  <c r="G48" i="9"/>
  <c r="G47" i="9"/>
  <c r="G46" i="9"/>
  <c r="G45" i="9"/>
  <c r="G44" i="9"/>
  <c r="G43" i="9"/>
  <c r="G42" i="9"/>
  <c r="G41" i="9"/>
  <c r="G40" i="9"/>
  <c r="G39" i="9"/>
  <c r="G38" i="9"/>
  <c r="G37" i="9"/>
  <c r="G36" i="9"/>
  <c r="G35" i="9"/>
  <c r="G34" i="9"/>
  <c r="G32" i="9"/>
  <c r="G31" i="9"/>
  <c r="G29" i="9"/>
  <c r="G28" i="9"/>
  <c r="G27" i="9"/>
  <c r="G97" i="13" l="1" a="1"/>
  <c r="G97" i="13" s="1"/>
  <c r="G99" i="13" s="1"/>
  <c r="G100" i="13" s="1"/>
  <c r="G20" i="14"/>
  <c r="G32" i="14" s="1"/>
  <c r="G97" i="11"/>
  <c r="G99" i="11" s="1"/>
  <c r="G100" i="11" s="1"/>
  <c r="G20" i="12"/>
  <c r="G32" i="12" s="1"/>
  <c r="G32" i="10"/>
  <c r="C7" i="4" s="1"/>
  <c r="G58" i="9"/>
  <c r="G60" i="9"/>
  <c r="G61" i="9" s="1"/>
  <c r="G97" i="17"/>
  <c r="G61" i="17"/>
  <c r="G58" i="11"/>
  <c r="G58" i="13" a="1"/>
  <c r="G58" i="13" s="1"/>
  <c r="H11" i="17"/>
  <c r="H17" i="11"/>
  <c r="H18" i="11" s="1"/>
  <c r="H20" i="11" s="1"/>
  <c r="G97" i="9"/>
  <c r="G99" i="9" s="1"/>
  <c r="G32" i="15"/>
  <c r="C16" i="4" s="1"/>
  <c r="H17" i="17"/>
  <c r="H18" i="17" s="1"/>
  <c r="H17" i="9"/>
  <c r="H18" i="9" s="1"/>
  <c r="H20" i="9" s="1"/>
  <c r="H20" i="17" l="1"/>
  <c r="G99" i="17"/>
  <c r="H101" i="17" s="1"/>
  <c r="E128" i="17" s="1"/>
  <c r="H101" i="11"/>
  <c r="E128" i="11" s="1"/>
  <c r="G61" i="13"/>
  <c r="H101" i="13"/>
  <c r="E128" i="13" s="1"/>
  <c r="C15" i="4" s="1"/>
  <c r="C17" i="4" s="1"/>
  <c r="G100" i="9"/>
  <c r="H101" i="9"/>
  <c r="E128" i="9" s="1"/>
  <c r="C13" i="4"/>
  <c r="C10" i="4"/>
  <c r="G61" i="11"/>
  <c r="G100" i="17" l="1"/>
  <c r="C12" i="4"/>
  <c r="C14" i="4" s="1"/>
  <c r="C9" i="4"/>
  <c r="C11" i="4" s="1"/>
  <c r="C6" i="4"/>
  <c r="C8" i="4" s="1"/>
  <c r="F10" i="6"/>
  <c r="G4" i="7"/>
  <c r="F11" i="6"/>
  <c r="G46" i="6" l="1"/>
  <c r="E116" i="6" l="1"/>
  <c r="E115" i="6"/>
  <c r="G112" i="6"/>
  <c r="F112" i="6"/>
  <c r="E112" i="6"/>
  <c r="G111" i="6"/>
  <c r="F111" i="6"/>
  <c r="E111" i="6"/>
  <c r="G110" i="6"/>
  <c r="F110" i="6"/>
  <c r="E110" i="6"/>
  <c r="G109" i="6"/>
  <c r="F109" i="6"/>
  <c r="E109" i="6"/>
  <c r="G108" i="6"/>
  <c r="F108" i="6"/>
  <c r="E108" i="6"/>
  <c r="G107" i="6"/>
  <c r="F107" i="6"/>
  <c r="E107" i="6"/>
  <c r="G106" i="6"/>
  <c r="F106" i="6"/>
  <c r="E106" i="6"/>
  <c r="G105" i="6"/>
  <c r="F105" i="6"/>
  <c r="F102" i="6"/>
  <c r="E102" i="6"/>
  <c r="G101" i="6"/>
  <c r="F101" i="6"/>
  <c r="E101" i="6"/>
  <c r="E11" i="7" l="1"/>
  <c r="G5" i="7" l="1"/>
  <c r="G74" i="6"/>
  <c r="G49" i="6"/>
  <c r="G44" i="6"/>
  <c r="G43" i="6"/>
  <c r="G42" i="6"/>
  <c r="G40" i="6"/>
  <c r="G39" i="6"/>
  <c r="G38" i="6"/>
  <c r="G37" i="6"/>
  <c r="G36" i="6"/>
  <c r="G35" i="6"/>
  <c r="G34" i="6"/>
  <c r="G33" i="6"/>
  <c r="G32" i="6"/>
  <c r="G31" i="6"/>
  <c r="G30" i="6"/>
  <c r="G29" i="6"/>
  <c r="G28" i="6"/>
  <c r="G27" i="6"/>
  <c r="G26" i="6"/>
  <c r="G24" i="6"/>
  <c r="G23" i="6"/>
  <c r="G21" i="6"/>
  <c r="G20" i="6"/>
  <c r="G19" i="6"/>
  <c r="G50" i="6" l="1"/>
  <c r="G52" i="6" s="1"/>
  <c r="G22" i="7"/>
  <c r="H9" i="6"/>
  <c r="G53" i="6" l="1"/>
  <c r="H54" i="6"/>
  <c r="H10" i="6"/>
  <c r="H12" i="6" s="1"/>
  <c r="C4" i="4"/>
  <c r="E81" i="6" l="1"/>
  <c r="C3" i="4" s="1"/>
  <c r="C5" i="4" s="1"/>
  <c r="C18"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<sst xmlns="http://schemas.openxmlformats.org/spreadsheetml/2006/main" count="1898" uniqueCount="308">
  <si>
    <t>Inhoud:</t>
  </si>
  <si>
    <t>NR.</t>
  </si>
  <si>
    <t xml:space="preserve">Omschrijving </t>
  </si>
  <si>
    <t>Eenheid</t>
  </si>
  <si>
    <t>Subtotalen (AxB) excl. btw</t>
  </si>
  <si>
    <t>PR-1</t>
  </si>
  <si>
    <t>Ton</t>
  </si>
  <si>
    <t>PR-2</t>
  </si>
  <si>
    <t>PR-3</t>
  </si>
  <si>
    <t>PR-5</t>
  </si>
  <si>
    <t>Naam</t>
  </si>
  <si>
    <t>Adres</t>
  </si>
  <si>
    <t>Postcode</t>
  </si>
  <si>
    <t>Plaats</t>
  </si>
  <si>
    <t>Eigenaar</t>
  </si>
  <si>
    <t>Stroom</t>
  </si>
  <si>
    <t xml:space="preserve">Voorwaarden </t>
  </si>
  <si>
    <t>Voorwaarde</t>
  </si>
  <si>
    <t>ALG</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</si>
  <si>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</si>
  <si>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</si>
  <si>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</si>
  <si>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Antwoord</t>
  </si>
  <si>
    <t>[Invullen door inschrijver]</t>
  </si>
  <si>
    <t>A) Nee.</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</si>
  <si>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</si>
  <si>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</si>
  <si>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</si>
  <si>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</si>
  <si>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</si>
  <si>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</si>
  <si>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</si>
  <si>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</si>
  <si>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</si>
  <si>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</si>
  <si>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</si>
  <si>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Totaal</t>
  </si>
  <si>
    <t>A) 0%</t>
  </si>
  <si>
    <t>B) 0% tot 2%</t>
  </si>
  <si>
    <t>C) 2% tot 4%</t>
  </si>
  <si>
    <t>D) 4% tot 6%</t>
  </si>
  <si>
    <t>E) 6% tot 8%</t>
  </si>
  <si>
    <t>F) meer dan 8%</t>
  </si>
  <si>
    <t>PR-4</t>
  </si>
  <si>
    <t>D) Ja, het HRA kan vanaf start overeenkomst worden nagescheiden</t>
  </si>
  <si>
    <t>Nr.</t>
  </si>
  <si>
    <t>Prijs per eenheid</t>
  </si>
  <si>
    <t xml:space="preserve"> </t>
  </si>
  <si>
    <t>Aantal TKM:</t>
  </si>
  <si>
    <t>Over de weg, in trekker- oplegger &gt;20 ton</t>
  </si>
  <si>
    <t>Over de weg: Euro VI: CNG</t>
  </si>
  <si>
    <t>Hulp gegevens: Verbergen bij publicatie</t>
  </si>
  <si>
    <t xml:space="preserve">Transportmodaliteit </t>
  </si>
  <si>
    <t>CO2 (g/tkm) WTW</t>
  </si>
  <si>
    <t>Aandrijving/brandstof</t>
  </si>
  <si>
    <t>Vrachtauto %</t>
  </si>
  <si>
    <t>Trekker oplegger %</t>
  </si>
  <si>
    <t>Over de weg: Euro VI - Diesel</t>
  </si>
  <si>
    <t>Over de weg: Euro VI: HVO</t>
  </si>
  <si>
    <t>Over de weg: Euro VI: LNG</t>
  </si>
  <si>
    <t>Over de weg: Euro VI: Bio LNG</t>
  </si>
  <si>
    <t>Over de weg: Elektrisch (gemiddelde mix)</t>
  </si>
  <si>
    <t>Maximaal aantal punten</t>
  </si>
  <si>
    <t>Systematiek toekennen punten</t>
  </si>
  <si>
    <t xml:space="preserve">Energielevering
</t>
  </si>
  <si>
    <t>Elektriciteit (netto) (1)</t>
  </si>
  <si>
    <t>kWh x</t>
  </si>
  <si>
    <t>Stoom(netto) (1)</t>
  </si>
  <si>
    <t>Overige warmte (netto) (1)</t>
  </si>
  <si>
    <t xml:space="preserve">Gaslevering
</t>
  </si>
  <si>
    <t>Biogas (netto)</t>
  </si>
  <si>
    <t>Groengas (netto)</t>
  </si>
  <si>
    <t xml:space="preserve">Materiaallevering
</t>
  </si>
  <si>
    <t xml:space="preserve">kg x </t>
  </si>
  <si>
    <t>Drankenkarton (DKR)</t>
  </si>
  <si>
    <t>Ferrometaal</t>
  </si>
  <si>
    <t>Non-ferrometaal</t>
  </si>
  <si>
    <t>Papier (inzet als grondstof papier)</t>
  </si>
  <si>
    <t>Papier (inzet als bouwstof)</t>
  </si>
  <si>
    <t>Textiel (inzet als grondstof voor textiel)</t>
  </si>
  <si>
    <t>Textiel (inzet als grondstof andere nuttige toepassingen)</t>
  </si>
  <si>
    <t>Glas (inzet als glas)</t>
  </si>
  <si>
    <t>Glas (inzet als bouwmateriaal)</t>
  </si>
  <si>
    <t>Mineralen (inzet als bouwmateriaal)</t>
  </si>
  <si>
    <t>Bodemas (inzet als bouwmateriaal/mineralen)</t>
  </si>
  <si>
    <t>Bodemas (slib / gestort /immobilisatie)</t>
  </si>
  <si>
    <t>Gips (inzet als zandsteen)</t>
  </si>
  <si>
    <t>Luiers</t>
  </si>
  <si>
    <t>Transport</t>
  </si>
  <si>
    <t>Afstand in km</t>
  </si>
  <si>
    <t>Hoeveelheid 
per ton HRA-afval</t>
  </si>
  <si>
    <t>Weging</t>
  </si>
  <si>
    <t>Transport naar verwerking over de weg</t>
  </si>
  <si>
    <t>1  ton</t>
  </si>
  <si>
    <t>Transport naar verwerking over het water</t>
  </si>
  <si>
    <t>Overig transport</t>
  </si>
  <si>
    <t xml:space="preserve">1  ton </t>
  </si>
  <si>
    <t>Emissies uit verbranding residu</t>
  </si>
  <si>
    <t xml:space="preserve">biogeen  (klimaat neutraal) CO2-eq. bij emissie van alle broeikasgassen uit verbranding </t>
  </si>
  <si>
    <t xml:space="preserve">Fossiel CO2-eq. bij emissie van alle broeikasgassen uit verbranding </t>
  </si>
  <si>
    <t xml:space="preserve"> kwaliteitswaarde:</t>
  </si>
  <si>
    <t>Gebaseerd op CE Delft model</t>
  </si>
  <si>
    <t>C)  Ja, het HRA kan vanaf 1-1-2025 worden nagescheiden</t>
  </si>
  <si>
    <t>B) Ja, het HRA kan vanaf 1-1-2026 worden nagescheiden</t>
  </si>
  <si>
    <t>per ton</t>
  </si>
  <si>
    <t>Fictieve inschrijfprijs</t>
  </si>
  <si>
    <r>
      <t>CO</t>
    </r>
    <r>
      <rPr>
        <vertAlign val="subscript"/>
        <sz val="10"/>
        <color theme="1"/>
        <rFont val="Century Gothic"/>
        <family val="2"/>
      </rPr>
      <t>2</t>
    </r>
    <r>
      <rPr>
        <sz val="10"/>
        <color theme="1"/>
        <rFont val="Century Gothic"/>
        <family val="2"/>
      </rPr>
      <t xml:space="preserve"> (g/tkm) WTW van de modaliteit:</t>
    </r>
  </si>
  <si>
    <r>
      <t>Reductie CO</t>
    </r>
    <r>
      <rPr>
        <vertAlign val="subscript"/>
        <sz val="10"/>
        <color theme="1"/>
        <rFont val="Century Gothic"/>
        <family val="2"/>
      </rPr>
      <t>2</t>
    </r>
    <r>
      <rPr>
        <sz val="10"/>
        <color theme="1"/>
        <rFont val="Century Gothic"/>
        <family val="2"/>
      </rPr>
      <t xml:space="preserve"> (g/tkm) WTW door aandrijving/brandstof:</t>
    </r>
  </si>
  <si>
    <r>
      <t xml:space="preserve">Weging
</t>
    </r>
    <r>
      <rPr>
        <sz val="10"/>
        <color rgb="FF000000"/>
        <rFont val="Century Gothic"/>
        <family val="2"/>
      </rPr>
      <t>kg CO</t>
    </r>
    <r>
      <rPr>
        <vertAlign val="subscript"/>
        <sz val="10"/>
        <color rgb="FF000000"/>
        <rFont val="Century Gothic"/>
        <family val="2"/>
      </rPr>
      <t>2</t>
    </r>
    <r>
      <rPr>
        <sz val="10"/>
        <color rgb="FF000000"/>
        <rFont val="Century Gothic"/>
        <family val="2"/>
      </rPr>
      <t>-eq./kWh</t>
    </r>
  </si>
  <si>
    <r>
      <t xml:space="preserve">Weging
</t>
    </r>
    <r>
      <rPr>
        <sz val="10"/>
        <color rgb="FF000000"/>
        <rFont val="Century Gothic"/>
        <family val="2"/>
      </rPr>
      <t>kg CO</t>
    </r>
    <r>
      <rPr>
        <vertAlign val="subscript"/>
        <sz val="10"/>
        <color rgb="FF000000"/>
        <rFont val="Century Gothic"/>
        <family val="2"/>
      </rPr>
      <t>2</t>
    </r>
    <r>
      <rPr>
        <sz val="10"/>
        <color rgb="FF000000"/>
        <rFont val="Century Gothic"/>
        <family val="2"/>
      </rPr>
      <t>-eq./Nm</t>
    </r>
    <r>
      <rPr>
        <vertAlign val="superscript"/>
        <sz val="10"/>
        <color rgb="FF000000"/>
        <rFont val="Century Gothic"/>
        <family val="2"/>
      </rPr>
      <t>3</t>
    </r>
  </si>
  <si>
    <r>
      <t>Nm</t>
    </r>
    <r>
      <rPr>
        <vertAlign val="superscript"/>
        <sz val="10"/>
        <rFont val="Century Gothic"/>
        <family val="2"/>
      </rPr>
      <t>3</t>
    </r>
    <r>
      <rPr>
        <sz val="10"/>
        <rFont val="Century Gothic"/>
        <family val="2"/>
      </rPr>
      <t xml:space="preserve"> x</t>
    </r>
  </si>
  <si>
    <r>
      <t xml:space="preserve">Weging
</t>
    </r>
    <r>
      <rPr>
        <sz val="10"/>
        <color rgb="FF000000"/>
        <rFont val="Century Gothic"/>
        <family val="2"/>
      </rPr>
      <t>kg CO</t>
    </r>
    <r>
      <rPr>
        <vertAlign val="subscript"/>
        <sz val="10"/>
        <color rgb="FF000000"/>
        <rFont val="Century Gothic"/>
        <family val="2"/>
      </rPr>
      <t>2</t>
    </r>
    <r>
      <rPr>
        <sz val="10"/>
        <color rgb="FF000000"/>
        <rFont val="Century Gothic"/>
        <family val="2"/>
      </rPr>
      <t>-eq./kg</t>
    </r>
  </si>
  <si>
    <r>
      <t>Afgevangen CO</t>
    </r>
    <r>
      <rPr>
        <vertAlign val="subscript"/>
        <sz val="10"/>
        <color rgb="FF000000"/>
        <rFont val="Century Gothic"/>
        <family val="2"/>
      </rPr>
      <t>2</t>
    </r>
  </si>
  <si>
    <t>Instructies voor het invullen van invulformulier gunningscriteria :</t>
  </si>
  <si>
    <t xml:space="preserve">Inschrijver is verantwoordelijk voor een zorgvuldige invulling van alle relevante invulvelden (geel gearceerd).  </t>
  </si>
  <si>
    <t xml:space="preserve">Inschrijver past, op straffe van uitsluiting, alleen de geel gearceerde cellen aan. Inschrijver moet alle geel gearceerde cellen correct en ondubbelzinnig invullen. </t>
  </si>
  <si>
    <t xml:space="preserve">Verwerking HRA </t>
  </si>
  <si>
    <t>1. Inschrijver dient dit formulier volledig in te vullen en bij inschrijving in te dienen (als Excel-document). Dit ingevulde formulier dient inschrijver vervolgens te printen en rechtsgeldig te ondertekenen en vervolgens gescand als pdf bij inschrijving in te dienen.</t>
  </si>
  <si>
    <t>Invulinstructie</t>
  </si>
  <si>
    <t>Behaalde fictieve toeslag door transport</t>
  </si>
  <si>
    <t>Wat is de aangeboden verwerkingslocatie? Minimaal de volgende gegevens moeten worden verstrekt:
- volledige naam van de verwerkingslocatie;
- volledig adres van de verwerkingslocatie;
- eigenaar van de verwerkingslocatie.</t>
  </si>
  <si>
    <t>Naam:
Adres:
Eigenaar:</t>
  </si>
  <si>
    <t>Behaalde fictieve korting door verwerking</t>
  </si>
  <si>
    <t>N.v.t.</t>
  </si>
  <si>
    <t>n.v.t.</t>
  </si>
  <si>
    <r>
      <rPr>
        <b/>
        <sz val="10"/>
        <color theme="1"/>
        <rFont val="Century Gothic"/>
        <family val="2"/>
      </rPr>
      <t>C)</t>
    </r>
    <r>
      <rPr>
        <sz val="10"/>
        <color theme="1"/>
        <rFont val="Century Gothic"/>
        <family val="2"/>
      </rPr>
      <t xml:space="preserve"> Wat is de transportmodaliteit voor tenminste 85% van de af te leggen afstand?</t>
    </r>
  </si>
  <si>
    <r>
      <rPr>
        <b/>
        <sz val="10"/>
        <color theme="1"/>
        <rFont val="Century Gothic"/>
        <family val="2"/>
      </rPr>
      <t xml:space="preserve">D) </t>
    </r>
    <r>
      <rPr>
        <sz val="10"/>
        <color theme="1"/>
        <rFont val="Century Gothic"/>
        <family val="2"/>
      </rPr>
      <t>Welke aandrijving/brandstof wordt voor tenminste 85% van de af te leggen afstand gebruikt?</t>
    </r>
  </si>
  <si>
    <t xml:space="preserve">KG-1 Verwerkingslocatie </t>
  </si>
  <si>
    <r>
      <rPr>
        <b/>
        <sz val="10"/>
        <color theme="1"/>
        <rFont val="Century Gothic"/>
        <family val="2"/>
      </rPr>
      <t>B)</t>
    </r>
    <r>
      <rPr>
        <sz val="10"/>
        <color theme="1"/>
        <rFont val="Century Gothic"/>
        <family val="2"/>
      </rPr>
      <t xml:space="preserve"> Wat is de afstand in kilometers vanaf deze ontvangstlocatie tot deze verwerkingslocatie?</t>
    </r>
  </si>
  <si>
    <t>Verwerkingslocatie brongescheiden HRA</t>
  </si>
  <si>
    <r>
      <t>CO</t>
    </r>
    <r>
      <rPr>
        <b/>
        <vertAlign val="subscript"/>
        <sz val="10"/>
        <color theme="1"/>
        <rFont val="Century Gothic"/>
        <family val="2"/>
      </rPr>
      <t>2</t>
    </r>
    <r>
      <rPr>
        <b/>
        <sz val="10"/>
        <color theme="1"/>
        <rFont val="Century Gothic"/>
        <family val="2"/>
      </rPr>
      <t xml:space="preserve"> WTW (in tonnen) voor transport naar verwerkingslocatie 1:</t>
    </r>
  </si>
  <si>
    <t xml:space="preserve">Voorwaarde </t>
  </si>
  <si>
    <t>Prijs voor ontvangst</t>
  </si>
  <si>
    <t>Prijs voor aftransport</t>
  </si>
  <si>
    <t>PR-9</t>
  </si>
  <si>
    <t>PR-10</t>
  </si>
  <si>
    <r>
      <t xml:space="preserve">Aantal (B) </t>
    </r>
    <r>
      <rPr>
        <b/>
        <sz val="10"/>
        <color theme="0"/>
        <rFont val="Century Gothic"/>
        <family val="2"/>
      </rPr>
      <t>(3)</t>
    </r>
  </si>
  <si>
    <r>
      <t xml:space="preserve">Prijs per eenheid voor verwerking(A) </t>
    </r>
    <r>
      <rPr>
        <b/>
        <sz val="10"/>
        <color theme="0"/>
        <rFont val="Century Gothic"/>
        <family val="2"/>
      </rPr>
      <t>(1)</t>
    </r>
  </si>
  <si>
    <r>
      <t xml:space="preserve">Hoeveelheid
</t>
    </r>
    <r>
      <rPr>
        <sz val="10"/>
        <color rgb="FF000000"/>
        <rFont val="Century Gothic"/>
        <family val="2"/>
      </rPr>
      <t>per ton HRA afval verwerkt</t>
    </r>
  </si>
  <si>
    <t>Subtotalen (AxB)
Jaarlijkse kosten excl. btw</t>
  </si>
  <si>
    <t>Subtotalen (AxB) 
Jaarlijkse kosten excl. btw</t>
  </si>
  <si>
    <t>Aantal (B)</t>
  </si>
  <si>
    <t>B</t>
  </si>
  <si>
    <t xml:space="preserve">A </t>
  </si>
  <si>
    <t>C</t>
  </si>
  <si>
    <t>D</t>
  </si>
  <si>
    <t>F</t>
  </si>
  <si>
    <t>Onderhavig document betreft het invulformulier gunningscriteria behorende bij de aanbesteding "Verwerking huishoudelijk (fijn) restafval en grof huishoudelijk afval" perceel 1 van de gemeente Zoetermeer.</t>
  </si>
  <si>
    <t>Prijs voor verwerking van HRA zonder nascheiding</t>
  </si>
  <si>
    <r>
      <t xml:space="preserve">Score
</t>
    </r>
    <r>
      <rPr>
        <sz val="11"/>
        <color theme="0"/>
        <rFont val="Century Gothic"/>
        <family val="2"/>
      </rPr>
      <t>Per ton verwerkt</t>
    </r>
  </si>
  <si>
    <t>G</t>
  </si>
  <si>
    <t>CO2-heffing</t>
  </si>
  <si>
    <t>1.</t>
  </si>
  <si>
    <t>2.</t>
  </si>
  <si>
    <t>3.</t>
  </si>
  <si>
    <t>4.</t>
  </si>
  <si>
    <t xml:space="preserve">Naam inschrijver: </t>
  </si>
  <si>
    <t>……………………………….......................</t>
  </si>
  <si>
    <t>H</t>
  </si>
  <si>
    <r>
      <rPr>
        <b/>
        <sz val="10"/>
        <color theme="0"/>
        <rFont val="Century Gothic"/>
        <family val="2"/>
      </rPr>
      <t>A)</t>
    </r>
    <r>
      <rPr>
        <sz val="10"/>
        <color theme="0"/>
        <rFont val="Century Gothic"/>
        <family val="2"/>
      </rPr>
      <t xml:space="preserve"> Welk percentage van het HRA gaat er vanaf de ontvangstlocatie naar deze verwerkingslocatie?</t>
    </r>
  </si>
  <si>
    <r>
      <t>CO</t>
    </r>
    <r>
      <rPr>
        <vertAlign val="subscript"/>
        <sz val="10"/>
        <color rgb="FF000000"/>
        <rFont val="Century Gothic"/>
        <family val="2"/>
      </rPr>
      <t>2</t>
    </r>
    <r>
      <rPr>
        <sz val="10"/>
        <color rgb="FF000000"/>
        <rFont val="Century Gothic"/>
        <family val="2"/>
      </rPr>
      <t>-eq. bij emissie van fossiele broeikasgassen uit verbranding (2)</t>
    </r>
  </si>
  <si>
    <t>PR-8</t>
  </si>
  <si>
    <t>Jaar</t>
  </si>
  <si>
    <t>Totale fictieve inschrijfprijs 
Deze prijs vermelden in TenderNed</t>
  </si>
  <si>
    <t>Verwachting indicatieve heffing (in € per ton, voor het eerst per 1 januari 2026) t.b.v. de verwerking HRA. Deze CO2-heffing wordt jaarlijks van overheidswege vastgesteld en moet door de inschrijver worden toegepast in de facturatie.</t>
  </si>
  <si>
    <t>In PR-7 en  PR-10 wordt het maximale percentage opgegeven waarover de CO2 heffing kan worden geheven. Dit percentage dient inschrijver op te geven voor de looptijd van de overeenkomst. Opdrachtgever betaalt uitsluitend het opgegeven deel CO2-heffing per ton HRA.</t>
  </si>
  <si>
    <t>Over de weg, in vrachtauto 20 ton met aanhanger</t>
  </si>
  <si>
    <t>Over de weg, LZV</t>
  </si>
  <si>
    <t>Over het spoor</t>
  </si>
  <si>
    <t>Via water, in binnenvaartschip (diesel)</t>
  </si>
  <si>
    <t>LZV %</t>
  </si>
  <si>
    <t>Over de weg: Euro VI - GTL</t>
  </si>
  <si>
    <t>Over de weg: Euro VI Biodiesel (B30)</t>
  </si>
  <si>
    <t>Over de weg: Waterstof (aardgas SMR)</t>
  </si>
  <si>
    <t>Over de weg: Euro VI: Bio CNG</t>
  </si>
  <si>
    <t>Over de weg: Waterstof (aardgas SMR + CCS)</t>
  </si>
  <si>
    <t>Over de weg: Waterstof (groengas (covergisting) SMR + CCS)</t>
  </si>
  <si>
    <t>Over de weg: Waterstof (groengas (stortgas) SMR + CCS)</t>
  </si>
  <si>
    <t>Over de weg: Waterstof groene stroom</t>
  </si>
  <si>
    <t>Over de weg: Elektrisch groen</t>
  </si>
  <si>
    <t>Over het water: LNG</t>
  </si>
  <si>
    <t>Over het water: diesel Hybride</t>
  </si>
  <si>
    <t>Prijs per eenheid (A) excl. Btw</t>
  </si>
  <si>
    <r>
      <t xml:space="preserve">Aandeel waarover WBM van HRA zonder nascheiding moet worden betaald </t>
    </r>
    <r>
      <rPr>
        <b/>
        <sz val="10"/>
        <color theme="1"/>
        <rFont val="Century Gothic"/>
        <family val="2"/>
      </rPr>
      <t>(C)</t>
    </r>
  </si>
  <si>
    <t xml:space="preserve">In PR-6 en  PR-9 wordt het maximale percentage bepaald waarover de WBM kan worden geheven. Dit percentage volgt automatisch door de productstromen te sommeren die niet worden verbrand, of na verbranding worden teruggewonnen. Opdrachtgever betaalt geen WBM over de uitgesorteerde (of na verbranding teruggewonnen) deelstromen. </t>
  </si>
  <si>
    <r>
      <t xml:space="preserve">Indicatieve CO2-heffing </t>
    </r>
    <r>
      <rPr>
        <b/>
        <sz val="10"/>
        <color theme="1"/>
        <rFont val="Century Gothic"/>
        <family val="2"/>
      </rPr>
      <t>(D)</t>
    </r>
  </si>
  <si>
    <t>E</t>
  </si>
  <si>
    <r>
      <t xml:space="preserve">Indicatieve WBM </t>
    </r>
    <r>
      <rPr>
        <b/>
        <sz val="10"/>
        <color theme="1"/>
        <rFont val="Century Gothic"/>
        <family val="2"/>
      </rPr>
      <t>(C)</t>
    </r>
  </si>
  <si>
    <t xml:space="preserve">  Zaaknummer: 2025-023827</t>
  </si>
  <si>
    <t>Inschrijver vermeldt de correcte NAW gegevens van de ontvangstlocatie(s).</t>
  </si>
  <si>
    <t>Inschrijver vermeldt de correcte NAW gegevens van de verwerkingslocatie(s).</t>
  </si>
  <si>
    <r>
      <t>3. Inschrijver dient in het invulformulier gunningscriteria de naam, het adres en de eigenaar van de verwerkingslocatie in te vullen en de afstand van het adres van de ontvangstlocatie tot aan de verwerkingslocatie van inschrijver.
De transportafstand voor transport over de weg, dienen door de insc</t>
    </r>
    <r>
      <rPr>
        <sz val="9"/>
        <rFont val="Century Gothic"/>
        <family val="2"/>
      </rPr>
      <t xml:space="preserve">hrijver te worden opgegeven op grond van de online routeplanner van Routenet (http://www.routenet.nl). Als instellingen dienen de volgende waarden te worden gehanteerd (voertuig: Truck 40T, optimalisatie: optimaal en vermijden veerpont en tolwegen). Als bijlage 10 </t>
    </r>
    <r>
      <rPr>
        <sz val="9"/>
        <color theme="1"/>
        <rFont val="Century Gothic"/>
        <family val="2"/>
      </rPr>
      <t>is</t>
    </r>
    <r>
      <rPr>
        <sz val="9"/>
        <rFont val="Century Gothic"/>
        <family val="2"/>
      </rPr>
      <t xml:space="preserve"> de "Instructie berekening reistijd en afstand berekening Routenet" toegevoegd, hetgeen onder meer als instructie voor de berekening van de reisafstand (over de weg) geldt. Inschrijver moet bij inschrijving de door hem opgegeven transportafstand naar de verwerkingslocatie aantonen. Dit kan inschrijver o.a. aantonen door (een of meerdere) uitdraaien van de routeplanner met de juiste instellingen aan zijn inschrijving toe te voegen. Deze informatie moet als apart onderdeel aan de inschrijving worden toegevoegd. 
De kilometerafstand dient afgerond te worden o</t>
    </r>
    <r>
      <rPr>
        <sz val="9"/>
        <color theme="1"/>
        <rFont val="Century Gothic"/>
        <family val="2"/>
      </rPr>
      <t xml:space="preserve">p gehele getallen (/kilometers), waarbij naar beneden mag worden afgerond. </t>
    </r>
  </si>
  <si>
    <t xml:space="preserve">2. Inschrijver vult in het inschrijfformulier een tarief voor de opslag en overslag en een tarief voor transport van het HRA naar de verwerkingslocatie en een tarief voor het verwerken van HRA in, zijnde bedragen per eenheid in euro's (€). De genoemde tarieven zijn exclusief BTW en exclusief de automatische berekening (indicatieve) WBM (afvalstoffenbelasting op grond van de Wet belastingen op milieugrondslag), het door inschrijver op te geven maximale percentage waarover de CO2-heffing kan worden geheven en de automatische berekening (indicatieve) CO2-heffing en inclusief alle overige kosten ten behoeve van de dienstverlening. </t>
  </si>
  <si>
    <t>Afvalstoffenbelasting, zijnde Wet belastingen op milieugrondslag (WBM)</t>
  </si>
  <si>
    <t>Per ton HRA</t>
  </si>
  <si>
    <t>Prijs per eenheid (A) excl. btw</t>
  </si>
  <si>
    <r>
      <rPr>
        <b/>
        <sz val="10"/>
        <color theme="1"/>
        <rFont val="Century Gothic"/>
        <family val="2"/>
      </rPr>
      <t>A1)</t>
    </r>
    <r>
      <rPr>
        <sz val="10"/>
        <color theme="1"/>
        <rFont val="Century Gothic"/>
        <family val="2"/>
      </rPr>
      <t xml:space="preserve"> Wat is de aangeboden ontvangstlocatie? Minimaal de volgende gegevens moeten worden verstrekt:
- volledige naam van de ontvangstlocatie;
- volledig adres van de ontvangstlocatie;
- eigenaar van de ontvangstlocatie.</t>
    </r>
  </si>
  <si>
    <r>
      <rPr>
        <b/>
        <sz val="10"/>
        <color theme="1"/>
        <rFont val="Century Gothic"/>
        <family val="2"/>
      </rPr>
      <t xml:space="preserve">A2) </t>
    </r>
    <r>
      <rPr>
        <sz val="10"/>
        <color theme="1"/>
        <rFont val="Century Gothic"/>
        <family val="2"/>
      </rPr>
      <t>Wat is de aangeboden verwerkingslocatie? Minimaal de volgende gegevens moeten worden verstrekt:
- volledige naam van de verwerkingslocatie;
- volledig adres van de verwerkingslocatie;
- eigenaar van deverwerkingslocatie.</t>
    </r>
  </si>
  <si>
    <t>Kunststof (DKR) (2)</t>
  </si>
  <si>
    <t>Toelichting: : een positieve CO2-score is een CO2-emissiebesparing en een negatieve een toename. 
(1) Voor energielevering en gaslevering kan een negatief getal worden ingevuld als meer energie of energiedragers gebruikt worden dan worden afgezet.
(2) In deze aanbestedingsmethodiek worden verschillende soorten kunststoffen gelijk gewogen. In de praktijk komt de productie van mono-DKR-stromen beter uit als gekeken wordt naar de klimaatimpact. Omdat echter de afzet van een mix DKR-stroom (DKR-350) leidt tot een vergelijkbare milieu-impact als ook gekeken wordt naar landgebruik is er voor gekozen om in deze methodiek alle kunststoffen gelijk te stellen aan elkaar. Deze waarde is gekozen om biodiversiteit ook een plek te geven in de wegingsmethodiek.</t>
  </si>
  <si>
    <r>
      <t>CO</t>
    </r>
    <r>
      <rPr>
        <vertAlign val="subscript"/>
        <sz val="10"/>
        <rFont val="Century Gothic"/>
        <family val="2"/>
      </rPr>
      <t>2</t>
    </r>
    <r>
      <rPr>
        <sz val="10"/>
        <rFont val="Century Gothic"/>
        <family val="2"/>
      </rPr>
      <t xml:space="preserve"> -"weging" per ton CO</t>
    </r>
    <r>
      <rPr>
        <vertAlign val="subscript"/>
        <sz val="10"/>
        <rFont val="Century Gothic"/>
        <family val="2"/>
      </rPr>
      <t>2</t>
    </r>
    <r>
      <rPr>
        <sz val="10"/>
        <rFont val="Century Gothic"/>
        <family val="2"/>
      </rPr>
      <t xml:space="preserve">-eq. </t>
    </r>
  </si>
  <si>
    <r>
      <t>Percentage van de CO2 heffing voor HRA zonder nascheiding die in rekening wordt gebracht</t>
    </r>
    <r>
      <rPr>
        <b/>
        <sz val="10"/>
        <color theme="1"/>
        <rFont val="Century Gothic"/>
        <family val="2"/>
      </rPr>
      <t xml:space="preserve"> (D) (E)</t>
    </r>
  </si>
  <si>
    <t>Gegevens verwerkingslocatie(s) (H)</t>
  </si>
  <si>
    <t>Gegevens ontvangstlocatie(s) (G)</t>
  </si>
  <si>
    <t>Totale inschrijfprijs (2026) (F)</t>
  </si>
  <si>
    <t>PR-11</t>
  </si>
  <si>
    <t xml:space="preserve">Verwerking HRA brongescheiden HRA </t>
  </si>
  <si>
    <t xml:space="preserve">In PR-4 wordt het maximale percentage bepaald waarover de WBM kan worden geheven. Dit percentage volgt automatisch door de productstromen te sommeren die niet worden verbrand, of na verbranding worden teruggewonnen. Opdrachtgever betaalt geen WBM over de uitgesorteerde (of na verbranding teruggewonnen) deelstromen. </t>
  </si>
  <si>
    <t>In PR-5 wordt het maximale percentage opgegeven waarover de CO2 heffing kan worden geheven. Dit percentage dient inschrijver op te geven voor de looptijd van de overeenkomst. Opdrachtgever betaalt uitsluitend het opgegeven deel CO2-heffing per ton HRA.</t>
  </si>
  <si>
    <t xml:space="preserve">Verwerkingslocatie 1: verwerkingslocatie voor brongescheiden HRA </t>
  </si>
  <si>
    <t>Verwerkingslocatie 2: verwerkingslocatie voor nascheiding HRA (optionele dienstverlening)</t>
  </si>
  <si>
    <t xml:space="preserve">
Verwerkingslocatie 1</t>
  </si>
  <si>
    <r>
      <rPr>
        <b/>
        <sz val="10"/>
        <color theme="1"/>
        <rFont val="Century Gothic"/>
        <family val="2"/>
      </rPr>
      <t>A2)</t>
    </r>
    <r>
      <rPr>
        <sz val="10"/>
        <color theme="1"/>
        <rFont val="Century Gothic"/>
        <family val="2"/>
      </rPr>
      <t xml:space="preserve"> Wat is de aangeboden verwerkingslocatie? Minimaal de volgende gegevens moeten worden verstrekt:
- volledige naam van deverwerkingslocatie;
- volledig adres van de verwerkingslocatie;
- eigenaar van de verwerkingslocatie.</t>
    </r>
  </si>
  <si>
    <t xml:space="preserve">
Verwerkingslocatie 2</t>
  </si>
  <si>
    <r>
      <rPr>
        <b/>
        <sz val="10"/>
        <color theme="0"/>
        <rFont val="Century Gothic"/>
        <family val="2"/>
      </rPr>
      <t>A)</t>
    </r>
    <r>
      <rPr>
        <sz val="10"/>
        <color theme="0"/>
        <rFont val="Century Gothic"/>
        <family val="2"/>
      </rPr>
      <t xml:space="preserve"> Welk percentage van het HRA gaat er vanaf de ontvangstocatie naar deze verwerkingslocatie?</t>
    </r>
  </si>
  <si>
    <r>
      <rPr>
        <b/>
        <sz val="10"/>
        <color theme="1"/>
        <rFont val="Century Gothic"/>
        <family val="2"/>
      </rPr>
      <t>B)</t>
    </r>
    <r>
      <rPr>
        <sz val="10"/>
        <color theme="1"/>
        <rFont val="Century Gothic"/>
        <family val="2"/>
      </rPr>
      <t xml:space="preserve"> Wat is de afstand in kilometers vanaf de ontvangstlocatie tot deze verwerkingslocatie?</t>
    </r>
  </si>
  <si>
    <r>
      <t>CO</t>
    </r>
    <r>
      <rPr>
        <b/>
        <vertAlign val="subscript"/>
        <sz val="10"/>
        <color theme="1"/>
        <rFont val="Century Gothic"/>
        <family val="2"/>
      </rPr>
      <t>2</t>
    </r>
    <r>
      <rPr>
        <b/>
        <sz val="10"/>
        <color theme="1"/>
        <rFont val="Century Gothic"/>
        <family val="2"/>
      </rPr>
      <t xml:space="preserve"> WTW (in tonnen) voor transport naar verwerkingslocatie 2:</t>
    </r>
  </si>
  <si>
    <t>Verwerkingslocatie  1 (brongescheiden afval)</t>
  </si>
  <si>
    <t>Verwerkingslocatie 1 brongescheiden HRA – gedetailleerde methodiek</t>
  </si>
  <si>
    <t>Verwerkingslocatie 2 
(na te scheiden afval)</t>
  </si>
  <si>
    <t>Wat is de aangeboden verwerkingslocatie? Minimaal de volgende gegevens moeten worden verstrekt:
- volledige naam van de verwerkingslocatie;
- volledig adres van de verwerkingslocatie;
- eigenaar van de verwerkingslocatie.</t>
  </si>
  <si>
    <r>
      <t xml:space="preserve">Verwerkingslocatie 2 na te scheiden HRA </t>
    </r>
    <r>
      <rPr>
        <b/>
        <i/>
        <u/>
        <sz val="11"/>
        <color theme="0"/>
        <rFont val="Century Gothic"/>
        <family val="2"/>
      </rPr>
      <t>(optioneel)</t>
    </r>
    <r>
      <rPr>
        <b/>
        <i/>
        <sz val="11"/>
        <color theme="0"/>
        <rFont val="Century Gothic"/>
        <family val="2"/>
      </rPr>
      <t xml:space="preserve"> - gedetailleerde methodiek</t>
    </r>
  </si>
  <si>
    <t>KG-2</t>
  </si>
  <si>
    <r>
      <t xml:space="preserve">Hoeveelheid
</t>
    </r>
    <r>
      <rPr>
        <sz val="10"/>
        <color rgb="FF000000"/>
        <rFont val="Century Gothic"/>
        <family val="2"/>
      </rPr>
      <t>per ton HRAafval verwerkt</t>
    </r>
  </si>
  <si>
    <t>Ontvangst en transport brongescheiden HRA verwerkingslocatie 1</t>
  </si>
  <si>
    <t>Optioneel: Ontvangst en transport na te scheiden HRA verwerkingslocatie 2</t>
  </si>
  <si>
    <t xml:space="preserve">Prijs per eenheid (A) excl. btw </t>
  </si>
  <si>
    <t>PR-6</t>
  </si>
  <si>
    <t>PR-7</t>
  </si>
  <si>
    <r>
      <t>Percentage van de CO2 heffing voor HRA zonder nascheiding die in rekening wordt gebracht</t>
    </r>
    <r>
      <rPr>
        <b/>
        <sz val="10"/>
        <color theme="1"/>
        <rFont val="Century Gothic"/>
        <family val="2"/>
      </rPr>
      <t xml:space="preserve"> (D) (F)</t>
    </r>
  </si>
  <si>
    <t>Optionele dienstverlening:</t>
  </si>
  <si>
    <r>
      <t>Prijs voor verwerking van HRA inclusief nascheiding</t>
    </r>
    <r>
      <rPr>
        <b/>
        <sz val="10"/>
        <color theme="1"/>
        <rFont val="Century Gothic"/>
        <family val="2"/>
      </rPr>
      <t xml:space="preserve"> (E)</t>
    </r>
    <r>
      <rPr>
        <sz val="10"/>
        <color theme="1"/>
        <rFont val="Century Gothic"/>
        <family val="2"/>
      </rPr>
      <t xml:space="preserve"> </t>
    </r>
  </si>
  <si>
    <r>
      <t>Aandeel waarover WBM voor HRA inclusief nascheiding moet worden betaald</t>
    </r>
    <r>
      <rPr>
        <sz val="10"/>
        <color theme="1"/>
        <rFont val="Century Gothic"/>
        <family val="2"/>
      </rPr>
      <t xml:space="preserve"> </t>
    </r>
    <r>
      <rPr>
        <b/>
        <sz val="10"/>
        <color theme="1"/>
        <rFont val="Century Gothic"/>
        <family val="2"/>
      </rPr>
      <t>(C)</t>
    </r>
  </si>
  <si>
    <r>
      <t>Percentage van de CO2 heffing van HRA inclusief nascheiding die in rekening wordt gebracht</t>
    </r>
    <r>
      <rPr>
        <b/>
        <sz val="10"/>
        <color theme="1"/>
        <rFont val="Century Gothic"/>
        <family val="2"/>
      </rPr>
      <t xml:space="preserve"> (D)</t>
    </r>
    <r>
      <rPr>
        <i/>
        <sz val="10"/>
        <color theme="1"/>
        <rFont val="Century Gothic"/>
        <family val="2"/>
      </rPr>
      <t xml:space="preserve"> </t>
    </r>
    <r>
      <rPr>
        <b/>
        <sz val="10"/>
        <color theme="1"/>
        <rFont val="Century Gothic"/>
        <family val="2"/>
      </rPr>
      <t>(F)</t>
    </r>
  </si>
  <si>
    <t>Gegevens ontvangstlocatie(s) (H)</t>
  </si>
  <si>
    <t>PR-13</t>
  </si>
  <si>
    <t>PR-14</t>
  </si>
  <si>
    <t>Gegevens verwerkingslocatie(s) (I)</t>
  </si>
  <si>
    <t>PR-15</t>
  </si>
  <si>
    <t>PR-16</t>
  </si>
  <si>
    <t>De prijs voor verwerking van HRA met nascheiding (PR-8) mag niet hoger zijn dan de prijs voor HRA zonder nascheiding, zoals opgegeven bij PR-5.</t>
  </si>
  <si>
    <t>I</t>
  </si>
  <si>
    <t>Totale inschrijfprijs (2027) (G)</t>
  </si>
  <si>
    <t>PR-12</t>
  </si>
  <si>
    <t>Behaalde fictieve korting 2027</t>
  </si>
  <si>
    <t>Behaalde fictieve korting 2026</t>
  </si>
  <si>
    <t>Totale inschrijfprijs (2028) (G)</t>
  </si>
  <si>
    <t>Behaalde fictieve korting 2028</t>
  </si>
  <si>
    <t>Behaalde fictieve korting 2029</t>
  </si>
  <si>
    <t>Totale inschrijfprijs (2029) (G)</t>
  </si>
  <si>
    <t>2030-2033</t>
  </si>
  <si>
    <t>Totale inschrijfprijs (2030-2033) (G)</t>
  </si>
  <si>
    <t>Behaalde fictieve korting 2030-2033</t>
  </si>
  <si>
    <t>Subtotalen (AxB) 
kosten verlengingsjaren excl. btw</t>
  </si>
  <si>
    <t>Subtotalen (AxB)
kosten verlengingsjaren excl. btw</t>
  </si>
  <si>
    <t>KG-1 Verwerkingslocatie 1</t>
  </si>
  <si>
    <t>Verwerkingslocatie 1  (brongescheiden afval)</t>
  </si>
  <si>
    <t>Verwerkingslocatie 1 (brongescheiden HRA) – gedetailleerde methodiek</t>
  </si>
  <si>
    <t>Verwerkingslocatie 1 brongescheiden HRA</t>
  </si>
  <si>
    <t>Verwerkingslocatie 2 nascheiding HRA (optionele dienstverlening)</t>
  </si>
  <si>
    <t>Ontvangst en transport brongescheiden HRA</t>
  </si>
  <si>
    <t>Behaalde fictieve korting (2026)</t>
  </si>
  <si>
    <t>Totale inschrijfprijs (2026)</t>
  </si>
  <si>
    <t>Kwaliteit (KG-1 en KG-2) 2026</t>
  </si>
  <si>
    <t>Prijs 2026</t>
  </si>
  <si>
    <t>Subtotaal 2026</t>
  </si>
  <si>
    <t>Kwaliteit (KG-1 en KG-2) 2027</t>
  </si>
  <si>
    <t>Prijs 2027</t>
  </si>
  <si>
    <t>Subtotaal 2027</t>
  </si>
  <si>
    <t>Behaalde fictieve korting (2027)</t>
  </si>
  <si>
    <t>Totale inschrijfprijs (2027)</t>
  </si>
  <si>
    <t>Kwaliteit (KG-1 en KG-2) 2028</t>
  </si>
  <si>
    <t>Behaalde fictieve korting (2028)</t>
  </si>
  <si>
    <t>Prijs 2028</t>
  </si>
  <si>
    <t>Totale inschrijfprijs (2028)</t>
  </si>
  <si>
    <t>Subtotaal 2028</t>
  </si>
  <si>
    <t>Subtotaal 2029</t>
  </si>
  <si>
    <t>Kwaliteit (KG-1 en KG-2) 2029</t>
  </si>
  <si>
    <t>Prijs 2029</t>
  </si>
  <si>
    <t>Behaalde fictieve korting (2029)</t>
  </si>
  <si>
    <t>Totale inschrijfprijs (2029)</t>
  </si>
  <si>
    <t>Kwaliteit (KG-1 en KG-2) 2030-2033</t>
  </si>
  <si>
    <t>Prijs 2030-2033</t>
  </si>
  <si>
    <t>Subtotaal 2030-2033</t>
  </si>
  <si>
    <t>Behaalde fictieve korting (2030-2033)</t>
  </si>
  <si>
    <t>Totale inschrijfprijs (2030-2033)</t>
  </si>
  <si>
    <t>KG-2 Verwerkingsproces en eindproducten in 2026</t>
  </si>
  <si>
    <t>KG-2 Verwerkingsproces en eindproducten in 2027</t>
  </si>
  <si>
    <t>KG-2 Verwerkingsproces en eindproducten in 2028</t>
  </si>
  <si>
    <t>KG-2 Verwerkingsproces en eindproducten in 2029</t>
  </si>
  <si>
    <t>KG-2 Verwerkingsproces en eindproducten in 2030 en later</t>
  </si>
  <si>
    <t>Kwalitatieve gunningscriteria (2026, 2027, 2028, 2029 en 2030-2033)</t>
  </si>
  <si>
    <t>Prijsinvulformulier (2026, 2027, 2028, 2029 en 2030-2033)</t>
  </si>
  <si>
    <r>
      <rPr>
        <b/>
        <sz val="14"/>
        <rFont val="Century Gothic"/>
        <family val="2"/>
      </rPr>
      <t xml:space="preserve">Bijlage 8 - Invulformulier gunningscriteria
Behorende bij de Europese openbare aanbesteding 
'Overslag, transport en verwerking huishoudelijk (fijn) restafval en grof huishoudelijk (rest)afval'
</t>
    </r>
    <r>
      <rPr>
        <b/>
        <sz val="12"/>
        <rFont val="Century Gothic"/>
        <family val="2"/>
      </rPr>
      <t xml:space="preserve">
</t>
    </r>
    <r>
      <rPr>
        <b/>
        <sz val="14"/>
        <rFont val="Century Gothic"/>
        <family val="2"/>
      </rPr>
      <t xml:space="preserve">Perceel 1 - Overslag, transport en verwerking huishoudelijk (fijn) restafval </t>
    </r>
    <r>
      <rPr>
        <b/>
        <sz val="12"/>
        <rFont val="Century Gothic"/>
        <family val="2"/>
      </rPr>
      <t xml:space="preserve">
</t>
    </r>
    <r>
      <rPr>
        <b/>
        <sz val="12"/>
        <color rgb="FFFF0000"/>
        <rFont val="Century Gothic"/>
        <family val="2"/>
      </rPr>
      <t>Gewijzigd bij Nota van inlichtingen 2</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</si>
  <si>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 Overslag, transport en verwerking huishoudelijk (fijn) restafval 
1. Invulinstructie</t>
    </r>
  </si>
  <si>
    <r>
      <t xml:space="preserve">Invulformulier gunningscriteria </t>
    </r>
    <r>
      <rPr>
        <b/>
        <sz val="14"/>
        <color rgb="FFFF0000"/>
        <rFont val="Century Gothic"/>
        <family val="2"/>
      </rPr>
      <t>Gewijzigd bij Nota van inlichtingen 2</t>
    </r>
    <r>
      <rPr>
        <b/>
        <sz val="14"/>
        <color theme="0"/>
        <rFont val="Century Gothic"/>
        <family val="2"/>
      </rPr>
      <t xml:space="preserve">
Perceel 1 - Overslag, transport en verwerking huishoudelijk (fijn) restafval 
2. Kwalitatieve gunningscriteria </t>
    </r>
    <r>
      <rPr>
        <b/>
        <u/>
        <sz val="14"/>
        <color theme="0"/>
        <rFont val="Century Gothic"/>
        <family val="2"/>
      </rPr>
      <t>2026</t>
    </r>
  </si>
  <si>
    <r>
      <t xml:space="preserve">Invulformulier gunningscriteria </t>
    </r>
    <r>
      <rPr>
        <b/>
        <sz val="14"/>
        <color rgb="FFFF0000"/>
        <rFont val="Century Gothic"/>
        <family val="2"/>
      </rPr>
      <t>Gewijzigd bij Nota van inlichtingen 2</t>
    </r>
    <r>
      <rPr>
        <b/>
        <sz val="14"/>
        <color theme="0"/>
        <rFont val="Century Gothic"/>
        <family val="2"/>
      </rPr>
      <t xml:space="preserve">
Perceel 1 - Overslag, transport en verwerking huishoudelijk (fijn) restafval 
2. Kwalitatieve gunningscriteria </t>
    </r>
    <r>
      <rPr>
        <b/>
        <u/>
        <sz val="14"/>
        <color theme="0"/>
        <rFont val="Century Gothic"/>
        <family val="2"/>
      </rPr>
      <t>2027</t>
    </r>
  </si>
  <si>
    <r>
      <t xml:space="preserve">Invulformulier gunningscriteria </t>
    </r>
    <r>
      <rPr>
        <b/>
        <sz val="14"/>
        <color rgb="FFFF0000"/>
        <rFont val="Century Gothic"/>
        <family val="2"/>
      </rPr>
      <t>Gewijzigd bij Nota van inlichtingen 2</t>
    </r>
    <r>
      <rPr>
        <b/>
        <sz val="14"/>
        <color theme="0"/>
        <rFont val="Century Gothic"/>
        <family val="2"/>
      </rPr>
      <t xml:space="preserve">
Perceel 1 - Overslag, transport en verwerking huishoudelijk (fijn) restafval 
2. Kwalitatieve gunningscriteria </t>
    </r>
    <r>
      <rPr>
        <b/>
        <u/>
        <sz val="14"/>
        <color theme="0"/>
        <rFont val="Century Gothic"/>
        <family val="2"/>
      </rPr>
      <t>2028</t>
    </r>
  </si>
  <si>
    <r>
      <t xml:space="preserve">Invulformulier gunningscriteria </t>
    </r>
    <r>
      <rPr>
        <b/>
        <sz val="14"/>
        <color rgb="FFFF0000"/>
        <rFont val="Century Gothic"/>
        <family val="2"/>
      </rPr>
      <t>Gewijzigd bij Nota van inlichtingen 2</t>
    </r>
    <r>
      <rPr>
        <b/>
        <sz val="14"/>
        <color theme="0"/>
        <rFont val="Century Gothic"/>
        <family val="2"/>
      </rPr>
      <t xml:space="preserve">
Perceel 1 - Overslag, transport en verwerking huishoudelijk (fijn) restafval 
2. Kwalitatieve gunningscriteria </t>
    </r>
    <r>
      <rPr>
        <b/>
        <u/>
        <sz val="14"/>
        <color theme="0"/>
        <rFont val="Century Gothic"/>
        <family val="2"/>
      </rPr>
      <t>2029</t>
    </r>
  </si>
  <si>
    <r>
      <t xml:space="preserve">Invulformulier gunningscriteria </t>
    </r>
    <r>
      <rPr>
        <b/>
        <sz val="14"/>
        <color rgb="FFFF0000"/>
        <rFont val="Century Gothic"/>
        <family val="2"/>
      </rPr>
      <t>Gewijzigd bij Nota van inlichtingen 2</t>
    </r>
    <r>
      <rPr>
        <b/>
        <sz val="14"/>
        <color theme="0"/>
        <rFont val="Century Gothic"/>
        <family val="2"/>
      </rPr>
      <t xml:space="preserve">
Perceel 1 - Overslag, transport en verwerking huishoudelijk (fijn) restafval 
2. Kwalitatieve gunningscriteria </t>
    </r>
    <r>
      <rPr>
        <b/>
        <u/>
        <sz val="14"/>
        <color theme="0"/>
        <rFont val="Century Gothic"/>
        <family val="2"/>
      </rPr>
      <t>2030-2033</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</si>
  <si>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Overslag, transport en verwerking huishoudelijk (fijn) restafval 
3. Prijsinvulformulier </t>
    </r>
    <r>
      <rPr>
        <b/>
        <u/>
        <sz val="12"/>
        <color theme="0"/>
        <rFont val="Century Gothic"/>
        <family val="2"/>
      </rPr>
      <t>2026</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</si>
  <si>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Overslag, transport en verwerking huishoudelijk (fijn) restafval 
3. Prijsinvulformulier </t>
    </r>
    <r>
      <rPr>
        <b/>
        <u/>
        <sz val="12"/>
        <color theme="0"/>
        <rFont val="Century Gothic"/>
        <family val="2"/>
      </rPr>
      <t>2027</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</si>
  <si>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Overslag, transport en verwerking huishoudelijk (fijn) restafval 
3. Prijsinvulformulier </t>
    </r>
    <r>
      <rPr>
        <b/>
        <u/>
        <sz val="12"/>
        <color theme="0"/>
        <rFont val="Century Gothic"/>
        <family val="2"/>
      </rPr>
      <t>2028</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</si>
  <si>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Overslag, transport en verwerking huishoudelijk (fijn) restafval 
3. Prijsinvulformulier </t>
    </r>
    <r>
      <rPr>
        <b/>
        <u/>
        <sz val="12"/>
        <color theme="0"/>
        <rFont val="Century Gothic"/>
        <family val="2"/>
      </rPr>
      <t>2029</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</si>
  <si>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Overslag, transport en verwerking huishoudelijk (fijn) restafval 
3. Prijsinvulformulier </t>
    </r>
    <r>
      <rPr>
        <b/>
        <u/>
        <sz val="12"/>
        <color theme="0"/>
        <rFont val="Century Gothic"/>
        <family val="2"/>
      </rPr>
      <t>2030-2033</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</si>
  <si>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1 - Overslag, transport en verwerking huishoudelijk (fijn) restafval 
4. Fictieve inschrijfprijs </t>
    </r>
  </si>
  <si>
    <r>
      <t xml:space="preserve">Totale CO2-equivalent impact HRA-verwerking:
</t>
    </r>
    <r>
      <rPr>
        <b/>
        <i/>
        <sz val="10"/>
        <rFont val="Century Gothic"/>
        <family val="2"/>
      </rPr>
      <t>Positieve waarde = besparing</t>
    </r>
  </si>
  <si>
    <r>
      <t>Totale CO2-equivalent impact HRA-verwerking:
Positieve</t>
    </r>
    <r>
      <rPr>
        <b/>
        <i/>
        <sz val="10"/>
        <rFont val="Century Gothic"/>
        <family val="2"/>
      </rPr>
      <t xml:space="preserve"> waarde = besparing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</si>
</sst>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0_ ;\-#,##0\ "/>
    <numFmt numFmtId="165" formatCode="&quot;€&quot;\ #,##0.00"/>
    <numFmt numFmtId="166" formatCode="0.0"/>
    <numFmt numFmtId="167" formatCode="0.000"/>
    <numFmt numFmtId="168" formatCode="0.000%"/>
  </numFmts>
  <fonts count="63">
    <font>
      <sz val="11"/>
      <color theme="1"/>
      <name val="Calibri"/>
      <family val="2"/>
      <scheme val="minor"/>
    </font>
    <font>
      <sz val="11"/>
      <color theme="1"/>
      <name val="Calibri"/>
      <family val="2"/>
      <scheme val="minor"/>
    </font>
    <font>
      <sz val="10"/>
      <name val="Arial"/>
      <family val="2"/>
    </font>
    <font>
      <sz val="9"/>
      <color theme="1"/>
      <name val="Century Gothic"/>
      <family val="2"/>
    </font>
    <font>
      <sz val="11"/>
      <name val="Calibri  "/>
    </font>
    <font>
      <sz val="11"/>
      <name val="Century Gothic"/>
      <family val="2"/>
    </font>
    <font>
      <sz val="9"/>
      <name val="Century Gothic"/>
      <family val="2"/>
    </font>
    <font>
      <b/>
      <sz val="12"/>
      <name val="Century Gothic"/>
      <family val="2"/>
    </font>
    <font>
      <u/>
      <sz val="11"/>
      <name val="Century Gothic"/>
      <family val="2"/>
    </font>
    <font>
      <b/>
      <sz val="12"/>
      <color theme="0"/>
      <name val="Century Gothic"/>
      <family val="2"/>
    </font>
    <font>
      <sz val="10"/>
      <color theme="1"/>
      <name val="Century Gothic"/>
      <family val="2"/>
    </font>
    <font>
      <b/>
      <sz val="10"/>
      <color theme="0"/>
      <name val="Century Gothic"/>
      <family val="2"/>
    </font>
    <font>
      <sz val="10"/>
      <name val="Century Gothic"/>
      <family val="2"/>
    </font>
    <font>
      <b/>
      <sz val="10"/>
      <name val="Century Gothic"/>
      <family val="2"/>
    </font>
    <font>
      <b/>
      <sz val="10"/>
      <color theme="1"/>
      <name val="Century Gothic"/>
      <family val="2"/>
    </font>
    <font>
      <b/>
      <vertAlign val="subscript"/>
      <sz val="10"/>
      <color theme="1"/>
      <name val="Century Gothic"/>
      <family val="2"/>
    </font>
    <font>
      <vertAlign val="subscript"/>
      <sz val="10"/>
      <color theme="1"/>
      <name val="Century Gothic"/>
      <family val="2"/>
    </font>
    <font>
      <b/>
      <sz val="10"/>
      <color indexed="9"/>
      <name val="Century Gothic"/>
      <family val="2"/>
    </font>
    <font>
      <b/>
      <sz val="10"/>
      <color rgb="FF000000"/>
      <name val="Century Gothic"/>
      <family val="2"/>
    </font>
    <font>
      <sz val="10"/>
      <color rgb="FF000000"/>
      <name val="Century Gothic"/>
      <family val="2"/>
    </font>
    <font>
      <vertAlign val="subscript"/>
      <sz val="10"/>
      <color rgb="FF000000"/>
      <name val="Century Gothic"/>
      <family val="2"/>
    </font>
    <font>
      <vertAlign val="superscript"/>
      <sz val="10"/>
      <color rgb="FF000000"/>
      <name val="Century Gothic"/>
      <family val="2"/>
    </font>
    <font>
      <vertAlign val="superscript"/>
      <sz val="10"/>
      <name val="Century Gothic"/>
      <family val="2"/>
    </font>
    <font>
      <b/>
      <i/>
      <sz val="10"/>
      <name val="Century Gothic"/>
      <family val="2"/>
    </font>
    <font>
      <vertAlign val="subscript"/>
      <sz val="10"/>
      <name val="Century Gothic"/>
      <family val="2"/>
    </font>
    <font>
      <sz val="10"/>
      <color rgb="FFFF0000"/>
      <name val="Century Gothic"/>
      <family val="2"/>
    </font>
    <font>
      <b/>
      <sz val="14"/>
      <color theme="0"/>
      <name val="Century Gothic"/>
      <family val="2"/>
    </font>
    <font>
      <b/>
      <sz val="9"/>
      <color theme="1"/>
      <name val="Century Gothic"/>
      <family val="2"/>
    </font>
    <font>
      <sz val="11"/>
      <color theme="1"/>
      <name val="Century Gothic"/>
      <family val="2"/>
    </font>
    <font>
      <sz val="10"/>
      <color theme="0"/>
      <name val="Century Gothic"/>
      <family val="2"/>
    </font>
    <font>
      <b/>
      <sz val="11"/>
      <color theme="0"/>
      <name val="Century Gothic"/>
      <family val="2"/>
    </font>
    <font>
      <i/>
      <sz val="10"/>
      <color theme="1"/>
      <name val="Century Gothic"/>
      <family val="2"/>
    </font>
    <font>
      <sz val="11"/>
      <color theme="0"/>
      <name val="Century Gothic"/>
      <family val="2"/>
    </font>
    <font>
      <b/>
      <sz val="11"/>
      <color theme="1"/>
      <name val="Century Gothic"/>
      <family val="2"/>
    </font>
    <font>
      <b/>
      <i/>
      <sz val="10"/>
      <color theme="0"/>
      <name val="Century Gothic"/>
      <family val="2"/>
    </font>
    <font>
      <b/>
      <i/>
      <sz val="11"/>
      <color theme="0"/>
      <name val="Century Gothic"/>
      <family val="2"/>
    </font>
    <font>
      <b/>
      <sz val="11"/>
      <color indexed="9"/>
      <name val="Century Gothic"/>
      <family val="2"/>
    </font>
    <font>
      <b/>
      <sz val="9"/>
      <name val="Century Gothic"/>
      <family val="2"/>
    </font>
    <font>
      <b/>
      <sz val="14"/>
      <name val="Century Gothic"/>
      <family val="2"/>
    </font>
    <font>
      <sz val="8"/>
      <name val="Calibri"/>
      <family val="2"/>
      <scheme val="minor"/>
    </font>
    <font>
      <u/>
      <sz val="10"/>
      <color rgb="FF3333FF"/>
      <name val="Century Gothic"/>
      <family val="2"/>
    </font>
    <font>
      <b/>
      <sz val="11"/>
      <color rgb="FF00B050"/>
      <name val="Century Gothic"/>
      <family val="2"/>
    </font>
    <font>
      <b/>
      <sz val="10"/>
      <color rgb="FFEE0000"/>
      <name val="Century Gothic"/>
      <family val="2"/>
    </font>
    <font>
      <sz val="11"/>
      <color theme="1"/>
      <name val="Calibri  "/>
    </font>
    <font>
      <b/>
      <sz val="9"/>
      <color theme="1"/>
      <name val="Calibri  "/>
    </font>
    <font>
      <sz val="9"/>
      <color theme="1"/>
      <name val="Calibri  "/>
    </font>
    <font>
      <b/>
      <sz val="9"/>
      <color rgb="FFFF0000"/>
      <name val="Calibri  "/>
    </font>
    <font>
      <sz val="9"/>
      <color rgb="FFFF0000"/>
      <name val="Calibri  "/>
    </font>
    <font>
      <sz val="9"/>
      <color rgb="FF000000"/>
      <name val="Arial"/>
      <family val="2"/>
    </font>
    <font>
      <sz val="9"/>
      <color rgb="FF00B050"/>
      <name val="Century Gothic"/>
      <family val="2"/>
    </font>
    <font>
      <sz val="10"/>
      <color rgb="FF00B050"/>
      <name val="Century Gothic"/>
      <family val="2"/>
    </font>
    <font>
      <sz val="11"/>
      <color rgb="FF00B050"/>
      <name val="Century Gothic"/>
      <family val="2"/>
    </font>
    <font>
      <sz val="9"/>
      <color rgb="FF00B050"/>
      <name val="Calibri  "/>
    </font>
    <font>
      <b/>
      <sz val="12"/>
      <color theme="1"/>
      <name val="Century Gothic"/>
      <family val="2"/>
    </font>
    <font>
      <b/>
      <sz val="14"/>
      <color indexed="9"/>
      <name val="Century Gothic"/>
      <family val="2"/>
    </font>
    <font>
      <b/>
      <sz val="12"/>
      <color rgb="FFFF0000"/>
      <name val="Century Gothic"/>
      <family val="2"/>
    </font>
    <font>
      <b/>
      <sz val="14"/>
      <color rgb="FFFF0000"/>
      <name val="Century Gothic"/>
      <family val="2"/>
    </font>
    <font>
      <b/>
      <sz val="11"/>
      <name val="Century Gothic"/>
      <family val="2"/>
    </font>
    <font>
      <b/>
      <i/>
      <u/>
      <sz val="11"/>
      <color theme="0"/>
      <name val="Century Gothic"/>
      <family val="2"/>
    </font>
    <font>
      <b/>
      <u/>
      <sz val="12"/>
      <color theme="0"/>
      <name val="Century Gothic"/>
      <family val="2"/>
    </font>
    <font>
      <b/>
      <u/>
      <sz val="14"/>
      <color theme="0"/>
      <name val="Century Gothic"/>
      <family val="2"/>
    </font>
    <font>
      <b/>
      <i/>
      <sz val="11"/>
      <color theme="1"/>
      <name val="Century Gothic"/>
      <family val="2"/>
    </font>
    <font>
      <i/>
      <sz val="11"/>
      <color theme="1"/>
      <name val="Century Gothic"/>
      <family val="2"/>
    </font>
  </fonts>
  <fills count="13">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3333FF"/>
        <bgColor indexed="64"/>
      </patternFill>
    </fill>
    <fill>
      <patternFill patternType="solid">
        <fgColor rgb="FFFFFF00"/>
        <bgColor indexed="64"/>
      </patternFill>
    </fill>
    <fill>
      <patternFill patternType="solid">
        <fgColor theme="2"/>
        <bgColor indexed="64"/>
      </patternFill>
    </fill>
    <fill>
      <patternFill patternType="solid">
        <fgColor rgb="FF3366FF"/>
        <bgColor indexed="64"/>
      </patternFill>
    </fill>
    <fill>
      <patternFill patternType="solid">
        <fgColor rgb="FF99CCFF"/>
        <bgColor indexed="64"/>
      </patternFill>
    </fill>
    <fill>
      <patternFill patternType="solid">
        <fgColor rgb="FF92D050"/>
        <bgColor indexed="64"/>
      </patternFill>
    </fill>
    <fill>
      <patternFill patternType="solid">
        <fgColor theme="5" tint="0.79998168889431442"/>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thin">
        <color auto="1"/>
      </left>
      <right/>
      <top style="medium">
        <color indexed="64"/>
      </top>
      <bottom style="medium">
        <color indexed="64"/>
      </bottom>
      <diagonal/>
    </border>
    <border>
      <left style="thin">
        <color auto="1"/>
      </left>
      <right/>
      <top style="medium">
        <color indexed="64"/>
      </top>
      <bottom style="thin">
        <color indexed="64"/>
      </bottom>
      <diagonal/>
    </border>
    <border>
      <left/>
      <right style="medium">
        <color indexed="64"/>
      </right>
      <top style="thin">
        <color indexed="64"/>
      </top>
      <bottom style="thin">
        <color auto="1"/>
      </bottom>
      <diagonal/>
    </border>
    <border>
      <left/>
      <right style="medium">
        <color auto="1"/>
      </right>
      <top/>
      <bottom style="medium">
        <color auto="1"/>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3">
    <xf numFmtId="0" fontId="0" fillId="0" borderId="0"/>
    <xf numFmtId="0" fontId="2" fillId="0" borderId="0"/>
    <xf numFmtId="0" fontId="3"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cellStyleXfs>
  <cellXfs count="434">
    <xf numFmtId="0" fontId="0" fillId="0" borderId="0" xfId="0"/>
    <xf numFmtId="0" fontId="4" fillId="0" borderId="0" xfId="1" applyFont="1" applyAlignment="1">
      <alignment horizontal="center" vertical="center"/>
    </xf>
    <xf numFmtId="0" fontId="4"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horizontal="center" vertical="center"/>
    </xf>
    <xf numFmtId="0" fontId="4" fillId="0" borderId="5"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5" fillId="0" borderId="5" xfId="1" applyFont="1" applyBorder="1" applyAlignment="1">
      <alignment vertical="center"/>
    </xf>
    <xf numFmtId="0" fontId="5" fillId="0" borderId="4" xfId="1" applyFont="1" applyBorder="1" applyAlignment="1">
      <alignment horizontal="center" vertical="center"/>
    </xf>
    <xf numFmtId="0" fontId="10" fillId="0" borderId="0" xfId="2" applyFont="1" applyAlignment="1" applyProtection="1">
      <alignment vertical="center"/>
      <protection hidden="1"/>
    </xf>
    <xf numFmtId="0" fontId="11" fillId="0" borderId="0" xfId="2" applyFont="1" applyAlignment="1" applyProtection="1">
      <alignment vertical="center"/>
      <protection hidden="1"/>
    </xf>
    <xf numFmtId="0" fontId="10" fillId="0" borderId="0" xfId="0" applyFont="1" applyProtection="1">
      <protection hidden="1"/>
    </xf>
    <xf numFmtId="0" fontId="10" fillId="0" borderId="0" xfId="0" applyFont="1"/>
    <xf numFmtId="0" fontId="11" fillId="0" borderId="9" xfId="1" applyFont="1" applyBorder="1" applyAlignment="1" applyProtection="1">
      <alignment horizontal="left" vertical="center" wrapText="1"/>
      <protection hidden="1"/>
    </xf>
    <xf numFmtId="0" fontId="11" fillId="0" borderId="10" xfId="1" applyFont="1" applyBorder="1" applyAlignment="1" applyProtection="1">
      <alignment horizontal="center" vertical="center" wrapText="1"/>
      <protection hidden="1"/>
    </xf>
    <xf numFmtId="0" fontId="10" fillId="0" borderId="0" xfId="0" applyFont="1" applyAlignment="1" applyProtection="1">
      <alignment vertical="center" wrapText="1"/>
      <protection hidden="1"/>
    </xf>
    <xf numFmtId="0" fontId="14" fillId="0" borderId="21" xfId="0" applyFont="1" applyBorder="1" applyAlignment="1" applyProtection="1">
      <alignment horizontal="left" vertical="center" wrapText="1"/>
      <protection hidden="1"/>
    </xf>
    <xf numFmtId="0" fontId="14" fillId="0" borderId="22" xfId="0" applyFont="1" applyBorder="1" applyAlignment="1" applyProtection="1">
      <alignment horizontal="left" vertical="center" wrapText="1"/>
      <protection hidden="1"/>
    </xf>
    <xf numFmtId="0" fontId="14" fillId="0" borderId="17" xfId="0" applyFont="1" applyBorder="1" applyAlignment="1" applyProtection="1">
      <alignment horizontal="left" vertical="center" wrapText="1"/>
      <protection hidden="1"/>
    </xf>
    <xf numFmtId="0" fontId="19" fillId="0" borderId="11" xfId="0" applyFont="1" applyBorder="1" applyAlignment="1" applyProtection="1">
      <alignment vertical="center" wrapText="1"/>
      <protection hidden="1"/>
    </xf>
    <xf numFmtId="0" fontId="12" fillId="0" borderId="11" xfId="3" applyFont="1" applyBorder="1" applyAlignment="1" applyProtection="1">
      <alignment horizontal="center" vertical="center" wrapText="1"/>
      <protection hidden="1"/>
    </xf>
    <xf numFmtId="0" fontId="12" fillId="0" borderId="11" xfId="3" applyFont="1" applyBorder="1" applyAlignment="1" applyProtection="1">
      <alignment horizontal="right" vertical="center" wrapText="1"/>
      <protection hidden="1"/>
    </xf>
    <xf numFmtId="167" fontId="12" fillId="0" borderId="25" xfId="1" applyNumberFormat="1" applyFont="1" applyBorder="1" applyAlignment="1" applyProtection="1">
      <alignment horizontal="center" vertical="center" wrapText="1"/>
      <protection hidden="1"/>
    </xf>
    <xf numFmtId="166" fontId="12" fillId="0" borderId="11" xfId="3" applyNumberFormat="1" applyFont="1" applyBorder="1" applyAlignment="1" applyProtection="1">
      <alignment horizontal="right" vertical="center" wrapText="1"/>
      <protection hidden="1"/>
    </xf>
    <xf numFmtId="0" fontId="12" fillId="0" borderId="19" xfId="3" applyFont="1" applyBorder="1" applyAlignment="1" applyProtection="1">
      <alignment vertical="center" wrapText="1"/>
      <protection hidden="1"/>
    </xf>
    <xf numFmtId="0" fontId="12" fillId="0" borderId="20" xfId="3" applyFont="1" applyBorder="1" applyAlignment="1" applyProtection="1">
      <alignment vertical="center" wrapText="1"/>
      <protection hidden="1"/>
    </xf>
    <xf numFmtId="0" fontId="10" fillId="0" borderId="11" xfId="2" applyFont="1" applyBorder="1" applyAlignment="1" applyProtection="1">
      <alignment horizontal="center" vertical="center"/>
      <protection hidden="1"/>
    </xf>
    <xf numFmtId="0" fontId="26" fillId="0" borderId="0" xfId="1" applyFont="1" applyAlignment="1">
      <alignment vertical="center" wrapText="1"/>
    </xf>
    <xf numFmtId="0" fontId="28" fillId="0" borderId="0" xfId="0" applyFont="1"/>
    <xf numFmtId="0" fontId="10" fillId="0" borderId="11" xfId="0" applyFont="1" applyBorder="1"/>
    <xf numFmtId="0" fontId="3" fillId="3" borderId="11" xfId="0" applyFont="1" applyFill="1" applyBorder="1" applyAlignment="1">
      <alignment vertical="top" wrapText="1"/>
    </xf>
    <xf numFmtId="0" fontId="3" fillId="3" borderId="11" xfId="0" applyFont="1" applyFill="1" applyBorder="1" applyAlignment="1">
      <alignment vertical="center" wrapText="1"/>
    </xf>
    <xf numFmtId="0" fontId="3" fillId="3" borderId="11" xfId="0" applyFont="1" applyFill="1" applyBorder="1" applyAlignment="1">
      <alignment vertical="center"/>
    </xf>
    <xf numFmtId="0" fontId="27" fillId="3" borderId="11" xfId="0" applyFont="1" applyFill="1" applyBorder="1" applyAlignment="1">
      <alignment wrapText="1"/>
    </xf>
    <xf numFmtId="0" fontId="10" fillId="7" borderId="11" xfId="0" applyFont="1" applyFill="1" applyBorder="1" applyAlignment="1" applyProtection="1">
      <alignment vertical="center" wrapText="1"/>
      <protection locked="0"/>
    </xf>
    <xf numFmtId="0" fontId="12" fillId="7" borderId="18" xfId="1" applyFont="1" applyFill="1" applyBorder="1" applyAlignment="1" applyProtection="1">
      <alignment vertical="center" wrapText="1"/>
      <protection locked="0"/>
    </xf>
    <xf numFmtId="0" fontId="10" fillId="0" borderId="29" xfId="0" applyFont="1" applyBorder="1" applyProtection="1">
      <protection hidden="1"/>
    </xf>
    <xf numFmtId="0" fontId="12" fillId="7" borderId="11" xfId="3" applyFont="1" applyFill="1" applyBorder="1" applyAlignment="1" applyProtection="1">
      <alignment horizontal="center" vertical="center" wrapText="1"/>
      <protection locked="0"/>
    </xf>
    <xf numFmtId="0" fontId="12" fillId="7" borderId="13" xfId="3" applyFont="1" applyFill="1" applyBorder="1" applyAlignment="1" applyProtection="1">
      <alignment horizontal="center" vertical="center" wrapText="1"/>
      <protection locked="0"/>
    </xf>
    <xf numFmtId="0" fontId="10" fillId="0" borderId="11" xfId="2" applyFont="1" applyBorder="1" applyAlignment="1" applyProtection="1">
      <alignment vertical="center"/>
      <protection hidden="1"/>
    </xf>
    <xf numFmtId="0" fontId="10" fillId="0" borderId="11" xfId="6" applyFont="1" applyBorder="1" applyAlignment="1" applyProtection="1">
      <alignment vertical="center" wrapText="1"/>
      <protection hidden="1"/>
    </xf>
    <xf numFmtId="44" fontId="10" fillId="0" borderId="11" xfId="9" applyFont="1" applyBorder="1" applyAlignment="1" applyProtection="1">
      <alignment horizontal="center" vertical="center" wrapText="1"/>
      <protection hidden="1"/>
    </xf>
    <xf numFmtId="165" fontId="10" fillId="3" borderId="11" xfId="3" applyNumberFormat="1" applyFont="1" applyFill="1" applyBorder="1" applyAlignment="1" applyProtection="1">
      <alignment horizontal="center" vertical="center" wrapText="1"/>
      <protection hidden="1"/>
    </xf>
    <xf numFmtId="0" fontId="10" fillId="3" borderId="11" xfId="3" applyFont="1" applyFill="1" applyBorder="1" applyAlignment="1" applyProtection="1">
      <alignment horizontal="center" vertical="center" wrapText="1"/>
      <protection hidden="1"/>
    </xf>
    <xf numFmtId="0" fontId="10" fillId="0" borderId="11" xfId="6" applyFont="1" applyBorder="1" applyAlignment="1" applyProtection="1">
      <alignment horizontal="left" vertical="center" wrapText="1"/>
      <protection hidden="1"/>
    </xf>
    <xf numFmtId="0" fontId="12" fillId="0" borderId="0" xfId="2" applyFont="1" applyAlignment="1" applyProtection="1">
      <alignment vertical="center"/>
      <protection hidden="1"/>
    </xf>
    <xf numFmtId="0" fontId="12" fillId="0" borderId="11" xfId="6" applyFont="1" applyBorder="1" applyAlignment="1" applyProtection="1">
      <alignment horizontal="center" vertical="center"/>
      <protection hidden="1"/>
    </xf>
    <xf numFmtId="0" fontId="28" fillId="0" borderId="0" xfId="2" applyFont="1" applyAlignment="1">
      <alignment vertical="center"/>
    </xf>
    <xf numFmtId="0" fontId="28" fillId="0" borderId="0" xfId="2" applyFont="1" applyAlignment="1">
      <alignment horizontal="center" vertical="center"/>
    </xf>
    <xf numFmtId="0" fontId="6" fillId="3" borderId="11" xfId="0" applyFont="1" applyFill="1" applyBorder="1" applyAlignment="1">
      <alignment wrapText="1"/>
    </xf>
    <xf numFmtId="0" fontId="3" fillId="0" borderId="11" xfId="0" applyFont="1" applyBorder="1" applyAlignment="1">
      <alignment vertical="center" wrapText="1"/>
    </xf>
    <xf numFmtId="0" fontId="28" fillId="0" borderId="0" xfId="2" applyFont="1" applyAlignment="1" applyProtection="1">
      <alignment vertical="center"/>
      <protection hidden="1"/>
    </xf>
    <xf numFmtId="0" fontId="30" fillId="0" borderId="0" xfId="2" applyFont="1" applyAlignment="1" applyProtection="1">
      <alignment vertical="center"/>
      <protection hidden="1"/>
    </xf>
    <xf numFmtId="0" fontId="30" fillId="0" borderId="10" xfId="1"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vertical="center" wrapText="1"/>
      <protection hidden="1"/>
    </xf>
    <xf numFmtId="9" fontId="3" fillId="0" borderId="0" xfId="8" applyFont="1" applyAlignment="1" applyProtection="1">
      <alignment vertical="center" wrapText="1"/>
      <protection hidden="1"/>
    </xf>
    <xf numFmtId="1" fontId="3" fillId="0" borderId="0" xfId="8" applyNumberFormat="1" applyFont="1" applyAlignment="1" applyProtection="1">
      <alignment horizontal="center" vertical="center" wrapText="1"/>
      <protection hidden="1"/>
    </xf>
    <xf numFmtId="0" fontId="10" fillId="0" borderId="14" xfId="0" applyFont="1" applyBorder="1" applyAlignment="1" applyProtection="1">
      <alignment vertical="center" wrapText="1"/>
      <protection hidden="1"/>
    </xf>
    <xf numFmtId="0" fontId="13" fillId="0" borderId="9" xfId="1" applyFont="1" applyBorder="1" applyAlignment="1" applyProtection="1">
      <alignment horizontal="center" vertical="center" wrapText="1"/>
      <protection hidden="1"/>
    </xf>
    <xf numFmtId="9" fontId="3" fillId="0" borderId="0" xfId="8" applyFont="1" applyFill="1" applyAlignment="1" applyProtection="1">
      <alignment vertical="center" wrapText="1"/>
      <protection hidden="1"/>
    </xf>
    <xf numFmtId="1" fontId="3" fillId="0" borderId="0" xfId="8" applyNumberFormat="1" applyFont="1" applyFill="1" applyAlignment="1" applyProtection="1">
      <alignment horizontal="center" vertical="center" wrapText="1"/>
      <protection hidden="1"/>
    </xf>
    <xf numFmtId="0" fontId="28" fillId="0" borderId="0" xfId="0" applyFont="1" applyProtection="1">
      <protection hidden="1"/>
    </xf>
    <xf numFmtId="0" fontId="30" fillId="0" borderId="9" xfId="1" applyFont="1" applyBorder="1" applyAlignment="1" applyProtection="1">
      <alignment horizontal="left" vertical="center" wrapText="1"/>
      <protection hidden="1"/>
    </xf>
    <xf numFmtId="0" fontId="28" fillId="0" borderId="0" xfId="2" applyFont="1" applyAlignment="1" applyProtection="1">
      <alignment horizontal="center" vertical="center"/>
      <protection hidden="1"/>
    </xf>
    <xf numFmtId="0" fontId="10" fillId="0" borderId="18" xfId="2" applyFont="1" applyBorder="1" applyAlignment="1" applyProtection="1">
      <alignment vertical="center" wrapText="1"/>
      <protection hidden="1"/>
    </xf>
    <xf numFmtId="0" fontId="14" fillId="0" borderId="30" xfId="0" applyFont="1" applyBorder="1" applyAlignment="1" applyProtection="1">
      <alignment horizontal="left" vertical="center" wrapText="1"/>
      <protection hidden="1"/>
    </xf>
    <xf numFmtId="9" fontId="10" fillId="0" borderId="0" xfId="8" applyFont="1" applyFill="1" applyBorder="1" applyAlignment="1" applyProtection="1">
      <alignment horizontal="center" vertical="center" wrapText="1"/>
      <protection hidden="1"/>
    </xf>
    <xf numFmtId="0" fontId="19" fillId="0" borderId="19" xfId="0" applyFont="1" applyBorder="1" applyAlignment="1" applyProtection="1">
      <alignment vertical="center" wrapText="1"/>
      <protection hidden="1"/>
    </xf>
    <xf numFmtId="0" fontId="12" fillId="0" borderId="19" xfId="3" applyFont="1" applyBorder="1" applyAlignment="1" applyProtection="1">
      <alignment horizontal="center" vertical="center" wrapText="1"/>
      <protection hidden="1"/>
    </xf>
    <xf numFmtId="0" fontId="12" fillId="0" borderId="19" xfId="3" applyFont="1" applyBorder="1" applyAlignment="1" applyProtection="1">
      <alignment horizontal="right" vertical="center" wrapText="1"/>
      <protection hidden="1"/>
    </xf>
    <xf numFmtId="167" fontId="12" fillId="0" borderId="35" xfId="1" applyNumberFormat="1" applyFont="1" applyBorder="1" applyAlignment="1" applyProtection="1">
      <alignment horizontal="center" vertical="center" wrapText="1"/>
      <protection hidden="1"/>
    </xf>
    <xf numFmtId="0" fontId="18" fillId="0" borderId="28" xfId="0" applyFont="1" applyBorder="1" applyAlignment="1" applyProtection="1">
      <alignment vertical="center" wrapText="1"/>
      <protection hidden="1"/>
    </xf>
    <xf numFmtId="0" fontId="18" fillId="0" borderId="33" xfId="0" applyFont="1" applyBorder="1" applyAlignment="1" applyProtection="1">
      <alignment vertical="center" wrapText="1"/>
      <protection hidden="1"/>
    </xf>
    <xf numFmtId="167" fontId="12" fillId="0" borderId="34" xfId="1" applyNumberFormat="1" applyFont="1" applyBorder="1" applyAlignment="1" applyProtection="1">
      <alignment vertical="center" wrapText="1"/>
      <protection hidden="1"/>
    </xf>
    <xf numFmtId="0" fontId="19" fillId="0" borderId="18" xfId="0" applyFont="1" applyBorder="1" applyAlignment="1" applyProtection="1">
      <alignment vertical="center" wrapText="1"/>
      <protection hidden="1"/>
    </xf>
    <xf numFmtId="0" fontId="12" fillId="0" borderId="18" xfId="3" applyFont="1" applyBorder="1" applyAlignment="1" applyProtection="1">
      <alignment horizontal="center" vertical="center" wrapText="1"/>
      <protection hidden="1"/>
    </xf>
    <xf numFmtId="0" fontId="12" fillId="0" borderId="18" xfId="3" applyFont="1" applyBorder="1" applyAlignment="1" applyProtection="1">
      <alignment horizontal="right" vertical="center" wrapText="1"/>
      <protection hidden="1"/>
    </xf>
    <xf numFmtId="166" fontId="12" fillId="0" borderId="19" xfId="3" applyNumberFormat="1" applyFont="1" applyBorder="1" applyAlignment="1" applyProtection="1">
      <alignment horizontal="right" vertical="center" wrapText="1"/>
      <protection hidden="1"/>
    </xf>
    <xf numFmtId="0" fontId="12" fillId="0" borderId="18" xfId="3" quotePrefix="1" applyFont="1" applyBorder="1" applyAlignment="1" applyProtection="1">
      <alignment horizontal="right" vertical="center" wrapText="1"/>
      <protection hidden="1"/>
    </xf>
    <xf numFmtId="0" fontId="18" fillId="0" borderId="36" xfId="0" applyFont="1" applyBorder="1" applyAlignment="1" applyProtection="1">
      <alignment vertical="center" wrapText="1"/>
      <protection hidden="1"/>
    </xf>
    <xf numFmtId="0" fontId="18" fillId="0" borderId="32" xfId="0" applyFont="1" applyBorder="1" applyAlignment="1" applyProtection="1">
      <alignment vertical="center" wrapText="1"/>
      <protection hidden="1"/>
    </xf>
    <xf numFmtId="166" fontId="12" fillId="0" borderId="18" xfId="3" applyNumberFormat="1" applyFont="1" applyBorder="1" applyAlignment="1" applyProtection="1">
      <alignment horizontal="right" vertical="center" wrapText="1"/>
      <protection hidden="1"/>
    </xf>
    <xf numFmtId="0" fontId="13" fillId="0" borderId="33" xfId="3" applyFont="1" applyBorder="1" applyAlignment="1" applyProtection="1">
      <alignment horizontal="right" vertical="center" wrapText="1"/>
      <protection hidden="1"/>
    </xf>
    <xf numFmtId="1" fontId="13" fillId="0" borderId="34" xfId="1" applyNumberFormat="1" applyFont="1" applyBorder="1" applyAlignment="1" applyProtection="1">
      <alignment horizontal="center" vertical="center" wrapText="1"/>
      <protection hidden="1"/>
    </xf>
    <xf numFmtId="0" fontId="12" fillId="0" borderId="18" xfId="3" applyFont="1" applyBorder="1" applyAlignment="1" applyProtection="1">
      <alignment vertical="center" wrapText="1"/>
      <protection hidden="1"/>
    </xf>
    <xf numFmtId="0" fontId="12" fillId="7" borderId="19" xfId="3" applyFont="1" applyFill="1" applyBorder="1" applyAlignment="1" applyProtection="1">
      <alignment horizontal="center" vertical="center" wrapText="1"/>
      <protection locked="0"/>
    </xf>
    <xf numFmtId="0" fontId="12" fillId="7" borderId="18" xfId="3" applyFont="1" applyFill="1" applyBorder="1" applyAlignment="1" applyProtection="1">
      <alignment horizontal="center" vertical="center" wrapText="1"/>
      <protection locked="0"/>
    </xf>
    <xf numFmtId="0" fontId="12" fillId="7" borderId="16" xfId="3" applyFont="1" applyFill="1" applyBorder="1" applyAlignment="1" applyProtection="1">
      <alignment horizontal="center" vertical="center" wrapText="1"/>
      <protection locked="0"/>
    </xf>
    <xf numFmtId="0" fontId="12" fillId="7" borderId="7" xfId="3" applyFont="1" applyFill="1" applyBorder="1" applyAlignment="1" applyProtection="1">
      <alignment horizontal="center" vertical="center" wrapText="1"/>
      <protection locked="0"/>
    </xf>
    <xf numFmtId="0" fontId="3" fillId="0" borderId="0" xfId="1" applyFont="1" applyAlignment="1" applyProtection="1">
      <alignment vertical="center"/>
      <protection hidden="1"/>
    </xf>
    <xf numFmtId="0" fontId="3" fillId="0" borderId="11" xfId="1" applyFont="1" applyBorder="1" applyAlignment="1" applyProtection="1">
      <alignment horizontal="center" vertical="center"/>
      <protection hidden="1"/>
    </xf>
    <xf numFmtId="0" fontId="29" fillId="6" borderId="10" xfId="3" applyFont="1" applyFill="1" applyBorder="1" applyAlignment="1" applyProtection="1">
      <alignment horizontal="center" vertical="center" wrapText="1"/>
      <protection hidden="1"/>
    </xf>
    <xf numFmtId="44" fontId="10" fillId="7" borderId="11" xfId="4" applyFont="1" applyFill="1" applyBorder="1" applyAlignment="1" applyProtection="1">
      <alignment horizontal="center" vertical="center"/>
      <protection locked="0"/>
    </xf>
    <xf numFmtId="0" fontId="29" fillId="6" borderId="9" xfId="3" applyFont="1" applyFill="1" applyBorder="1" applyAlignment="1" applyProtection="1">
      <alignment horizontal="center" vertical="center" wrapText="1"/>
      <protection hidden="1"/>
    </xf>
    <xf numFmtId="0" fontId="31" fillId="0" borderId="11" xfId="6" applyFont="1" applyBorder="1" applyAlignment="1" applyProtection="1">
      <alignment horizontal="left" vertical="center" wrapText="1"/>
      <protection hidden="1"/>
    </xf>
    <xf numFmtId="0" fontId="3" fillId="7" borderId="11" xfId="6" applyFont="1" applyFill="1" applyBorder="1" applyAlignment="1" applyProtection="1">
      <alignment horizontal="left" vertical="center"/>
      <protection locked="0"/>
    </xf>
    <xf numFmtId="0" fontId="3" fillId="7" borderId="11" xfId="6" applyFont="1" applyFill="1" applyBorder="1" applyAlignment="1" applyProtection="1">
      <alignment horizontal="center" vertical="center"/>
      <protection locked="0"/>
    </xf>
    <xf numFmtId="0" fontId="3" fillId="7" borderId="11" xfId="6" applyFont="1" applyFill="1" applyBorder="1" applyAlignment="1" applyProtection="1">
      <alignment horizontal="center" vertical="center" wrapText="1"/>
      <protection locked="0"/>
    </xf>
    <xf numFmtId="0" fontId="10" fillId="0" borderId="7" xfId="6" applyFont="1" applyBorder="1" applyAlignment="1" applyProtection="1">
      <alignment horizontal="center" vertical="center" wrapText="1"/>
      <protection hidden="1"/>
    </xf>
    <xf numFmtId="0" fontId="12" fillId="0" borderId="34" xfId="1" applyFont="1" applyBorder="1" applyAlignment="1" applyProtection="1">
      <alignment vertical="center" wrapText="1"/>
      <protection hidden="1"/>
    </xf>
    <xf numFmtId="0" fontId="10" fillId="0" borderId="20" xfId="2" applyFont="1" applyBorder="1" applyAlignment="1" applyProtection="1">
      <alignment vertical="center" wrapText="1"/>
      <protection hidden="1"/>
    </xf>
    <xf numFmtId="0" fontId="12" fillId="7" borderId="20" xfId="1" applyFont="1" applyFill="1" applyBorder="1" applyAlignment="1" applyProtection="1">
      <alignment vertical="center" wrapText="1"/>
      <protection locked="0"/>
    </xf>
    <xf numFmtId="0" fontId="12" fillId="0" borderId="7" xfId="3" applyFont="1" applyBorder="1" applyAlignment="1" applyProtection="1">
      <alignment horizontal="center" vertical="center" wrapText="1"/>
      <protection hidden="1"/>
    </xf>
    <xf numFmtId="44" fontId="13" fillId="0" borderId="38" xfId="4" applyFont="1" applyFill="1" applyBorder="1" applyAlignment="1" applyProtection="1">
      <alignment horizontal="center" vertical="center" wrapText="1"/>
      <protection hidden="1"/>
    </xf>
    <xf numFmtId="0" fontId="13" fillId="0" borderId="31" xfId="1" applyFont="1" applyBorder="1" applyAlignment="1" applyProtection="1">
      <alignment horizontal="right" vertical="center" wrapText="1"/>
      <protection hidden="1"/>
    </xf>
    <xf numFmtId="0" fontId="11" fillId="0" borderId="31" xfId="1" applyFont="1" applyBorder="1" applyAlignment="1" applyProtection="1">
      <alignment horizontal="center" vertical="center" wrapText="1"/>
      <protection hidden="1"/>
    </xf>
    <xf numFmtId="44" fontId="13" fillId="0" borderId="31" xfId="1" applyNumberFormat="1" applyFont="1" applyBorder="1" applyAlignment="1" applyProtection="1">
      <alignment horizontal="center" vertical="center" wrapText="1"/>
      <protection hidden="1"/>
    </xf>
    <xf numFmtId="0" fontId="27" fillId="3" borderId="11" xfId="6" applyFont="1" applyFill="1" applyBorder="1" applyAlignment="1" applyProtection="1">
      <alignment horizontal="center" vertical="center"/>
      <protection locked="0" hidden="1"/>
    </xf>
    <xf numFmtId="0" fontId="27" fillId="0" borderId="11" xfId="2" applyFont="1" applyBorder="1" applyAlignment="1" applyProtection="1">
      <alignment horizontal="center" vertical="center"/>
      <protection hidden="1"/>
    </xf>
    <xf numFmtId="0" fontId="37" fillId="0" borderId="11" xfId="2" applyFont="1" applyBorder="1" applyAlignment="1" applyProtection="1">
      <alignment horizontal="center" vertical="center"/>
      <protection hidden="1"/>
    </xf>
    <xf numFmtId="0" fontId="3" fillId="0" borderId="13" xfId="6" applyFont="1" applyBorder="1" applyAlignment="1" applyProtection="1">
      <alignment horizontal="left" vertical="center"/>
      <protection locked="0"/>
    </xf>
    <xf numFmtId="0" fontId="3" fillId="0" borderId="13" xfId="6" applyFont="1" applyBorder="1" applyAlignment="1" applyProtection="1">
      <alignment horizontal="center" vertical="center"/>
      <protection locked="0"/>
    </xf>
    <xf numFmtId="0" fontId="3" fillId="0" borderId="13" xfId="6" applyFont="1" applyBorder="1" applyAlignment="1" applyProtection="1">
      <alignment horizontal="center" vertical="center" wrapText="1"/>
      <protection locked="0"/>
    </xf>
    <xf numFmtId="0" fontId="12" fillId="0" borderId="12" xfId="6" applyFont="1" applyBorder="1" applyAlignment="1" applyProtection="1">
      <alignment horizontal="center" vertical="center"/>
      <protection hidden="1"/>
    </xf>
    <xf numFmtId="0" fontId="10" fillId="0" borderId="13" xfId="6" applyFont="1" applyBorder="1" applyAlignment="1" applyProtection="1">
      <alignment horizontal="left" vertical="center" wrapText="1"/>
      <protection hidden="1"/>
    </xf>
    <xf numFmtId="44" fontId="10" fillId="0" borderId="13" xfId="6" applyNumberFormat="1" applyFont="1" applyBorder="1" applyAlignment="1" applyProtection="1">
      <alignment horizontal="center" vertical="center"/>
      <protection hidden="1"/>
    </xf>
    <xf numFmtId="165" fontId="31" fillId="0" borderId="13" xfId="6" applyNumberFormat="1" applyFont="1" applyBorder="1" applyAlignment="1" applyProtection="1">
      <alignment horizontal="center" vertical="center" wrapText="1"/>
      <protection hidden="1"/>
    </xf>
    <xf numFmtId="0" fontId="10" fillId="0" borderId="6" xfId="2" applyFont="1" applyBorder="1" applyAlignment="1" applyProtection="1">
      <alignment horizontal="center" vertical="center"/>
      <protection hidden="1"/>
    </xf>
    <xf numFmtId="0" fontId="10" fillId="0" borderId="7" xfId="2" applyFont="1" applyBorder="1" applyAlignment="1" applyProtection="1">
      <alignment vertical="center"/>
      <protection hidden="1"/>
    </xf>
    <xf numFmtId="0" fontId="10" fillId="0" borderId="7" xfId="2" applyFont="1" applyBorder="1" applyAlignment="1" applyProtection="1">
      <alignment horizontal="center" vertical="center"/>
      <protection hidden="1"/>
    </xf>
    <xf numFmtId="3" fontId="25" fillId="0" borderId="7" xfId="2" applyNumberFormat="1" applyFont="1" applyBorder="1" applyAlignment="1" applyProtection="1">
      <alignment horizontal="center" vertical="center"/>
      <protection hidden="1"/>
    </xf>
    <xf numFmtId="44" fontId="10" fillId="0" borderId="8" xfId="2" applyNumberFormat="1" applyFont="1" applyBorder="1" applyAlignment="1" applyProtection="1">
      <alignment horizontal="center" vertical="center"/>
      <protection hidden="1"/>
    </xf>
    <xf numFmtId="0" fontId="28" fillId="0" borderId="11" xfId="5" applyFont="1" applyBorder="1" applyAlignment="1" applyProtection="1">
      <alignment horizontal="left" vertical="center" wrapText="1"/>
      <protection hidden="1"/>
    </xf>
    <xf numFmtId="0" fontId="10" fillId="0" borderId="6" xfId="6" applyFont="1" applyBorder="1" applyAlignment="1" applyProtection="1">
      <alignment horizontal="center" vertical="center" wrapText="1"/>
      <protection hidden="1"/>
    </xf>
    <xf numFmtId="0" fontId="29" fillId="0" borderId="14" xfId="0" applyFont="1" applyBorder="1" applyAlignment="1" applyProtection="1">
      <alignment vertical="center" wrapText="1"/>
      <protection hidden="1"/>
    </xf>
    <xf numFmtId="9" fontId="29" fillId="0" borderId="11" xfId="0" applyNumberFormat="1" applyFont="1" applyBorder="1" applyAlignment="1" applyProtection="1">
      <alignment vertical="center" wrapText="1"/>
      <protection locked="0"/>
    </xf>
    <xf numFmtId="0" fontId="12" fillId="0" borderId="11" xfId="6" applyFont="1" applyBorder="1" applyAlignment="1" applyProtection="1">
      <alignment horizontal="center" vertical="center" wrapText="1"/>
      <protection hidden="1"/>
    </xf>
    <xf numFmtId="165" fontId="10" fillId="0" borderId="11" xfId="2" applyNumberFormat="1" applyFont="1" applyBorder="1" applyAlignment="1" applyProtection="1">
      <alignment horizontal="center" vertical="center"/>
      <protection hidden="1"/>
    </xf>
    <xf numFmtId="165" fontId="10" fillId="0" borderId="11" xfId="9" applyNumberFormat="1" applyFont="1" applyBorder="1" applyAlignment="1" applyProtection="1">
      <alignment horizontal="center" vertical="center" wrapText="1"/>
      <protection hidden="1"/>
    </xf>
    <xf numFmtId="9" fontId="10" fillId="7" borderId="11" xfId="10" applyFont="1" applyFill="1" applyBorder="1" applyAlignment="1" applyProtection="1">
      <alignment horizontal="center" vertical="center"/>
      <protection locked="0"/>
    </xf>
    <xf numFmtId="165" fontId="10" fillId="3" borderId="11" xfId="3" applyNumberFormat="1" applyFont="1" applyFill="1" applyBorder="1" applyAlignment="1">
      <alignment horizontal="center" vertical="center" wrapText="1"/>
    </xf>
    <xf numFmtId="0" fontId="10" fillId="3" borderId="11" xfId="3" applyFont="1" applyFill="1" applyBorder="1" applyAlignment="1">
      <alignment horizontal="center" vertical="center" wrapText="1"/>
    </xf>
    <xf numFmtId="44" fontId="10" fillId="0" borderId="11" xfId="9" applyFont="1" applyBorder="1" applyAlignment="1" applyProtection="1">
      <alignment horizontal="center" vertical="center" wrapText="1"/>
    </xf>
    <xf numFmtId="0" fontId="9" fillId="9" borderId="11" xfId="0" applyFont="1" applyFill="1" applyBorder="1" applyAlignment="1">
      <alignment vertical="center" wrapText="1"/>
    </xf>
    <xf numFmtId="0" fontId="30" fillId="9" borderId="31" xfId="1" applyFont="1" applyFill="1" applyBorder="1" applyAlignment="1" applyProtection="1">
      <alignment horizontal="center" vertical="center" wrapText="1"/>
      <protection hidden="1"/>
    </xf>
    <xf numFmtId="0" fontId="36" fillId="9" borderId="34" xfId="3" applyFont="1" applyFill="1" applyBorder="1" applyAlignment="1" applyProtection="1">
      <alignment horizontal="center" vertical="center" wrapText="1"/>
      <protection hidden="1"/>
    </xf>
    <xf numFmtId="0" fontId="36" fillId="9" borderId="33" xfId="3" applyFont="1" applyFill="1" applyBorder="1" applyAlignment="1" applyProtection="1">
      <alignment horizontal="left" vertical="center" wrapText="1"/>
      <protection hidden="1"/>
    </xf>
    <xf numFmtId="0" fontId="36" fillId="9" borderId="33" xfId="3" applyFont="1" applyFill="1" applyBorder="1" applyAlignment="1" applyProtection="1">
      <alignment horizontal="center" vertical="center" wrapText="1"/>
      <protection hidden="1"/>
    </xf>
    <xf numFmtId="0" fontId="30" fillId="9" borderId="34" xfId="3" applyFont="1" applyFill="1" applyBorder="1" applyAlignment="1" applyProtection="1">
      <alignment horizontal="center" vertical="center" wrapText="1"/>
      <protection hidden="1"/>
    </xf>
    <xf numFmtId="0" fontId="11" fillId="9" borderId="33" xfId="3" applyFont="1" applyFill="1" applyBorder="1" applyAlignment="1" applyProtection="1">
      <alignment vertical="center" wrapText="1"/>
      <protection hidden="1"/>
    </xf>
    <xf numFmtId="0" fontId="30" fillId="9" borderId="12" xfId="1" applyFont="1" applyFill="1" applyBorder="1" applyAlignment="1" applyProtection="1">
      <alignment horizontal="center" vertical="center" wrapText="1"/>
      <protection hidden="1"/>
    </xf>
    <xf numFmtId="0" fontId="30" fillId="9" borderId="11" xfId="1" applyFont="1" applyFill="1" applyBorder="1" applyAlignment="1" applyProtection="1">
      <alignment horizontal="center" vertical="center" wrapText="1"/>
      <protection hidden="1"/>
    </xf>
    <xf numFmtId="165" fontId="12" fillId="0" borderId="20" xfId="4" applyNumberFormat="1" applyFont="1" applyFill="1" applyBorder="1" applyAlignment="1" applyProtection="1">
      <alignment horizontal="center" vertical="center" wrapText="1"/>
      <protection hidden="1"/>
    </xf>
    <xf numFmtId="0" fontId="3" fillId="0" borderId="0" xfId="2" applyAlignment="1" applyProtection="1">
      <alignment vertical="center"/>
      <protection hidden="1"/>
    </xf>
    <xf numFmtId="164" fontId="10" fillId="0" borderId="11" xfId="5" applyNumberFormat="1" applyFont="1" applyBorder="1" applyAlignment="1">
      <alignment horizontal="center" vertical="center"/>
    </xf>
    <xf numFmtId="0" fontId="10" fillId="0" borderId="0" xfId="0" applyFont="1" applyAlignment="1">
      <alignment vertical="center" wrapText="1"/>
    </xf>
    <xf numFmtId="0" fontId="3" fillId="0" borderId="0" xfId="2" applyAlignment="1" applyProtection="1">
      <alignment horizontal="center" vertical="center"/>
      <protection hidden="1"/>
    </xf>
    <xf numFmtId="0" fontId="40" fillId="0" borderId="0" xfId="0" applyFont="1" applyAlignment="1">
      <alignment vertical="center" wrapText="1"/>
    </xf>
    <xf numFmtId="0" fontId="28" fillId="0" borderId="0" xfId="0" applyFont="1" applyAlignment="1">
      <alignment vertical="center" wrapText="1"/>
    </xf>
    <xf numFmtId="0" fontId="13" fillId="10" borderId="11" xfId="3" applyFont="1" applyFill="1" applyBorder="1" applyAlignment="1" applyProtection="1">
      <alignment horizontal="center" vertical="center" wrapText="1"/>
      <protection hidden="1"/>
    </xf>
    <xf numFmtId="0" fontId="13" fillId="10" borderId="11" xfId="3" applyFont="1" applyFill="1" applyBorder="1" applyAlignment="1" applyProtection="1">
      <alignment vertical="center" wrapText="1"/>
      <protection hidden="1"/>
    </xf>
    <xf numFmtId="0" fontId="13" fillId="10" borderId="18" xfId="3" applyFont="1" applyFill="1" applyBorder="1" applyAlignment="1" applyProtection="1">
      <alignment horizontal="center" vertical="center" wrapText="1"/>
      <protection hidden="1"/>
    </xf>
    <xf numFmtId="0" fontId="13" fillId="10" borderId="9" xfId="3" applyFont="1" applyFill="1" applyBorder="1" applyAlignment="1" applyProtection="1">
      <alignment horizontal="center" vertical="center" wrapText="1"/>
      <protection hidden="1"/>
    </xf>
    <xf numFmtId="0" fontId="13" fillId="10" borderId="20" xfId="3" applyFont="1" applyFill="1" applyBorder="1" applyAlignment="1" applyProtection="1">
      <alignment vertical="center" wrapText="1"/>
      <protection hidden="1"/>
    </xf>
    <xf numFmtId="0" fontId="13" fillId="10" borderId="20" xfId="3" applyFont="1" applyFill="1" applyBorder="1" applyAlignment="1" applyProtection="1">
      <alignment horizontal="center" vertical="center" wrapText="1"/>
      <protection hidden="1"/>
    </xf>
    <xf numFmtId="0" fontId="3" fillId="3" borderId="11" xfId="6" applyFont="1" applyFill="1" applyBorder="1" applyAlignment="1" applyProtection="1">
      <alignment vertical="center"/>
      <protection locked="0" hidden="1"/>
    </xf>
    <xf numFmtId="3" fontId="12" fillId="0" borderId="11" xfId="2" applyNumberFormat="1" applyFont="1" applyBorder="1" applyAlignment="1" applyProtection="1">
      <alignment horizontal="center" vertical="center"/>
      <protection hidden="1"/>
    </xf>
    <xf numFmtId="3" fontId="12" fillId="0" borderId="11" xfId="5" applyNumberFormat="1" applyFont="1" applyBorder="1" applyAlignment="1" applyProtection="1">
      <alignment horizontal="center" vertical="center" wrapText="1"/>
      <protection hidden="1"/>
    </xf>
    <xf numFmtId="0" fontId="42" fillId="0" borderId="0" xfId="0" applyFont="1" applyAlignment="1">
      <alignment vertical="center" wrapText="1"/>
    </xf>
    <xf numFmtId="0" fontId="43" fillId="0" borderId="0" xfId="2" applyFont="1" applyAlignment="1" applyProtection="1">
      <alignment vertical="center"/>
      <protection hidden="1"/>
    </xf>
    <xf numFmtId="0" fontId="45" fillId="0" borderId="0" xfId="0" applyFont="1" applyAlignment="1" applyProtection="1">
      <alignment vertical="center" wrapText="1"/>
      <protection hidden="1"/>
    </xf>
    <xf numFmtId="0" fontId="44" fillId="0" borderId="11" xfId="0" applyFont="1" applyBorder="1" applyAlignment="1" applyProtection="1">
      <alignment horizontal="center" vertical="center" wrapText="1"/>
      <protection hidden="1"/>
    </xf>
    <xf numFmtId="1" fontId="44" fillId="0" borderId="0" xfId="8" applyNumberFormat="1" applyFont="1" applyFill="1" applyBorder="1" applyAlignment="1" applyProtection="1">
      <alignment horizontal="center" vertical="center" wrapText="1"/>
      <protection hidden="1"/>
    </xf>
    <xf numFmtId="0" fontId="45" fillId="0" borderId="11" xfId="0" applyFont="1" applyBorder="1" applyAlignment="1" applyProtection="1">
      <alignment horizontal="center" vertical="center" wrapText="1"/>
      <protection hidden="1"/>
    </xf>
    <xf numFmtId="9" fontId="45" fillId="0" borderId="11" xfId="8" applyFont="1" applyBorder="1" applyAlignment="1" applyProtection="1">
      <alignment horizontal="center" vertical="center" wrapText="1"/>
      <protection hidden="1"/>
    </xf>
    <xf numFmtId="0" fontId="45" fillId="0" borderId="11" xfId="0" applyFont="1" applyBorder="1" applyAlignment="1" applyProtection="1">
      <alignment vertical="center" wrapText="1"/>
      <protection hidden="1"/>
    </xf>
    <xf numFmtId="0" fontId="45" fillId="0" borderId="0" xfId="0" applyFont="1" applyAlignment="1" applyProtection="1">
      <alignment horizontal="center" vertical="center" wrapText="1"/>
      <protection hidden="1"/>
    </xf>
    <xf numFmtId="9" fontId="45" fillId="0" borderId="11" xfId="8" applyFont="1" applyBorder="1" applyAlignment="1" applyProtection="1">
      <alignment vertical="center" wrapText="1"/>
      <protection hidden="1"/>
    </xf>
    <xf numFmtId="1" fontId="45" fillId="0" borderId="0" xfId="8" applyNumberFormat="1" applyFont="1" applyFill="1" applyBorder="1" applyAlignment="1" applyProtection="1">
      <alignment horizontal="center" vertical="center" wrapText="1"/>
      <protection hidden="1"/>
    </xf>
    <xf numFmtId="9" fontId="45" fillId="0" borderId="0" xfId="8" applyFont="1" applyAlignment="1" applyProtection="1">
      <alignment vertical="center" wrapText="1"/>
      <protection hidden="1"/>
    </xf>
    <xf numFmtId="0" fontId="46" fillId="0" borderId="11" xfId="0" applyFont="1" applyBorder="1" applyAlignment="1" applyProtection="1">
      <alignment horizontal="center" vertical="center" wrapText="1"/>
      <protection hidden="1"/>
    </xf>
    <xf numFmtId="9" fontId="47" fillId="0" borderId="11" xfId="8" applyFont="1" applyBorder="1" applyAlignment="1" applyProtection="1">
      <alignment horizontal="center" vertical="center" wrapText="1"/>
      <protection hidden="1"/>
    </xf>
    <xf numFmtId="9" fontId="45" fillId="11" borderId="11" xfId="8" applyFont="1" applyFill="1" applyBorder="1" applyAlignment="1" applyProtection="1">
      <alignment horizontal="center" vertical="center" wrapText="1"/>
      <protection hidden="1"/>
    </xf>
    <xf numFmtId="9" fontId="47" fillId="11" borderId="11" xfId="8" applyFont="1" applyFill="1" applyBorder="1" applyAlignment="1" applyProtection="1">
      <alignment horizontal="center" vertical="center" wrapText="1"/>
      <protection hidden="1"/>
    </xf>
    <xf numFmtId="168" fontId="45" fillId="11" borderId="11" xfId="8" applyNumberFormat="1" applyFont="1" applyFill="1" applyBorder="1" applyAlignment="1" applyProtection="1">
      <alignment horizontal="center" vertical="center" wrapText="1"/>
      <protection hidden="1"/>
    </xf>
    <xf numFmtId="168" fontId="47" fillId="11" borderId="11" xfId="8" applyNumberFormat="1" applyFont="1" applyFill="1" applyBorder="1" applyAlignment="1" applyProtection="1">
      <alignment horizontal="center" vertical="center" wrapText="1"/>
      <protection hidden="1"/>
    </xf>
    <xf numFmtId="9" fontId="45" fillId="5" borderId="11" xfId="8" applyFont="1" applyFill="1" applyBorder="1" applyAlignment="1" applyProtection="1">
      <alignment horizontal="center" vertical="center" wrapText="1"/>
      <protection hidden="1"/>
    </xf>
    <xf numFmtId="168" fontId="45" fillId="5" borderId="11" xfId="8" applyNumberFormat="1" applyFont="1" applyFill="1" applyBorder="1" applyAlignment="1" applyProtection="1">
      <alignment horizontal="center" vertical="center" wrapText="1"/>
      <protection hidden="1"/>
    </xf>
    <xf numFmtId="0" fontId="6" fillId="3" borderId="11" xfId="0" applyFont="1" applyFill="1" applyBorder="1" applyAlignment="1">
      <alignment vertical="center" wrapText="1"/>
    </xf>
    <xf numFmtId="0" fontId="12" fillId="7" borderId="18" xfId="3" applyFont="1" applyFill="1" applyBorder="1" applyAlignment="1" applyProtection="1">
      <alignment horizontal="center" vertical="center" wrapText="1"/>
      <protection locked="0" hidden="1"/>
    </xf>
    <xf numFmtId="0" fontId="12" fillId="7" borderId="11" xfId="3" applyFont="1" applyFill="1" applyBorder="1" applyAlignment="1" applyProtection="1">
      <alignment horizontal="center" vertical="center" wrapText="1"/>
      <protection locked="0" hidden="1"/>
    </xf>
    <xf numFmtId="0" fontId="12" fillId="7" borderId="19" xfId="3" applyFont="1" applyFill="1" applyBorder="1" applyAlignment="1" applyProtection="1">
      <alignment horizontal="center" vertical="center" wrapText="1"/>
      <protection locked="0" hidden="1"/>
    </xf>
    <xf numFmtId="165" fontId="48" fillId="3" borderId="13" xfId="9" applyNumberFormat="1" applyFont="1" applyFill="1" applyBorder="1" applyAlignment="1" applyProtection="1">
      <alignment horizontal="center" vertical="center" wrapText="1"/>
    </xf>
    <xf numFmtId="0" fontId="5" fillId="0" borderId="0" xfId="1" applyFont="1" applyAlignment="1">
      <alignment horizontal="left" vertical="center" wrapText="1"/>
    </xf>
    <xf numFmtId="0" fontId="5" fillId="0" borderId="5" xfId="1" applyFont="1" applyBorder="1" applyAlignment="1">
      <alignment horizontal="left" vertical="center" wrapText="1"/>
    </xf>
    <xf numFmtId="0" fontId="49" fillId="0" borderId="0" xfId="0" applyFont="1" applyAlignment="1">
      <alignment horizontal="left" vertical="center" wrapText="1"/>
    </xf>
    <xf numFmtId="0" fontId="50" fillId="0" borderId="0" xfId="0" applyFont="1" applyAlignment="1" applyProtection="1">
      <alignment vertical="center"/>
      <protection locked="0" hidden="1"/>
    </xf>
    <xf numFmtId="0" fontId="50" fillId="0" borderId="0" xfId="0" applyFont="1" applyAlignment="1" applyProtection="1">
      <alignment vertical="center" wrapText="1"/>
      <protection hidden="1"/>
    </xf>
    <xf numFmtId="0" fontId="51" fillId="0" borderId="0" xfId="2" applyFont="1" applyAlignment="1" applyProtection="1">
      <alignment vertical="center"/>
      <protection hidden="1"/>
    </xf>
    <xf numFmtId="0" fontId="49" fillId="0" borderId="0" xfId="0" applyFont="1" applyAlignment="1" applyProtection="1">
      <alignment vertical="center" wrapText="1"/>
      <protection hidden="1"/>
    </xf>
    <xf numFmtId="0" fontId="51" fillId="0" borderId="0" xfId="0" applyFont="1" applyAlignment="1" applyProtection="1">
      <alignment wrapText="1"/>
      <protection hidden="1"/>
    </xf>
    <xf numFmtId="0" fontId="41" fillId="0" borderId="0" xfId="2" applyFont="1" applyAlignment="1" applyProtection="1">
      <alignment vertical="center"/>
      <protection hidden="1"/>
    </xf>
    <xf numFmtId="0" fontId="51" fillId="0" borderId="0" xfId="0" applyFont="1" applyProtection="1">
      <protection hidden="1"/>
    </xf>
    <xf numFmtId="0" fontId="50" fillId="0" borderId="0" xfId="0" applyFont="1" applyAlignment="1" applyProtection="1">
      <alignment wrapText="1"/>
      <protection hidden="1"/>
    </xf>
    <xf numFmtId="0" fontId="50" fillId="0" borderId="0" xfId="0" applyFont="1" applyAlignment="1" applyProtection="1">
      <alignment vertical="center"/>
      <protection hidden="1"/>
    </xf>
    <xf numFmtId="0" fontId="50" fillId="0" borderId="0" xfId="2" applyFont="1" applyAlignment="1" applyProtection="1">
      <alignment vertical="center" wrapText="1"/>
      <protection hidden="1"/>
    </xf>
    <xf numFmtId="0" fontId="52" fillId="0" borderId="0" xfId="0" applyFont="1" applyAlignment="1" applyProtection="1">
      <alignment vertical="center" wrapText="1"/>
      <protection hidden="1"/>
    </xf>
    <xf numFmtId="0" fontId="4" fillId="0" borderId="2" xfId="1" applyFont="1" applyBorder="1" applyAlignment="1">
      <alignment horizontal="center" vertical="center"/>
    </xf>
    <xf numFmtId="0" fontId="8" fillId="0" borderId="0" xfId="1" applyFont="1" applyAlignment="1">
      <alignment horizontal="right" vertical="center"/>
    </xf>
    <xf numFmtId="0" fontId="5" fillId="0" borderId="0" xfId="1" applyFont="1" applyAlignment="1">
      <alignment horizontal="center" vertical="center"/>
    </xf>
    <xf numFmtId="0" fontId="8" fillId="0" borderId="4" xfId="1" applyFont="1" applyBorder="1" applyAlignment="1">
      <alignment horizontal="right" vertical="center" wrapText="1"/>
    </xf>
    <xf numFmtId="0" fontId="9" fillId="9" borderId="31" xfId="1" applyFont="1" applyFill="1" applyBorder="1" applyAlignment="1" applyProtection="1">
      <alignment horizontal="center" vertical="center" wrapText="1"/>
      <protection hidden="1"/>
    </xf>
    <xf numFmtId="0" fontId="30" fillId="9" borderId="11" xfId="3" applyFont="1" applyFill="1" applyBorder="1" applyAlignment="1" applyProtection="1">
      <alignment horizontal="left" vertical="center" wrapText="1"/>
      <protection hidden="1"/>
    </xf>
    <xf numFmtId="0" fontId="30" fillId="9" borderId="11" xfId="3" applyFont="1" applyFill="1" applyBorder="1" applyAlignment="1" applyProtection="1">
      <alignment vertical="center" wrapText="1"/>
      <protection hidden="1"/>
    </xf>
    <xf numFmtId="0" fontId="30" fillId="9" borderId="11" xfId="3" applyFont="1" applyFill="1" applyBorder="1" applyAlignment="1" applyProtection="1">
      <alignment horizontal="center" vertical="center" wrapText="1"/>
      <protection hidden="1"/>
    </xf>
    <xf numFmtId="0" fontId="32" fillId="0" borderId="0" xfId="2" applyFont="1" applyAlignment="1">
      <alignment vertical="center"/>
    </xf>
    <xf numFmtId="165" fontId="10" fillId="0" borderId="11" xfId="6" applyNumberFormat="1" applyFont="1" applyBorder="1" applyAlignment="1" applyProtection="1">
      <alignment horizontal="center" vertical="center" wrapText="1"/>
      <protection hidden="1"/>
    </xf>
    <xf numFmtId="165" fontId="53" fillId="2" borderId="11" xfId="5" applyNumberFormat="1" applyFont="1" applyFill="1" applyBorder="1" applyAlignment="1" applyProtection="1">
      <alignment horizontal="right" vertical="center" wrapText="1"/>
      <protection hidden="1"/>
    </xf>
    <xf numFmtId="0" fontId="28" fillId="0" borderId="9" xfId="3" applyFont="1" applyBorder="1" applyAlignment="1" applyProtection="1">
      <alignment horizontal="left" vertical="center" wrapText="1"/>
      <protection hidden="1"/>
    </xf>
    <xf numFmtId="0" fontId="28" fillId="0" borderId="0" xfId="3" applyFont="1" applyAlignment="1" applyProtection="1">
      <alignment horizontal="left" vertical="center" wrapText="1"/>
      <protection hidden="1"/>
    </xf>
    <xf numFmtId="0" fontId="3" fillId="0" borderId="0" xfId="0" applyFont="1" applyAlignment="1" applyProtection="1">
      <alignment horizontal="left" vertical="center"/>
      <protection locked="0" hidden="1"/>
    </xf>
    <xf numFmtId="0" fontId="10" fillId="0" borderId="10" xfId="0" applyFont="1" applyBorder="1" applyAlignment="1" applyProtection="1">
      <alignment vertical="center"/>
      <protection locked="0" hidden="1"/>
    </xf>
    <xf numFmtId="0" fontId="30" fillId="0" borderId="10" xfId="2" applyFont="1" applyBorder="1" applyAlignment="1" applyProtection="1">
      <alignment vertical="center"/>
      <protection hidden="1"/>
    </xf>
    <xf numFmtId="0" fontId="11" fillId="0" borderId="10" xfId="2" applyFont="1" applyBorder="1" applyAlignment="1" applyProtection="1">
      <alignment vertical="center"/>
      <protection hidden="1"/>
    </xf>
    <xf numFmtId="0" fontId="11" fillId="0" borderId="0" xfId="1" applyFont="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166" fontId="10" fillId="0" borderId="10" xfId="0" applyNumberFormat="1" applyFont="1" applyBorder="1" applyAlignment="1" applyProtection="1">
      <alignment horizontal="center" vertical="center" wrapText="1"/>
      <protection hidden="1"/>
    </xf>
    <xf numFmtId="0" fontId="10" fillId="0" borderId="0" xfId="0" applyFont="1" applyAlignment="1" applyProtection="1">
      <alignment horizontal="right" vertical="center" wrapText="1"/>
      <protection hidden="1"/>
    </xf>
    <xf numFmtId="3" fontId="10" fillId="0" borderId="0" xfId="0" applyNumberFormat="1" applyFont="1" applyAlignment="1" applyProtection="1">
      <alignment horizontal="center" vertical="center" wrapText="1"/>
      <protection hidden="1"/>
    </xf>
    <xf numFmtId="166" fontId="10" fillId="0" borderId="28" xfId="0" applyNumberFormat="1" applyFont="1" applyBorder="1" applyAlignment="1" applyProtection="1">
      <alignment horizontal="center" vertical="center" wrapText="1"/>
      <protection hidden="1"/>
    </xf>
    <xf numFmtId="44" fontId="10" fillId="0" borderId="10" xfId="9" applyFont="1" applyBorder="1" applyAlignment="1" applyProtection="1">
      <alignment horizontal="center" vertical="center" wrapText="1"/>
      <protection hidden="1"/>
    </xf>
    <xf numFmtId="9" fontId="10" fillId="0" borderId="0" xfId="8" applyFont="1" applyBorder="1" applyAlignment="1" applyProtection="1">
      <alignment horizontal="center" vertical="center" wrapText="1"/>
      <protection hidden="1"/>
    </xf>
    <xf numFmtId="0" fontId="13" fillId="0" borderId="0" xfId="1" applyFont="1" applyAlignment="1" applyProtection="1">
      <alignment horizontal="center" vertical="center" wrapText="1"/>
      <protection hidden="1"/>
    </xf>
    <xf numFmtId="44" fontId="14" fillId="0" borderId="28" xfId="9" applyFont="1" applyBorder="1" applyAlignment="1" applyProtection="1">
      <alignment horizontal="center" vertical="center" wrapText="1"/>
      <protection hidden="1"/>
    </xf>
    <xf numFmtId="0" fontId="10" fillId="0" borderId="10" xfId="0" applyFont="1" applyBorder="1" applyProtection="1">
      <protection hidden="1"/>
    </xf>
    <xf numFmtId="0" fontId="10" fillId="0" borderId="9" xfId="0" applyFont="1" applyBorder="1" applyProtection="1">
      <protection hidden="1"/>
    </xf>
    <xf numFmtId="0" fontId="11" fillId="0" borderId="0" xfId="1" applyFont="1" applyAlignment="1" applyProtection="1">
      <alignment horizontal="left" vertical="center" wrapText="1"/>
      <protection hidden="1"/>
    </xf>
    <xf numFmtId="44" fontId="33" fillId="0" borderId="28" xfId="9" applyFont="1" applyBorder="1" applyAlignment="1" applyProtection="1">
      <alignment horizontal="center" vertical="center" wrapText="1"/>
      <protection hidden="1"/>
    </xf>
    <xf numFmtId="0" fontId="30" fillId="0" borderId="0" xfId="1" applyFont="1" applyAlignment="1" applyProtection="1">
      <alignment horizontal="left" vertical="center" wrapText="1"/>
      <protection hidden="1"/>
    </xf>
    <xf numFmtId="0" fontId="30" fillId="0" borderId="0" xfId="1" applyFont="1" applyAlignment="1" applyProtection="1">
      <alignment horizontal="center" vertical="center" wrapText="1"/>
      <protection hidden="1"/>
    </xf>
    <xf numFmtId="0" fontId="28" fillId="0" borderId="9" xfId="2" applyFont="1" applyBorder="1" applyAlignment="1" applyProtection="1">
      <alignment vertical="center"/>
      <protection hidden="1"/>
    </xf>
    <xf numFmtId="0" fontId="28" fillId="0" borderId="0" xfId="5" applyFont="1" applyAlignment="1" applyProtection="1">
      <alignment horizontal="left" vertical="center"/>
      <protection hidden="1"/>
    </xf>
    <xf numFmtId="44" fontId="28" fillId="0" borderId="0" xfId="5" applyNumberFormat="1" applyFont="1" applyAlignment="1" applyProtection="1">
      <alignment horizontal="center" vertical="center"/>
      <protection hidden="1"/>
    </xf>
    <xf numFmtId="0" fontId="28" fillId="0" borderId="0" xfId="5" applyFont="1" applyAlignment="1" applyProtection="1">
      <alignment horizontal="center" vertical="center" wrapText="1"/>
      <protection hidden="1"/>
    </xf>
    <xf numFmtId="0" fontId="28" fillId="0" borderId="10" xfId="2" applyFont="1" applyBorder="1" applyAlignment="1" applyProtection="1">
      <alignment vertical="center"/>
      <protection hidden="1"/>
    </xf>
    <xf numFmtId="44" fontId="28" fillId="0" borderId="0" xfId="5" applyNumberFormat="1" applyFont="1" applyAlignment="1" applyProtection="1">
      <alignment horizontal="left" vertical="center"/>
      <protection hidden="1"/>
    </xf>
    <xf numFmtId="44" fontId="28" fillId="0" borderId="0" xfId="5" applyNumberFormat="1" applyFont="1" applyAlignment="1" applyProtection="1">
      <alignment horizontal="left" vertical="center" wrapText="1"/>
      <protection hidden="1"/>
    </xf>
    <xf numFmtId="0" fontId="28" fillId="0" borderId="0" xfId="1" applyFont="1" applyAlignment="1" applyProtection="1">
      <alignment horizontal="center" vertical="center" wrapText="1"/>
      <protection hidden="1"/>
    </xf>
    <xf numFmtId="44" fontId="28" fillId="0" borderId="0" xfId="1" applyNumberFormat="1" applyFont="1" applyAlignment="1" applyProtection="1">
      <alignment horizontal="center" vertical="center" wrapText="1"/>
      <protection hidden="1"/>
    </xf>
    <xf numFmtId="0" fontId="28" fillId="0" borderId="0" xfId="5" applyFont="1" applyAlignment="1" applyProtection="1">
      <alignment horizontal="center" vertical="center"/>
      <protection hidden="1"/>
    </xf>
    <xf numFmtId="9" fontId="28" fillId="0" borderId="0" xfId="7" applyFont="1" applyBorder="1" applyAlignment="1" applyProtection="1">
      <alignment horizontal="center" vertical="center"/>
      <protection hidden="1"/>
    </xf>
    <xf numFmtId="0" fontId="28" fillId="0" borderId="17" xfId="2" applyFont="1" applyBorder="1" applyAlignment="1" applyProtection="1">
      <alignment vertical="center"/>
      <protection hidden="1"/>
    </xf>
    <xf numFmtId="0" fontId="10" fillId="0" borderId="9" xfId="2" applyFont="1" applyBorder="1" applyAlignment="1" applyProtection="1">
      <alignment vertical="center"/>
      <protection hidden="1"/>
    </xf>
    <xf numFmtId="0" fontId="29" fillId="6" borderId="0" xfId="3" applyFont="1" applyFill="1" applyAlignment="1" applyProtection="1">
      <alignment vertical="center" wrapText="1"/>
      <protection hidden="1"/>
    </xf>
    <xf numFmtId="0" fontId="29" fillId="6" borderId="0" xfId="3" applyFont="1" applyFill="1" applyAlignment="1" applyProtection="1">
      <alignment horizontal="center" vertical="center" wrapText="1"/>
      <protection hidden="1"/>
    </xf>
    <xf numFmtId="0" fontId="13" fillId="10" borderId="0" xfId="3" applyFont="1" applyFill="1" applyAlignment="1" applyProtection="1">
      <alignment vertical="center" wrapText="1"/>
      <protection hidden="1"/>
    </xf>
    <xf numFmtId="0" fontId="10" fillId="0" borderId="0" xfId="5" applyFont="1" applyAlignment="1" applyProtection="1">
      <alignment horizontal="left" vertical="center"/>
      <protection hidden="1"/>
    </xf>
    <xf numFmtId="44" fontId="10" fillId="0" borderId="0" xfId="5" applyNumberFormat="1" applyFont="1" applyAlignment="1" applyProtection="1">
      <alignment horizontal="center" vertical="center"/>
      <protection hidden="1"/>
    </xf>
    <xf numFmtId="0" fontId="10" fillId="0" borderId="0" xfId="5" applyFont="1" applyAlignment="1" applyProtection="1">
      <alignment horizontal="center" vertical="center" wrapText="1"/>
      <protection hidden="1"/>
    </xf>
    <xf numFmtId="0" fontId="10" fillId="0" borderId="10" xfId="5" applyFont="1" applyBorder="1" applyAlignment="1" applyProtection="1">
      <alignment horizontal="center" vertical="center" wrapText="1"/>
      <protection hidden="1"/>
    </xf>
    <xf numFmtId="0" fontId="13" fillId="10" borderId="10" xfId="3" applyFont="1" applyFill="1" applyBorder="1" applyAlignment="1" applyProtection="1">
      <alignment horizontal="center" vertical="center" wrapText="1"/>
      <protection hidden="1"/>
    </xf>
    <xf numFmtId="0" fontId="10" fillId="0" borderId="8" xfId="6" applyFont="1" applyBorder="1" applyAlignment="1" applyProtection="1">
      <alignment horizontal="center" vertical="center" wrapText="1"/>
      <protection hidden="1"/>
    </xf>
    <xf numFmtId="0" fontId="12" fillId="0" borderId="9" xfId="6" applyFont="1" applyBorder="1" applyAlignment="1" applyProtection="1">
      <alignment horizontal="center" vertical="center"/>
      <protection hidden="1"/>
    </xf>
    <xf numFmtId="0" fontId="10" fillId="0" borderId="0" xfId="6" applyFont="1" applyAlignment="1" applyProtection="1">
      <alignment horizontal="left" vertical="center" wrapText="1"/>
      <protection hidden="1"/>
    </xf>
    <xf numFmtId="44" fontId="10" fillId="0" borderId="0" xfId="6" applyNumberFormat="1" applyFont="1" applyAlignment="1" applyProtection="1">
      <alignment horizontal="center" vertical="center"/>
      <protection hidden="1"/>
    </xf>
    <xf numFmtId="165" fontId="31" fillId="0" borderId="0" xfId="6" applyNumberFormat="1" applyFont="1" applyAlignment="1" applyProtection="1">
      <alignment horizontal="center" vertical="center" wrapText="1"/>
      <protection hidden="1"/>
    </xf>
    <xf numFmtId="0" fontId="10" fillId="0" borderId="0" xfId="6" applyFont="1" applyAlignment="1" applyProtection="1">
      <alignment horizontal="center" vertical="center" wrapText="1"/>
      <protection hidden="1"/>
    </xf>
    <xf numFmtId="0" fontId="10" fillId="0" borderId="10" xfId="6" applyFont="1" applyBorder="1" applyAlignment="1" applyProtection="1">
      <alignment horizontal="center" vertical="center" wrapText="1"/>
      <protection hidden="1"/>
    </xf>
    <xf numFmtId="0" fontId="3" fillId="0" borderId="9" xfId="2" applyBorder="1" applyAlignment="1" applyProtection="1">
      <alignment vertical="center"/>
      <protection hidden="1"/>
    </xf>
    <xf numFmtId="0" fontId="3" fillId="0" borderId="0" xfId="5" applyFont="1" applyAlignment="1" applyProtection="1">
      <alignment horizontal="left" vertical="center"/>
      <protection hidden="1"/>
    </xf>
    <xf numFmtId="44" fontId="3" fillId="0" borderId="0" xfId="5" applyNumberFormat="1" applyFont="1" applyAlignment="1" applyProtection="1">
      <alignment horizontal="center" vertical="center"/>
      <protection hidden="1"/>
    </xf>
    <xf numFmtId="0" fontId="3" fillId="0" borderId="0" xfId="5" applyFont="1" applyAlignment="1" applyProtection="1">
      <alignment horizontal="center" vertical="center" wrapText="1"/>
      <protection hidden="1"/>
    </xf>
    <xf numFmtId="165" fontId="9" fillId="9" borderId="28" xfId="5" applyNumberFormat="1" applyFont="1" applyFill="1" applyBorder="1" applyAlignment="1" applyProtection="1">
      <alignment horizontal="center" vertical="center" wrapText="1"/>
      <protection hidden="1"/>
    </xf>
    <xf numFmtId="0" fontId="3" fillId="0" borderId="0" xfId="1" applyFont="1" applyAlignment="1" applyProtection="1">
      <alignment horizontal="center" vertical="center" wrapText="1"/>
      <protection hidden="1"/>
    </xf>
    <xf numFmtId="165" fontId="3" fillId="0" borderId="10" xfId="5" applyNumberFormat="1" applyFont="1" applyBorder="1" applyAlignment="1" applyProtection="1">
      <alignment horizontal="center" vertical="center" wrapText="1"/>
      <protection hidden="1"/>
    </xf>
    <xf numFmtId="0" fontId="3" fillId="0" borderId="12" xfId="1" applyFont="1" applyBorder="1" applyAlignment="1" applyProtection="1">
      <alignment horizontal="center" vertical="center"/>
      <protection hidden="1"/>
    </xf>
    <xf numFmtId="0" fontId="3" fillId="0" borderId="14" xfId="6" applyFont="1" applyBorder="1" applyAlignment="1" applyProtection="1">
      <alignment horizontal="center" vertical="center" wrapText="1"/>
      <protection locked="0"/>
    </xf>
    <xf numFmtId="0" fontId="41" fillId="0" borderId="0" xfId="2" applyFont="1" applyAlignment="1" applyProtection="1">
      <alignment vertical="center"/>
      <protection locked="0"/>
    </xf>
    <xf numFmtId="0" fontId="54" fillId="9" borderId="11" xfId="3" applyFont="1" applyFill="1" applyBorder="1" applyAlignment="1" applyProtection="1">
      <alignment horizontal="left" vertical="center" wrapText="1"/>
      <protection hidden="1"/>
    </xf>
    <xf numFmtId="0" fontId="9" fillId="9" borderId="11" xfId="1" applyFont="1" applyFill="1" applyBorder="1" applyAlignment="1" applyProtection="1">
      <alignment horizontal="center" vertical="center" wrapText="1"/>
      <protection hidden="1"/>
    </xf>
    <xf numFmtId="0" fontId="28" fillId="0" borderId="16" xfId="3" applyFont="1" applyBorder="1" applyAlignment="1" applyProtection="1">
      <alignment horizontal="left" vertical="center" wrapText="1"/>
      <protection hidden="1"/>
    </xf>
    <xf numFmtId="0" fontId="28" fillId="0" borderId="10" xfId="3" applyFont="1" applyBorder="1" applyAlignment="1" applyProtection="1">
      <alignment horizontal="left" vertical="center" wrapText="1"/>
      <protection hidden="1"/>
    </xf>
    <xf numFmtId="0" fontId="10" fillId="0" borderId="11" xfId="2" applyFont="1" applyBorder="1" applyAlignment="1" applyProtection="1">
      <alignment vertical="center" wrapText="1"/>
      <protection hidden="1"/>
    </xf>
    <xf numFmtId="0" fontId="12" fillId="7" borderId="11" xfId="1" applyFont="1" applyFill="1" applyBorder="1" applyAlignment="1" applyProtection="1">
      <alignment vertical="center" wrapText="1"/>
      <protection locked="0"/>
    </xf>
    <xf numFmtId="9" fontId="29" fillId="0" borderId="11" xfId="0" applyNumberFormat="1" applyFont="1" applyBorder="1" applyAlignment="1" applyProtection="1">
      <alignment vertical="center" wrapText="1"/>
      <protection hidden="1"/>
    </xf>
    <xf numFmtId="0" fontId="10" fillId="0" borderId="22" xfId="0" applyFont="1" applyBorder="1" applyAlignment="1" applyProtection="1">
      <alignment vertical="center" wrapText="1"/>
      <protection hidden="1"/>
    </xf>
    <xf numFmtId="0" fontId="10" fillId="0" borderId="15" xfId="0" applyFont="1" applyBorder="1" applyAlignment="1" applyProtection="1">
      <alignment horizontal="right" vertical="center" wrapText="1"/>
      <protection hidden="1"/>
    </xf>
    <xf numFmtId="9" fontId="10" fillId="0" borderId="16" xfId="8" applyFont="1" applyBorder="1" applyAlignment="1" applyProtection="1">
      <alignment horizontal="center" vertical="center" wrapText="1"/>
      <protection hidden="1"/>
    </xf>
    <xf numFmtId="0" fontId="10" fillId="0" borderId="10" xfId="0" applyFont="1" applyBorder="1" applyAlignment="1" applyProtection="1">
      <alignment vertical="center" wrapText="1"/>
      <protection hidden="1"/>
    </xf>
    <xf numFmtId="0" fontId="12" fillId="3" borderId="33" xfId="2" applyFont="1" applyFill="1" applyBorder="1" applyAlignment="1" applyProtection="1">
      <alignment vertical="center" wrapText="1"/>
      <protection hidden="1"/>
    </xf>
    <xf numFmtId="0" fontId="12" fillId="7" borderId="33" xfId="1" applyFont="1" applyFill="1" applyBorder="1" applyAlignment="1" applyProtection="1">
      <alignment vertical="center" wrapText="1"/>
      <protection locked="0"/>
    </xf>
    <xf numFmtId="0" fontId="30" fillId="9" borderId="33" xfId="3" applyFont="1" applyFill="1" applyBorder="1" applyAlignment="1" applyProtection="1">
      <alignment horizontal="left" vertical="center" wrapText="1"/>
      <protection hidden="1"/>
    </xf>
    <xf numFmtId="0" fontId="30" fillId="9" borderId="33" xfId="3" applyFont="1" applyFill="1" applyBorder="1" applyAlignment="1" applyProtection="1">
      <alignment horizontal="center" vertical="center" wrapText="1"/>
      <protection hidden="1"/>
    </xf>
    <xf numFmtId="0" fontId="57" fillId="9" borderId="26" xfId="3" applyFont="1" applyFill="1" applyBorder="1" applyAlignment="1" applyProtection="1">
      <alignment vertical="center" wrapText="1"/>
      <protection hidden="1"/>
    </xf>
    <xf numFmtId="0" fontId="30" fillId="9" borderId="26" xfId="3" applyFont="1" applyFill="1" applyBorder="1" applyAlignment="1" applyProtection="1">
      <alignment vertical="center" wrapText="1"/>
      <protection hidden="1"/>
    </xf>
    <xf numFmtId="0" fontId="30" fillId="9" borderId="42" xfId="3" applyFont="1" applyFill="1" applyBorder="1" applyAlignment="1" applyProtection="1">
      <alignment horizontal="center" vertical="center" wrapText="1"/>
      <protection hidden="1"/>
    </xf>
    <xf numFmtId="0" fontId="10" fillId="0" borderId="38" xfId="0" applyFont="1" applyBorder="1" applyProtection="1">
      <protection hidden="1"/>
    </xf>
    <xf numFmtId="0" fontId="12" fillId="0" borderId="43" xfId="1" applyFont="1" applyBorder="1" applyAlignment="1" applyProtection="1">
      <alignment vertical="center" wrapText="1"/>
      <protection hidden="1"/>
    </xf>
    <xf numFmtId="167" fontId="12" fillId="0" borderId="43" xfId="1" applyNumberFormat="1" applyFont="1" applyBorder="1" applyAlignment="1" applyProtection="1">
      <alignment vertical="center" wrapText="1"/>
      <protection hidden="1"/>
    </xf>
    <xf numFmtId="0" fontId="12" fillId="12" borderId="18" xfId="3" applyFont="1" applyFill="1" applyBorder="1" applyAlignment="1" applyProtection="1">
      <alignment horizontal="center" vertical="center" wrapText="1"/>
      <protection locked="0" hidden="1"/>
    </xf>
    <xf numFmtId="0" fontId="12" fillId="12" borderId="11" xfId="3" applyFont="1" applyFill="1" applyBorder="1" applyAlignment="1" applyProtection="1">
      <alignment horizontal="center" vertical="center" wrapText="1"/>
      <protection locked="0" hidden="1"/>
    </xf>
    <xf numFmtId="0" fontId="12" fillId="12" borderId="19" xfId="3" applyFont="1" applyFill="1" applyBorder="1" applyAlignment="1" applyProtection="1">
      <alignment horizontal="center" vertical="center" wrapText="1"/>
      <protection locked="0" hidden="1"/>
    </xf>
    <xf numFmtId="0" fontId="13" fillId="0" borderId="32" xfId="3" applyFont="1" applyBorder="1" applyAlignment="1" applyProtection="1">
      <alignment horizontal="right" vertical="center" wrapText="1"/>
      <protection hidden="1"/>
    </xf>
    <xf numFmtId="0" fontId="12" fillId="0" borderId="20" xfId="3" applyFont="1" applyBorder="1" applyAlignment="1" applyProtection="1">
      <alignment horizontal="right" vertical="center" wrapText="1"/>
      <protection hidden="1"/>
    </xf>
    <xf numFmtId="0" fontId="12" fillId="0" borderId="33" xfId="3" applyFont="1" applyBorder="1" applyAlignment="1" applyProtection="1">
      <alignment horizontal="center" vertical="center" wrapText="1"/>
      <protection hidden="1"/>
    </xf>
    <xf numFmtId="44" fontId="13" fillId="0" borderId="34" xfId="4" applyFont="1" applyFill="1" applyBorder="1" applyAlignment="1" applyProtection="1">
      <alignment horizontal="center" vertical="center" wrapText="1"/>
      <protection hidden="1"/>
    </xf>
    <xf numFmtId="0" fontId="13" fillId="0" borderId="0" xfId="1" applyFont="1" applyAlignment="1" applyProtection="1">
      <alignment horizontal="right" vertical="center" wrapText="1"/>
      <protection hidden="1"/>
    </xf>
    <xf numFmtId="44" fontId="13" fillId="0" borderId="44" xfId="1" applyNumberFormat="1" applyFont="1" applyBorder="1" applyAlignment="1" applyProtection="1">
      <alignment horizontal="center" vertical="center" wrapText="1"/>
      <protection hidden="1"/>
    </xf>
    <xf numFmtId="0" fontId="50" fillId="0" borderId="0" xfId="2" applyFont="1" applyAlignment="1" applyProtection="1">
      <alignment vertical="center"/>
      <protection hidden="1"/>
    </xf>
    <xf numFmtId="0" fontId="10" fillId="0" borderId="0" xfId="2" applyFont="1" applyAlignment="1" applyProtection="1">
      <alignment horizontal="center" vertical="center"/>
      <protection hidden="1"/>
    </xf>
    <xf numFmtId="0" fontId="10" fillId="0" borderId="10" xfId="2" applyFont="1" applyBorder="1" applyAlignment="1" applyProtection="1">
      <alignment horizontal="center" vertical="center"/>
      <protection hidden="1"/>
    </xf>
    <xf numFmtId="44" fontId="10" fillId="0" borderId="11" xfId="0" applyNumberFormat="1" applyFont="1" applyBorder="1" applyAlignment="1" applyProtection="1">
      <alignment vertical="center" wrapText="1"/>
      <protection hidden="1"/>
    </xf>
    <xf numFmtId="0" fontId="62" fillId="0" borderId="11" xfId="2" applyFont="1" applyBorder="1" applyAlignment="1" applyProtection="1">
      <alignment horizontal="left" vertical="center"/>
      <protection hidden="1"/>
    </xf>
    <xf numFmtId="0" fontId="61" fillId="10" borderId="11" xfId="2" applyFont="1" applyFill="1" applyBorder="1" applyAlignment="1" applyProtection="1">
      <alignment horizontal="left" vertical="center"/>
      <protection hidden="1"/>
    </xf>
    <xf numFmtId="44" fontId="28" fillId="3" borderId="11" xfId="4" applyFont="1" applyFill="1" applyBorder="1" applyAlignment="1" applyProtection="1">
      <alignment horizontal="center" vertical="center" wrapText="1"/>
      <protection hidden="1"/>
    </xf>
    <xf numFmtId="0" fontId="62" fillId="3" borderId="11" xfId="2" applyFont="1" applyFill="1" applyBorder="1" applyAlignment="1" applyProtection="1">
      <alignment horizontal="left" vertical="center"/>
      <protection hidden="1"/>
    </xf>
    <xf numFmtId="0" fontId="62" fillId="0" borderId="11" xfId="5" applyFont="1" applyBorder="1" applyAlignment="1" applyProtection="1">
      <alignment horizontal="left" vertical="center" wrapText="1"/>
      <protection hidden="1"/>
    </xf>
    <xf numFmtId="44" fontId="62" fillId="0" borderId="11" xfId="4" applyFont="1" applyFill="1" applyBorder="1" applyAlignment="1" applyProtection="1">
      <alignment horizontal="center" vertical="center" wrapText="1"/>
      <protection hidden="1"/>
    </xf>
    <xf numFmtId="44" fontId="33" fillId="10" borderId="11" xfId="4" applyFont="1" applyFill="1" applyBorder="1" applyAlignment="1" applyProtection="1">
      <alignment horizontal="center" vertical="center" wrapText="1"/>
      <protection hidden="1"/>
    </xf>
    <xf numFmtId="44" fontId="62" fillId="3" borderId="11" xfId="4" applyFont="1" applyFill="1" applyBorder="1" applyAlignment="1" applyProtection="1">
      <alignment horizontal="center" vertical="center" wrapText="1"/>
      <protection hidden="1"/>
    </xf>
    <xf numFmtId="44" fontId="10" fillId="7" borderId="12" xfId="4" applyFont="1" applyFill="1" applyBorder="1" applyAlignment="1" applyProtection="1">
      <alignment vertical="center" wrapText="1"/>
      <protection locked="0"/>
    </xf>
    <xf numFmtId="44" fontId="33" fillId="0" borderId="12" xfId="5" applyNumberFormat="1" applyFont="1" applyBorder="1" applyAlignment="1" applyProtection="1">
      <alignment vertical="center" wrapText="1"/>
      <protection hidden="1"/>
    </xf>
    <xf numFmtId="44" fontId="33" fillId="0" borderId="14" xfId="5" applyNumberFormat="1" applyFont="1" applyBorder="1" applyAlignment="1" applyProtection="1">
      <alignment vertical="center" wrapText="1"/>
      <protection hidden="1"/>
    </xf>
    <xf numFmtId="44" fontId="10" fillId="0" borderId="11" xfId="4" applyFont="1" applyFill="1" applyBorder="1" applyAlignment="1" applyProtection="1">
      <alignment horizontal="center" vertical="center"/>
      <protection hidden="1"/>
    </xf>
    <xf numFmtId="0" fontId="3" fillId="0" borderId="12" xfId="2" applyBorder="1" applyAlignment="1" applyProtection="1">
      <alignment vertical="center"/>
      <protection hidden="1"/>
    </xf>
    <xf numFmtId="0" fontId="3" fillId="0" borderId="13" xfId="2" applyBorder="1" applyAlignment="1" applyProtection="1">
      <alignment vertical="center"/>
      <protection hidden="1"/>
    </xf>
    <xf numFmtId="9" fontId="10" fillId="0" borderId="11" xfId="10" applyFont="1" applyFill="1" applyBorder="1" applyAlignment="1" applyProtection="1">
      <alignment horizontal="center" vertical="center"/>
      <protection hidden="1"/>
    </xf>
    <xf numFmtId="44" fontId="10" fillId="0" borderId="12" xfId="4" applyFont="1" applyFill="1" applyBorder="1" applyAlignment="1" applyProtection="1">
      <alignment vertical="center" wrapText="1"/>
      <protection hidden="1"/>
    </xf>
    <xf numFmtId="44" fontId="10" fillId="0" borderId="14" xfId="4" applyFont="1" applyFill="1" applyBorder="1" applyAlignment="1" applyProtection="1">
      <alignment vertical="center" wrapText="1"/>
      <protection hidden="1"/>
    </xf>
    <xf numFmtId="44" fontId="10" fillId="7" borderId="11" xfId="4" applyFont="1" applyFill="1" applyBorder="1" applyAlignment="1" applyProtection="1">
      <alignment vertical="center" wrapText="1"/>
      <protection locked="0"/>
    </xf>
    <xf numFmtId="44" fontId="10" fillId="0" borderId="11" xfId="4" applyFont="1" applyFill="1" applyBorder="1" applyAlignment="1" applyProtection="1">
      <alignment vertical="center" wrapText="1"/>
      <protection hidden="1"/>
    </xf>
    <xf numFmtId="167" fontId="12" fillId="0" borderId="25" xfId="1" applyNumberFormat="1" applyFont="1" applyBorder="1" applyAlignment="1" applyProtection="1">
      <alignment horizontal="center" vertical="center" wrapText="1"/>
      <protection locked="0"/>
    </xf>
    <xf numFmtId="0" fontId="28" fillId="7" borderId="0" xfId="0" applyFont="1" applyFill="1" applyAlignment="1" applyProtection="1">
      <alignment horizontal="center" vertical="center"/>
      <protection locked="0"/>
    </xf>
    <xf numFmtId="0" fontId="28" fillId="0" borderId="0" xfId="2" applyFont="1" applyAlignment="1" applyProtection="1">
      <alignment horizontal="center" vertical="center"/>
      <protection locked="0"/>
    </xf>
    <xf numFmtId="0" fontId="4" fillId="0" borderId="0" xfId="1" applyFont="1" applyAlignment="1">
      <alignment horizontal="left" vertical="center" wrapText="1"/>
    </xf>
    <xf numFmtId="0" fontId="4" fillId="0" borderId="5" xfId="1" applyFont="1" applyBorder="1" applyAlignment="1">
      <alignment horizontal="left" vertical="center" wrapText="1"/>
    </xf>
    <xf numFmtId="0" fontId="7" fillId="0" borderId="4" xfId="1" applyFont="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5" fillId="0" borderId="0" xfId="1" applyFont="1" applyAlignment="1">
      <alignment horizontal="left" vertical="center" wrapText="1"/>
    </xf>
    <xf numFmtId="0" fontId="5" fillId="0" borderId="5" xfId="1" applyFont="1" applyBorder="1" applyAlignment="1">
      <alignment horizontal="left" vertical="center" wrapText="1"/>
    </xf>
    <xf numFmtId="0" fontId="5" fillId="0" borderId="0" xfId="1" applyFont="1" applyAlignment="1">
      <alignment horizontal="left" vertical="center"/>
    </xf>
    <xf numFmtId="0" fontId="5" fillId="0" borderId="4" xfId="1" applyFont="1" applyBorder="1" applyAlignment="1">
      <alignment horizontal="left" vertical="center" wrapText="1"/>
    </xf>
    <xf numFmtId="0" fontId="44" fillId="4" borderId="0" xfId="0" applyFont="1" applyFill="1" applyAlignment="1" applyProtection="1">
      <alignment horizontal="center" vertical="center" wrapText="1"/>
      <protection hidden="1"/>
    </xf>
    <xf numFmtId="0" fontId="30" fillId="9" borderId="12" xfId="1" applyFont="1" applyFill="1" applyBorder="1" applyAlignment="1" applyProtection="1">
      <alignment horizontal="left" vertical="center" wrapText="1"/>
      <protection hidden="1"/>
    </xf>
    <xf numFmtId="0" fontId="30" fillId="9" borderId="13" xfId="1" applyFont="1" applyFill="1" applyBorder="1" applyAlignment="1" applyProtection="1">
      <alignment horizontal="left" vertical="center" wrapText="1"/>
      <protection hidden="1"/>
    </xf>
    <xf numFmtId="0" fontId="30" fillId="9" borderId="14" xfId="1" applyFont="1" applyFill="1" applyBorder="1" applyAlignment="1" applyProtection="1">
      <alignment horizontal="left" vertical="center" wrapText="1"/>
      <protection hidden="1"/>
    </xf>
    <xf numFmtId="0" fontId="34" fillId="9" borderId="12" xfId="1" applyFont="1" applyFill="1" applyBorder="1" applyAlignment="1" applyProtection="1">
      <alignment horizontal="left" vertical="center" wrapText="1"/>
      <protection hidden="1"/>
    </xf>
    <xf numFmtId="0" fontId="34" fillId="9" borderId="13" xfId="1" applyFont="1" applyFill="1" applyBorder="1" applyAlignment="1" applyProtection="1">
      <alignment horizontal="left" vertical="center" wrapText="1"/>
      <protection hidden="1"/>
    </xf>
    <xf numFmtId="0" fontId="34" fillId="9" borderId="14" xfId="1" applyFont="1" applyFill="1" applyBorder="1" applyAlignment="1" applyProtection="1">
      <alignment horizontal="left" vertical="center" wrapText="1"/>
      <protection hidden="1"/>
    </xf>
    <xf numFmtId="0" fontId="17" fillId="9" borderId="33" xfId="3" applyFont="1" applyFill="1" applyBorder="1" applyAlignment="1" applyProtection="1">
      <alignment horizontal="center" vertical="center" wrapText="1"/>
      <protection hidden="1"/>
    </xf>
    <xf numFmtId="0" fontId="36" fillId="9" borderId="33" xfId="3" applyFont="1" applyFill="1" applyBorder="1" applyAlignment="1" applyProtection="1">
      <alignment horizontal="left" vertical="center" wrapText="1"/>
      <protection hidden="1"/>
    </xf>
    <xf numFmtId="0" fontId="26" fillId="9" borderId="12" xfId="1" applyFont="1" applyFill="1" applyBorder="1" applyAlignment="1" applyProtection="1">
      <alignment horizontal="center" vertical="center" wrapText="1"/>
      <protection hidden="1"/>
    </xf>
    <xf numFmtId="0" fontId="26" fillId="9" borderId="14" xfId="1" applyFont="1" applyFill="1" applyBorder="1" applyAlignment="1" applyProtection="1">
      <alignment horizontal="center" vertical="center" wrapText="1"/>
      <protection hidden="1"/>
    </xf>
    <xf numFmtId="0" fontId="30" fillId="9" borderId="39" xfId="1" applyFont="1" applyFill="1" applyBorder="1" applyAlignment="1" applyProtection="1">
      <alignment horizontal="left" vertical="center" wrapText="1"/>
      <protection hidden="1"/>
    </xf>
    <xf numFmtId="0" fontId="30" fillId="9" borderId="36" xfId="1" applyFont="1" applyFill="1" applyBorder="1" applyAlignment="1" applyProtection="1">
      <alignment horizontal="left" vertical="center" wrapText="1"/>
      <protection hidden="1"/>
    </xf>
    <xf numFmtId="0" fontId="30" fillId="9" borderId="23" xfId="1" applyFont="1" applyFill="1" applyBorder="1" applyAlignment="1" applyProtection="1">
      <alignment horizontal="left" vertical="center" wrapText="1"/>
      <protection hidden="1"/>
    </xf>
    <xf numFmtId="0" fontId="13" fillId="0" borderId="37" xfId="3" applyFont="1" applyBorder="1" applyAlignment="1" applyProtection="1">
      <alignment horizontal="center" vertical="center" wrapText="1"/>
      <protection hidden="1"/>
    </xf>
    <xf numFmtId="0" fontId="13" fillId="0" borderId="26" xfId="3" applyFont="1" applyBorder="1" applyAlignment="1" applyProtection="1">
      <alignment horizontal="center" vertical="center" wrapText="1"/>
      <protection hidden="1"/>
    </xf>
    <xf numFmtId="0" fontId="13" fillId="0" borderId="30" xfId="3" applyFont="1" applyBorder="1" applyAlignment="1" applyProtection="1">
      <alignment horizontal="center" vertical="center" wrapText="1"/>
      <protection hidden="1"/>
    </xf>
    <xf numFmtId="0" fontId="30" fillId="9" borderId="9" xfId="3" applyFont="1" applyFill="1" applyBorder="1" applyAlignment="1" applyProtection="1">
      <alignment horizontal="center" vertical="center" wrapText="1"/>
      <protection hidden="1"/>
    </xf>
    <xf numFmtId="0" fontId="30" fillId="9" borderId="10" xfId="3" applyFont="1" applyFill="1" applyBorder="1" applyAlignment="1" applyProtection="1">
      <alignment horizontal="center" vertical="center" wrapText="1"/>
      <protection hidden="1"/>
    </xf>
    <xf numFmtId="0" fontId="11" fillId="9" borderId="6" xfId="1" applyFont="1" applyFill="1" applyBorder="1" applyAlignment="1" applyProtection="1">
      <alignment horizontal="center" vertical="center" wrapText="1"/>
      <protection hidden="1"/>
    </xf>
    <xf numFmtId="0" fontId="11" fillId="9" borderId="8" xfId="1" applyFont="1" applyFill="1" applyBorder="1" applyAlignment="1" applyProtection="1">
      <alignment horizontal="center" vertical="center" wrapText="1"/>
      <protection hidden="1"/>
    </xf>
    <xf numFmtId="0" fontId="11" fillId="9" borderId="9" xfId="1" applyFont="1" applyFill="1" applyBorder="1" applyAlignment="1" applyProtection="1">
      <alignment horizontal="center" vertical="center" wrapText="1"/>
      <protection hidden="1"/>
    </xf>
    <xf numFmtId="0" fontId="11" fillId="9" borderId="10" xfId="1" applyFont="1" applyFill="1" applyBorder="1" applyAlignment="1" applyProtection="1">
      <alignment horizontal="center" vertical="center" wrapText="1"/>
      <protection hidden="1"/>
    </xf>
    <xf numFmtId="0" fontId="11" fillId="9" borderId="15" xfId="1" applyFont="1" applyFill="1" applyBorder="1" applyAlignment="1" applyProtection="1">
      <alignment horizontal="center" vertical="center" wrapText="1"/>
      <protection hidden="1"/>
    </xf>
    <xf numFmtId="0" fontId="11" fillId="9" borderId="17" xfId="1" applyFont="1" applyFill="1" applyBorder="1" applyAlignment="1" applyProtection="1">
      <alignment horizontal="center" vertical="center" wrapText="1"/>
      <protection hidden="1"/>
    </xf>
    <xf numFmtId="0" fontId="7" fillId="8" borderId="12" xfId="3" applyFont="1" applyFill="1" applyBorder="1" applyAlignment="1" applyProtection="1">
      <alignment horizontal="left" vertical="center" wrapText="1"/>
      <protection hidden="1"/>
    </xf>
    <xf numFmtId="0" fontId="7" fillId="8" borderId="13" xfId="3" applyFont="1" applyFill="1" applyBorder="1" applyAlignment="1" applyProtection="1">
      <alignment horizontal="left" vertical="center" wrapText="1"/>
      <protection hidden="1"/>
    </xf>
    <xf numFmtId="0" fontId="7" fillId="8" borderId="41" xfId="3" applyFont="1" applyFill="1" applyBorder="1" applyAlignment="1" applyProtection="1">
      <alignment horizontal="left" vertical="center" wrapText="1"/>
      <protection hidden="1"/>
    </xf>
    <xf numFmtId="0" fontId="9" fillId="9" borderId="40" xfId="1" applyFont="1" applyFill="1" applyBorder="1" applyAlignment="1" applyProtection="1">
      <alignment horizontal="left" vertical="center" wrapText="1"/>
      <protection hidden="1"/>
    </xf>
    <xf numFmtId="0" fontId="9" fillId="9" borderId="24" xfId="1" applyFont="1" applyFill="1" applyBorder="1" applyAlignment="1" applyProtection="1">
      <alignment horizontal="left" vertical="center" wrapText="1"/>
      <protection hidden="1"/>
    </xf>
    <xf numFmtId="0" fontId="9" fillId="9" borderId="27" xfId="1" applyFont="1" applyFill="1" applyBorder="1" applyAlignment="1" applyProtection="1">
      <alignment horizontal="left" vertical="center" wrapText="1"/>
      <protection hidden="1"/>
    </xf>
    <xf numFmtId="0" fontId="35" fillId="9" borderId="33" xfId="3" applyFont="1" applyFill="1" applyBorder="1" applyAlignment="1" applyProtection="1">
      <alignment horizontal="left" vertical="center" wrapText="1"/>
      <protection hidden="1"/>
    </xf>
    <xf numFmtId="0" fontId="13" fillId="0" borderId="0" xfId="3" applyFont="1" applyAlignment="1" applyProtection="1">
      <alignment horizontal="center" vertical="center" wrapText="1"/>
      <protection hidden="1"/>
    </xf>
    <xf numFmtId="0" fontId="12" fillId="0" borderId="0" xfId="3" applyFont="1" applyAlignment="1" applyProtection="1">
      <alignment horizontal="center" vertical="center" wrapText="1"/>
      <protection hidden="1"/>
    </xf>
    <xf numFmtId="0" fontId="18" fillId="0" borderId="33" xfId="0" applyFont="1" applyBorder="1" applyAlignment="1" applyProtection="1">
      <alignment horizontal="right" vertical="center" wrapText="1"/>
      <protection hidden="1"/>
    </xf>
    <xf numFmtId="0" fontId="13" fillId="0" borderId="21" xfId="3" applyFont="1" applyBorder="1" applyAlignment="1" applyProtection="1">
      <alignment horizontal="right" vertical="center" wrapText="1"/>
      <protection hidden="1"/>
    </xf>
    <xf numFmtId="0" fontId="13" fillId="0" borderId="3" xfId="3" applyFont="1" applyBorder="1" applyAlignment="1" applyProtection="1">
      <alignment horizontal="right" vertical="center" wrapText="1"/>
      <protection hidden="1"/>
    </xf>
    <xf numFmtId="0" fontId="18" fillId="0" borderId="36" xfId="0" applyFont="1" applyBorder="1" applyAlignment="1" applyProtection="1">
      <alignment horizontal="right" vertical="center" wrapText="1"/>
      <protection hidden="1"/>
    </xf>
    <xf numFmtId="0" fontId="18" fillId="0" borderId="32" xfId="0" applyFont="1" applyBorder="1" applyAlignment="1" applyProtection="1">
      <alignment horizontal="right" vertical="center" wrapText="1"/>
      <protection hidden="1"/>
    </xf>
    <xf numFmtId="0" fontId="13" fillId="0" borderId="36" xfId="3" applyFont="1" applyBorder="1" applyAlignment="1" applyProtection="1">
      <alignment horizontal="right" vertical="center" wrapText="1"/>
      <protection hidden="1"/>
    </xf>
    <xf numFmtId="0" fontId="12" fillId="0" borderId="9" xfId="3" applyFont="1" applyBorder="1" applyAlignment="1" applyProtection="1">
      <alignment horizontal="right" vertical="center" wrapText="1"/>
      <protection hidden="1"/>
    </xf>
    <xf numFmtId="0" fontId="12" fillId="0" borderId="10" xfId="3" applyFont="1" applyBorder="1" applyAlignment="1" applyProtection="1">
      <alignment horizontal="right" vertical="center" wrapText="1"/>
      <protection hidden="1"/>
    </xf>
    <xf numFmtId="0" fontId="13" fillId="0" borderId="15" xfId="1" applyFont="1" applyBorder="1" applyAlignment="1" applyProtection="1">
      <alignment horizontal="center" vertical="center" wrapText="1"/>
      <protection hidden="1"/>
    </xf>
    <xf numFmtId="0" fontId="13" fillId="0" borderId="17" xfId="1" applyFont="1" applyBorder="1" applyAlignment="1" applyProtection="1">
      <alignment horizontal="center" vertical="center" wrapText="1"/>
      <protection hidden="1"/>
    </xf>
    <xf numFmtId="0" fontId="7" fillId="7" borderId="11" xfId="3" applyFont="1" applyFill="1" applyBorder="1" applyAlignment="1" applyProtection="1">
      <alignment horizontal="center" wrapText="1"/>
      <protection locked="0"/>
    </xf>
    <xf numFmtId="0" fontId="33" fillId="0" borderId="11" xfId="3" applyFont="1" applyBorder="1" applyAlignment="1" applyProtection="1">
      <alignment horizontal="left" vertical="center" wrapText="1"/>
      <protection hidden="1"/>
    </xf>
    <xf numFmtId="0" fontId="26" fillId="9" borderId="11" xfId="1" applyFont="1" applyFill="1" applyBorder="1" applyAlignment="1" applyProtection="1">
      <alignment horizontal="left" vertical="center" wrapText="1"/>
      <protection hidden="1"/>
    </xf>
    <xf numFmtId="0" fontId="13" fillId="0" borderId="12" xfId="1" applyFont="1" applyBorder="1" applyAlignment="1" applyProtection="1">
      <alignment horizontal="center" vertical="center" wrapText="1"/>
      <protection hidden="1"/>
    </xf>
    <xf numFmtId="0" fontId="13" fillId="0" borderId="14" xfId="1" applyFont="1" applyBorder="1" applyAlignment="1" applyProtection="1">
      <alignment horizontal="center" vertical="center" wrapText="1"/>
      <protection hidden="1"/>
    </xf>
    <xf numFmtId="0" fontId="57" fillId="0" borderId="11" xfId="3" applyFont="1" applyBorder="1" applyAlignment="1" applyProtection="1">
      <alignment horizontal="left" vertical="center" wrapText="1"/>
      <protection hidden="1"/>
    </xf>
    <xf numFmtId="0" fontId="34" fillId="9" borderId="6" xfId="1" applyFont="1" applyFill="1" applyBorder="1" applyAlignment="1" applyProtection="1">
      <alignment horizontal="left" vertical="center" wrapText="1"/>
      <protection hidden="1"/>
    </xf>
    <xf numFmtId="0" fontId="34" fillId="9" borderId="7" xfId="1" applyFont="1" applyFill="1" applyBorder="1" applyAlignment="1" applyProtection="1">
      <alignment horizontal="left" vertical="center" wrapText="1"/>
      <protection hidden="1"/>
    </xf>
    <xf numFmtId="0" fontId="34" fillId="9" borderId="8" xfId="1" applyFont="1" applyFill="1" applyBorder="1" applyAlignment="1" applyProtection="1">
      <alignment horizontal="left" vertical="center" wrapText="1"/>
      <protection hidden="1"/>
    </xf>
    <xf numFmtId="0" fontId="30" fillId="9" borderId="39" xfId="3" applyFont="1" applyFill="1" applyBorder="1" applyAlignment="1" applyProtection="1">
      <alignment horizontal="center" vertical="center" wrapText="1"/>
      <protection hidden="1"/>
    </xf>
    <xf numFmtId="0" fontId="30" fillId="9" borderId="36" xfId="3" applyFont="1" applyFill="1" applyBorder="1" applyAlignment="1" applyProtection="1">
      <alignment horizontal="center" vertical="center" wrapText="1"/>
      <protection hidden="1"/>
    </xf>
    <xf numFmtId="0" fontId="13" fillId="3" borderId="39" xfId="3" applyFont="1" applyFill="1" applyBorder="1" applyAlignment="1" applyProtection="1">
      <alignment horizontal="center" vertical="center" wrapText="1"/>
      <protection hidden="1"/>
    </xf>
    <xf numFmtId="0" fontId="13" fillId="3" borderId="36" xfId="3" applyFont="1" applyFill="1" applyBorder="1" applyAlignment="1" applyProtection="1">
      <alignment horizontal="center" vertical="center" wrapText="1"/>
      <protection hidden="1"/>
    </xf>
    <xf numFmtId="0" fontId="13" fillId="3" borderId="23" xfId="3" applyFont="1" applyFill="1" applyBorder="1" applyAlignment="1" applyProtection="1">
      <alignment horizontal="center" vertical="center" wrapText="1"/>
      <protection hidden="1"/>
    </xf>
    <xf numFmtId="0" fontId="11" fillId="9" borderId="33" xfId="3" applyFont="1" applyFill="1" applyBorder="1" applyAlignment="1" applyProtection="1">
      <alignment horizontal="center" vertical="center" wrapText="1"/>
      <protection hidden="1"/>
    </xf>
    <xf numFmtId="0" fontId="30" fillId="9" borderId="33" xfId="3" applyFont="1" applyFill="1" applyBorder="1" applyAlignment="1" applyProtection="1">
      <alignment horizontal="left" vertical="center" wrapText="1"/>
      <protection hidden="1"/>
    </xf>
    <xf numFmtId="0" fontId="35" fillId="9" borderId="37" xfId="3" applyFont="1" applyFill="1" applyBorder="1" applyAlignment="1" applyProtection="1">
      <alignment horizontal="left" vertical="center" wrapText="1"/>
      <protection hidden="1"/>
    </xf>
    <xf numFmtId="0" fontId="35" fillId="9" borderId="26" xfId="3" applyFont="1" applyFill="1" applyBorder="1" applyAlignment="1" applyProtection="1">
      <alignment horizontal="left" vertical="center" wrapText="1"/>
      <protection hidden="1"/>
    </xf>
    <xf numFmtId="0" fontId="35" fillId="9" borderId="42" xfId="3" applyFont="1" applyFill="1" applyBorder="1" applyAlignment="1" applyProtection="1">
      <alignment horizontal="left" vertical="center" wrapText="1"/>
      <protection hidden="1"/>
    </xf>
    <xf numFmtId="0" fontId="13" fillId="0" borderId="23" xfId="3" applyFont="1" applyBorder="1" applyAlignment="1" applyProtection="1">
      <alignment horizontal="right" vertical="center" wrapText="1"/>
      <protection hidden="1"/>
    </xf>
    <xf numFmtId="0" fontId="18" fillId="0" borderId="23" xfId="0" applyFont="1" applyBorder="1" applyAlignment="1" applyProtection="1">
      <alignment horizontal="right" vertical="center" wrapText="1"/>
      <protection hidden="1"/>
    </xf>
    <xf numFmtId="0" fontId="9" fillId="9" borderId="11" xfId="1" applyFont="1" applyFill="1" applyBorder="1" applyAlignment="1" applyProtection="1">
      <alignment horizontal="left" vertical="center" wrapText="1"/>
      <protection hidden="1"/>
    </xf>
    <xf numFmtId="0" fontId="3" fillId="0" borderId="11" xfId="5" applyFont="1" applyBorder="1" applyAlignment="1" applyProtection="1">
      <alignment horizontal="left" vertical="center"/>
      <protection hidden="1"/>
    </xf>
    <xf numFmtId="0" fontId="11" fillId="9" borderId="11" xfId="1" applyFont="1" applyFill="1" applyBorder="1" applyAlignment="1" applyProtection="1">
      <alignment horizontal="left" vertical="center" wrapText="1"/>
      <protection hidden="1"/>
    </xf>
    <xf numFmtId="0" fontId="13" fillId="10" borderId="18" xfId="3" applyFont="1" applyFill="1" applyBorder="1" applyAlignment="1" applyProtection="1">
      <alignment horizontal="center" vertical="center" wrapText="1"/>
      <protection hidden="1"/>
    </xf>
    <xf numFmtId="44" fontId="10" fillId="0" borderId="11" xfId="6" applyNumberFormat="1" applyFont="1" applyBorder="1" applyAlignment="1" applyProtection="1">
      <alignment horizontal="center" vertical="center"/>
      <protection hidden="1"/>
    </xf>
    <xf numFmtId="0" fontId="6" fillId="0" borderId="11" xfId="5" applyFont="1" applyBorder="1" applyAlignment="1" applyProtection="1">
      <alignment horizontal="left" vertical="center" wrapText="1"/>
      <protection hidden="1"/>
    </xf>
    <xf numFmtId="0" fontId="6" fillId="0" borderId="11" xfId="6" applyFont="1" applyBorder="1" applyAlignment="1" applyProtection="1">
      <alignment horizontal="left" vertical="center" wrapText="1"/>
      <protection hidden="1"/>
    </xf>
    <xf numFmtId="0" fontId="13" fillId="10" borderId="11" xfId="3" applyFont="1" applyFill="1" applyBorder="1" applyAlignment="1" applyProtection="1">
      <alignment horizontal="left" vertical="center" wrapText="1"/>
      <protection hidden="1"/>
    </xf>
    <xf numFmtId="0" fontId="3" fillId="0" borderId="11" xfId="5" applyFont="1" applyBorder="1" applyAlignment="1" applyProtection="1">
      <alignment horizontal="left" vertical="center" wrapText="1"/>
      <protection hidden="1"/>
    </xf>
    <xf numFmtId="0" fontId="11" fillId="9" borderId="18" xfId="1" applyFont="1" applyFill="1" applyBorder="1" applyAlignment="1" applyProtection="1">
      <alignment horizontal="left" vertical="center" wrapText="1"/>
      <protection hidden="1"/>
    </xf>
    <xf numFmtId="164" fontId="10" fillId="0" borderId="19" xfId="5" applyNumberFormat="1" applyFont="1" applyBorder="1" applyAlignment="1" applyProtection="1">
      <alignment horizontal="center" vertical="center"/>
      <protection hidden="1"/>
    </xf>
    <xf numFmtId="164" fontId="10" fillId="0" borderId="18" xfId="5" applyNumberFormat="1" applyFont="1" applyBorder="1" applyAlignment="1" applyProtection="1">
      <alignment horizontal="center" vertical="center"/>
      <protection hidden="1"/>
    </xf>
    <xf numFmtId="0" fontId="29" fillId="6" borderId="16" xfId="3" applyFont="1" applyFill="1" applyBorder="1" applyAlignment="1" applyProtection="1">
      <alignment horizontal="center" vertical="center" wrapText="1"/>
      <protection hidden="1"/>
    </xf>
    <xf numFmtId="0" fontId="13" fillId="10" borderId="12" xfId="3" applyFont="1" applyFill="1" applyBorder="1" applyAlignment="1" applyProtection="1">
      <alignment horizontal="center" vertical="center" wrapText="1"/>
      <protection hidden="1"/>
    </xf>
    <xf numFmtId="0" fontId="13" fillId="10" borderId="14" xfId="3" applyFont="1" applyFill="1" applyBorder="1" applyAlignment="1" applyProtection="1">
      <alignment horizontal="center" vertical="center" wrapText="1"/>
      <protection hidden="1"/>
    </xf>
    <xf numFmtId="0" fontId="11" fillId="9" borderId="12" xfId="1" applyFont="1" applyFill="1" applyBorder="1" applyAlignment="1" applyProtection="1">
      <alignment horizontal="left" vertical="center" wrapText="1"/>
      <protection hidden="1"/>
    </xf>
    <xf numFmtId="0" fontId="11" fillId="9" borderId="13" xfId="1" applyFont="1" applyFill="1" applyBorder="1" applyAlignment="1" applyProtection="1">
      <alignment horizontal="left" vertical="center" wrapText="1"/>
      <protection hidden="1"/>
    </xf>
    <xf numFmtId="0" fontId="11" fillId="9" borderId="14" xfId="1" applyFont="1" applyFill="1" applyBorder="1" applyAlignment="1" applyProtection="1">
      <alignment horizontal="left" vertical="center" wrapText="1"/>
      <protection hidden="1"/>
    </xf>
    <xf numFmtId="0" fontId="6" fillId="0" borderId="11" xfId="5" applyFont="1" applyBorder="1" applyAlignment="1" applyProtection="1">
      <alignment horizontal="left" vertical="center"/>
      <protection hidden="1"/>
    </xf>
    <xf numFmtId="0" fontId="30" fillId="9" borderId="11" xfId="1" applyFont="1" applyFill="1" applyBorder="1" applyAlignment="1" applyProtection="1">
      <alignment horizontal="left" vertical="center" wrapText="1"/>
      <protection hidden="1"/>
    </xf>
    <xf numFmtId="0" fontId="11" fillId="9" borderId="6" xfId="1" applyFont="1" applyFill="1" applyBorder="1" applyAlignment="1" applyProtection="1">
      <alignment horizontal="left" vertical="center" wrapText="1"/>
      <protection hidden="1"/>
    </xf>
    <xf numFmtId="0" fontId="11" fillId="9" borderId="7" xfId="1" applyFont="1" applyFill="1" applyBorder="1" applyAlignment="1" applyProtection="1">
      <alignment horizontal="left" vertical="center" wrapText="1"/>
      <protection hidden="1"/>
    </xf>
    <xf numFmtId="0" fontId="11" fillId="9" borderId="8" xfId="1" applyFont="1" applyFill="1" applyBorder="1" applyAlignment="1" applyProtection="1">
      <alignment horizontal="left" vertical="center" wrapText="1"/>
      <protection hidden="1"/>
    </xf>
    <xf numFmtId="0" fontId="14" fillId="10" borderId="12" xfId="2" applyFont="1" applyFill="1" applyBorder="1" applyAlignment="1" applyProtection="1">
      <alignment horizontal="left" vertical="center"/>
      <protection hidden="1"/>
    </xf>
    <xf numFmtId="0" fontId="14" fillId="10" borderId="13" xfId="2" applyFont="1" applyFill="1" applyBorder="1" applyAlignment="1" applyProtection="1">
      <alignment horizontal="left" vertical="center"/>
      <protection hidden="1"/>
    </xf>
    <xf numFmtId="0" fontId="14" fillId="10" borderId="14" xfId="2" applyFont="1" applyFill="1" applyBorder="1" applyAlignment="1" applyProtection="1">
      <alignment horizontal="left" vertical="center"/>
      <protection hidden="1"/>
    </xf>
    <xf numFmtId="0" fontId="10" fillId="3" borderId="11" xfId="3" applyFont="1" applyFill="1" applyBorder="1" applyAlignment="1" applyProtection="1">
      <alignment horizontal="center" vertical="center" wrapText="1"/>
      <protection hidden="1"/>
    </xf>
    <xf numFmtId="0" fontId="3" fillId="3" borderId="12" xfId="6" applyFont="1" applyFill="1" applyBorder="1" applyAlignment="1" applyProtection="1">
      <alignment horizontal="left" vertical="center"/>
      <protection locked="0" hidden="1"/>
    </xf>
    <xf numFmtId="0" fontId="3" fillId="3" borderId="13" xfId="6" applyFont="1" applyFill="1" applyBorder="1" applyAlignment="1" applyProtection="1">
      <alignment horizontal="left" vertical="center"/>
      <protection locked="0" hidden="1"/>
    </xf>
    <xf numFmtId="0" fontId="3" fillId="3" borderId="14" xfId="6" applyFont="1" applyFill="1" applyBorder="1" applyAlignment="1" applyProtection="1">
      <alignment horizontal="left" vertical="center"/>
      <protection locked="0" hidden="1"/>
    </xf>
    <xf numFmtId="0" fontId="61" fillId="10" borderId="12" xfId="2" applyFont="1" applyFill="1" applyBorder="1" applyAlignment="1" applyProtection="1">
      <alignment horizontal="left" vertical="center"/>
      <protection hidden="1"/>
    </xf>
    <xf numFmtId="0" fontId="61" fillId="10" borderId="14" xfId="2" applyFont="1" applyFill="1" applyBorder="1" applyAlignment="1" applyProtection="1">
      <alignment horizontal="left" vertical="center"/>
      <protection hidden="1"/>
    </xf>
  </cellXfs>
  <cellStyles count="13">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 name="Valuta 2 2" xfId="11" xr:uid="{5D8FBB9F-A953-4D35-A132-68E234211D20}"/>
    <cellStyle name="Valuta 3" xfId="12" xr:uid="{891CDA8A-B253-404F-B265-A236A7137824}"/>
  </cellStyles>
  <dxfs count="0"/>
  <tableStyles count="0" defaultTableStyle="TableStyleMedium2" defaultPivotStyle="PivotStyleLight16"/>
  <colors>
    <mruColors>
      <color rgb="FF99CCFF"/>
      <color rgb="FF3366FF"/>
      <color rgb="FF3333FF"/>
      <color rgb="FF259E62"/>
      <color rgb="FF91D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605234</xdr:colOff>
      <xdr:row>1</xdr:row>
      <xdr:rowOff>317500</xdr:rowOff>
    </xdr:from>
    <xdr:to>
      <xdr:col>8</xdr:col>
      <xdr:colOff>0</xdr:colOff>
      <xdr:row>2</xdr:row>
      <xdr:rowOff>197583</xdr:rowOff>
    </xdr:to>
    <xdr:pic>
      <xdr:nvPicPr>
        <xdr:cNvPr id="4" name="Afbeelding 3" descr="Home | Gemeente Zoetermeer">
          <a:extLst>
            <a:ext uri="{FF2B5EF4-FFF2-40B4-BE49-F238E27FC236}">
              <a16:creationId xmlns:a16="http://schemas.microsoft.com/office/drawing/2014/main" id="{615D6C89-83CA-4872-B64B-D3F1A1C91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297" y="436563"/>
          <a:ext cx="3760391" cy="125922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pn1725003-my.sharepoint.com/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pageSetUpPr fitToPage="1"/>
  </sheetPr>
  <dimension ref="A1:I29"/>
  <sheetViews>
    <sheetView showGridLines="0" view="pageBreakPreview" zoomScale="96" zoomScaleNormal="100" zoomScaleSheetLayoutView="96" workbookViewId="0">
      <selection activeCell="B4" sqref="B4:I4"/>
    </sheetView>
  </sheetViews>
  <sheetFormatPr defaultColWidth="9.1796875" defaultRowHeight="14"/>
  <cols>
    <col min="1" max="1" width="3.7265625" style="9" customWidth="1"/>
    <col min="2" max="2" width="9.54296875" style="1" customWidth="1"/>
    <col min="3" max="3" width="1.54296875" style="1" customWidth="1"/>
    <col min="4" max="4" width="9.7265625" style="2" customWidth="1"/>
    <col min="5" max="8" width="11.1796875" style="2" customWidth="1"/>
    <col min="9" max="9" width="15.7265625" style="2" customWidth="1"/>
    <col min="10" max="16384" width="9.1796875" style="2"/>
  </cols>
  <sheetData>
    <row r="1" spans="2:9" ht="9" customHeight="1" thickBot="1"/>
    <row r="2" spans="2:9" ht="108.75" customHeight="1">
      <c r="B2" s="3"/>
      <c r="C2" s="201"/>
      <c r="D2" s="4"/>
      <c r="E2" s="4"/>
      <c r="F2" s="4"/>
      <c r="G2" s="4"/>
      <c r="H2" s="4"/>
      <c r="I2" s="5"/>
    </row>
    <row r="3" spans="2:9" ht="40.5" customHeight="1">
      <c r="B3" s="6"/>
      <c r="I3" s="7"/>
    </row>
    <row r="4" spans="2:9" ht="169.5" customHeight="1">
      <c r="B4" s="330" t="s">
        <v>293</v>
      </c>
      <c r="C4" s="331"/>
      <c r="D4" s="331"/>
      <c r="E4" s="331"/>
      <c r="F4" s="331"/>
      <c r="G4" s="331"/>
      <c r="H4" s="331"/>
      <c r="I4" s="332"/>
    </row>
    <row r="5" spans="2:9" ht="33.65" customHeight="1">
      <c r="B5" s="204" t="s">
        <v>0</v>
      </c>
      <c r="C5" s="202"/>
      <c r="D5" s="8"/>
      <c r="E5" s="8"/>
      <c r="F5" s="8"/>
      <c r="G5" s="8"/>
      <c r="H5" s="8"/>
      <c r="I5" s="10"/>
    </row>
    <row r="6" spans="2:9" ht="33.65" customHeight="1">
      <c r="B6" s="11" t="s">
        <v>152</v>
      </c>
      <c r="C6" s="203"/>
      <c r="D6" s="335" t="s">
        <v>118</v>
      </c>
      <c r="E6" s="335"/>
      <c r="F6" s="335"/>
      <c r="G6" s="8"/>
      <c r="H6" s="8"/>
      <c r="I6" s="10"/>
    </row>
    <row r="7" spans="2:9" ht="39.75" customHeight="1">
      <c r="B7" s="11" t="s">
        <v>153</v>
      </c>
      <c r="C7" s="203"/>
      <c r="D7" s="333" t="s">
        <v>291</v>
      </c>
      <c r="E7" s="333"/>
      <c r="F7" s="333"/>
      <c r="G7" s="333"/>
      <c r="H7" s="333"/>
      <c r="I7" s="334"/>
    </row>
    <row r="8" spans="2:9" ht="39.75" customHeight="1">
      <c r="B8" s="11" t="s">
        <v>154</v>
      </c>
      <c r="C8" s="203"/>
      <c r="D8" s="333" t="s">
        <v>292</v>
      </c>
      <c r="E8" s="333"/>
      <c r="F8" s="333"/>
      <c r="G8" s="333"/>
      <c r="H8" s="333"/>
      <c r="I8" s="334"/>
    </row>
    <row r="9" spans="2:9" ht="39.75" customHeight="1">
      <c r="B9" s="11" t="s">
        <v>155</v>
      </c>
      <c r="C9" s="203"/>
      <c r="D9" s="333" t="s">
        <v>105</v>
      </c>
      <c r="E9" s="333"/>
      <c r="F9" s="333"/>
      <c r="G9" s="333"/>
      <c r="H9" s="333"/>
      <c r="I9" s="334"/>
    </row>
    <row r="10" spans="2:9" ht="39.75" customHeight="1">
      <c r="B10" s="11"/>
      <c r="C10" s="203"/>
      <c r="D10" s="333"/>
      <c r="E10" s="333"/>
      <c r="F10" s="333"/>
      <c r="G10" s="333"/>
      <c r="H10" s="333"/>
      <c r="I10" s="334"/>
    </row>
    <row r="11" spans="2:9" ht="18" customHeight="1">
      <c r="B11" s="336" t="s">
        <v>188</v>
      </c>
      <c r="C11" s="333"/>
      <c r="D11" s="333"/>
      <c r="E11" s="333"/>
      <c r="F11" s="333"/>
      <c r="G11" s="333"/>
      <c r="H11" s="187"/>
      <c r="I11" s="188"/>
    </row>
    <row r="12" spans="2:9" ht="39.75" customHeight="1">
      <c r="B12" s="11"/>
      <c r="C12" s="203"/>
      <c r="D12" s="333"/>
      <c r="E12" s="333"/>
      <c r="F12" s="333"/>
      <c r="G12" s="333"/>
      <c r="H12" s="333"/>
      <c r="I12" s="334"/>
    </row>
    <row r="13" spans="2:9" ht="39.75" customHeight="1">
      <c r="B13" s="6"/>
      <c r="D13" s="328"/>
      <c r="E13" s="328"/>
      <c r="F13" s="328"/>
      <c r="G13" s="328"/>
      <c r="H13" s="328"/>
      <c r="I13" s="329"/>
    </row>
    <row r="14" spans="2:9" ht="14.5" customHeight="1"/>
    <row r="15" spans="2:9" ht="16.5" customHeight="1"/>
    <row r="16" spans="2:9"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sheetData>
  <sheetProtection algorithmName="SHA-512" hashValue="LijVoUFrKUh/Z4yUlP/roN42Uq3EVVqxof50W+r+MHiltfzOPPnBMF5usXwdWY1dRzoCn0oZcowsM4GVE2M+oQ==" saltValue="qVlkwQjV/xw8ia10gBXC0A==" spinCount="100000" sheet="1" objects="1" scenarios="1"/>
  <mergeCells count="9">
    <mergeCell ref="D13:I13"/>
    <mergeCell ref="B4:I4"/>
    <mergeCell ref="D7:I7"/>
    <mergeCell ref="D8:I8"/>
    <mergeCell ref="D9:I9"/>
    <mergeCell ref="D10:I10"/>
    <mergeCell ref="D12:I12"/>
    <mergeCell ref="D6:F6"/>
    <mergeCell ref="B11:G11"/>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E975-1E8A-4379-BB23-0B00053776BA}">
  <dimension ref="A1:G55"/>
  <sheetViews>
    <sheetView showGridLines="0" tabSelected="1" view="pageBreakPreview" zoomScaleNormal="100" zoomScaleSheetLayoutView="100" workbookViewId="0">
      <selection activeCell="M5" sqref="M5"/>
    </sheetView>
  </sheetViews>
  <sheetFormatPr defaultColWidth="9.1796875" defaultRowHeight="11.5"/>
  <cols>
    <col min="1" max="1" width="15.7265625" style="147" customWidth="1"/>
    <col min="2" max="2" width="47.1796875" style="147" customWidth="1"/>
    <col min="3" max="4" width="20.7265625" style="150" customWidth="1"/>
    <col min="5" max="5" width="30.7265625" style="150" customWidth="1"/>
    <col min="6" max="6" width="38.453125" style="150" customWidth="1"/>
    <col min="7" max="7" width="30.7265625" style="150" customWidth="1"/>
    <col min="8" max="16384" width="9.1796875" style="147"/>
  </cols>
  <sheetData>
    <row r="1" spans="1:7" ht="58.5" customHeight="1">
      <c r="A1" s="402" t="s">
        <v>302</v>
      </c>
      <c r="B1" s="402"/>
      <c r="C1" s="402"/>
      <c r="D1" s="402"/>
      <c r="E1" s="273" t="s">
        <v>156</v>
      </c>
      <c r="F1" s="381" t="s">
        <v>157</v>
      </c>
      <c r="G1" s="381"/>
    </row>
    <row r="2" spans="1:7" s="13" customFormat="1" ht="24.75" customHeight="1">
      <c r="A2" s="411" t="s">
        <v>224</v>
      </c>
      <c r="B2" s="411"/>
      <c r="C2" s="411"/>
      <c r="D2" s="411"/>
      <c r="E2" s="411"/>
      <c r="F2" s="411"/>
      <c r="G2" s="411"/>
    </row>
    <row r="3" spans="1:7" s="12" customFormat="1" ht="29.25" customHeight="1">
      <c r="A3" s="153" t="s">
        <v>45</v>
      </c>
      <c r="B3" s="154" t="s">
        <v>2</v>
      </c>
      <c r="C3" s="153" t="s">
        <v>3</v>
      </c>
      <c r="D3" s="153"/>
      <c r="E3" s="153" t="s">
        <v>195</v>
      </c>
      <c r="F3" s="153" t="s">
        <v>141</v>
      </c>
      <c r="G3" s="153" t="s">
        <v>140</v>
      </c>
    </row>
    <row r="4" spans="1:7" s="12" customFormat="1" ht="15" customHeight="1">
      <c r="A4" s="29" t="s">
        <v>5</v>
      </c>
      <c r="B4" s="42" t="s">
        <v>132</v>
      </c>
      <c r="C4" s="29" t="s">
        <v>6</v>
      </c>
      <c r="D4" s="42"/>
      <c r="E4" s="317">
        <f>'3. Prijsinvulformulier 2027'!E4</f>
        <v>0</v>
      </c>
      <c r="F4" s="160">
        <v>15424</v>
      </c>
      <c r="G4" s="131">
        <f>F4*E4</f>
        <v>0</v>
      </c>
    </row>
    <row r="5" spans="1:7" s="12" customFormat="1" ht="15" customHeight="1">
      <c r="A5" s="29" t="s">
        <v>7</v>
      </c>
      <c r="B5" s="42" t="s">
        <v>133</v>
      </c>
      <c r="C5" s="29" t="s">
        <v>6</v>
      </c>
      <c r="D5" s="42"/>
      <c r="E5" s="317">
        <f>'3. Prijsinvulformulier 2027'!E5</f>
        <v>0</v>
      </c>
      <c r="F5" s="160">
        <v>15424</v>
      </c>
      <c r="G5" s="131">
        <f>F5*E5</f>
        <v>0</v>
      </c>
    </row>
    <row r="6" spans="1:7" s="12" customFormat="1" ht="15" customHeight="1">
      <c r="A6" s="121"/>
      <c r="B6" s="122"/>
      <c r="C6" s="123"/>
      <c r="D6" s="122"/>
      <c r="E6" s="122"/>
      <c r="F6" s="124"/>
      <c r="G6" s="125"/>
    </row>
    <row r="7" spans="1:7" s="13" customFormat="1" ht="15" customHeight="1">
      <c r="A7" s="422" t="s">
        <v>225</v>
      </c>
      <c r="B7" s="423"/>
      <c r="C7" s="423"/>
      <c r="D7" s="423"/>
      <c r="E7" s="423"/>
      <c r="F7" s="423"/>
      <c r="G7" s="424"/>
    </row>
    <row r="8" spans="1:7" s="12" customFormat="1" ht="32.25" customHeight="1">
      <c r="A8" s="153" t="s">
        <v>45</v>
      </c>
      <c r="B8" s="154" t="s">
        <v>2</v>
      </c>
      <c r="C8" s="153" t="s">
        <v>3</v>
      </c>
      <c r="D8" s="153"/>
      <c r="E8" s="153" t="s">
        <v>226</v>
      </c>
      <c r="F8" s="153" t="s">
        <v>141</v>
      </c>
      <c r="G8" s="153" t="s">
        <v>139</v>
      </c>
    </row>
    <row r="9" spans="1:7" s="12" customFormat="1" ht="15" customHeight="1">
      <c r="A9" s="29" t="s">
        <v>8</v>
      </c>
      <c r="B9" s="42" t="s">
        <v>132</v>
      </c>
      <c r="C9" s="29" t="s">
        <v>6</v>
      </c>
      <c r="D9" s="42"/>
      <c r="E9" s="317">
        <f>'3. Prijsinvulformulier 2027'!E9</f>
        <v>0</v>
      </c>
      <c r="F9" s="160">
        <v>10524</v>
      </c>
      <c r="G9" s="131">
        <f>F9*E9</f>
        <v>0</v>
      </c>
    </row>
    <row r="10" spans="1:7" s="12" customFormat="1" ht="15" customHeight="1">
      <c r="A10" s="29" t="s">
        <v>43</v>
      </c>
      <c r="B10" s="42" t="s">
        <v>133</v>
      </c>
      <c r="C10" s="29" t="s">
        <v>6</v>
      </c>
      <c r="D10" s="42"/>
      <c r="E10" s="96"/>
      <c r="F10" s="160">
        <v>10524</v>
      </c>
      <c r="G10" s="131">
        <f>F10*E10</f>
        <v>0</v>
      </c>
    </row>
    <row r="11" spans="1:7" s="12" customFormat="1" ht="15" customHeight="1">
      <c r="A11" s="246"/>
      <c r="C11" s="303"/>
      <c r="D11" s="303"/>
      <c r="E11" s="303"/>
      <c r="F11" s="303"/>
      <c r="G11" s="304"/>
    </row>
    <row r="12" spans="1:7" s="12" customFormat="1" ht="15" hidden="1" customHeight="1">
      <c r="A12" s="97" t="s">
        <v>1</v>
      </c>
      <c r="B12" s="247" t="s">
        <v>2</v>
      </c>
      <c r="C12" s="248" t="s">
        <v>3</v>
      </c>
      <c r="D12" s="414" t="s">
        <v>137</v>
      </c>
      <c r="E12" s="414"/>
      <c r="F12" s="248" t="s">
        <v>136</v>
      </c>
      <c r="G12" s="95" t="s">
        <v>4</v>
      </c>
    </row>
    <row r="13" spans="1:7" s="18" customFormat="1" ht="15" customHeight="1">
      <c r="A13" s="404" t="s">
        <v>116</v>
      </c>
      <c r="B13" s="404"/>
      <c r="C13" s="404"/>
      <c r="D13" s="404"/>
      <c r="E13" s="404"/>
      <c r="F13" s="404"/>
      <c r="G13" s="404"/>
    </row>
    <row r="14" spans="1:7" s="18" customFormat="1" ht="30" customHeight="1">
      <c r="A14" s="153" t="s">
        <v>45</v>
      </c>
      <c r="B14" s="249" t="s">
        <v>2</v>
      </c>
      <c r="C14" s="153" t="s">
        <v>3</v>
      </c>
      <c r="D14" s="415" t="s">
        <v>182</v>
      </c>
      <c r="E14" s="416"/>
      <c r="F14" s="153" t="s">
        <v>141</v>
      </c>
      <c r="G14" s="153" t="s">
        <v>139</v>
      </c>
    </row>
    <row r="15" spans="1:7" s="12" customFormat="1" ht="26.25" customHeight="1">
      <c r="A15" s="29" t="s">
        <v>9</v>
      </c>
      <c r="B15" s="43" t="s">
        <v>148</v>
      </c>
      <c r="C15" s="412" t="s">
        <v>6</v>
      </c>
      <c r="D15" s="321"/>
      <c r="E15" s="321">
        <f>'3. Prijsinvulformulier 2027'!E15</f>
        <v>0</v>
      </c>
      <c r="F15" s="161">
        <v>15424</v>
      </c>
      <c r="G15" s="132">
        <f>(E15+E16+E17)*F15</f>
        <v>966776.31999999995</v>
      </c>
    </row>
    <row r="16" spans="1:7" s="18" customFormat="1" ht="27.75" customHeight="1">
      <c r="A16" s="29" t="s">
        <v>227</v>
      </c>
      <c r="B16" s="98" t="s">
        <v>183</v>
      </c>
      <c r="C16" s="413"/>
      <c r="D16" s="320">
        <f>1-((SUM('2.Kwal gunningscriteria 2028'!D34:'2.Kwal gunningscriteria 2028'!D48)/1000))</f>
        <v>1</v>
      </c>
      <c r="E16" s="45">
        <f>D16*E26</f>
        <v>62.68</v>
      </c>
      <c r="F16" s="46"/>
      <c r="G16" s="44"/>
    </row>
    <row r="17" spans="1:7" s="149" customFormat="1" ht="37.5">
      <c r="A17" s="29" t="s">
        <v>228</v>
      </c>
      <c r="B17" s="98" t="s">
        <v>229</v>
      </c>
      <c r="C17" s="148"/>
      <c r="D17" s="133"/>
      <c r="E17" s="134">
        <f>D17*E30</f>
        <v>0</v>
      </c>
      <c r="F17" s="135"/>
      <c r="G17" s="136"/>
    </row>
    <row r="18" spans="1:7" s="149" customFormat="1" ht="19.5" customHeight="1">
      <c r="A18" s="425" t="s">
        <v>230</v>
      </c>
      <c r="B18" s="426"/>
      <c r="C18" s="426"/>
      <c r="D18" s="426"/>
      <c r="E18" s="426"/>
      <c r="F18" s="426"/>
      <c r="G18" s="427"/>
    </row>
    <row r="19" spans="1:7" s="18" customFormat="1" ht="30" customHeight="1">
      <c r="A19" s="153" t="s">
        <v>45</v>
      </c>
      <c r="B19" s="249" t="s">
        <v>2</v>
      </c>
      <c r="C19" s="153" t="s">
        <v>3</v>
      </c>
      <c r="D19" s="415" t="s">
        <v>182</v>
      </c>
      <c r="E19" s="416"/>
      <c r="F19" s="153" t="s">
        <v>141</v>
      </c>
      <c r="G19" s="153" t="s">
        <v>139</v>
      </c>
    </row>
    <row r="20" spans="1:7" s="18" customFormat="1" ht="31.5" customHeight="1">
      <c r="A20" s="29" t="s">
        <v>161</v>
      </c>
      <c r="B20" s="47" t="s">
        <v>231</v>
      </c>
      <c r="C20" s="428" t="s">
        <v>6</v>
      </c>
      <c r="D20" s="324"/>
      <c r="E20" s="322">
        <f>'3. Prijsinvulformulier 2027'!E20</f>
        <v>0</v>
      </c>
      <c r="F20" s="160">
        <v>10524</v>
      </c>
      <c r="G20" s="132">
        <f>(E20+E21+E22)*F20</f>
        <v>659644.31999999995</v>
      </c>
    </row>
    <row r="21" spans="1:7" s="18" customFormat="1" ht="26.25" customHeight="1">
      <c r="A21" s="29" t="s">
        <v>134</v>
      </c>
      <c r="B21" s="98" t="s">
        <v>232</v>
      </c>
      <c r="C21" s="428"/>
      <c r="D21" s="320">
        <f>1-((SUM('2.Kwal gunningscriteria 2028'!D73:'2.Kwal gunningscriteria 2028'!D87)/1000))</f>
        <v>1</v>
      </c>
      <c r="E21" s="45">
        <f>D21*E26</f>
        <v>62.68</v>
      </c>
      <c r="F21" s="46"/>
      <c r="G21" s="305"/>
    </row>
    <row r="22" spans="1:7" s="149" customFormat="1" ht="37.5">
      <c r="A22" s="29" t="s">
        <v>135</v>
      </c>
      <c r="B22" s="98" t="s">
        <v>233</v>
      </c>
      <c r="C22" s="148"/>
      <c r="D22" s="133"/>
      <c r="E22" s="134">
        <f>D22*E30</f>
        <v>0</v>
      </c>
      <c r="F22" s="135"/>
      <c r="G22" s="136"/>
    </row>
    <row r="23" spans="1:7" s="12" customFormat="1" ht="12.5">
      <c r="A23" s="246"/>
      <c r="B23" s="250"/>
      <c r="C23" s="251"/>
      <c r="D23" s="252"/>
      <c r="E23" s="252"/>
      <c r="F23" s="252"/>
      <c r="G23" s="253"/>
    </row>
    <row r="24" spans="1:7" s="48" customFormat="1" ht="15" customHeight="1">
      <c r="A24" s="417" t="s">
        <v>193</v>
      </c>
      <c r="B24" s="418"/>
      <c r="C24" s="418"/>
      <c r="D24" s="418"/>
      <c r="E24" s="418"/>
      <c r="F24" s="418"/>
      <c r="G24" s="419"/>
    </row>
    <row r="25" spans="1:7" s="48" customFormat="1" ht="16.5" customHeight="1">
      <c r="A25" s="153" t="s">
        <v>45</v>
      </c>
      <c r="B25" s="249" t="s">
        <v>2</v>
      </c>
      <c r="C25" s="405" t="s">
        <v>3</v>
      </c>
      <c r="D25" s="405"/>
      <c r="E25" s="155" t="s">
        <v>46</v>
      </c>
      <c r="F25" s="156" t="s">
        <v>162</v>
      </c>
      <c r="G25" s="254"/>
    </row>
    <row r="26" spans="1:7" s="48" customFormat="1" ht="18.75" customHeight="1">
      <c r="A26" s="49" t="s">
        <v>205</v>
      </c>
      <c r="B26" s="47" t="s">
        <v>187</v>
      </c>
      <c r="C26" s="406" t="s">
        <v>194</v>
      </c>
      <c r="D26" s="406"/>
      <c r="E26" s="210">
        <v>62.68</v>
      </c>
      <c r="F26" s="127">
        <v>2028</v>
      </c>
      <c r="G26" s="43"/>
    </row>
    <row r="27" spans="1:7" s="48" customFormat="1" ht="18.75" customHeight="1">
      <c r="A27" s="117"/>
      <c r="B27" s="118"/>
      <c r="C27" s="119"/>
      <c r="D27" s="119"/>
      <c r="E27" s="120"/>
      <c r="F27" s="102"/>
      <c r="G27" s="255"/>
    </row>
    <row r="28" spans="1:7" s="48" customFormat="1" ht="15" customHeight="1">
      <c r="A28" s="404" t="s">
        <v>151</v>
      </c>
      <c r="B28" s="404"/>
      <c r="C28" s="404"/>
      <c r="D28" s="404"/>
      <c r="E28" s="404"/>
      <c r="F28" s="404"/>
      <c r="G28" s="404"/>
    </row>
    <row r="29" spans="1:7" s="48" customFormat="1" ht="23.25" customHeight="1">
      <c r="A29" s="153" t="s">
        <v>45</v>
      </c>
      <c r="B29" s="157" t="s">
        <v>2</v>
      </c>
      <c r="C29" s="405" t="s">
        <v>3</v>
      </c>
      <c r="D29" s="405"/>
      <c r="E29" s="155" t="s">
        <v>46</v>
      </c>
      <c r="F29" s="158" t="s">
        <v>162</v>
      </c>
      <c r="G29" s="158"/>
    </row>
    <row r="30" spans="1:7" s="48" customFormat="1" ht="12.5">
      <c r="A30" s="49" t="s">
        <v>243</v>
      </c>
      <c r="B30" s="47" t="s">
        <v>185</v>
      </c>
      <c r="C30" s="406" t="s">
        <v>194</v>
      </c>
      <c r="D30" s="406"/>
      <c r="E30" s="186">
        <v>21.24</v>
      </c>
      <c r="F30" s="130">
        <v>2028</v>
      </c>
      <c r="G30" s="43"/>
    </row>
    <row r="31" spans="1:7" s="48" customFormat="1" ht="18.75" customHeight="1" thickBot="1">
      <c r="A31" s="256"/>
      <c r="B31" s="257"/>
      <c r="C31" s="258"/>
      <c r="D31" s="258"/>
      <c r="E31" s="259"/>
      <c r="F31" s="260"/>
      <c r="G31" s="261"/>
    </row>
    <row r="32" spans="1:7" ht="42.75" customHeight="1" thickBot="1">
      <c r="A32" s="262"/>
      <c r="B32" s="263"/>
      <c r="C32" s="264"/>
      <c r="D32" s="265"/>
      <c r="E32" s="265"/>
      <c r="F32" s="205" t="s">
        <v>246</v>
      </c>
      <c r="G32" s="266">
        <f>G4+G5+G9+G10+G15+G20</f>
        <v>1626420.64</v>
      </c>
    </row>
    <row r="33" spans="1:7">
      <c r="A33" s="262"/>
      <c r="B33" s="263"/>
      <c r="C33" s="264"/>
      <c r="D33" s="265"/>
      <c r="E33" s="265"/>
      <c r="F33" s="267"/>
      <c r="G33" s="268"/>
    </row>
    <row r="34" spans="1:7" s="93" customFormat="1" ht="15" customHeight="1">
      <c r="A34" s="404" t="s">
        <v>234</v>
      </c>
      <c r="B34" s="404"/>
      <c r="C34" s="404"/>
      <c r="D34" s="404"/>
      <c r="E34" s="404"/>
      <c r="F34" s="404"/>
      <c r="G34" s="404"/>
    </row>
    <row r="35" spans="1:7" s="93" customFormat="1" ht="15" customHeight="1">
      <c r="A35" s="153" t="s">
        <v>1</v>
      </c>
      <c r="B35" s="154" t="s">
        <v>10</v>
      </c>
      <c r="C35" s="153" t="s">
        <v>15</v>
      </c>
      <c r="D35" s="153" t="s">
        <v>11</v>
      </c>
      <c r="E35" s="153" t="s">
        <v>12</v>
      </c>
      <c r="F35" s="153" t="s">
        <v>13</v>
      </c>
      <c r="G35" s="153" t="s">
        <v>14</v>
      </c>
    </row>
    <row r="36" spans="1:7" s="93" customFormat="1" ht="15" customHeight="1">
      <c r="A36" s="94" t="s">
        <v>235</v>
      </c>
      <c r="B36" s="99"/>
      <c r="C36" s="100"/>
      <c r="D36" s="101"/>
      <c r="E36" s="101"/>
      <c r="F36" s="101"/>
      <c r="G36" s="101"/>
    </row>
    <row r="37" spans="1:7" s="93" customFormat="1" ht="15" customHeight="1">
      <c r="A37" s="94" t="s">
        <v>236</v>
      </c>
      <c r="B37" s="99"/>
      <c r="C37" s="100"/>
      <c r="D37" s="101"/>
      <c r="E37" s="101"/>
      <c r="F37" s="101"/>
      <c r="G37" s="101"/>
    </row>
    <row r="38" spans="1:7" s="93" customFormat="1" ht="15" customHeight="1">
      <c r="A38" s="269"/>
      <c r="B38" s="114"/>
      <c r="C38" s="115"/>
      <c r="D38" s="116"/>
      <c r="E38" s="116"/>
      <c r="F38" s="116"/>
      <c r="G38" s="270"/>
    </row>
    <row r="39" spans="1:7" s="93" customFormat="1" ht="14.25" customHeight="1">
      <c r="A39" s="404" t="s">
        <v>237</v>
      </c>
      <c r="B39" s="404"/>
      <c r="C39" s="404"/>
      <c r="D39" s="404"/>
      <c r="E39" s="404"/>
      <c r="F39" s="404"/>
      <c r="G39" s="404"/>
    </row>
    <row r="40" spans="1:7" s="93" customFormat="1" ht="14.25" customHeight="1">
      <c r="A40" s="153" t="s">
        <v>1</v>
      </c>
      <c r="B40" s="154" t="s">
        <v>10</v>
      </c>
      <c r="C40" s="153" t="s">
        <v>15</v>
      </c>
      <c r="D40" s="153" t="s">
        <v>11</v>
      </c>
      <c r="E40" s="153" t="s">
        <v>12</v>
      </c>
      <c r="F40" s="153" t="s">
        <v>13</v>
      </c>
      <c r="G40" s="153" t="s">
        <v>14</v>
      </c>
    </row>
    <row r="41" spans="1:7" s="93" customFormat="1" ht="14.25" customHeight="1">
      <c r="A41" s="94" t="s">
        <v>238</v>
      </c>
      <c r="B41" s="99"/>
      <c r="C41" s="100"/>
      <c r="D41" s="101"/>
      <c r="E41" s="101"/>
      <c r="F41" s="101"/>
      <c r="G41" s="101"/>
    </row>
    <row r="42" spans="1:7" s="93" customFormat="1" ht="14.25" customHeight="1">
      <c r="A42" s="94" t="s">
        <v>239</v>
      </c>
      <c r="B42" s="99"/>
      <c r="C42" s="100"/>
      <c r="D42" s="101"/>
      <c r="E42" s="101"/>
      <c r="F42" s="101"/>
      <c r="G42" s="101"/>
    </row>
    <row r="43" spans="1:7">
      <c r="A43" s="318"/>
      <c r="B43" s="319"/>
      <c r="C43" s="319"/>
      <c r="D43" s="319"/>
      <c r="E43" s="319"/>
      <c r="F43" s="319"/>
      <c r="G43" s="319"/>
    </row>
    <row r="44" spans="1:7" ht="14">
      <c r="A44" s="421" t="s">
        <v>16</v>
      </c>
      <c r="B44" s="421"/>
      <c r="C44" s="421"/>
      <c r="D44" s="421"/>
      <c r="E44" s="421"/>
      <c r="F44" s="421"/>
      <c r="G44" s="421"/>
    </row>
    <row r="45" spans="1:7" ht="12.5">
      <c r="A45" s="153" t="s">
        <v>1</v>
      </c>
      <c r="B45" s="409" t="s">
        <v>17</v>
      </c>
      <c r="C45" s="409"/>
      <c r="D45" s="409"/>
      <c r="E45" s="409"/>
      <c r="F45" s="409"/>
      <c r="G45" s="409"/>
    </row>
    <row r="46" spans="1:7" ht="15" customHeight="1">
      <c r="A46" s="111" t="s">
        <v>18</v>
      </c>
      <c r="B46" s="429" t="s">
        <v>115</v>
      </c>
      <c r="C46" s="430"/>
      <c r="D46" s="430"/>
      <c r="E46" s="430"/>
      <c r="F46" s="430"/>
      <c r="G46" s="431"/>
    </row>
    <row r="47" spans="1:7" ht="15" customHeight="1">
      <c r="A47" s="112" t="s">
        <v>143</v>
      </c>
      <c r="B47" s="403" t="s">
        <v>19</v>
      </c>
      <c r="C47" s="403"/>
      <c r="D47" s="403"/>
      <c r="E47" s="403"/>
      <c r="F47" s="403"/>
      <c r="G47" s="403"/>
    </row>
    <row r="48" spans="1:7" ht="30" customHeight="1">
      <c r="A48" s="112" t="s">
        <v>142</v>
      </c>
      <c r="B48" s="410" t="s">
        <v>20</v>
      </c>
      <c r="C48" s="410"/>
      <c r="D48" s="410"/>
      <c r="E48" s="410"/>
      <c r="F48" s="410"/>
      <c r="G48" s="410"/>
    </row>
    <row r="49" spans="1:7" ht="30" customHeight="1">
      <c r="A49" s="113" t="s">
        <v>144</v>
      </c>
      <c r="B49" s="408" t="s">
        <v>184</v>
      </c>
      <c r="C49" s="408"/>
      <c r="D49" s="408"/>
      <c r="E49" s="408"/>
      <c r="F49" s="408"/>
      <c r="G49" s="408"/>
    </row>
    <row r="50" spans="1:7" ht="27" customHeight="1">
      <c r="A50" s="112" t="s">
        <v>145</v>
      </c>
      <c r="B50" s="407" t="s">
        <v>164</v>
      </c>
      <c r="C50" s="407"/>
      <c r="D50" s="407"/>
      <c r="E50" s="407"/>
      <c r="F50" s="407"/>
      <c r="G50" s="407"/>
    </row>
    <row r="51" spans="1:7" ht="15" customHeight="1">
      <c r="A51" s="113" t="s">
        <v>186</v>
      </c>
      <c r="B51" s="408" t="s">
        <v>240</v>
      </c>
      <c r="C51" s="408"/>
      <c r="D51" s="408"/>
      <c r="E51" s="408"/>
      <c r="F51" s="408"/>
      <c r="G51" s="408"/>
    </row>
    <row r="52" spans="1:7" ht="29.25" customHeight="1">
      <c r="A52" s="112" t="s">
        <v>146</v>
      </c>
      <c r="B52" s="410" t="s">
        <v>165</v>
      </c>
      <c r="C52" s="410"/>
      <c r="D52" s="410"/>
      <c r="E52" s="410"/>
      <c r="F52" s="410"/>
      <c r="G52" s="410"/>
    </row>
    <row r="53" spans="1:7" ht="17.25" customHeight="1">
      <c r="A53" s="112" t="s">
        <v>150</v>
      </c>
      <c r="B53" s="403" t="s">
        <v>21</v>
      </c>
      <c r="C53" s="403"/>
      <c r="D53" s="403"/>
      <c r="E53" s="403"/>
      <c r="F53" s="403"/>
      <c r="G53" s="403"/>
    </row>
    <row r="54" spans="1:7" ht="17.25" customHeight="1">
      <c r="A54" s="112" t="s">
        <v>158</v>
      </c>
      <c r="B54" s="420" t="s">
        <v>189</v>
      </c>
      <c r="C54" s="420"/>
      <c r="D54" s="420"/>
      <c r="E54" s="420"/>
      <c r="F54" s="420"/>
      <c r="G54" s="420"/>
    </row>
    <row r="55" spans="1:7" ht="17.25" customHeight="1">
      <c r="A55" s="112" t="s">
        <v>241</v>
      </c>
      <c r="B55" s="403" t="s">
        <v>190</v>
      </c>
      <c r="C55" s="403"/>
      <c r="D55" s="403"/>
      <c r="E55" s="403"/>
      <c r="F55" s="403"/>
      <c r="G55" s="403"/>
    </row>
  </sheetData>
  <sheetProtection algorithmName="SHA-512" hashValue="AvNvg1VcUadxQ4u4KTXYLGUl2PrD1op3QEP0nHOvmdDwEPNF0qrOWLD7pIWdtIs6RIPGq2u8dREhNAFvCRa62w==" saltValue="Hb+icCalKAEItOEDn8NSSg==" spinCount="100000" sheet="1" objects="1" scenarios="1"/>
  <mergeCells count="31">
    <mergeCell ref="B55:G55"/>
    <mergeCell ref="B49:G49"/>
    <mergeCell ref="B50:G50"/>
    <mergeCell ref="B51:G51"/>
    <mergeCell ref="B52:G52"/>
    <mergeCell ref="B53:G53"/>
    <mergeCell ref="B54:G54"/>
    <mergeCell ref="B48:G48"/>
    <mergeCell ref="A24:G24"/>
    <mergeCell ref="C25:D25"/>
    <mergeCell ref="C26:D26"/>
    <mergeCell ref="A28:G28"/>
    <mergeCell ref="C29:D29"/>
    <mergeCell ref="C30:D30"/>
    <mergeCell ref="A34:G34"/>
    <mergeCell ref="A39:G39"/>
    <mergeCell ref="A44:G44"/>
    <mergeCell ref="B45:G45"/>
    <mergeCell ref="B47:G47"/>
    <mergeCell ref="B46:G46"/>
    <mergeCell ref="C20:C21"/>
    <mergeCell ref="A1:D1"/>
    <mergeCell ref="F1:G1"/>
    <mergeCell ref="A2:G2"/>
    <mergeCell ref="A7:G7"/>
    <mergeCell ref="D12:E12"/>
    <mergeCell ref="A13:G13"/>
    <mergeCell ref="D14:E14"/>
    <mergeCell ref="C15:C16"/>
    <mergeCell ref="A18:G18"/>
    <mergeCell ref="D19:E19"/>
  </mergeCells>
  <dataValidations count="3">
    <dataValidation operator="lessThanOrEqual" allowBlank="1" showInputMessage="1" showErrorMessage="1" sqref="B8:G8 F12:G12 B12:D12 D23:G23 G25 B3:G3 B40:G43 C15 F20:G22 B35:G38 B14:B16 E29:G29 B45:B55 B20:C23 E15 F15:G17 B17:C17 E31 B19 D21 E25:F27 B25:C27 F30:F31 B29:C31 B32:G33 D15:D16 D17" xr:uid="{48F8C54C-5995-46A4-911E-6A2801EF7D15}"/>
    <dataValidation type="decimal" operator="lessThanOrEqual" allowBlank="1" showInputMessage="1" showErrorMessage="1" error="Deze invoer voldoet niet aan voorwaarde E" sqref="D20" xr:uid="{87D7FE01-BB7C-4623-B201-F55A356CA2C2}">
      <formula1>E15</formula1>
    </dataValidation>
    <dataValidation type="decimal" operator="lessThanOrEqual" allowBlank="1" showInputMessage="1" showErrorMessage="1" error="Deze invoer voldoet niet aan voorwaarde E" sqref="E20" xr:uid="{F97D9795-0C4E-4785-8AD1-148A1A20CB06}">
      <formula1>E15</formula1>
    </dataValidation>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1">
        <x14:dataValidation type="custom" operator="lessThanOrEqual" allowBlank="1" showInputMessage="1" showErrorMessage="1" xr:uid="{D0694827-0DAA-4F04-BB71-8FBBC06545E8}">
          <x14:formula1>
            <xm:f>D22&lt;=1-(('2.Kwal gunningscriteria 2028'!D73+'2.Kwal gunningscriteria 2028'!D74)/1000)</xm:f>
          </x14:formula1>
          <xm:sqref>D22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E69AE-F14B-4F0D-A316-1AEE54BA539F}">
  <dimension ref="A1:G55"/>
  <sheetViews>
    <sheetView showGridLines="0" view="pageBreakPreview" zoomScaleNormal="100" zoomScaleSheetLayoutView="100" workbookViewId="0">
      <selection activeCell="E10" sqref="E10"/>
    </sheetView>
  </sheetViews>
  <sheetFormatPr defaultColWidth="9.1796875" defaultRowHeight="11.5"/>
  <cols>
    <col min="1" max="1" width="15.7265625" style="147" customWidth="1"/>
    <col min="2" max="2" width="47.1796875" style="147" customWidth="1"/>
    <col min="3" max="4" width="20.7265625" style="150" customWidth="1"/>
    <col min="5" max="5" width="30.7265625" style="150" customWidth="1"/>
    <col min="6" max="6" width="38.453125" style="150" customWidth="1"/>
    <col min="7" max="7" width="30.7265625" style="150" customWidth="1"/>
    <col min="8" max="16384" width="9.1796875" style="147"/>
  </cols>
  <sheetData>
    <row r="1" spans="1:7" ht="58.5" customHeight="1">
      <c r="A1" s="402" t="s">
        <v>303</v>
      </c>
      <c r="B1" s="402"/>
      <c r="C1" s="402"/>
      <c r="D1" s="402"/>
      <c r="E1" s="273" t="s">
        <v>156</v>
      </c>
      <c r="F1" s="381" t="s">
        <v>157</v>
      </c>
      <c r="G1" s="381"/>
    </row>
    <row r="2" spans="1:7" s="13" customFormat="1" ht="24.75" customHeight="1">
      <c r="A2" s="411" t="s">
        <v>224</v>
      </c>
      <c r="B2" s="411"/>
      <c r="C2" s="411"/>
      <c r="D2" s="411"/>
      <c r="E2" s="411"/>
      <c r="F2" s="411"/>
      <c r="G2" s="411"/>
    </row>
    <row r="3" spans="1:7" s="12" customFormat="1" ht="29.25" customHeight="1">
      <c r="A3" s="153" t="s">
        <v>45</v>
      </c>
      <c r="B3" s="154" t="s">
        <v>2</v>
      </c>
      <c r="C3" s="153" t="s">
        <v>3</v>
      </c>
      <c r="D3" s="153"/>
      <c r="E3" s="153" t="s">
        <v>195</v>
      </c>
      <c r="F3" s="153" t="s">
        <v>141</v>
      </c>
      <c r="G3" s="153" t="s">
        <v>140</v>
      </c>
    </row>
    <row r="4" spans="1:7" s="12" customFormat="1" ht="15" customHeight="1">
      <c r="A4" s="29" t="s">
        <v>5</v>
      </c>
      <c r="B4" s="42" t="s">
        <v>132</v>
      </c>
      <c r="C4" s="29" t="s">
        <v>6</v>
      </c>
      <c r="D4" s="42"/>
      <c r="E4" s="317">
        <f>'3. Prijsinvulformulier 2028'!E4</f>
        <v>0</v>
      </c>
      <c r="F4" s="160">
        <v>15424</v>
      </c>
      <c r="G4" s="131">
        <f>F4*E4</f>
        <v>0</v>
      </c>
    </row>
    <row r="5" spans="1:7" s="12" customFormat="1" ht="15" customHeight="1">
      <c r="A5" s="29" t="s">
        <v>7</v>
      </c>
      <c r="B5" s="42" t="s">
        <v>133</v>
      </c>
      <c r="C5" s="29" t="s">
        <v>6</v>
      </c>
      <c r="D5" s="42"/>
      <c r="E5" s="317">
        <f>'3. Prijsinvulformulier 2028'!E5</f>
        <v>0</v>
      </c>
      <c r="F5" s="160">
        <v>15424</v>
      </c>
      <c r="G5" s="131">
        <f>F5*E5</f>
        <v>0</v>
      </c>
    </row>
    <row r="6" spans="1:7" s="12" customFormat="1" ht="15" customHeight="1">
      <c r="A6" s="121"/>
      <c r="B6" s="122"/>
      <c r="C6" s="123"/>
      <c r="D6" s="122"/>
      <c r="E6" s="122"/>
      <c r="F6" s="124"/>
      <c r="G6" s="125"/>
    </row>
    <row r="7" spans="1:7" s="13" customFormat="1" ht="15" customHeight="1">
      <c r="A7" s="422" t="s">
        <v>225</v>
      </c>
      <c r="B7" s="423"/>
      <c r="C7" s="423"/>
      <c r="D7" s="423"/>
      <c r="E7" s="423"/>
      <c r="F7" s="423"/>
      <c r="G7" s="424"/>
    </row>
    <row r="8" spans="1:7" s="12" customFormat="1" ht="32.25" customHeight="1">
      <c r="A8" s="153" t="s">
        <v>45</v>
      </c>
      <c r="B8" s="154" t="s">
        <v>2</v>
      </c>
      <c r="C8" s="153" t="s">
        <v>3</v>
      </c>
      <c r="D8" s="153"/>
      <c r="E8" s="153" t="s">
        <v>226</v>
      </c>
      <c r="F8" s="153" t="s">
        <v>141</v>
      </c>
      <c r="G8" s="153" t="s">
        <v>139</v>
      </c>
    </row>
    <row r="9" spans="1:7" s="12" customFormat="1" ht="15" customHeight="1">
      <c r="A9" s="29" t="s">
        <v>8</v>
      </c>
      <c r="B9" s="42" t="s">
        <v>132</v>
      </c>
      <c r="C9" s="29" t="s">
        <v>6</v>
      </c>
      <c r="D9" s="42"/>
      <c r="E9" s="317">
        <f>'3. Prijsinvulformulier 2028'!E9</f>
        <v>0</v>
      </c>
      <c r="F9" s="160">
        <v>10524</v>
      </c>
      <c r="G9" s="131">
        <f>F9*E9</f>
        <v>0</v>
      </c>
    </row>
    <row r="10" spans="1:7" s="12" customFormat="1" ht="15" customHeight="1">
      <c r="A10" s="29" t="s">
        <v>43</v>
      </c>
      <c r="B10" s="42" t="s">
        <v>133</v>
      </c>
      <c r="C10" s="29" t="s">
        <v>6</v>
      </c>
      <c r="D10" s="42"/>
      <c r="E10" s="96"/>
      <c r="F10" s="160">
        <v>10524</v>
      </c>
      <c r="G10" s="131">
        <f>F10*E10</f>
        <v>0</v>
      </c>
    </row>
    <row r="11" spans="1:7" s="12" customFormat="1" ht="15" customHeight="1">
      <c r="A11" s="246"/>
      <c r="C11" s="303"/>
      <c r="D11" s="303"/>
      <c r="E11" s="303"/>
      <c r="F11" s="303"/>
      <c r="G11" s="304"/>
    </row>
    <row r="12" spans="1:7" s="12" customFormat="1" ht="15" hidden="1" customHeight="1">
      <c r="A12" s="97" t="s">
        <v>1</v>
      </c>
      <c r="B12" s="247" t="s">
        <v>2</v>
      </c>
      <c r="C12" s="248" t="s">
        <v>3</v>
      </c>
      <c r="D12" s="414" t="s">
        <v>137</v>
      </c>
      <c r="E12" s="414"/>
      <c r="F12" s="248" t="s">
        <v>136</v>
      </c>
      <c r="G12" s="95" t="s">
        <v>4</v>
      </c>
    </row>
    <row r="13" spans="1:7" s="18" customFormat="1" ht="15" customHeight="1">
      <c r="A13" s="404" t="s">
        <v>116</v>
      </c>
      <c r="B13" s="404"/>
      <c r="C13" s="404"/>
      <c r="D13" s="404"/>
      <c r="E13" s="404"/>
      <c r="F13" s="404"/>
      <c r="G13" s="404"/>
    </row>
    <row r="14" spans="1:7" s="18" customFormat="1" ht="30" customHeight="1">
      <c r="A14" s="153" t="s">
        <v>45</v>
      </c>
      <c r="B14" s="249" t="s">
        <v>2</v>
      </c>
      <c r="C14" s="153" t="s">
        <v>3</v>
      </c>
      <c r="D14" s="415" t="s">
        <v>182</v>
      </c>
      <c r="E14" s="416"/>
      <c r="F14" s="153" t="s">
        <v>141</v>
      </c>
      <c r="G14" s="153" t="s">
        <v>139</v>
      </c>
    </row>
    <row r="15" spans="1:7" s="12" customFormat="1" ht="26.25" customHeight="1">
      <c r="A15" s="29" t="s">
        <v>9</v>
      </c>
      <c r="B15" s="43" t="s">
        <v>148</v>
      </c>
      <c r="C15" s="412" t="s">
        <v>6</v>
      </c>
      <c r="D15" s="324"/>
      <c r="E15" s="322">
        <f>'3. Prijsinvulformulier 2028'!E15</f>
        <v>0</v>
      </c>
      <c r="F15" s="161">
        <v>15424</v>
      </c>
      <c r="G15" s="132">
        <f>(E15+E16+E17)*F15</f>
        <v>1084924.1600000001</v>
      </c>
    </row>
    <row r="16" spans="1:7" s="18" customFormat="1" ht="27.75" customHeight="1">
      <c r="A16" s="29" t="s">
        <v>227</v>
      </c>
      <c r="B16" s="98" t="s">
        <v>183</v>
      </c>
      <c r="C16" s="413"/>
      <c r="D16" s="320">
        <f>1-((SUM('2.Kwal gunningscriteria 2029'!D34:'2.Kwal gunningscriteria 2029'!D48)/1000))</f>
        <v>1</v>
      </c>
      <c r="E16" s="45">
        <f>D16*E26</f>
        <v>70.34</v>
      </c>
      <c r="F16" s="46"/>
      <c r="G16" s="44"/>
    </row>
    <row r="17" spans="1:7" s="149" customFormat="1" ht="37.5">
      <c r="A17" s="29" t="s">
        <v>228</v>
      </c>
      <c r="B17" s="98" t="s">
        <v>229</v>
      </c>
      <c r="C17" s="148"/>
      <c r="D17" s="133"/>
      <c r="E17" s="134">
        <f>D17*E30</f>
        <v>0</v>
      </c>
      <c r="F17" s="135"/>
      <c r="G17" s="136"/>
    </row>
    <row r="18" spans="1:7" s="149" customFormat="1" ht="19.5" customHeight="1">
      <c r="A18" s="425" t="s">
        <v>230</v>
      </c>
      <c r="B18" s="426"/>
      <c r="C18" s="426"/>
      <c r="D18" s="426"/>
      <c r="E18" s="426"/>
      <c r="F18" s="426"/>
      <c r="G18" s="427"/>
    </row>
    <row r="19" spans="1:7" s="18" customFormat="1" ht="30" customHeight="1">
      <c r="A19" s="153" t="s">
        <v>45</v>
      </c>
      <c r="B19" s="249" t="s">
        <v>2</v>
      </c>
      <c r="C19" s="153" t="s">
        <v>3</v>
      </c>
      <c r="D19" s="415" t="s">
        <v>182</v>
      </c>
      <c r="E19" s="416"/>
      <c r="F19" s="153" t="s">
        <v>141</v>
      </c>
      <c r="G19" s="153" t="s">
        <v>139</v>
      </c>
    </row>
    <row r="20" spans="1:7" s="18" customFormat="1" ht="31.5" customHeight="1">
      <c r="A20" s="29" t="s">
        <v>161</v>
      </c>
      <c r="B20" s="47" t="s">
        <v>231</v>
      </c>
      <c r="C20" s="428" t="s">
        <v>6</v>
      </c>
      <c r="D20" s="324"/>
      <c r="E20" s="322">
        <f>'3. Prijsinvulformulier 2028'!E20</f>
        <v>0</v>
      </c>
      <c r="F20" s="160">
        <v>10524</v>
      </c>
      <c r="G20" s="132">
        <f>(E20+E21+E22)*F20</f>
        <v>740258.16</v>
      </c>
    </row>
    <row r="21" spans="1:7" s="18" customFormat="1" ht="26.25" customHeight="1">
      <c r="A21" s="29" t="s">
        <v>134</v>
      </c>
      <c r="B21" s="98" t="s">
        <v>232</v>
      </c>
      <c r="C21" s="428"/>
      <c r="D21" s="320">
        <f>1-((SUM('2.Kwal gunningscriteria 2029'!D73:'2.Kwal gunningscriteria 2029'!D87)/1000))</f>
        <v>1</v>
      </c>
      <c r="E21" s="45">
        <f>D21*E26</f>
        <v>70.34</v>
      </c>
      <c r="F21" s="46"/>
      <c r="G21" s="305"/>
    </row>
    <row r="22" spans="1:7" s="149" customFormat="1" ht="37.5">
      <c r="A22" s="29" t="s">
        <v>135</v>
      </c>
      <c r="B22" s="98" t="s">
        <v>233</v>
      </c>
      <c r="C22" s="148"/>
      <c r="D22" s="133"/>
      <c r="E22" s="134">
        <f>D22*E30</f>
        <v>0</v>
      </c>
      <c r="F22" s="135"/>
      <c r="G22" s="136"/>
    </row>
    <row r="23" spans="1:7" s="12" customFormat="1" ht="12.5">
      <c r="A23" s="246"/>
      <c r="B23" s="250"/>
      <c r="C23" s="251"/>
      <c r="D23" s="252"/>
      <c r="E23" s="252"/>
      <c r="F23" s="252"/>
      <c r="G23" s="253"/>
    </row>
    <row r="24" spans="1:7" s="48" customFormat="1" ht="15" customHeight="1">
      <c r="A24" s="417" t="s">
        <v>193</v>
      </c>
      <c r="B24" s="418"/>
      <c r="C24" s="418"/>
      <c r="D24" s="418"/>
      <c r="E24" s="418"/>
      <c r="F24" s="418"/>
      <c r="G24" s="419"/>
    </row>
    <row r="25" spans="1:7" s="48" customFormat="1" ht="16.5" customHeight="1">
      <c r="A25" s="153" t="s">
        <v>45</v>
      </c>
      <c r="B25" s="249" t="s">
        <v>2</v>
      </c>
      <c r="C25" s="405" t="s">
        <v>3</v>
      </c>
      <c r="D25" s="405"/>
      <c r="E25" s="155" t="s">
        <v>46</v>
      </c>
      <c r="F25" s="156" t="s">
        <v>162</v>
      </c>
      <c r="G25" s="254"/>
    </row>
    <row r="26" spans="1:7" s="48" customFormat="1" ht="18.75" customHeight="1">
      <c r="A26" s="49" t="s">
        <v>205</v>
      </c>
      <c r="B26" s="47" t="s">
        <v>187</v>
      </c>
      <c r="C26" s="406" t="s">
        <v>194</v>
      </c>
      <c r="D26" s="406"/>
      <c r="E26" s="210">
        <v>70.34</v>
      </c>
      <c r="F26" s="127">
        <v>2029</v>
      </c>
      <c r="G26" s="43"/>
    </row>
    <row r="27" spans="1:7" s="48" customFormat="1" ht="18.75" customHeight="1">
      <c r="A27" s="117"/>
      <c r="B27" s="118"/>
      <c r="C27" s="119"/>
      <c r="D27" s="119"/>
      <c r="E27" s="120"/>
      <c r="F27" s="102"/>
      <c r="G27" s="255"/>
    </row>
    <row r="28" spans="1:7" s="48" customFormat="1" ht="15" customHeight="1">
      <c r="A28" s="404" t="s">
        <v>151</v>
      </c>
      <c r="B28" s="404"/>
      <c r="C28" s="404"/>
      <c r="D28" s="404"/>
      <c r="E28" s="404"/>
      <c r="F28" s="404"/>
      <c r="G28" s="404"/>
    </row>
    <row r="29" spans="1:7" s="48" customFormat="1" ht="23.25" customHeight="1">
      <c r="A29" s="153" t="s">
        <v>45</v>
      </c>
      <c r="B29" s="157" t="s">
        <v>2</v>
      </c>
      <c r="C29" s="405" t="s">
        <v>3</v>
      </c>
      <c r="D29" s="405"/>
      <c r="E29" s="155" t="s">
        <v>46</v>
      </c>
      <c r="F29" s="158" t="s">
        <v>162</v>
      </c>
      <c r="G29" s="158"/>
    </row>
    <row r="30" spans="1:7" s="48" customFormat="1" ht="12.5">
      <c r="A30" s="49" t="s">
        <v>243</v>
      </c>
      <c r="B30" s="47" t="s">
        <v>185</v>
      </c>
      <c r="C30" s="406" t="s">
        <v>194</v>
      </c>
      <c r="D30" s="406"/>
      <c r="E30" s="186">
        <v>28.97</v>
      </c>
      <c r="F30" s="130">
        <v>2029</v>
      </c>
      <c r="G30" s="43"/>
    </row>
    <row r="31" spans="1:7" s="48" customFormat="1" ht="18.75" customHeight="1" thickBot="1">
      <c r="A31" s="256"/>
      <c r="B31" s="257"/>
      <c r="C31" s="258"/>
      <c r="D31" s="258"/>
      <c r="E31" s="259"/>
      <c r="F31" s="260"/>
      <c r="G31" s="261"/>
    </row>
    <row r="32" spans="1:7" ht="42.75" customHeight="1" thickBot="1">
      <c r="A32" s="262"/>
      <c r="B32" s="263"/>
      <c r="C32" s="264"/>
      <c r="D32" s="265"/>
      <c r="E32" s="265"/>
      <c r="F32" s="205" t="s">
        <v>249</v>
      </c>
      <c r="G32" s="266">
        <f>G4+G5+G9+G10+G15+G20</f>
        <v>1825182.3200000003</v>
      </c>
    </row>
    <row r="33" spans="1:7">
      <c r="A33" s="262"/>
      <c r="B33" s="263"/>
      <c r="C33" s="264"/>
      <c r="D33" s="265"/>
      <c r="E33" s="265"/>
      <c r="F33" s="267"/>
      <c r="G33" s="268"/>
    </row>
    <row r="34" spans="1:7" s="93" customFormat="1" ht="15" customHeight="1">
      <c r="A34" s="404" t="s">
        <v>234</v>
      </c>
      <c r="B34" s="404"/>
      <c r="C34" s="404"/>
      <c r="D34" s="404"/>
      <c r="E34" s="404"/>
      <c r="F34" s="404"/>
      <c r="G34" s="404"/>
    </row>
    <row r="35" spans="1:7" s="93" customFormat="1" ht="15" customHeight="1">
      <c r="A35" s="153" t="s">
        <v>1</v>
      </c>
      <c r="B35" s="154" t="s">
        <v>10</v>
      </c>
      <c r="C35" s="153" t="s">
        <v>15</v>
      </c>
      <c r="D35" s="153" t="s">
        <v>11</v>
      </c>
      <c r="E35" s="153" t="s">
        <v>12</v>
      </c>
      <c r="F35" s="153" t="s">
        <v>13</v>
      </c>
      <c r="G35" s="153" t="s">
        <v>14</v>
      </c>
    </row>
    <row r="36" spans="1:7" s="93" customFormat="1" ht="15" customHeight="1">
      <c r="A36" s="94" t="s">
        <v>235</v>
      </c>
      <c r="B36" s="99"/>
      <c r="C36" s="100"/>
      <c r="D36" s="101"/>
      <c r="E36" s="101"/>
      <c r="F36" s="101"/>
      <c r="G36" s="101"/>
    </row>
    <row r="37" spans="1:7" s="93" customFormat="1" ht="15" customHeight="1">
      <c r="A37" s="94" t="s">
        <v>236</v>
      </c>
      <c r="B37" s="99"/>
      <c r="C37" s="100"/>
      <c r="D37" s="101"/>
      <c r="E37" s="101"/>
      <c r="F37" s="101"/>
      <c r="G37" s="101"/>
    </row>
    <row r="38" spans="1:7" s="93" customFormat="1" ht="15" customHeight="1">
      <c r="A38" s="269"/>
      <c r="B38" s="114"/>
      <c r="C38" s="115"/>
      <c r="D38" s="116"/>
      <c r="E38" s="116"/>
      <c r="F38" s="116"/>
      <c r="G38" s="270"/>
    </row>
    <row r="39" spans="1:7" s="93" customFormat="1" ht="14.25" customHeight="1">
      <c r="A39" s="404" t="s">
        <v>237</v>
      </c>
      <c r="B39" s="404"/>
      <c r="C39" s="404"/>
      <c r="D39" s="404"/>
      <c r="E39" s="404"/>
      <c r="F39" s="404"/>
      <c r="G39" s="404"/>
    </row>
    <row r="40" spans="1:7" s="93" customFormat="1" ht="14.25" customHeight="1">
      <c r="A40" s="153" t="s">
        <v>1</v>
      </c>
      <c r="B40" s="154" t="s">
        <v>10</v>
      </c>
      <c r="C40" s="153" t="s">
        <v>15</v>
      </c>
      <c r="D40" s="153" t="s">
        <v>11</v>
      </c>
      <c r="E40" s="153" t="s">
        <v>12</v>
      </c>
      <c r="F40" s="153" t="s">
        <v>13</v>
      </c>
      <c r="G40" s="153" t="s">
        <v>14</v>
      </c>
    </row>
    <row r="41" spans="1:7" s="93" customFormat="1" ht="14.25" customHeight="1">
      <c r="A41" s="94" t="s">
        <v>238</v>
      </c>
      <c r="B41" s="99"/>
      <c r="C41" s="100"/>
      <c r="D41" s="101"/>
      <c r="E41" s="101"/>
      <c r="F41" s="101"/>
      <c r="G41" s="101"/>
    </row>
    <row r="42" spans="1:7" s="93" customFormat="1" ht="14.25" customHeight="1">
      <c r="A42" s="94" t="s">
        <v>239</v>
      </c>
      <c r="B42" s="99"/>
      <c r="C42" s="100"/>
      <c r="D42" s="101"/>
      <c r="E42" s="101"/>
      <c r="F42" s="101"/>
      <c r="G42" s="101"/>
    </row>
    <row r="43" spans="1:7">
      <c r="A43" s="262"/>
      <c r="B43" s="263"/>
      <c r="C43" s="264"/>
      <c r="D43" s="265"/>
      <c r="E43" s="265"/>
      <c r="F43" s="267"/>
      <c r="G43" s="268"/>
    </row>
    <row r="44" spans="1:7" ht="14">
      <c r="A44" s="421" t="s">
        <v>16</v>
      </c>
      <c r="B44" s="421"/>
      <c r="C44" s="421"/>
      <c r="D44" s="421"/>
      <c r="E44" s="421"/>
      <c r="F44" s="421"/>
      <c r="G44" s="421"/>
    </row>
    <row r="45" spans="1:7" ht="12.5">
      <c r="A45" s="153" t="s">
        <v>1</v>
      </c>
      <c r="B45" s="409" t="s">
        <v>17</v>
      </c>
      <c r="C45" s="409"/>
      <c r="D45" s="409"/>
      <c r="E45" s="409"/>
      <c r="F45" s="409"/>
      <c r="G45" s="409"/>
    </row>
    <row r="46" spans="1:7" ht="15" customHeight="1">
      <c r="A46" s="111" t="s">
        <v>18</v>
      </c>
      <c r="B46" s="159" t="s">
        <v>115</v>
      </c>
      <c r="C46" s="159"/>
      <c r="D46" s="159"/>
      <c r="E46" s="159"/>
      <c r="F46" s="159"/>
      <c r="G46" s="159"/>
    </row>
    <row r="47" spans="1:7" ht="15" customHeight="1">
      <c r="A47" s="112" t="s">
        <v>143</v>
      </c>
      <c r="B47" s="403" t="s">
        <v>19</v>
      </c>
      <c r="C47" s="403"/>
      <c r="D47" s="403"/>
      <c r="E47" s="403"/>
      <c r="F47" s="403"/>
      <c r="G47" s="403"/>
    </row>
    <row r="48" spans="1:7" ht="30" customHeight="1">
      <c r="A48" s="112" t="s">
        <v>142</v>
      </c>
      <c r="B48" s="410" t="s">
        <v>20</v>
      </c>
      <c r="C48" s="410"/>
      <c r="D48" s="410"/>
      <c r="E48" s="410"/>
      <c r="F48" s="410"/>
      <c r="G48" s="410"/>
    </row>
    <row r="49" spans="1:7" ht="30" customHeight="1">
      <c r="A49" s="113" t="s">
        <v>144</v>
      </c>
      <c r="B49" s="408" t="s">
        <v>184</v>
      </c>
      <c r="C49" s="408"/>
      <c r="D49" s="408"/>
      <c r="E49" s="408"/>
      <c r="F49" s="408"/>
      <c r="G49" s="408"/>
    </row>
    <row r="50" spans="1:7" ht="27" customHeight="1">
      <c r="A50" s="112" t="s">
        <v>145</v>
      </c>
      <c r="B50" s="407" t="s">
        <v>164</v>
      </c>
      <c r="C50" s="407"/>
      <c r="D50" s="407"/>
      <c r="E50" s="407"/>
      <c r="F50" s="407"/>
      <c r="G50" s="407"/>
    </row>
    <row r="51" spans="1:7" ht="15" customHeight="1">
      <c r="A51" s="113" t="s">
        <v>186</v>
      </c>
      <c r="B51" s="408" t="s">
        <v>240</v>
      </c>
      <c r="C51" s="408"/>
      <c r="D51" s="408"/>
      <c r="E51" s="408"/>
      <c r="F51" s="408"/>
      <c r="G51" s="408"/>
    </row>
    <row r="52" spans="1:7" ht="29.25" customHeight="1">
      <c r="A52" s="112" t="s">
        <v>146</v>
      </c>
      <c r="B52" s="410" t="s">
        <v>165</v>
      </c>
      <c r="C52" s="410"/>
      <c r="D52" s="410"/>
      <c r="E52" s="410"/>
      <c r="F52" s="410"/>
      <c r="G52" s="410"/>
    </row>
    <row r="53" spans="1:7" ht="17.25" customHeight="1">
      <c r="A53" s="112" t="s">
        <v>150</v>
      </c>
      <c r="B53" s="403" t="s">
        <v>21</v>
      </c>
      <c r="C53" s="403"/>
      <c r="D53" s="403"/>
      <c r="E53" s="403"/>
      <c r="F53" s="403"/>
      <c r="G53" s="403"/>
    </row>
    <row r="54" spans="1:7" ht="17.25" customHeight="1">
      <c r="A54" s="112" t="s">
        <v>158</v>
      </c>
      <c r="B54" s="420" t="s">
        <v>189</v>
      </c>
      <c r="C54" s="420"/>
      <c r="D54" s="420"/>
      <c r="E54" s="420"/>
      <c r="F54" s="420"/>
      <c r="G54" s="420"/>
    </row>
    <row r="55" spans="1:7" ht="17.25" customHeight="1">
      <c r="A55" s="112" t="s">
        <v>241</v>
      </c>
      <c r="B55" s="403" t="s">
        <v>190</v>
      </c>
      <c r="C55" s="403"/>
      <c r="D55" s="403"/>
      <c r="E55" s="403"/>
      <c r="F55" s="403"/>
      <c r="G55" s="403"/>
    </row>
  </sheetData>
  <sheetProtection algorithmName="SHA-512" hashValue="hSb44bGapBJaj1qT5uvpRaSwkSHpM+SrlldgbeFTo6F8tuHSminaeTmWJjnq+eIqMTnZqHyR+PDbVKrM0HDomA==" saltValue="Uhe9W19zG6aQ8QqoULmLyQ==" spinCount="100000" sheet="1" objects="1" scenarios="1"/>
  <mergeCells count="30">
    <mergeCell ref="B55:G55"/>
    <mergeCell ref="B49:G49"/>
    <mergeCell ref="B50:G50"/>
    <mergeCell ref="B51:G51"/>
    <mergeCell ref="B52:G52"/>
    <mergeCell ref="B53:G53"/>
    <mergeCell ref="B54:G54"/>
    <mergeCell ref="B48:G48"/>
    <mergeCell ref="A24:G24"/>
    <mergeCell ref="C25:D25"/>
    <mergeCell ref="C26:D26"/>
    <mergeCell ref="A28:G28"/>
    <mergeCell ref="C29:D29"/>
    <mergeCell ref="C30:D30"/>
    <mergeCell ref="A34:G34"/>
    <mergeCell ref="A39:G39"/>
    <mergeCell ref="A44:G44"/>
    <mergeCell ref="B45:G45"/>
    <mergeCell ref="B47:G47"/>
    <mergeCell ref="C20:C21"/>
    <mergeCell ref="A1:D1"/>
    <mergeCell ref="F1:G1"/>
    <mergeCell ref="A2:G2"/>
    <mergeCell ref="A7:G7"/>
    <mergeCell ref="D12:E12"/>
    <mergeCell ref="A13:G13"/>
    <mergeCell ref="D14:E14"/>
    <mergeCell ref="C15:C16"/>
    <mergeCell ref="A18:G18"/>
    <mergeCell ref="D19:E19"/>
  </mergeCells>
  <dataValidations count="2">
    <dataValidation type="decimal" operator="lessThanOrEqual" allowBlank="1" showInputMessage="1" showErrorMessage="1" error="Deze invoer voldoet niet aan voorwaarde E" sqref="D20:E20" xr:uid="{08F3CC41-E60A-45ED-92E6-93500C5073BD}">
      <formula1>D15</formula1>
    </dataValidation>
    <dataValidation operator="lessThanOrEqual" allowBlank="1" showInputMessage="1" showErrorMessage="1" sqref="B8:G8 F12:G12 B12:D12 D23:G23 G25 B3:G3 B40:G43 C15 F20:G22 B35:G38 B14:B16 E29:G29 B45:B55 B20:C23 D15:D17 F15:G17 B17:C17 E31 B19 D21 E25:F27 B25:C27 F30:F31 B29:C31 B32:G33" xr:uid="{89E09858-CD35-41B7-B5D9-96DBB11B5A54}"/>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1">
        <x14:dataValidation type="custom" operator="lessThanOrEqual" allowBlank="1" showInputMessage="1" showErrorMessage="1" xr:uid="{F7953D92-34D4-41DF-8189-77973871247B}">
          <x14:formula1>
            <xm:f>D22&lt;=1-(('2.Kwal gunningscriteria 2029'!D73+'2.Kwal gunningscriteria 2029'!D74)/1000)</xm:f>
          </x14:formula1>
          <xm:sqref>D22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6055-89F5-4E9D-BDCF-0E83EACA7B2E}">
  <dimension ref="A1:G55"/>
  <sheetViews>
    <sheetView showGridLines="0" view="pageBreakPreview" zoomScaleNormal="100" zoomScaleSheetLayoutView="100" workbookViewId="0">
      <selection activeCell="K20" sqref="K20"/>
    </sheetView>
  </sheetViews>
  <sheetFormatPr defaultColWidth="9.1796875" defaultRowHeight="11.5"/>
  <cols>
    <col min="1" max="1" width="15.7265625" style="147" customWidth="1"/>
    <col min="2" max="2" width="47.1796875" style="147" customWidth="1"/>
    <col min="3" max="4" width="20.7265625" style="150" customWidth="1"/>
    <col min="5" max="5" width="30.7265625" style="150" customWidth="1"/>
    <col min="6" max="6" width="38.453125" style="150" customWidth="1"/>
    <col min="7" max="7" width="34.54296875" style="150" customWidth="1"/>
    <col min="8" max="16384" width="9.1796875" style="147"/>
  </cols>
  <sheetData>
    <row r="1" spans="1:7" ht="58.5" customHeight="1">
      <c r="A1" s="402" t="s">
        <v>304</v>
      </c>
      <c r="B1" s="402"/>
      <c r="C1" s="402"/>
      <c r="D1" s="402"/>
      <c r="E1" s="273" t="s">
        <v>156</v>
      </c>
      <c r="F1" s="381" t="s">
        <v>157</v>
      </c>
      <c r="G1" s="381"/>
    </row>
    <row r="2" spans="1:7" s="13" customFormat="1" ht="24.75" customHeight="1">
      <c r="A2" s="411" t="s">
        <v>224</v>
      </c>
      <c r="B2" s="411"/>
      <c r="C2" s="411"/>
      <c r="D2" s="411"/>
      <c r="E2" s="411"/>
      <c r="F2" s="411"/>
      <c r="G2" s="411"/>
    </row>
    <row r="3" spans="1:7" s="12" customFormat="1" ht="29.25" customHeight="1">
      <c r="A3" s="153" t="s">
        <v>45</v>
      </c>
      <c r="B3" s="154" t="s">
        <v>2</v>
      </c>
      <c r="C3" s="153" t="s">
        <v>3</v>
      </c>
      <c r="D3" s="153"/>
      <c r="E3" s="153" t="s">
        <v>195</v>
      </c>
      <c r="F3" s="153" t="s">
        <v>141</v>
      </c>
      <c r="G3" s="153" t="s">
        <v>253</v>
      </c>
    </row>
    <row r="4" spans="1:7" s="12" customFormat="1" ht="15" customHeight="1">
      <c r="A4" s="29" t="s">
        <v>5</v>
      </c>
      <c r="B4" s="42" t="s">
        <v>132</v>
      </c>
      <c r="C4" s="29" t="s">
        <v>6</v>
      </c>
      <c r="D4" s="42"/>
      <c r="E4" s="317">
        <f>'3. Prijsinvulformulier 2029'!E4</f>
        <v>0</v>
      </c>
      <c r="F4" s="160">
        <v>15424</v>
      </c>
      <c r="G4" s="131">
        <f>F4*E4*4</f>
        <v>0</v>
      </c>
    </row>
    <row r="5" spans="1:7" s="12" customFormat="1" ht="15" customHeight="1">
      <c r="A5" s="29" t="s">
        <v>7</v>
      </c>
      <c r="B5" s="42" t="s">
        <v>133</v>
      </c>
      <c r="C5" s="29" t="s">
        <v>6</v>
      </c>
      <c r="D5" s="42"/>
      <c r="E5" s="317">
        <f>'3. Prijsinvulformulier 2029'!E5</f>
        <v>0</v>
      </c>
      <c r="F5" s="160">
        <v>15424</v>
      </c>
      <c r="G5" s="131">
        <f>F5*E5*4</f>
        <v>0</v>
      </c>
    </row>
    <row r="6" spans="1:7" s="12" customFormat="1" ht="15" customHeight="1">
      <c r="A6" s="121"/>
      <c r="B6" s="122"/>
      <c r="C6" s="123"/>
      <c r="D6" s="122"/>
      <c r="E6" s="122"/>
      <c r="F6" s="124"/>
      <c r="G6" s="125"/>
    </row>
    <row r="7" spans="1:7" s="13" customFormat="1" ht="15" customHeight="1">
      <c r="A7" s="422" t="s">
        <v>225</v>
      </c>
      <c r="B7" s="423"/>
      <c r="C7" s="423"/>
      <c r="D7" s="423"/>
      <c r="E7" s="423"/>
      <c r="F7" s="423"/>
      <c r="G7" s="424"/>
    </row>
    <row r="8" spans="1:7" s="12" customFormat="1" ht="32.25" customHeight="1">
      <c r="A8" s="153" t="s">
        <v>45</v>
      </c>
      <c r="B8" s="154" t="s">
        <v>2</v>
      </c>
      <c r="C8" s="153" t="s">
        <v>3</v>
      </c>
      <c r="D8" s="153"/>
      <c r="E8" s="153" t="s">
        <v>226</v>
      </c>
      <c r="F8" s="153" t="s">
        <v>141</v>
      </c>
      <c r="G8" s="153" t="s">
        <v>254</v>
      </c>
    </row>
    <row r="9" spans="1:7" s="12" customFormat="1" ht="15" customHeight="1">
      <c r="A9" s="29" t="s">
        <v>8</v>
      </c>
      <c r="B9" s="42" t="s">
        <v>132</v>
      </c>
      <c r="C9" s="29" t="s">
        <v>6</v>
      </c>
      <c r="D9" s="42"/>
      <c r="E9" s="317">
        <f>'3. Prijsinvulformulier 2029'!E9</f>
        <v>0</v>
      </c>
      <c r="F9" s="160">
        <v>10524</v>
      </c>
      <c r="G9" s="131">
        <f>F9*E9*4</f>
        <v>0</v>
      </c>
    </row>
    <row r="10" spans="1:7" s="12" customFormat="1" ht="15" customHeight="1">
      <c r="A10" s="29" t="s">
        <v>43</v>
      </c>
      <c r="B10" s="42" t="s">
        <v>133</v>
      </c>
      <c r="C10" s="29" t="s">
        <v>6</v>
      </c>
      <c r="D10" s="42"/>
      <c r="E10" s="96"/>
      <c r="F10" s="160">
        <v>10524</v>
      </c>
      <c r="G10" s="131">
        <f>F10*E10*4</f>
        <v>0</v>
      </c>
    </row>
    <row r="11" spans="1:7" s="12" customFormat="1" ht="15" customHeight="1">
      <c r="A11" s="246"/>
      <c r="C11" s="303"/>
      <c r="D11" s="303"/>
      <c r="E11" s="303"/>
      <c r="F11" s="303"/>
      <c r="G11" s="304"/>
    </row>
    <row r="12" spans="1:7" s="12" customFormat="1" ht="15" hidden="1" customHeight="1">
      <c r="A12" s="97" t="s">
        <v>1</v>
      </c>
      <c r="B12" s="247" t="s">
        <v>2</v>
      </c>
      <c r="C12" s="248" t="s">
        <v>3</v>
      </c>
      <c r="D12" s="414" t="s">
        <v>137</v>
      </c>
      <c r="E12" s="414"/>
      <c r="F12" s="248" t="s">
        <v>136</v>
      </c>
      <c r="G12" s="95" t="s">
        <v>4</v>
      </c>
    </row>
    <row r="13" spans="1:7" s="18" customFormat="1" ht="15" customHeight="1">
      <c r="A13" s="404" t="s">
        <v>116</v>
      </c>
      <c r="B13" s="404"/>
      <c r="C13" s="404"/>
      <c r="D13" s="404"/>
      <c r="E13" s="404"/>
      <c r="F13" s="404"/>
      <c r="G13" s="404"/>
    </row>
    <row r="14" spans="1:7" s="18" customFormat="1" ht="30" customHeight="1">
      <c r="A14" s="153" t="s">
        <v>45</v>
      </c>
      <c r="B14" s="249" t="s">
        <v>2</v>
      </c>
      <c r="C14" s="153" t="s">
        <v>3</v>
      </c>
      <c r="D14" s="415" t="s">
        <v>182</v>
      </c>
      <c r="E14" s="416"/>
      <c r="F14" s="153" t="s">
        <v>141</v>
      </c>
      <c r="G14" s="153" t="s">
        <v>254</v>
      </c>
    </row>
    <row r="15" spans="1:7" s="12" customFormat="1" ht="26.25" customHeight="1">
      <c r="A15" s="29" t="s">
        <v>9</v>
      </c>
      <c r="B15" s="43" t="s">
        <v>148</v>
      </c>
      <c r="C15" s="412" t="s">
        <v>6</v>
      </c>
      <c r="D15" s="324"/>
      <c r="E15" s="322">
        <f>'3. Prijsinvulformulier 2029'!E15</f>
        <v>0</v>
      </c>
      <c r="F15" s="161">
        <v>15424</v>
      </c>
      <c r="G15" s="132">
        <f>(E15+E16+E17)*F15*4</f>
        <v>4339696.6400000006</v>
      </c>
    </row>
    <row r="16" spans="1:7" s="18" customFormat="1" ht="27.75" customHeight="1">
      <c r="A16" s="29" t="s">
        <v>227</v>
      </c>
      <c r="B16" s="98" t="s">
        <v>183</v>
      </c>
      <c r="C16" s="413"/>
      <c r="D16" s="320">
        <f>1-((SUM('2.Kwal gunn.criteria 2030-2033'!D34:'2.Kwal gunn.criteria 2030-2033'!D48)/1000))</f>
        <v>1</v>
      </c>
      <c r="E16" s="45">
        <f>D16*E26</f>
        <v>70.34</v>
      </c>
      <c r="F16" s="46"/>
      <c r="G16" s="44"/>
    </row>
    <row r="17" spans="1:7" s="149" customFormat="1" ht="37.5">
      <c r="A17" s="29" t="s">
        <v>228</v>
      </c>
      <c r="B17" s="98" t="s">
        <v>229</v>
      </c>
      <c r="C17" s="148"/>
      <c r="D17" s="133"/>
      <c r="E17" s="134">
        <f>D17*E30</f>
        <v>0</v>
      </c>
      <c r="F17" s="135"/>
      <c r="G17" s="136"/>
    </row>
    <row r="18" spans="1:7" s="149" customFormat="1" ht="19.5" customHeight="1">
      <c r="A18" s="425" t="s">
        <v>230</v>
      </c>
      <c r="B18" s="426"/>
      <c r="C18" s="426"/>
      <c r="D18" s="426"/>
      <c r="E18" s="426"/>
      <c r="F18" s="426"/>
      <c r="G18" s="427"/>
    </row>
    <row r="19" spans="1:7" s="18" customFormat="1" ht="30" customHeight="1">
      <c r="A19" s="153" t="s">
        <v>45</v>
      </c>
      <c r="B19" s="249" t="s">
        <v>2</v>
      </c>
      <c r="C19" s="153" t="s">
        <v>3</v>
      </c>
      <c r="D19" s="415" t="s">
        <v>182</v>
      </c>
      <c r="E19" s="416"/>
      <c r="F19" s="153" t="s">
        <v>141</v>
      </c>
      <c r="G19" s="153" t="s">
        <v>254</v>
      </c>
    </row>
    <row r="20" spans="1:7" s="18" customFormat="1" ht="31.5" customHeight="1">
      <c r="A20" s="29" t="s">
        <v>161</v>
      </c>
      <c r="B20" s="47" t="s">
        <v>231</v>
      </c>
      <c r="C20" s="428" t="s">
        <v>6</v>
      </c>
      <c r="D20" s="324"/>
      <c r="E20" s="322">
        <f>'3. Prijsinvulformulier 2029'!E20</f>
        <v>0</v>
      </c>
      <c r="F20" s="160">
        <v>10524</v>
      </c>
      <c r="G20" s="132">
        <f>(E20+E21+E22)*F20*4</f>
        <v>2961032.64</v>
      </c>
    </row>
    <row r="21" spans="1:7" s="18" customFormat="1" ht="26.25" customHeight="1">
      <c r="A21" s="29" t="s">
        <v>134</v>
      </c>
      <c r="B21" s="98" t="s">
        <v>232</v>
      </c>
      <c r="C21" s="428"/>
      <c r="D21" s="320">
        <f>1-((SUM('2.Kwal gunn.criteria 2030-2033'!D73:'2.Kwal gunn.criteria 2030-2033'!D87)/1000))</f>
        <v>1</v>
      </c>
      <c r="E21" s="45">
        <f>D21*E26</f>
        <v>70.34</v>
      </c>
      <c r="F21" s="46"/>
      <c r="G21" s="305"/>
    </row>
    <row r="22" spans="1:7" s="149" customFormat="1" ht="37.5">
      <c r="A22" s="29" t="s">
        <v>135</v>
      </c>
      <c r="B22" s="98" t="s">
        <v>233</v>
      </c>
      <c r="C22" s="148"/>
      <c r="D22" s="133"/>
      <c r="E22" s="134">
        <f>D22*E30</f>
        <v>0</v>
      </c>
      <c r="F22" s="135"/>
      <c r="G22" s="136"/>
    </row>
    <row r="23" spans="1:7" s="12" customFormat="1" ht="12.5">
      <c r="A23" s="246"/>
      <c r="B23" s="250"/>
      <c r="C23" s="251"/>
      <c r="D23" s="252"/>
      <c r="E23" s="252"/>
      <c r="F23" s="252"/>
      <c r="G23" s="253"/>
    </row>
    <row r="24" spans="1:7" s="48" customFormat="1" ht="15" customHeight="1">
      <c r="A24" s="417" t="s">
        <v>193</v>
      </c>
      <c r="B24" s="418"/>
      <c r="C24" s="418"/>
      <c r="D24" s="418"/>
      <c r="E24" s="418"/>
      <c r="F24" s="418"/>
      <c r="G24" s="419"/>
    </row>
    <row r="25" spans="1:7" s="48" customFormat="1" ht="16.5" customHeight="1">
      <c r="A25" s="153" t="s">
        <v>45</v>
      </c>
      <c r="B25" s="249" t="s">
        <v>2</v>
      </c>
      <c r="C25" s="405" t="s">
        <v>3</v>
      </c>
      <c r="D25" s="405"/>
      <c r="E25" s="155" t="s">
        <v>46</v>
      </c>
      <c r="F25" s="156" t="s">
        <v>162</v>
      </c>
      <c r="G25" s="254"/>
    </row>
    <row r="26" spans="1:7" s="48" customFormat="1" ht="18.75" customHeight="1">
      <c r="A26" s="49" t="s">
        <v>205</v>
      </c>
      <c r="B26" s="47" t="s">
        <v>187</v>
      </c>
      <c r="C26" s="406" t="s">
        <v>194</v>
      </c>
      <c r="D26" s="406"/>
      <c r="E26" s="210">
        <v>70.34</v>
      </c>
      <c r="F26" s="127" t="s">
        <v>250</v>
      </c>
      <c r="G26" s="43"/>
    </row>
    <row r="27" spans="1:7" s="48" customFormat="1" ht="18.75" customHeight="1">
      <c r="A27" s="117"/>
      <c r="B27" s="118"/>
      <c r="C27" s="119"/>
      <c r="D27" s="119"/>
      <c r="E27" s="120"/>
      <c r="F27" s="102"/>
      <c r="G27" s="255"/>
    </row>
    <row r="28" spans="1:7" s="48" customFormat="1" ht="15" customHeight="1">
      <c r="A28" s="404" t="s">
        <v>151</v>
      </c>
      <c r="B28" s="404"/>
      <c r="C28" s="404"/>
      <c r="D28" s="404"/>
      <c r="E28" s="404"/>
      <c r="F28" s="404"/>
      <c r="G28" s="404"/>
    </row>
    <row r="29" spans="1:7" s="48" customFormat="1" ht="23.25" customHeight="1">
      <c r="A29" s="153" t="s">
        <v>45</v>
      </c>
      <c r="B29" s="157" t="s">
        <v>2</v>
      </c>
      <c r="C29" s="405" t="s">
        <v>3</v>
      </c>
      <c r="D29" s="405"/>
      <c r="E29" s="155" t="s">
        <v>46</v>
      </c>
      <c r="F29" s="158" t="s">
        <v>162</v>
      </c>
      <c r="G29" s="158"/>
    </row>
    <row r="30" spans="1:7" s="48" customFormat="1" ht="12.5">
      <c r="A30" s="49" t="s">
        <v>243</v>
      </c>
      <c r="B30" s="47" t="s">
        <v>185</v>
      </c>
      <c r="C30" s="406" t="s">
        <v>194</v>
      </c>
      <c r="D30" s="406"/>
      <c r="E30" s="186">
        <v>28.97</v>
      </c>
      <c r="F30" s="130" t="s">
        <v>250</v>
      </c>
      <c r="G30" s="43"/>
    </row>
    <row r="31" spans="1:7" s="48" customFormat="1" ht="18.75" customHeight="1" thickBot="1">
      <c r="A31" s="256"/>
      <c r="B31" s="257"/>
      <c r="C31" s="258"/>
      <c r="D31" s="258"/>
      <c r="E31" s="259"/>
      <c r="F31" s="260"/>
      <c r="G31" s="261"/>
    </row>
    <row r="32" spans="1:7" ht="42.75" customHeight="1" thickBot="1">
      <c r="A32" s="262"/>
      <c r="B32" s="263"/>
      <c r="C32" s="264"/>
      <c r="D32" s="265"/>
      <c r="E32" s="265"/>
      <c r="F32" s="205" t="s">
        <v>251</v>
      </c>
      <c r="G32" s="266">
        <f>G4+G5+G9+G10+G15+G20</f>
        <v>7300729.2800000012</v>
      </c>
    </row>
    <row r="33" spans="1:7">
      <c r="A33" s="262"/>
      <c r="B33" s="263"/>
      <c r="C33" s="264"/>
      <c r="D33" s="265"/>
      <c r="E33" s="265"/>
      <c r="F33" s="267"/>
      <c r="G33" s="268"/>
    </row>
    <row r="34" spans="1:7" s="93" customFormat="1" ht="15" customHeight="1">
      <c r="A34" s="404" t="s">
        <v>234</v>
      </c>
      <c r="B34" s="404"/>
      <c r="C34" s="404"/>
      <c r="D34" s="404"/>
      <c r="E34" s="404"/>
      <c r="F34" s="404"/>
      <c r="G34" s="404"/>
    </row>
    <row r="35" spans="1:7" s="93" customFormat="1" ht="15" customHeight="1">
      <c r="A35" s="153" t="s">
        <v>1</v>
      </c>
      <c r="B35" s="154" t="s">
        <v>10</v>
      </c>
      <c r="C35" s="153" t="s">
        <v>15</v>
      </c>
      <c r="D35" s="153" t="s">
        <v>11</v>
      </c>
      <c r="E35" s="153" t="s">
        <v>12</v>
      </c>
      <c r="F35" s="153" t="s">
        <v>13</v>
      </c>
      <c r="G35" s="153" t="s">
        <v>14</v>
      </c>
    </row>
    <row r="36" spans="1:7" s="93" customFormat="1" ht="15" customHeight="1">
      <c r="A36" s="94" t="s">
        <v>235</v>
      </c>
      <c r="B36" s="99"/>
      <c r="C36" s="100"/>
      <c r="D36" s="101"/>
      <c r="E36" s="101"/>
      <c r="F36" s="101"/>
      <c r="G36" s="101"/>
    </row>
    <row r="37" spans="1:7" s="93" customFormat="1" ht="15" customHeight="1">
      <c r="A37" s="94" t="s">
        <v>236</v>
      </c>
      <c r="B37" s="99"/>
      <c r="C37" s="100"/>
      <c r="D37" s="101"/>
      <c r="E37" s="101"/>
      <c r="F37" s="101"/>
      <c r="G37" s="101"/>
    </row>
    <row r="38" spans="1:7" s="93" customFormat="1" ht="15" customHeight="1">
      <c r="A38" s="269"/>
      <c r="B38" s="114"/>
      <c r="C38" s="115"/>
      <c r="D38" s="116"/>
      <c r="E38" s="116"/>
      <c r="F38" s="116"/>
      <c r="G38" s="270"/>
    </row>
    <row r="39" spans="1:7" s="93" customFormat="1" ht="14.25" customHeight="1">
      <c r="A39" s="404" t="s">
        <v>237</v>
      </c>
      <c r="B39" s="404"/>
      <c r="C39" s="404"/>
      <c r="D39" s="404"/>
      <c r="E39" s="404"/>
      <c r="F39" s="404"/>
      <c r="G39" s="404"/>
    </row>
    <row r="40" spans="1:7" s="93" customFormat="1" ht="14.25" customHeight="1">
      <c r="A40" s="153" t="s">
        <v>1</v>
      </c>
      <c r="B40" s="154" t="s">
        <v>10</v>
      </c>
      <c r="C40" s="153" t="s">
        <v>15</v>
      </c>
      <c r="D40" s="153" t="s">
        <v>11</v>
      </c>
      <c r="E40" s="153" t="s">
        <v>12</v>
      </c>
      <c r="F40" s="153" t="s">
        <v>13</v>
      </c>
      <c r="G40" s="153" t="s">
        <v>14</v>
      </c>
    </row>
    <row r="41" spans="1:7" s="93" customFormat="1" ht="14.25" customHeight="1">
      <c r="A41" s="94" t="s">
        <v>238</v>
      </c>
      <c r="B41" s="99"/>
      <c r="C41" s="100"/>
      <c r="D41" s="101"/>
      <c r="E41" s="101"/>
      <c r="F41" s="101"/>
      <c r="G41" s="101"/>
    </row>
    <row r="42" spans="1:7" s="93" customFormat="1" ht="14.25" customHeight="1">
      <c r="A42" s="94" t="s">
        <v>239</v>
      </c>
      <c r="B42" s="99"/>
      <c r="C42" s="100"/>
      <c r="D42" s="101"/>
      <c r="E42" s="101"/>
      <c r="F42" s="101"/>
      <c r="G42" s="101"/>
    </row>
    <row r="43" spans="1:7">
      <c r="A43" s="262"/>
      <c r="B43" s="263"/>
      <c r="C43" s="264"/>
      <c r="D43" s="265"/>
      <c r="E43" s="265"/>
      <c r="F43" s="267"/>
      <c r="G43" s="268"/>
    </row>
    <row r="44" spans="1:7" ht="14">
      <c r="A44" s="421" t="s">
        <v>16</v>
      </c>
      <c r="B44" s="421"/>
      <c r="C44" s="421"/>
      <c r="D44" s="421"/>
      <c r="E44" s="421"/>
      <c r="F44" s="421"/>
      <c r="G44" s="421"/>
    </row>
    <row r="45" spans="1:7" ht="12.5">
      <c r="A45" s="153" t="s">
        <v>1</v>
      </c>
      <c r="B45" s="409" t="s">
        <v>17</v>
      </c>
      <c r="C45" s="409"/>
      <c r="D45" s="409"/>
      <c r="E45" s="409"/>
      <c r="F45" s="409"/>
      <c r="G45" s="409"/>
    </row>
    <row r="46" spans="1:7" ht="15" customHeight="1">
      <c r="A46" s="111" t="s">
        <v>18</v>
      </c>
      <c r="B46" s="159" t="s">
        <v>115</v>
      </c>
      <c r="C46" s="159"/>
      <c r="D46" s="159"/>
      <c r="E46" s="159"/>
      <c r="F46" s="159"/>
      <c r="G46" s="159"/>
    </row>
    <row r="47" spans="1:7" ht="15" customHeight="1">
      <c r="A47" s="112" t="s">
        <v>143</v>
      </c>
      <c r="B47" s="403" t="s">
        <v>19</v>
      </c>
      <c r="C47" s="403"/>
      <c r="D47" s="403"/>
      <c r="E47" s="403"/>
      <c r="F47" s="403"/>
      <c r="G47" s="403"/>
    </row>
    <row r="48" spans="1:7" ht="30" customHeight="1">
      <c r="A48" s="112" t="s">
        <v>142</v>
      </c>
      <c r="B48" s="410" t="s">
        <v>20</v>
      </c>
      <c r="C48" s="410"/>
      <c r="D48" s="410"/>
      <c r="E48" s="410"/>
      <c r="F48" s="410"/>
      <c r="G48" s="410"/>
    </row>
    <row r="49" spans="1:7" ht="30" customHeight="1">
      <c r="A49" s="113" t="s">
        <v>144</v>
      </c>
      <c r="B49" s="408" t="s">
        <v>184</v>
      </c>
      <c r="C49" s="408"/>
      <c r="D49" s="408"/>
      <c r="E49" s="408"/>
      <c r="F49" s="408"/>
      <c r="G49" s="408"/>
    </row>
    <row r="50" spans="1:7" ht="27" customHeight="1">
      <c r="A50" s="112" t="s">
        <v>145</v>
      </c>
      <c r="B50" s="407" t="s">
        <v>164</v>
      </c>
      <c r="C50" s="407"/>
      <c r="D50" s="407"/>
      <c r="E50" s="407"/>
      <c r="F50" s="407"/>
      <c r="G50" s="407"/>
    </row>
    <row r="51" spans="1:7" ht="15" customHeight="1">
      <c r="A51" s="113" t="s">
        <v>186</v>
      </c>
      <c r="B51" s="408" t="s">
        <v>240</v>
      </c>
      <c r="C51" s="408"/>
      <c r="D51" s="408"/>
      <c r="E51" s="408"/>
      <c r="F51" s="408"/>
      <c r="G51" s="408"/>
    </row>
    <row r="52" spans="1:7" ht="29.25" customHeight="1">
      <c r="A52" s="112" t="s">
        <v>146</v>
      </c>
      <c r="B52" s="410" t="s">
        <v>165</v>
      </c>
      <c r="C52" s="410"/>
      <c r="D52" s="410"/>
      <c r="E52" s="410"/>
      <c r="F52" s="410"/>
      <c r="G52" s="410"/>
    </row>
    <row r="53" spans="1:7" ht="17.25" customHeight="1">
      <c r="A53" s="112" t="s">
        <v>150</v>
      </c>
      <c r="B53" s="403" t="s">
        <v>21</v>
      </c>
      <c r="C53" s="403"/>
      <c r="D53" s="403"/>
      <c r="E53" s="403"/>
      <c r="F53" s="403"/>
      <c r="G53" s="403"/>
    </row>
    <row r="54" spans="1:7" ht="17.25" customHeight="1">
      <c r="A54" s="112" t="s">
        <v>158</v>
      </c>
      <c r="B54" s="420" t="s">
        <v>189</v>
      </c>
      <c r="C54" s="420"/>
      <c r="D54" s="420"/>
      <c r="E54" s="420"/>
      <c r="F54" s="420"/>
      <c r="G54" s="420"/>
    </row>
    <row r="55" spans="1:7" ht="17.25" customHeight="1">
      <c r="A55" s="112" t="s">
        <v>241</v>
      </c>
      <c r="B55" s="403" t="s">
        <v>190</v>
      </c>
      <c r="C55" s="403"/>
      <c r="D55" s="403"/>
      <c r="E55" s="403"/>
      <c r="F55" s="403"/>
      <c r="G55" s="403"/>
    </row>
  </sheetData>
  <sheetProtection algorithmName="SHA-512" hashValue="lp4UnvJFcHsxO2vOqLYWZRa8/qKduMEqoVR384gm32h4DdYA9e/bHDp4H088yKD4KJJIvzSxWicgYFSSE0n0jA==" saltValue="gOnLxXb/m0tnwaJb6TMrFA==" spinCount="100000" sheet="1" objects="1" scenarios="1"/>
  <mergeCells count="30">
    <mergeCell ref="B55:G55"/>
    <mergeCell ref="B49:G49"/>
    <mergeCell ref="B50:G50"/>
    <mergeCell ref="B51:G51"/>
    <mergeCell ref="B52:G52"/>
    <mergeCell ref="B53:G53"/>
    <mergeCell ref="B54:G54"/>
    <mergeCell ref="B48:G48"/>
    <mergeCell ref="A24:G24"/>
    <mergeCell ref="C25:D25"/>
    <mergeCell ref="C26:D26"/>
    <mergeCell ref="A28:G28"/>
    <mergeCell ref="C29:D29"/>
    <mergeCell ref="C30:D30"/>
    <mergeCell ref="A34:G34"/>
    <mergeCell ref="A39:G39"/>
    <mergeCell ref="A44:G44"/>
    <mergeCell ref="B45:G45"/>
    <mergeCell ref="B47:G47"/>
    <mergeCell ref="C20:C21"/>
    <mergeCell ref="A1:D1"/>
    <mergeCell ref="F1:G1"/>
    <mergeCell ref="A2:G2"/>
    <mergeCell ref="A7:G7"/>
    <mergeCell ref="D12:E12"/>
    <mergeCell ref="A13:G13"/>
    <mergeCell ref="D14:E14"/>
    <mergeCell ref="C15:C16"/>
    <mergeCell ref="A18:G18"/>
    <mergeCell ref="D19:E19"/>
  </mergeCells>
  <dataValidations count="2">
    <dataValidation operator="lessThanOrEqual" allowBlank="1" showInputMessage="1" showErrorMessage="1" sqref="B8:G8 F12:G12 B12:D12 D23:G23 G25 B3:G3 B40:G43 C15 F20:G22 B35:G38 B14:B16 E29:G29 B45:B55 B20:C23 D15:D17 F15:G17 B17:C17 E31 B19 D21 E25:F27 B25:C27 F30:F31 B29:C31 B32:G33" xr:uid="{3A3F049F-E2EF-4952-B743-19DFBECF6C2C}"/>
    <dataValidation type="decimal" operator="lessThanOrEqual" allowBlank="1" showInputMessage="1" showErrorMessage="1" error="Deze invoer voldoet niet aan voorwaarde E" sqref="D20:E20" xr:uid="{C3EA1FC9-C975-4E6A-8177-6EBD8B9D02B7}">
      <formula1>D15</formula1>
    </dataValidation>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1">
        <x14:dataValidation type="custom" operator="lessThanOrEqual" allowBlank="1" showInputMessage="1" showErrorMessage="1" xr:uid="{5A8B04F4-514F-46B7-9BED-2AFAB17E3B67}">
          <x14:formula1>
            <xm:f>D22&lt;=1-(('2.Kwal gunn.criteria 2030-2033'!D73+'2.Kwal gunn.criteria 2030-2033'!D74)/1000)</xm:f>
          </x14:formula1>
          <xm:sqref>D22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18"/>
  <sheetViews>
    <sheetView showGridLines="0" view="pageBreakPreview" zoomScale="98" zoomScaleNormal="100" zoomScaleSheetLayoutView="98" workbookViewId="0">
      <selection activeCell="J22" sqref="J22"/>
    </sheetView>
  </sheetViews>
  <sheetFormatPr defaultColWidth="9.1796875" defaultRowHeight="13.5"/>
  <cols>
    <col min="1" max="1" width="37.81640625" style="50" customWidth="1"/>
    <col min="2" max="2" width="42.453125" style="50" customWidth="1"/>
    <col min="3" max="3" width="30.7265625" style="51" customWidth="1"/>
    <col min="4" max="16384" width="9.1796875" style="50"/>
  </cols>
  <sheetData>
    <row r="1" spans="1:4" ht="57" customHeight="1">
      <c r="A1" s="402" t="s">
        <v>305</v>
      </c>
      <c r="B1" s="402"/>
      <c r="C1" s="402"/>
    </row>
    <row r="2" spans="1:4" ht="18.75" customHeight="1">
      <c r="A2" s="206" t="s">
        <v>45</v>
      </c>
      <c r="B2" s="207" t="s">
        <v>2</v>
      </c>
      <c r="C2" s="208"/>
    </row>
    <row r="3" spans="1:4" ht="15" customHeight="1">
      <c r="A3" s="306" t="s">
        <v>263</v>
      </c>
      <c r="B3" s="310" t="s">
        <v>261</v>
      </c>
      <c r="C3" s="311">
        <f>'2.Kwal gunningscriteria 2026'!E81</f>
        <v>0</v>
      </c>
      <c r="D3" s="209"/>
    </row>
    <row r="4" spans="1:4" ht="15" customHeight="1">
      <c r="A4" s="306" t="s">
        <v>264</v>
      </c>
      <c r="B4" s="310" t="s">
        <v>262</v>
      </c>
      <c r="C4" s="311">
        <f>'3. Prijsinvulformulier 2026'!G22</f>
        <v>1228897.28</v>
      </c>
    </row>
    <row r="5" spans="1:4" ht="15" customHeight="1">
      <c r="A5" s="432" t="s">
        <v>265</v>
      </c>
      <c r="B5" s="433"/>
      <c r="C5" s="312">
        <f>C4+C3</f>
        <v>1228897.28</v>
      </c>
    </row>
    <row r="6" spans="1:4" ht="15.75" customHeight="1">
      <c r="A6" s="306" t="s">
        <v>266</v>
      </c>
      <c r="B6" s="310" t="s">
        <v>269</v>
      </c>
      <c r="C6" s="311">
        <f>'2.Kwal gunningscriteria 2027'!E128</f>
        <v>0</v>
      </c>
      <c r="D6" s="209"/>
    </row>
    <row r="7" spans="1:4" ht="15.75" customHeight="1">
      <c r="A7" s="306" t="s">
        <v>267</v>
      </c>
      <c r="B7" s="310" t="s">
        <v>270</v>
      </c>
      <c r="C7" s="311">
        <f>'3. Prijsinvulformulier 2027'!G32</f>
        <v>1427658.96</v>
      </c>
    </row>
    <row r="8" spans="1:4" ht="15.75" customHeight="1">
      <c r="A8" s="432" t="s">
        <v>268</v>
      </c>
      <c r="B8" s="433"/>
      <c r="C8" s="312">
        <f>C7+C6</f>
        <v>1427658.96</v>
      </c>
    </row>
    <row r="9" spans="1:4" ht="15.75" customHeight="1">
      <c r="A9" s="306" t="s">
        <v>271</v>
      </c>
      <c r="B9" s="126" t="s">
        <v>272</v>
      </c>
      <c r="C9" s="311">
        <f>'2.Kwal gunningscriteria 2028'!E128</f>
        <v>0</v>
      </c>
      <c r="D9" s="209"/>
    </row>
    <row r="10" spans="1:4" ht="15.75" customHeight="1">
      <c r="A10" s="306" t="s">
        <v>273</v>
      </c>
      <c r="B10" s="126" t="s">
        <v>274</v>
      </c>
      <c r="C10" s="311">
        <f>'3. Prijsinvulformulier 2028'!G32</f>
        <v>1626420.64</v>
      </c>
    </row>
    <row r="11" spans="1:4" ht="15.75" customHeight="1">
      <c r="A11" s="432" t="s">
        <v>275</v>
      </c>
      <c r="B11" s="433"/>
      <c r="C11" s="312">
        <f>C10+C9</f>
        <v>1626420.64</v>
      </c>
    </row>
    <row r="12" spans="1:4" ht="15.75" customHeight="1">
      <c r="A12" s="306" t="s">
        <v>277</v>
      </c>
      <c r="B12" s="310" t="s">
        <v>279</v>
      </c>
      <c r="C12" s="311">
        <f>'2.Kwal gunningscriteria 2029'!E128</f>
        <v>0</v>
      </c>
      <c r="D12" s="209"/>
    </row>
    <row r="13" spans="1:4" ht="15.75" customHeight="1">
      <c r="A13" s="306" t="s">
        <v>278</v>
      </c>
      <c r="B13" s="310" t="s">
        <v>280</v>
      </c>
      <c r="C13" s="311">
        <f>'3. Prijsinvulformulier 2029'!G32</f>
        <v>1825182.3200000003</v>
      </c>
    </row>
    <row r="14" spans="1:4" ht="15.75" customHeight="1">
      <c r="A14" s="432" t="s">
        <v>276</v>
      </c>
      <c r="B14" s="433"/>
      <c r="C14" s="312">
        <f>C13+C12</f>
        <v>1825182.3200000003</v>
      </c>
    </row>
    <row r="15" spans="1:4" ht="15.75" customHeight="1">
      <c r="A15" s="309" t="s">
        <v>281</v>
      </c>
      <c r="B15" s="309" t="s">
        <v>284</v>
      </c>
      <c r="C15" s="313">
        <f>'2.Kwal gunn.criteria 2030-2033'!E128</f>
        <v>0</v>
      </c>
      <c r="D15" s="209"/>
    </row>
    <row r="16" spans="1:4" ht="15.75" customHeight="1">
      <c r="A16" s="309" t="s">
        <v>282</v>
      </c>
      <c r="B16" s="309" t="s">
        <v>285</v>
      </c>
      <c r="C16" s="308">
        <f>'3.Prijsinvulformulier 2030-2033'!G32</f>
        <v>7300729.2800000012</v>
      </c>
    </row>
    <row r="17" spans="1:3" ht="15.75" customHeight="1">
      <c r="A17" s="307" t="s">
        <v>283</v>
      </c>
      <c r="B17" s="307"/>
      <c r="C17" s="312">
        <f>C16+C15</f>
        <v>7300729.2800000012</v>
      </c>
    </row>
    <row r="18" spans="1:3" ht="34.5" customHeight="1">
      <c r="A18" s="402" t="s">
        <v>163</v>
      </c>
      <c r="B18" s="402"/>
      <c r="C18" s="211">
        <f>C5+C8+C11+C14+C17</f>
        <v>13408888.48</v>
      </c>
    </row>
  </sheetData>
  <sheetProtection algorithmName="SHA-512" hashValue="lRFmbWEDNXUZfFF8GiRADQWn7+CAJYyBtMyoQP/fppTFp39SNRFZNRJKs6j7pHn0eCnNSYyDSjJ5dyJIv+Xv9w==" saltValue="n6RbdMUG+7GldVAFex+KWA==" spinCount="100000" sheet="1" objects="1" scenarios="1"/>
  <mergeCells count="6">
    <mergeCell ref="A1:C1"/>
    <mergeCell ref="A18:B18"/>
    <mergeCell ref="A8:B8"/>
    <mergeCell ref="A5:B5"/>
    <mergeCell ref="A11:B11"/>
    <mergeCell ref="A14:B14"/>
  </mergeCells>
  <dataValidations count="1">
    <dataValidation operator="lessThanOrEqual" allowBlank="1" showInputMessage="1" showErrorMessage="1" sqref="A18 B6:B7 B2:B4 B9:B10 B12:B13 C2:C18" xr:uid="{BC0333D7-B4A4-44F9-A712-11D777960C39}"/>
  </dataValidation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6CB3-1D68-4B94-83D8-69E3192EA9C8}">
  <sheetPr>
    <pageSetUpPr fitToPage="1"/>
  </sheetPr>
  <dimension ref="A1:G15"/>
  <sheetViews>
    <sheetView view="pageBreakPreview" zoomScale="115" zoomScaleNormal="100" zoomScaleSheetLayoutView="115" workbookViewId="0">
      <selection activeCell="A9" sqref="A9"/>
    </sheetView>
  </sheetViews>
  <sheetFormatPr defaultColWidth="9.1796875" defaultRowHeight="13.5"/>
  <cols>
    <col min="1" max="1" width="119.26953125" style="31" customWidth="1"/>
    <col min="2" max="2" width="60.7265625" style="152" customWidth="1"/>
    <col min="3" max="3" width="2.7265625" style="31" customWidth="1"/>
    <col min="4" max="16384" width="9.1796875" style="31"/>
  </cols>
  <sheetData>
    <row r="1" spans="1:7" s="15" customFormat="1" ht="48" customHeight="1">
      <c r="A1" s="137" t="s">
        <v>294</v>
      </c>
      <c r="B1" s="149"/>
    </row>
    <row r="2" spans="1:7" s="15" customFormat="1" ht="15" customHeight="1">
      <c r="A2" s="32"/>
      <c r="B2" s="149"/>
      <c r="C2" s="30"/>
      <c r="D2" s="30"/>
      <c r="E2" s="30"/>
      <c r="F2" s="30"/>
      <c r="G2" s="30"/>
    </row>
    <row r="3" spans="1:7" s="15" customFormat="1" ht="30" customHeight="1">
      <c r="A3" s="33" t="s">
        <v>147</v>
      </c>
      <c r="B3" s="162"/>
    </row>
    <row r="4" spans="1:7" s="15" customFormat="1" ht="12.5">
      <c r="A4" s="34" t="s">
        <v>114</v>
      </c>
      <c r="B4" s="149"/>
    </row>
    <row r="5" spans="1:7" s="15" customFormat="1" ht="12.5">
      <c r="A5" s="35"/>
      <c r="B5" s="149"/>
    </row>
    <row r="6" spans="1:7" s="15" customFormat="1" ht="12.5">
      <c r="A6" s="36" t="s">
        <v>113</v>
      </c>
      <c r="B6" s="149"/>
    </row>
    <row r="7" spans="1:7" s="15" customFormat="1" ht="23">
      <c r="A7" s="52" t="s">
        <v>117</v>
      </c>
      <c r="B7" s="149"/>
    </row>
    <row r="8" spans="1:7" s="15" customFormat="1" ht="57.5">
      <c r="A8" s="182" t="s">
        <v>192</v>
      </c>
      <c r="B8" s="189"/>
    </row>
    <row r="9" spans="1:7" s="15" customFormat="1" ht="179.25" customHeight="1">
      <c r="A9" s="53" t="s">
        <v>191</v>
      </c>
      <c r="B9" s="151"/>
    </row>
    <row r="10" spans="1:7">
      <c r="C10" s="15"/>
    </row>
    <row r="11" spans="1:7">
      <c r="C11" s="15"/>
    </row>
    <row r="12" spans="1:7">
      <c r="A12" s="15"/>
      <c r="B12" s="149"/>
      <c r="C12" s="15"/>
    </row>
    <row r="15" spans="1:7">
      <c r="A15" s="15"/>
    </row>
  </sheetData>
  <sheetProtection algorithmName="SHA-512" hashValue="LA+Cw6t6LUscxAEMrAKQbq+VwGiFkjeSwQ6r+/BbZ8LBkYbARt5OuaE9bYYuOTOoY34l0SlPu2F6FQs7DYo4ig==" saltValue="PMvbV2HyXjPkakWNcMhSMw==" spinCount="100000" sheet="1" objects="1" scenarios="1"/>
  <pageMargins left="0.7" right="0.7" top="0.75" bottom="0.75" header="0.3" footer="0.3"/>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7FE6C-A74E-42F6-BCCD-03B36AA74B18}">
  <sheetPr>
    <pageSetUpPr fitToPage="1"/>
  </sheetPr>
  <dimension ref="A1:S118"/>
  <sheetViews>
    <sheetView showGridLines="0" view="pageBreakPreview" topLeftCell="A39" zoomScale="91" zoomScaleNormal="80" zoomScaleSheetLayoutView="91" workbookViewId="0">
      <selection activeCell="A84" sqref="A84:G84"/>
    </sheetView>
  </sheetViews>
  <sheetFormatPr defaultColWidth="9.1796875" defaultRowHeight="13.5"/>
  <cols>
    <col min="1" max="1" width="6.7265625" style="54" customWidth="1"/>
    <col min="2" max="2" width="16.81640625" style="54" customWidth="1"/>
    <col min="3" max="3" width="57.26953125" style="54" customWidth="1"/>
    <col min="4" max="4" width="44.453125" style="67" customWidth="1"/>
    <col min="5" max="5" width="38.453125" style="67" customWidth="1"/>
    <col min="6" max="6" width="19.1796875" style="67" bestFit="1" customWidth="1"/>
    <col min="7" max="7" width="52.54296875" style="67" customWidth="1"/>
    <col min="8" max="8" width="15.1796875" style="54" bestFit="1" customWidth="1"/>
    <col min="9" max="9" width="54.81640625" style="192" customWidth="1"/>
    <col min="10" max="10" width="22" style="54" customWidth="1"/>
    <col min="11" max="16384" width="9.1796875" style="54"/>
  </cols>
  <sheetData>
    <row r="1" spans="1:19" ht="58.5" customHeight="1">
      <c r="A1" s="383" t="s">
        <v>295</v>
      </c>
      <c r="B1" s="383"/>
      <c r="C1" s="383"/>
      <c r="D1" s="383"/>
      <c r="E1" s="383"/>
      <c r="F1" s="272" t="s">
        <v>156</v>
      </c>
      <c r="G1" s="381" t="s">
        <v>157</v>
      </c>
      <c r="H1" s="381"/>
    </row>
    <row r="2" spans="1:19" s="14" customFormat="1" ht="25" customHeight="1">
      <c r="A2" s="212"/>
      <c r="B2" s="213"/>
      <c r="C2" s="274"/>
      <c r="D2" s="214"/>
      <c r="E2" s="214"/>
      <c r="F2" s="214"/>
      <c r="G2" s="214"/>
      <c r="H2" s="215"/>
      <c r="I2" s="190"/>
    </row>
    <row r="3" spans="1:19" s="14" customFormat="1" ht="25" customHeight="1">
      <c r="A3" s="212"/>
      <c r="B3" s="382" t="s">
        <v>209</v>
      </c>
      <c r="C3" s="382"/>
      <c r="D3" s="382"/>
      <c r="E3" s="214"/>
      <c r="F3" s="214"/>
      <c r="G3" s="214"/>
      <c r="H3" s="215"/>
      <c r="I3" s="190"/>
    </row>
    <row r="4" spans="1:19" s="55" customFormat="1" ht="19.5" customHeight="1">
      <c r="A4" s="338" t="s">
        <v>255</v>
      </c>
      <c r="B4" s="339"/>
      <c r="C4" s="339"/>
      <c r="D4" s="339"/>
      <c r="E4" s="339"/>
      <c r="F4" s="339"/>
      <c r="G4" s="340"/>
      <c r="H4" s="216"/>
      <c r="I4" s="195"/>
    </row>
    <row r="5" spans="1:19" s="55" customFormat="1" ht="19.5" customHeight="1">
      <c r="A5" s="341" t="s">
        <v>129</v>
      </c>
      <c r="B5" s="342"/>
      <c r="C5" s="342"/>
      <c r="D5" s="342"/>
      <c r="E5" s="342"/>
      <c r="F5" s="342"/>
      <c r="G5" s="343"/>
      <c r="H5" s="217"/>
      <c r="I5" s="271"/>
    </row>
    <row r="6" spans="1:19" s="55" customFormat="1" ht="62.5">
      <c r="A6" s="379"/>
      <c r="B6" s="380"/>
      <c r="C6" s="68" t="s">
        <v>196</v>
      </c>
      <c r="D6" s="38" t="s">
        <v>121</v>
      </c>
      <c r="E6" s="218"/>
      <c r="F6" s="218"/>
      <c r="G6" s="17"/>
      <c r="H6" s="217"/>
      <c r="I6" s="195"/>
    </row>
    <row r="7" spans="1:19" s="55" customFormat="1" ht="62.5">
      <c r="A7" s="379"/>
      <c r="B7" s="380"/>
      <c r="C7" s="68" t="s">
        <v>197</v>
      </c>
      <c r="D7" s="38" t="s">
        <v>121</v>
      </c>
      <c r="E7" s="218"/>
      <c r="F7" s="218"/>
      <c r="G7" s="17"/>
      <c r="H7" s="217"/>
      <c r="I7" s="195"/>
    </row>
    <row r="8" spans="1:19" s="58" customFormat="1" ht="36.75" customHeight="1" thickBot="1">
      <c r="A8" s="356" t="s">
        <v>211</v>
      </c>
      <c r="B8" s="357"/>
      <c r="C8" s="128" t="s">
        <v>159</v>
      </c>
      <c r="D8" s="278">
        <v>1</v>
      </c>
      <c r="E8" s="219"/>
      <c r="F8" s="18"/>
      <c r="G8" s="69"/>
      <c r="H8" s="220"/>
      <c r="I8" s="193"/>
      <c r="J8" s="57"/>
      <c r="K8" s="57"/>
      <c r="L8" s="57"/>
      <c r="M8" s="59"/>
      <c r="N8" s="59"/>
      <c r="O8" s="60"/>
      <c r="P8" s="57"/>
      <c r="S8" s="59"/>
    </row>
    <row r="9" spans="1:19" s="58" customFormat="1" ht="28.5" thickBot="1">
      <c r="A9" s="358"/>
      <c r="B9" s="359"/>
      <c r="C9" s="61" t="s">
        <v>128</v>
      </c>
      <c r="D9" s="37"/>
      <c r="E9" s="221" t="s">
        <v>48</v>
      </c>
      <c r="F9" s="222">
        <f>D9*(('3. Prijsinvulformulier 2026'!F10)*D8)</f>
        <v>0</v>
      </c>
      <c r="G9" s="19" t="s">
        <v>130</v>
      </c>
      <c r="H9" s="223">
        <f>((F10-(F10*F11))*F9)/1000000</f>
        <v>0</v>
      </c>
      <c r="I9" s="193"/>
      <c r="J9" s="57"/>
      <c r="K9" s="57"/>
      <c r="L9" s="57"/>
      <c r="M9" s="59"/>
      <c r="N9" s="59"/>
      <c r="O9" s="60"/>
      <c r="P9" s="57"/>
      <c r="S9" s="59"/>
    </row>
    <row r="10" spans="1:19" s="58" customFormat="1" ht="25">
      <c r="A10" s="358"/>
      <c r="B10" s="359"/>
      <c r="C10" s="61" t="s">
        <v>125</v>
      </c>
      <c r="D10" s="37" t="s">
        <v>25</v>
      </c>
      <c r="E10" s="221" t="s">
        <v>106</v>
      </c>
      <c r="F10" s="219">
        <f>VLOOKUP(D10,$D$88:$E$94,2,FALSE)</f>
        <v>0</v>
      </c>
      <c r="G10" s="20"/>
      <c r="H10" s="224">
        <f>H9*$G$51</f>
        <v>0</v>
      </c>
      <c r="I10" s="191"/>
      <c r="J10" s="57"/>
      <c r="K10" s="57"/>
      <c r="L10" s="57"/>
      <c r="M10" s="59"/>
      <c r="N10" s="59"/>
      <c r="O10" s="60"/>
      <c r="P10" s="57"/>
      <c r="S10" s="59"/>
    </row>
    <row r="11" spans="1:19" s="58" customFormat="1" ht="29.5" thickBot="1">
      <c r="A11" s="360"/>
      <c r="B11" s="361"/>
      <c r="C11" s="61" t="s">
        <v>126</v>
      </c>
      <c r="D11" s="37" t="s">
        <v>25</v>
      </c>
      <c r="E11" s="221" t="s">
        <v>107</v>
      </c>
      <c r="F11" s="225">
        <f>IF(D8=0,0,(1-(VLOOKUP(D11,$D$97:$G$116,2,FALSE))))</f>
        <v>1</v>
      </c>
      <c r="G11" s="21"/>
      <c r="H11" s="220"/>
      <c r="I11" s="193"/>
      <c r="J11" s="57"/>
      <c r="K11" s="57"/>
      <c r="L11" s="57"/>
      <c r="M11" s="59"/>
      <c r="N11" s="59"/>
      <c r="O11" s="60"/>
      <c r="P11" s="57"/>
      <c r="S11" s="59"/>
    </row>
    <row r="12" spans="1:19" s="58" customFormat="1" ht="19.899999999999999" customHeight="1" thickBot="1">
      <c r="A12" s="62"/>
      <c r="B12" s="226"/>
      <c r="C12" s="18"/>
      <c r="D12" s="18"/>
      <c r="E12" s="221"/>
      <c r="F12" s="70"/>
      <c r="G12" s="138" t="s">
        <v>119</v>
      </c>
      <c r="H12" s="227">
        <f>H10</f>
        <v>0</v>
      </c>
      <c r="I12" s="193"/>
      <c r="J12" s="57"/>
      <c r="K12" s="57"/>
      <c r="L12" s="57"/>
      <c r="M12" s="63"/>
      <c r="N12" s="63"/>
      <c r="O12" s="64"/>
      <c r="P12" s="57"/>
      <c r="S12" s="63"/>
    </row>
    <row r="13" spans="1:19" s="58" customFormat="1" ht="15.75" customHeight="1" thickBot="1">
      <c r="A13" s="62"/>
      <c r="B13" s="226"/>
      <c r="C13" s="18"/>
      <c r="D13" s="18"/>
      <c r="E13" s="221"/>
      <c r="F13" s="70"/>
      <c r="G13" s="17"/>
      <c r="H13" s="220"/>
      <c r="I13" s="193"/>
      <c r="J13" s="57"/>
      <c r="K13" s="57"/>
      <c r="L13" s="57"/>
      <c r="M13" s="63"/>
      <c r="N13" s="63"/>
      <c r="O13" s="64"/>
      <c r="P13" s="57"/>
      <c r="S13" s="63"/>
    </row>
    <row r="14" spans="1:19" s="55" customFormat="1" ht="22.5" customHeight="1" thickBot="1">
      <c r="A14" s="348" t="s">
        <v>286</v>
      </c>
      <c r="B14" s="349"/>
      <c r="C14" s="349"/>
      <c r="D14" s="349"/>
      <c r="E14" s="349"/>
      <c r="F14" s="349"/>
      <c r="G14" s="350"/>
      <c r="H14" s="217"/>
      <c r="I14" s="195"/>
    </row>
    <row r="15" spans="1:19" s="65" customFormat="1" ht="75.5" thickBot="1">
      <c r="A15" s="354" t="s">
        <v>256</v>
      </c>
      <c r="B15" s="355"/>
      <c r="C15" s="104" t="s">
        <v>120</v>
      </c>
      <c r="D15" s="105" t="s">
        <v>121</v>
      </c>
      <c r="E15" s="351"/>
      <c r="F15" s="352"/>
      <c r="G15" s="353"/>
      <c r="H15" s="228"/>
      <c r="I15" s="196"/>
    </row>
    <row r="16" spans="1:19" s="65" customFormat="1" ht="28.5" thickBot="1">
      <c r="A16" s="344"/>
      <c r="B16" s="344"/>
      <c r="C16" s="140" t="s">
        <v>101</v>
      </c>
      <c r="D16" s="345" t="s">
        <v>22</v>
      </c>
      <c r="E16" s="345"/>
      <c r="F16" s="141" t="s">
        <v>62</v>
      </c>
      <c r="G16" s="139" t="s">
        <v>63</v>
      </c>
      <c r="H16" s="228"/>
      <c r="I16" s="196"/>
    </row>
    <row r="17" spans="1:9" s="65" customFormat="1" ht="27.5">
      <c r="A17" s="368" t="s">
        <v>257</v>
      </c>
      <c r="B17" s="368"/>
      <c r="C17" s="368"/>
      <c r="D17" s="143"/>
      <c r="E17" s="143"/>
      <c r="F17" s="142" t="s">
        <v>149</v>
      </c>
      <c r="G17" s="39"/>
      <c r="H17" s="228"/>
      <c r="I17" s="196"/>
    </row>
    <row r="18" spans="1:9" s="65" customFormat="1" ht="25.5" thickBot="1">
      <c r="A18" s="229"/>
      <c r="B18" s="369"/>
      <c r="C18" s="75" t="s">
        <v>64</v>
      </c>
      <c r="D18" s="76" t="s">
        <v>138</v>
      </c>
      <c r="E18" s="371" t="s">
        <v>108</v>
      </c>
      <c r="F18" s="371"/>
      <c r="G18" s="103"/>
      <c r="H18" s="228"/>
      <c r="I18" s="194"/>
    </row>
    <row r="19" spans="1:9" s="65" customFormat="1">
      <c r="A19" s="229"/>
      <c r="B19" s="370"/>
      <c r="C19" s="78" t="s">
        <v>65</v>
      </c>
      <c r="D19" s="90"/>
      <c r="E19" s="79" t="s">
        <v>66</v>
      </c>
      <c r="F19" s="80">
        <v>0.36499999999999999</v>
      </c>
      <c r="G19" s="25">
        <f>D19*F19</f>
        <v>0</v>
      </c>
      <c r="H19" s="228"/>
      <c r="I19" s="196"/>
    </row>
    <row r="20" spans="1:9" s="65" customFormat="1">
      <c r="A20" s="229"/>
      <c r="B20" s="370"/>
      <c r="C20" s="22" t="s">
        <v>67</v>
      </c>
      <c r="D20" s="40"/>
      <c r="E20" s="23" t="s">
        <v>66</v>
      </c>
      <c r="F20" s="24">
        <v>0.20499999999999999</v>
      </c>
      <c r="G20" s="25">
        <f>D20*F20</f>
        <v>0</v>
      </c>
      <c r="H20" s="228"/>
      <c r="I20" s="196"/>
    </row>
    <row r="21" spans="1:9" s="65" customFormat="1" ht="14" thickBot="1">
      <c r="A21" s="229"/>
      <c r="B21" s="370"/>
      <c r="C21" s="71" t="s">
        <v>68</v>
      </c>
      <c r="D21" s="89"/>
      <c r="E21" s="72" t="s">
        <v>66</v>
      </c>
      <c r="F21" s="73">
        <v>0.20499999999999999</v>
      </c>
      <c r="G21" s="74">
        <f>D21*F21</f>
        <v>0</v>
      </c>
      <c r="H21" s="228"/>
      <c r="I21" s="196"/>
    </row>
    <row r="22" spans="1:9" s="65" customFormat="1" ht="25.5" thickBot="1">
      <c r="A22" s="229"/>
      <c r="B22" s="370"/>
      <c r="C22" s="75" t="s">
        <v>69</v>
      </c>
      <c r="D22" s="76" t="s">
        <v>138</v>
      </c>
      <c r="E22" s="374" t="s">
        <v>109</v>
      </c>
      <c r="F22" s="375"/>
      <c r="G22" s="77"/>
      <c r="H22" s="228"/>
      <c r="I22" s="196"/>
    </row>
    <row r="23" spans="1:9" s="65" customFormat="1" ht="14.5">
      <c r="A23" s="229"/>
      <c r="B23" s="370"/>
      <c r="C23" s="78" t="s">
        <v>70</v>
      </c>
      <c r="D23" s="90"/>
      <c r="E23" s="79" t="s">
        <v>110</v>
      </c>
      <c r="F23" s="80">
        <v>1.8</v>
      </c>
      <c r="G23" s="25">
        <f>D23*F23</f>
        <v>0</v>
      </c>
      <c r="H23" s="228"/>
      <c r="I23" s="196"/>
    </row>
    <row r="24" spans="1:9" s="65" customFormat="1" ht="15" thickBot="1">
      <c r="A24" s="229"/>
      <c r="B24" s="370"/>
      <c r="C24" s="71" t="s">
        <v>71</v>
      </c>
      <c r="D24" s="89"/>
      <c r="E24" s="72" t="s">
        <v>110</v>
      </c>
      <c r="F24" s="81">
        <v>2</v>
      </c>
      <c r="G24" s="74">
        <f>D24*F24</f>
        <v>0</v>
      </c>
      <c r="H24" s="228"/>
      <c r="I24" s="196"/>
    </row>
    <row r="25" spans="1:9" s="65" customFormat="1" ht="25.5" thickBot="1">
      <c r="A25" s="229"/>
      <c r="B25" s="370"/>
      <c r="C25" s="75" t="s">
        <v>72</v>
      </c>
      <c r="D25" s="76" t="s">
        <v>138</v>
      </c>
      <c r="E25" s="374" t="s">
        <v>111</v>
      </c>
      <c r="F25" s="375"/>
      <c r="G25" s="77"/>
      <c r="H25" s="228"/>
      <c r="I25" s="196"/>
    </row>
    <row r="26" spans="1:9" s="65" customFormat="1">
      <c r="A26" s="229"/>
      <c r="B26" s="370"/>
      <c r="C26" s="78" t="s">
        <v>198</v>
      </c>
      <c r="D26" s="90"/>
      <c r="E26" s="79" t="s">
        <v>73</v>
      </c>
      <c r="F26" s="82">
        <v>1.5</v>
      </c>
      <c r="G26" s="25">
        <f t="shared" ref="G26:G40" si="0">D26*F26</f>
        <v>0</v>
      </c>
      <c r="H26" s="228"/>
      <c r="I26" s="196"/>
    </row>
    <row r="27" spans="1:9" s="65" customFormat="1">
      <c r="A27" s="229"/>
      <c r="B27" s="370"/>
      <c r="C27" s="22" t="s">
        <v>74</v>
      </c>
      <c r="D27" s="40"/>
      <c r="E27" s="23" t="s">
        <v>73</v>
      </c>
      <c r="F27" s="24">
        <v>0.1</v>
      </c>
      <c r="G27" s="25">
        <f t="shared" si="0"/>
        <v>0</v>
      </c>
      <c r="H27" s="228"/>
      <c r="I27" s="196"/>
    </row>
    <row r="28" spans="1:9" s="65" customFormat="1">
      <c r="A28" s="229"/>
      <c r="B28" s="370"/>
      <c r="C28" s="22" t="s">
        <v>75</v>
      </c>
      <c r="D28" s="40"/>
      <c r="E28" s="23" t="s">
        <v>73</v>
      </c>
      <c r="F28" s="24">
        <v>0.5</v>
      </c>
      <c r="G28" s="25">
        <f t="shared" si="0"/>
        <v>0</v>
      </c>
      <c r="H28" s="228"/>
      <c r="I28" s="196"/>
    </row>
    <row r="29" spans="1:9" s="65" customFormat="1">
      <c r="A29" s="229"/>
      <c r="B29" s="370"/>
      <c r="C29" s="22" t="s">
        <v>76</v>
      </c>
      <c r="D29" s="40"/>
      <c r="E29" s="23" t="s">
        <v>73</v>
      </c>
      <c r="F29" s="24">
        <v>6.6</v>
      </c>
      <c r="G29" s="25">
        <f t="shared" si="0"/>
        <v>0</v>
      </c>
      <c r="H29" s="228"/>
      <c r="I29" s="196"/>
    </row>
    <row r="30" spans="1:9" s="65" customFormat="1">
      <c r="A30" s="229"/>
      <c r="B30" s="370"/>
      <c r="C30" s="22" t="s">
        <v>77</v>
      </c>
      <c r="D30" s="40"/>
      <c r="E30" s="23" t="s">
        <v>73</v>
      </c>
      <c r="F30" s="24">
        <v>0.3</v>
      </c>
      <c r="G30" s="25">
        <f t="shared" si="0"/>
        <v>0</v>
      </c>
      <c r="H30" s="228"/>
      <c r="I30" s="196"/>
    </row>
    <row r="31" spans="1:9" s="65" customFormat="1">
      <c r="A31" s="229"/>
      <c r="B31" s="370"/>
      <c r="C31" s="22" t="s">
        <v>78</v>
      </c>
      <c r="D31" s="40"/>
      <c r="E31" s="23" t="s">
        <v>73</v>
      </c>
      <c r="F31" s="24">
        <v>0</v>
      </c>
      <c r="G31" s="25">
        <f t="shared" si="0"/>
        <v>0</v>
      </c>
      <c r="H31" s="228"/>
      <c r="I31" s="196"/>
    </row>
    <row r="32" spans="1:9" s="65" customFormat="1">
      <c r="A32" s="229"/>
      <c r="B32" s="370"/>
      <c r="C32" s="22" t="s">
        <v>79</v>
      </c>
      <c r="D32" s="40"/>
      <c r="E32" s="23" t="s">
        <v>73</v>
      </c>
      <c r="F32" s="26">
        <v>2</v>
      </c>
      <c r="G32" s="25">
        <f t="shared" si="0"/>
        <v>0</v>
      </c>
      <c r="H32" s="228"/>
      <c r="I32" s="196"/>
    </row>
    <row r="33" spans="1:9" s="65" customFormat="1">
      <c r="A33" s="229"/>
      <c r="B33" s="370"/>
      <c r="C33" s="22" t="s">
        <v>80</v>
      </c>
      <c r="D33" s="40"/>
      <c r="E33" s="23" t="s">
        <v>73</v>
      </c>
      <c r="F33" s="26">
        <v>1</v>
      </c>
      <c r="G33" s="25">
        <f t="shared" si="0"/>
        <v>0</v>
      </c>
      <c r="H33" s="228"/>
      <c r="I33" s="196"/>
    </row>
    <row r="34" spans="1:9" s="65" customFormat="1">
      <c r="A34" s="229"/>
      <c r="B34" s="370"/>
      <c r="C34" s="22" t="s">
        <v>81</v>
      </c>
      <c r="D34" s="40"/>
      <c r="E34" s="23" t="s">
        <v>73</v>
      </c>
      <c r="F34" s="24">
        <v>0.5</v>
      </c>
      <c r="G34" s="25">
        <f t="shared" si="0"/>
        <v>0</v>
      </c>
      <c r="H34" s="228"/>
      <c r="I34" s="196"/>
    </row>
    <row r="35" spans="1:9" s="65" customFormat="1">
      <c r="A35" s="229"/>
      <c r="B35" s="370"/>
      <c r="C35" s="22" t="s">
        <v>82</v>
      </c>
      <c r="D35" s="40"/>
      <c r="E35" s="23" t="s">
        <v>73</v>
      </c>
      <c r="F35" s="24">
        <v>0</v>
      </c>
      <c r="G35" s="25">
        <f t="shared" si="0"/>
        <v>0</v>
      </c>
      <c r="H35" s="228"/>
      <c r="I35" s="196"/>
    </row>
    <row r="36" spans="1:9" s="65" customFormat="1">
      <c r="A36" s="229"/>
      <c r="B36" s="370"/>
      <c r="C36" s="22" t="s">
        <v>83</v>
      </c>
      <c r="D36" s="40"/>
      <c r="E36" s="23" t="s">
        <v>73</v>
      </c>
      <c r="F36" s="24">
        <v>0</v>
      </c>
      <c r="G36" s="25">
        <f t="shared" si="0"/>
        <v>0</v>
      </c>
      <c r="H36" s="228"/>
      <c r="I36" s="196"/>
    </row>
    <row r="37" spans="1:9" s="65" customFormat="1">
      <c r="A37" s="229"/>
      <c r="B37" s="370"/>
      <c r="C37" s="22" t="s">
        <v>84</v>
      </c>
      <c r="D37" s="40"/>
      <c r="E37" s="23" t="s">
        <v>73</v>
      </c>
      <c r="F37" s="24">
        <v>0</v>
      </c>
      <c r="G37" s="25">
        <f t="shared" si="0"/>
        <v>0</v>
      </c>
      <c r="H37" s="228"/>
      <c r="I37" s="196"/>
    </row>
    <row r="38" spans="1:9" s="65" customFormat="1">
      <c r="A38" s="229"/>
      <c r="B38" s="370"/>
      <c r="C38" s="22" t="s">
        <v>85</v>
      </c>
      <c r="D38" s="40"/>
      <c r="E38" s="23" t="s">
        <v>73</v>
      </c>
      <c r="F38" s="24">
        <v>0</v>
      </c>
      <c r="G38" s="25">
        <f t="shared" si="0"/>
        <v>0</v>
      </c>
      <c r="H38" s="228"/>
      <c r="I38" s="196"/>
    </row>
    <row r="39" spans="1:9" s="65" customFormat="1">
      <c r="A39" s="229"/>
      <c r="B39" s="370"/>
      <c r="C39" s="22" t="s">
        <v>86</v>
      </c>
      <c r="D39" s="40"/>
      <c r="E39" s="23" t="s">
        <v>73</v>
      </c>
      <c r="F39" s="24">
        <v>0.2</v>
      </c>
      <c r="G39" s="25">
        <f t="shared" si="0"/>
        <v>0</v>
      </c>
      <c r="H39" s="228"/>
      <c r="I39" s="196"/>
    </row>
    <row r="40" spans="1:9" s="65" customFormat="1" ht="14" thickBot="1">
      <c r="A40" s="229"/>
      <c r="B40" s="370"/>
      <c r="C40" s="71" t="s">
        <v>87</v>
      </c>
      <c r="D40" s="89"/>
      <c r="E40" s="72" t="s">
        <v>73</v>
      </c>
      <c r="F40" s="73">
        <v>0.1</v>
      </c>
      <c r="G40" s="74">
        <f t="shared" si="0"/>
        <v>0</v>
      </c>
      <c r="H40" s="228"/>
      <c r="I40" s="196"/>
    </row>
    <row r="41" spans="1:9" s="65" customFormat="1" ht="25.5" hidden="1" thickBot="1">
      <c r="A41" s="229"/>
      <c r="B41" s="370"/>
      <c r="C41" s="75" t="s">
        <v>88</v>
      </c>
      <c r="D41" s="76" t="s">
        <v>89</v>
      </c>
      <c r="E41" s="83" t="s">
        <v>90</v>
      </c>
      <c r="F41" s="84" t="s">
        <v>91</v>
      </c>
      <c r="G41" s="77"/>
      <c r="H41" s="228"/>
      <c r="I41" s="196"/>
    </row>
    <row r="42" spans="1:9" s="65" customFormat="1" hidden="1">
      <c r="A42" s="229"/>
      <c r="B42" s="370"/>
      <c r="C42" s="78" t="s">
        <v>92</v>
      </c>
      <c r="D42" s="183">
        <v>0</v>
      </c>
      <c r="E42" s="79" t="s">
        <v>93</v>
      </c>
      <c r="F42" s="80">
        <v>-0.11</v>
      </c>
      <c r="G42" s="25">
        <f>D42*F42</f>
        <v>0</v>
      </c>
      <c r="H42" s="228"/>
      <c r="I42" s="196"/>
    </row>
    <row r="43" spans="1:9" s="65" customFormat="1" hidden="1">
      <c r="A43" s="229"/>
      <c r="B43" s="370"/>
      <c r="C43" s="22" t="s">
        <v>94</v>
      </c>
      <c r="D43" s="184">
        <v>0</v>
      </c>
      <c r="E43" s="23" t="s">
        <v>93</v>
      </c>
      <c r="F43" s="24">
        <v>-0.04</v>
      </c>
      <c r="G43" s="25">
        <f>D43*F43</f>
        <v>0</v>
      </c>
      <c r="H43" s="228"/>
      <c r="I43" s="196"/>
    </row>
    <row r="44" spans="1:9" s="65" customFormat="1" ht="14" hidden="1" thickBot="1">
      <c r="A44" s="229"/>
      <c r="B44" s="370"/>
      <c r="C44" s="71" t="s">
        <v>95</v>
      </c>
      <c r="D44" s="185">
        <v>0</v>
      </c>
      <c r="E44" s="72" t="s">
        <v>96</v>
      </c>
      <c r="F44" s="73">
        <v>-0.11</v>
      </c>
      <c r="G44" s="74">
        <f>D44*F44</f>
        <v>0</v>
      </c>
      <c r="H44" s="228"/>
      <c r="I44" s="196"/>
    </row>
    <row r="45" spans="1:9" s="65" customFormat="1" ht="25.5" thickBot="1">
      <c r="A45" s="229"/>
      <c r="B45" s="370"/>
      <c r="C45" s="75" t="s">
        <v>97</v>
      </c>
      <c r="D45" s="76" t="s">
        <v>138</v>
      </c>
      <c r="E45" s="374" t="s">
        <v>111</v>
      </c>
      <c r="F45" s="375"/>
      <c r="G45" s="77"/>
      <c r="H45" s="228"/>
      <c r="I45" s="196"/>
    </row>
    <row r="46" spans="1:9" s="65" customFormat="1" ht="29" hidden="1">
      <c r="A46" s="229"/>
      <c r="B46" s="370"/>
      <c r="C46" s="78" t="s">
        <v>160</v>
      </c>
      <c r="D46" s="91"/>
      <c r="E46" s="79" t="s">
        <v>73</v>
      </c>
      <c r="F46" s="85">
        <v>-1</v>
      </c>
      <c r="G46" s="25">
        <f>D46*F46</f>
        <v>0</v>
      </c>
      <c r="H46" s="228"/>
      <c r="I46" s="196"/>
    </row>
    <row r="47" spans="1:9" s="65" customFormat="1" ht="25" hidden="1">
      <c r="A47" s="229"/>
      <c r="B47" s="370"/>
      <c r="C47" s="22" t="s">
        <v>98</v>
      </c>
      <c r="D47" s="41"/>
      <c r="E47" s="23"/>
      <c r="F47" s="26"/>
      <c r="G47" s="25"/>
      <c r="H47" s="228"/>
      <c r="I47" s="196"/>
    </row>
    <row r="48" spans="1:9" s="65" customFormat="1" ht="25" hidden="1">
      <c r="A48" s="229"/>
      <c r="B48" s="370"/>
      <c r="C48" s="22" t="s">
        <v>99</v>
      </c>
      <c r="D48" s="41"/>
      <c r="E48" s="23"/>
      <c r="F48" s="26"/>
      <c r="G48" s="25"/>
      <c r="H48" s="228"/>
      <c r="I48" s="196"/>
    </row>
    <row r="49" spans="1:9" s="65" customFormat="1" ht="17" thickBot="1">
      <c r="A49" s="229"/>
      <c r="B49" s="370"/>
      <c r="C49" s="22" t="s">
        <v>112</v>
      </c>
      <c r="D49" s="92"/>
      <c r="E49" s="72" t="s">
        <v>73</v>
      </c>
      <c r="F49" s="73">
        <v>0.5</v>
      </c>
      <c r="G49" s="74">
        <f>D49*F49</f>
        <v>0</v>
      </c>
      <c r="H49" s="228"/>
      <c r="I49" s="194"/>
    </row>
    <row r="50" spans="1:9" s="65" customFormat="1" ht="31.5" customHeight="1" thickBot="1">
      <c r="A50" s="229"/>
      <c r="B50" s="370"/>
      <c r="C50" s="27"/>
      <c r="D50" s="372" t="s">
        <v>306</v>
      </c>
      <c r="E50" s="376"/>
      <c r="F50" s="86"/>
      <c r="G50" s="87">
        <f>SUM(G19:G49)*'3. Prijsinvulformulier 2026'!F10</f>
        <v>0</v>
      </c>
      <c r="H50" s="228"/>
      <c r="I50" s="197"/>
    </row>
    <row r="51" spans="1:9" s="65" customFormat="1" ht="225.75" customHeight="1" thickBot="1">
      <c r="A51" s="229"/>
      <c r="B51" s="370"/>
      <c r="C51" s="28" t="s">
        <v>199</v>
      </c>
      <c r="D51" s="377" t="s">
        <v>200</v>
      </c>
      <c r="E51" s="378"/>
      <c r="F51" s="80"/>
      <c r="G51" s="146">
        <v>100</v>
      </c>
      <c r="H51" s="228"/>
      <c r="I51" s="198"/>
    </row>
    <row r="52" spans="1:9" s="65" customFormat="1" ht="14" thickBot="1">
      <c r="A52" s="229"/>
      <c r="B52" s="370"/>
      <c r="C52" s="88"/>
      <c r="D52" s="372" t="s">
        <v>100</v>
      </c>
      <c r="E52" s="373"/>
      <c r="F52" s="106"/>
      <c r="G52" s="107">
        <f>-(G50*G51/1000)</f>
        <v>0</v>
      </c>
      <c r="H52" s="228"/>
      <c r="I52" s="196"/>
    </row>
    <row r="53" spans="1:9" s="55" customFormat="1" ht="14.5" thickBot="1">
      <c r="A53" s="16"/>
      <c r="B53" s="230"/>
      <c r="C53" s="230" t="s">
        <v>47</v>
      </c>
      <c r="D53" s="218"/>
      <c r="E53" s="108" t="s">
        <v>104</v>
      </c>
      <c r="F53" s="109"/>
      <c r="G53" s="110">
        <f>G52/25948</f>
        <v>0</v>
      </c>
      <c r="H53" s="217"/>
      <c r="I53" s="199"/>
    </row>
    <row r="54" spans="1:9" s="55" customFormat="1" ht="14.5" thickBot="1">
      <c r="A54" s="16"/>
      <c r="B54" s="230"/>
      <c r="C54" s="230"/>
      <c r="D54" s="218"/>
      <c r="E54" s="218"/>
      <c r="F54" s="218"/>
      <c r="G54" s="144" t="s">
        <v>122</v>
      </c>
      <c r="H54" s="231">
        <f>G52</f>
        <v>0</v>
      </c>
      <c r="I54" s="195"/>
    </row>
    <row r="55" spans="1:9" s="55" customFormat="1" ht="14" hidden="1">
      <c r="A55" s="66"/>
      <c r="B55" s="232"/>
      <c r="C55" s="232"/>
      <c r="D55" s="233"/>
      <c r="E55" s="233"/>
      <c r="F55" s="233"/>
      <c r="G55" s="56"/>
      <c r="H55" s="216"/>
      <c r="I55" s="195"/>
    </row>
    <row r="56" spans="1:9" ht="2.25" hidden="1" customHeight="1">
      <c r="A56" s="234"/>
      <c r="C56" s="235"/>
      <c r="D56" s="236"/>
      <c r="E56" s="237"/>
      <c r="F56" s="237"/>
      <c r="G56" s="237"/>
      <c r="H56" s="238"/>
    </row>
    <row r="57" spans="1:9" hidden="1">
      <c r="A57" s="234"/>
      <c r="C57" s="235"/>
      <c r="D57" s="239" t="s">
        <v>23</v>
      </c>
      <c r="E57" s="237">
        <v>0</v>
      </c>
      <c r="F57" s="237"/>
      <c r="G57" s="237"/>
      <c r="H57" s="238"/>
    </row>
    <row r="58" spans="1:9" hidden="1">
      <c r="A58" s="234"/>
      <c r="C58" s="235"/>
      <c r="D58" s="240" t="s">
        <v>24</v>
      </c>
      <c r="E58" s="237">
        <v>0</v>
      </c>
      <c r="F58" s="237"/>
      <c r="G58" s="237"/>
      <c r="H58" s="238"/>
    </row>
    <row r="59" spans="1:9" hidden="1">
      <c r="A59" s="234"/>
      <c r="C59" s="235"/>
      <c r="D59" s="239" t="s">
        <v>103</v>
      </c>
      <c r="E59" s="237">
        <v>0.33</v>
      </c>
      <c r="F59" s="237"/>
      <c r="G59" s="237"/>
      <c r="H59" s="238"/>
    </row>
    <row r="60" spans="1:9" hidden="1">
      <c r="A60" s="234"/>
      <c r="C60" s="235"/>
      <c r="D60" s="239" t="s">
        <v>102</v>
      </c>
      <c r="E60" s="237">
        <v>0.67</v>
      </c>
      <c r="F60" s="237"/>
      <c r="G60" s="237"/>
      <c r="H60" s="238"/>
    </row>
    <row r="61" spans="1:9" hidden="1">
      <c r="A61" s="234"/>
      <c r="C61" s="235"/>
      <c r="D61" s="239" t="s">
        <v>44</v>
      </c>
      <c r="E61" s="237">
        <v>1</v>
      </c>
      <c r="F61" s="237"/>
      <c r="G61" s="237"/>
      <c r="H61" s="238"/>
    </row>
    <row r="62" spans="1:9" hidden="1">
      <c r="A62" s="234"/>
      <c r="C62" s="235"/>
      <c r="D62" s="239"/>
      <c r="E62" s="237"/>
      <c r="F62" s="237"/>
      <c r="G62" s="237"/>
      <c r="H62" s="238"/>
    </row>
    <row r="63" spans="1:9" hidden="1">
      <c r="A63" s="234"/>
      <c r="C63" s="235"/>
      <c r="D63" s="239"/>
      <c r="E63" s="237"/>
      <c r="F63" s="237"/>
      <c r="G63" s="237"/>
      <c r="H63" s="238"/>
    </row>
    <row r="64" spans="1:9" hidden="1">
      <c r="A64" s="234"/>
      <c r="C64" s="235"/>
      <c r="D64" s="236"/>
      <c r="E64" s="237"/>
      <c r="F64" s="237"/>
      <c r="G64" s="237"/>
      <c r="H64" s="238"/>
    </row>
    <row r="65" spans="1:8" ht="2.25" hidden="1" customHeight="1">
      <c r="A65" s="234"/>
      <c r="C65" s="235"/>
      <c r="D65" s="236"/>
      <c r="E65" s="237"/>
      <c r="F65" s="237"/>
      <c r="G65" s="237"/>
      <c r="H65" s="238"/>
    </row>
    <row r="66" spans="1:8" hidden="1">
      <c r="A66" s="234"/>
      <c r="C66" s="235"/>
      <c r="D66" s="239" t="s">
        <v>23</v>
      </c>
      <c r="E66" s="237">
        <v>0</v>
      </c>
      <c r="F66" s="237"/>
      <c r="G66" s="237"/>
      <c r="H66" s="238"/>
    </row>
    <row r="67" spans="1:8" hidden="1">
      <c r="A67" s="234"/>
      <c r="C67" s="235"/>
      <c r="D67" s="240" t="s">
        <v>37</v>
      </c>
      <c r="E67" s="237">
        <v>0</v>
      </c>
      <c r="F67" s="237"/>
      <c r="G67" s="237"/>
      <c r="H67" s="238"/>
    </row>
    <row r="68" spans="1:8" hidden="1">
      <c r="A68" s="234"/>
      <c r="C68" s="235"/>
      <c r="D68" s="239" t="s">
        <v>38</v>
      </c>
      <c r="E68" s="237">
        <v>0.2</v>
      </c>
      <c r="F68" s="237"/>
      <c r="G68" s="237"/>
      <c r="H68" s="238"/>
    </row>
    <row r="69" spans="1:8" hidden="1">
      <c r="A69" s="234"/>
      <c r="C69" s="235"/>
      <c r="D69" s="239" t="s">
        <v>39</v>
      </c>
      <c r="E69" s="237">
        <v>0.4</v>
      </c>
      <c r="F69" s="237"/>
      <c r="G69" s="237"/>
      <c r="H69" s="238"/>
    </row>
    <row r="70" spans="1:8" hidden="1">
      <c r="A70" s="234"/>
      <c r="C70" s="235"/>
      <c r="D70" s="239" t="s">
        <v>40</v>
      </c>
      <c r="E70" s="237">
        <v>0.6</v>
      </c>
      <c r="F70" s="237"/>
      <c r="G70" s="237"/>
      <c r="H70" s="238"/>
    </row>
    <row r="71" spans="1:8" hidden="1">
      <c r="A71" s="234"/>
      <c r="C71" s="235"/>
      <c r="D71" s="239" t="s">
        <v>41</v>
      </c>
      <c r="E71" s="237">
        <v>0.8</v>
      </c>
      <c r="F71" s="237"/>
      <c r="G71" s="237"/>
      <c r="H71" s="238"/>
    </row>
    <row r="72" spans="1:8" hidden="1">
      <c r="A72" s="234"/>
      <c r="C72" s="235"/>
      <c r="D72" s="239" t="s">
        <v>42</v>
      </c>
      <c r="E72" s="237">
        <v>1</v>
      </c>
      <c r="F72" s="237"/>
      <c r="G72" s="237"/>
      <c r="H72" s="238"/>
    </row>
    <row r="73" spans="1:8" ht="2.25" hidden="1" customHeight="1">
      <c r="A73" s="234"/>
      <c r="C73" s="235"/>
      <c r="D73" s="236"/>
      <c r="E73" s="237"/>
      <c r="F73" s="237"/>
      <c r="G73" s="241"/>
      <c r="H73" s="238"/>
    </row>
    <row r="74" spans="1:8" hidden="1">
      <c r="A74" s="234"/>
      <c r="C74" s="235"/>
      <c r="D74" s="236" t="s">
        <v>23</v>
      </c>
      <c r="E74" s="237" t="s">
        <v>25</v>
      </c>
      <c r="F74" s="237">
        <v>0</v>
      </c>
      <c r="G74" s="242" t="e">
        <f>#REF!*((1+0.25)/2)</f>
        <v>#REF!</v>
      </c>
      <c r="H74" s="238"/>
    </row>
    <row r="75" spans="1:8" ht="27" hidden="1">
      <c r="A75" s="234"/>
      <c r="B75" s="236" t="s">
        <v>23</v>
      </c>
      <c r="C75" s="54">
        <v>0</v>
      </c>
      <c r="D75" s="236" t="s">
        <v>26</v>
      </c>
      <c r="E75" s="237" t="s">
        <v>27</v>
      </c>
      <c r="F75" s="237">
        <v>0</v>
      </c>
      <c r="G75" s="241"/>
      <c r="H75" s="238"/>
    </row>
    <row r="76" spans="1:8" ht="27" hidden="1">
      <c r="A76" s="234"/>
      <c r="B76" s="243" t="s">
        <v>28</v>
      </c>
      <c r="C76" s="54">
        <v>0.25</v>
      </c>
      <c r="D76" s="236" t="s">
        <v>29</v>
      </c>
      <c r="E76" s="237" t="s">
        <v>30</v>
      </c>
      <c r="F76" s="237">
        <v>1</v>
      </c>
      <c r="G76" s="241"/>
      <c r="H76" s="238"/>
    </row>
    <row r="77" spans="1:8" ht="67.5" hidden="1">
      <c r="A77" s="234"/>
      <c r="B77" s="243" t="s">
        <v>31</v>
      </c>
      <c r="C77" s="54">
        <v>0.5</v>
      </c>
      <c r="D77" s="244"/>
      <c r="E77" s="237" t="s">
        <v>32</v>
      </c>
      <c r="F77" s="237">
        <v>0.75</v>
      </c>
      <c r="G77" s="241"/>
      <c r="H77" s="238"/>
    </row>
    <row r="78" spans="1:8" ht="67.5" hidden="1">
      <c r="A78" s="234"/>
      <c r="B78" s="243" t="s">
        <v>33</v>
      </c>
      <c r="C78" s="54">
        <v>0.75</v>
      </c>
      <c r="D78" s="244"/>
      <c r="E78" s="237" t="s">
        <v>34</v>
      </c>
      <c r="F78" s="237">
        <v>0.5</v>
      </c>
      <c r="G78" s="241"/>
      <c r="H78" s="238"/>
    </row>
    <row r="79" spans="1:8" hidden="1">
      <c r="A79" s="234"/>
      <c r="B79" s="243" t="s">
        <v>35</v>
      </c>
      <c r="C79" s="54">
        <v>1</v>
      </c>
      <c r="D79" s="236"/>
      <c r="E79" s="237"/>
      <c r="F79" s="237"/>
      <c r="G79" s="241"/>
      <c r="H79" s="238"/>
    </row>
    <row r="80" spans="1:8" ht="30" customHeight="1">
      <c r="A80" s="234"/>
      <c r="B80" s="243"/>
      <c r="D80" s="236"/>
      <c r="E80" s="346" t="s">
        <v>245</v>
      </c>
      <c r="F80" s="347"/>
      <c r="G80" s="241"/>
      <c r="H80" s="238"/>
    </row>
    <row r="81" spans="1:11" ht="38.25" customHeight="1">
      <c r="A81" s="234"/>
      <c r="C81" s="235"/>
      <c r="D81" s="145" t="s">
        <v>36</v>
      </c>
      <c r="E81" s="315">
        <f>H12+H54</f>
        <v>0</v>
      </c>
      <c r="F81" s="316"/>
      <c r="G81" s="241"/>
      <c r="H81" s="238"/>
    </row>
    <row r="82" spans="1:11" ht="10.5" customHeight="1" thickBot="1">
      <c r="A82" s="234"/>
      <c r="C82" s="235"/>
      <c r="D82" s="236"/>
      <c r="E82" s="237"/>
      <c r="F82" s="237"/>
      <c r="G82" s="241"/>
      <c r="H82" s="238"/>
    </row>
    <row r="83" spans="1:11" ht="23.25" customHeight="1">
      <c r="A83" s="365" t="s">
        <v>131</v>
      </c>
      <c r="B83" s="366"/>
      <c r="C83" s="366"/>
      <c r="D83" s="366"/>
      <c r="E83" s="366"/>
      <c r="F83" s="366"/>
      <c r="G83" s="367"/>
      <c r="H83" s="238"/>
    </row>
    <row r="84" spans="1:11" ht="28.5" customHeight="1">
      <c r="A84" s="362" t="s">
        <v>115</v>
      </c>
      <c r="B84" s="363"/>
      <c r="C84" s="363"/>
      <c r="D84" s="363"/>
      <c r="E84" s="363"/>
      <c r="F84" s="363"/>
      <c r="G84" s="364"/>
      <c r="H84" s="245"/>
    </row>
    <row r="85" spans="1:11" hidden="1"/>
    <row r="86" spans="1:11" s="163" customFormat="1" ht="14" hidden="1">
      <c r="C86" s="337" t="s">
        <v>51</v>
      </c>
      <c r="D86" s="337"/>
      <c r="E86" s="337"/>
      <c r="F86" s="337"/>
      <c r="G86" s="337"/>
      <c r="H86" s="337"/>
      <c r="I86" s="337"/>
      <c r="J86" s="337"/>
      <c r="K86" s="337"/>
    </row>
    <row r="87" spans="1:11" s="163" customFormat="1" ht="14" hidden="1">
      <c r="C87" s="164"/>
      <c r="D87" s="165" t="s">
        <v>52</v>
      </c>
      <c r="E87" s="165" t="s">
        <v>53</v>
      </c>
      <c r="F87" s="166"/>
      <c r="G87" s="164"/>
      <c r="H87" s="164"/>
      <c r="I87" s="200"/>
      <c r="J87" s="164"/>
      <c r="K87" s="164"/>
    </row>
    <row r="88" spans="1:11" s="163" customFormat="1" ht="14" hidden="1">
      <c r="C88" s="164"/>
      <c r="D88" s="167" t="s">
        <v>123</v>
      </c>
      <c r="E88" s="168">
        <v>0</v>
      </c>
      <c r="F88" s="166"/>
      <c r="G88" s="164"/>
      <c r="H88" s="164"/>
      <c r="I88" s="200"/>
      <c r="J88" s="164"/>
      <c r="K88" s="164"/>
    </row>
    <row r="89" spans="1:11" s="163" customFormat="1" ht="14" hidden="1">
      <c r="C89" s="164"/>
      <c r="D89" s="167" t="s">
        <v>25</v>
      </c>
      <c r="E89" s="168">
        <v>0</v>
      </c>
      <c r="F89" s="166"/>
      <c r="G89" s="164"/>
      <c r="H89" s="164"/>
      <c r="I89" s="200"/>
      <c r="J89" s="164"/>
      <c r="K89" s="164"/>
    </row>
    <row r="90" spans="1:11" s="163" customFormat="1" ht="14" hidden="1">
      <c r="C90" s="164"/>
      <c r="D90" s="169" t="s">
        <v>166</v>
      </c>
      <c r="E90" s="167">
        <v>117</v>
      </c>
      <c r="F90" s="170"/>
      <c r="G90" s="164"/>
      <c r="H90" s="164"/>
      <c r="I90" s="200"/>
      <c r="J90" s="164"/>
      <c r="K90" s="164"/>
    </row>
    <row r="91" spans="1:11" s="163" customFormat="1" ht="14" hidden="1">
      <c r="C91" s="164"/>
      <c r="D91" s="171" t="s">
        <v>49</v>
      </c>
      <c r="E91" s="167">
        <v>102</v>
      </c>
      <c r="F91" s="172"/>
      <c r="G91" s="164"/>
      <c r="H91" s="164"/>
      <c r="I91" s="200"/>
      <c r="J91" s="164"/>
      <c r="K91" s="164"/>
    </row>
    <row r="92" spans="1:11" s="163" customFormat="1" ht="14" hidden="1">
      <c r="C92" s="164"/>
      <c r="D92" s="171" t="s">
        <v>167</v>
      </c>
      <c r="E92" s="167">
        <v>93</v>
      </c>
      <c r="F92" s="172"/>
      <c r="G92" s="164"/>
      <c r="H92" s="164"/>
      <c r="I92" s="200"/>
      <c r="J92" s="164"/>
      <c r="K92" s="164"/>
    </row>
    <row r="93" spans="1:11" s="163" customFormat="1" ht="14" hidden="1">
      <c r="C93" s="164"/>
      <c r="D93" s="171" t="s">
        <v>168</v>
      </c>
      <c r="E93" s="167">
        <v>30</v>
      </c>
      <c r="F93" s="172"/>
      <c r="G93" s="164"/>
      <c r="H93" s="164"/>
      <c r="I93" s="200"/>
      <c r="J93" s="164"/>
      <c r="K93" s="164"/>
    </row>
    <row r="94" spans="1:11" s="163" customFormat="1" ht="14" hidden="1">
      <c r="C94" s="164"/>
      <c r="D94" s="171" t="s">
        <v>169</v>
      </c>
      <c r="E94" s="167">
        <v>30</v>
      </c>
      <c r="F94" s="172"/>
      <c r="G94" s="164"/>
      <c r="H94" s="164"/>
      <c r="I94" s="200"/>
      <c r="J94" s="164"/>
      <c r="K94" s="164"/>
    </row>
    <row r="95" spans="1:11" s="163" customFormat="1" ht="14" hidden="1">
      <c r="C95" s="164"/>
      <c r="D95" s="173"/>
      <c r="E95" s="173"/>
      <c r="F95" s="172"/>
      <c r="G95" s="164"/>
      <c r="H95" s="164"/>
      <c r="I95" s="200"/>
      <c r="J95" s="164"/>
      <c r="K95" s="164"/>
    </row>
    <row r="96" spans="1:11" s="163" customFormat="1" ht="14" hidden="1">
      <c r="C96" s="164"/>
      <c r="D96" s="165" t="s">
        <v>54</v>
      </c>
      <c r="E96" s="165" t="s">
        <v>55</v>
      </c>
      <c r="F96" s="174" t="s">
        <v>56</v>
      </c>
      <c r="G96" s="174" t="s">
        <v>170</v>
      </c>
      <c r="H96" s="164"/>
      <c r="I96" s="200"/>
      <c r="J96" s="164"/>
      <c r="K96" s="164"/>
    </row>
    <row r="97" spans="3:11" s="163" customFormat="1" ht="14" hidden="1">
      <c r="C97" s="164"/>
      <c r="D97" s="167" t="s">
        <v>124</v>
      </c>
      <c r="E97" s="168">
        <v>0</v>
      </c>
      <c r="F97" s="175">
        <v>0</v>
      </c>
      <c r="G97" s="175">
        <v>0</v>
      </c>
      <c r="H97" s="164"/>
      <c r="I97" s="200"/>
      <c r="J97" s="164"/>
      <c r="K97" s="164"/>
    </row>
    <row r="98" spans="3:11" s="163" customFormat="1" ht="14" hidden="1">
      <c r="C98" s="164"/>
      <c r="D98" s="167" t="s">
        <v>25</v>
      </c>
      <c r="E98" s="168">
        <v>0</v>
      </c>
      <c r="F98" s="175">
        <v>0</v>
      </c>
      <c r="G98" s="175">
        <v>0</v>
      </c>
      <c r="H98" s="164"/>
      <c r="I98" s="200"/>
      <c r="J98" s="164"/>
      <c r="K98" s="164"/>
    </row>
    <row r="99" spans="3:11" s="163" customFormat="1" ht="14" hidden="1">
      <c r="C99" s="164"/>
      <c r="D99" s="169" t="s">
        <v>57</v>
      </c>
      <c r="E99" s="176">
        <v>1</v>
      </c>
      <c r="F99" s="177">
        <v>1</v>
      </c>
      <c r="G99" s="177">
        <v>1</v>
      </c>
      <c r="H99" s="164"/>
      <c r="I99" s="200"/>
      <c r="J99" s="164"/>
      <c r="K99" s="164"/>
    </row>
    <row r="100" spans="3:11" s="163" customFormat="1" ht="14" hidden="1">
      <c r="C100" s="164"/>
      <c r="D100" s="169" t="s">
        <v>171</v>
      </c>
      <c r="E100" s="178">
        <v>0.95726</v>
      </c>
      <c r="F100" s="179">
        <v>0.96077999999999997</v>
      </c>
      <c r="G100" s="179">
        <v>0.95699000000000001</v>
      </c>
      <c r="H100" s="164"/>
      <c r="I100" s="200"/>
      <c r="J100" s="164"/>
      <c r="K100" s="164"/>
    </row>
    <row r="101" spans="3:11" s="163" customFormat="1" ht="14" hidden="1">
      <c r="C101" s="164"/>
      <c r="D101" s="169" t="s">
        <v>59</v>
      </c>
      <c r="E101" s="178">
        <f>0.102/0.117</f>
        <v>0.8717948717948717</v>
      </c>
      <c r="F101" s="179">
        <f>0.089/0.102</f>
        <v>0.87254901960784315</v>
      </c>
      <c r="G101" s="179">
        <f>0.081/0.093</f>
        <v>0.87096774193548387</v>
      </c>
      <c r="H101" s="164"/>
      <c r="I101" s="200"/>
      <c r="J101" s="164"/>
      <c r="K101" s="164"/>
    </row>
    <row r="102" spans="3:11" s="163" customFormat="1" ht="14" hidden="1">
      <c r="C102" s="164"/>
      <c r="D102" s="169" t="s">
        <v>50</v>
      </c>
      <c r="E102" s="178">
        <f>0.095/0.117</f>
        <v>0.81196581196581197</v>
      </c>
      <c r="F102" s="179">
        <f>0.083/0.102</f>
        <v>0.81372549019607854</v>
      </c>
      <c r="G102" s="179">
        <v>0.80645</v>
      </c>
      <c r="H102" s="164"/>
      <c r="I102" s="200"/>
      <c r="J102" s="164"/>
      <c r="K102" s="164"/>
    </row>
    <row r="103" spans="3:11" s="163" customFormat="1" ht="14" hidden="1">
      <c r="C103" s="164"/>
      <c r="D103" s="169" t="s">
        <v>61</v>
      </c>
      <c r="E103" s="178">
        <v>0.78632000000000002</v>
      </c>
      <c r="F103" s="179">
        <v>0.79412000000000005</v>
      </c>
      <c r="G103" s="179">
        <v>0.78495000000000004</v>
      </c>
      <c r="H103" s="164"/>
      <c r="I103" s="200"/>
      <c r="J103" s="164"/>
      <c r="K103" s="164"/>
    </row>
    <row r="104" spans="3:11" s="163" customFormat="1" ht="14" hidden="1">
      <c r="C104" s="164"/>
      <c r="D104" s="169" t="s">
        <v>172</v>
      </c>
      <c r="E104" s="178">
        <v>0.76922999999999997</v>
      </c>
      <c r="F104" s="179">
        <v>0.77451000000000003</v>
      </c>
      <c r="G104" s="179">
        <v>0.77419000000000004</v>
      </c>
      <c r="H104" s="164"/>
      <c r="I104" s="200"/>
      <c r="J104" s="164"/>
      <c r="K104" s="164"/>
    </row>
    <row r="105" spans="3:11" s="163" customFormat="1" ht="14" hidden="1">
      <c r="C105" s="164"/>
      <c r="D105" s="169" t="s">
        <v>173</v>
      </c>
      <c r="E105" s="178">
        <v>0.63248000000000004</v>
      </c>
      <c r="F105" s="179">
        <f>0.065/0.102</f>
        <v>0.63725490196078438</v>
      </c>
      <c r="G105" s="179">
        <f>0.059/0.093</f>
        <v>0.63440860215053763</v>
      </c>
      <c r="H105" s="164"/>
      <c r="I105" s="200"/>
      <c r="J105" s="164"/>
      <c r="K105" s="164"/>
    </row>
    <row r="106" spans="3:11" s="163" customFormat="1" ht="14" hidden="1">
      <c r="C106" s="164"/>
      <c r="D106" s="169" t="s">
        <v>60</v>
      </c>
      <c r="E106" s="178">
        <f>0.035/0.117</f>
        <v>0.29914529914529914</v>
      </c>
      <c r="F106" s="179">
        <f>0.031/0.102</f>
        <v>0.30392156862745101</v>
      </c>
      <c r="G106" s="179">
        <f>0.028/0.093</f>
        <v>0.30107526881720431</v>
      </c>
      <c r="H106" s="164"/>
      <c r="I106" s="200"/>
      <c r="J106" s="164"/>
      <c r="K106" s="164"/>
    </row>
    <row r="107" spans="3:11" s="163" customFormat="1" ht="14" hidden="1">
      <c r="C107" s="164"/>
      <c r="D107" s="169" t="s">
        <v>174</v>
      </c>
      <c r="E107" s="178">
        <f>0.035/0.117</f>
        <v>0.29914529914529914</v>
      </c>
      <c r="F107" s="179">
        <f>0.031/0.102</f>
        <v>0.30392156862745101</v>
      </c>
      <c r="G107" s="179">
        <f>0.028/0.093</f>
        <v>0.30107526881720431</v>
      </c>
      <c r="H107" s="164"/>
      <c r="I107" s="200"/>
      <c r="J107" s="164"/>
      <c r="K107" s="164"/>
    </row>
    <row r="108" spans="3:11" s="163" customFormat="1" ht="14" hidden="1">
      <c r="C108" s="164"/>
      <c r="D108" s="169" t="s">
        <v>175</v>
      </c>
      <c r="E108" s="178">
        <f>0.034/0.117</f>
        <v>0.29059829059829062</v>
      </c>
      <c r="F108" s="179">
        <f>0.03/0.102</f>
        <v>0.29411764705882354</v>
      </c>
      <c r="G108" s="179">
        <f>0.027/0.093</f>
        <v>0.29032258064516131</v>
      </c>
      <c r="H108" s="164"/>
      <c r="I108" s="200"/>
      <c r="J108" s="164"/>
      <c r="K108" s="164"/>
    </row>
    <row r="109" spans="3:11" s="163" customFormat="1" ht="23" hidden="1">
      <c r="C109" s="164"/>
      <c r="D109" s="169" t="s">
        <v>176</v>
      </c>
      <c r="E109" s="178">
        <f>0.031/0.117</f>
        <v>0.26495726495726496</v>
      </c>
      <c r="F109" s="179">
        <f>0.027/0.102</f>
        <v>0.26470588235294118</v>
      </c>
      <c r="G109" s="179">
        <f>0.024/0.093</f>
        <v>0.25806451612903225</v>
      </c>
      <c r="H109" s="164"/>
      <c r="I109" s="200"/>
      <c r="J109" s="164"/>
      <c r="K109" s="164"/>
    </row>
    <row r="110" spans="3:11" s="163" customFormat="1" ht="14" hidden="1">
      <c r="C110" s="164"/>
      <c r="D110" s="169" t="s">
        <v>58</v>
      </c>
      <c r="E110" s="178">
        <f>0.026/0.117</f>
        <v>0.22222222222222221</v>
      </c>
      <c r="F110" s="179">
        <f>0.022/0.102</f>
        <v>0.21568627450980393</v>
      </c>
      <c r="G110" s="179">
        <f>0.02/0.093</f>
        <v>0.21505376344086022</v>
      </c>
      <c r="H110" s="164"/>
      <c r="I110" s="200"/>
      <c r="J110" s="164"/>
      <c r="K110" s="164"/>
    </row>
    <row r="111" spans="3:11" s="163" customFormat="1" ht="14" hidden="1">
      <c r="C111" s="164"/>
      <c r="D111" s="169" t="s">
        <v>177</v>
      </c>
      <c r="E111" s="178">
        <f>0.01/0.117</f>
        <v>8.5470085470085472E-2</v>
      </c>
      <c r="F111" s="179">
        <f>0.008/0.102</f>
        <v>7.8431372549019621E-2</v>
      </c>
      <c r="G111" s="179">
        <f>0.008/0.093</f>
        <v>8.6021505376344093E-2</v>
      </c>
      <c r="H111" s="164"/>
      <c r="I111" s="200"/>
      <c r="J111" s="164"/>
      <c r="K111" s="164"/>
    </row>
    <row r="112" spans="3:11" s="163" customFormat="1" ht="14" hidden="1">
      <c r="C112" s="164"/>
      <c r="D112" s="169" t="s">
        <v>178</v>
      </c>
      <c r="E112" s="178">
        <f>0.004/0.117</f>
        <v>3.4188034188034185E-2</v>
      </c>
      <c r="F112" s="179">
        <f>0.004/0.102</f>
        <v>3.921568627450981E-2</v>
      </c>
      <c r="G112" s="179">
        <f>0.003/0.093</f>
        <v>3.2258064516129031E-2</v>
      </c>
      <c r="H112" s="164"/>
      <c r="I112" s="200"/>
      <c r="J112" s="164"/>
      <c r="K112" s="164"/>
    </row>
    <row r="113" spans="3:11" s="163" customFormat="1" ht="14" hidden="1">
      <c r="C113" s="164"/>
      <c r="D113" s="169" t="s">
        <v>179</v>
      </c>
      <c r="E113" s="178">
        <v>0</v>
      </c>
      <c r="F113" s="179">
        <v>0</v>
      </c>
      <c r="G113" s="179">
        <v>0</v>
      </c>
      <c r="H113" s="164"/>
      <c r="I113" s="200"/>
      <c r="J113" s="164"/>
      <c r="K113" s="164"/>
    </row>
    <row r="114" spans="3:11" s="163" customFormat="1" ht="14" hidden="1">
      <c r="C114" s="164"/>
      <c r="D114" s="169" t="s">
        <v>168</v>
      </c>
      <c r="E114" s="180">
        <v>1</v>
      </c>
      <c r="F114" s="175"/>
      <c r="G114" s="175"/>
      <c r="H114" s="164"/>
      <c r="I114" s="200"/>
      <c r="J114" s="164"/>
      <c r="K114" s="164"/>
    </row>
    <row r="115" spans="3:11" s="163" customFormat="1" ht="14" hidden="1">
      <c r="C115" s="164"/>
      <c r="D115" s="169" t="s">
        <v>180</v>
      </c>
      <c r="E115" s="181">
        <f>0.0294/0.03</f>
        <v>0.98</v>
      </c>
      <c r="F115" s="175"/>
      <c r="G115" s="175"/>
      <c r="H115" s="164"/>
      <c r="I115" s="200"/>
      <c r="J115" s="164"/>
      <c r="K115" s="164"/>
    </row>
    <row r="116" spans="3:11" s="163" customFormat="1" ht="14" hidden="1">
      <c r="C116" s="164"/>
      <c r="D116" s="169" t="s">
        <v>181</v>
      </c>
      <c r="E116" s="181">
        <f>0.0285/0.03</f>
        <v>0.95000000000000007</v>
      </c>
      <c r="F116" s="175"/>
      <c r="G116" s="175"/>
      <c r="H116" s="164"/>
      <c r="I116" s="200"/>
      <c r="J116" s="164"/>
      <c r="K116" s="164"/>
    </row>
    <row r="117" spans="3:11" hidden="1"/>
    <row r="118" spans="3:11" hidden="1"/>
  </sheetData>
  <sheetProtection algorithmName="SHA-512" hashValue="Dbzhse42d86e1uWKMGsU0svZ/tiD+hWowBYZEUkCwgTPQQCJmXaj7N2Bz3zXQiPd5hhw8dg+ShSq02T7/RuQ5A==" saltValue="6qPy+0xPKq1F2SVTU+AbYQ==" spinCount="100000" sheet="1" objects="1" scenarios="1"/>
  <protectedRanges>
    <protectedRange sqref="F2:F3 D2:D3" name="gegevens_1_2_1"/>
  </protectedRanges>
  <mergeCells count="26">
    <mergeCell ref="G1:H1"/>
    <mergeCell ref="B3:D3"/>
    <mergeCell ref="A1:E1"/>
    <mergeCell ref="A6:B6"/>
    <mergeCell ref="E22:F22"/>
    <mergeCell ref="E25:F25"/>
    <mergeCell ref="E45:F45"/>
    <mergeCell ref="D50:E50"/>
    <mergeCell ref="D51:E51"/>
    <mergeCell ref="A7:B7"/>
    <mergeCell ref="C86:K86"/>
    <mergeCell ref="A4:G4"/>
    <mergeCell ref="A5:G5"/>
    <mergeCell ref="A16:B16"/>
    <mergeCell ref="D16:E16"/>
    <mergeCell ref="E80:F80"/>
    <mergeCell ref="A14:G14"/>
    <mergeCell ref="E15:G15"/>
    <mergeCell ref="A15:B15"/>
    <mergeCell ref="A8:B11"/>
    <mergeCell ref="A84:G84"/>
    <mergeCell ref="A83:G83"/>
    <mergeCell ref="A17:C17"/>
    <mergeCell ref="B18:B52"/>
    <mergeCell ref="E18:F18"/>
    <mergeCell ref="D52:E52"/>
  </mergeCells>
  <dataValidations count="5">
    <dataValidation type="list" allowBlank="1" showInputMessage="1" showErrorMessage="1" sqref="D10" xr:uid="{D36DC6C3-4973-4BCC-B172-D83DA8A57F65}">
      <formula1>$D$88:$D$94</formula1>
    </dataValidation>
    <dataValidation type="whole" operator="lessThan" allowBlank="1" showInputMessage="1" showErrorMessage="1" sqref="D9" xr:uid="{83D192C5-1E92-4D09-A8DB-D78063D4D818}">
      <formula1>1000</formula1>
    </dataValidation>
    <dataValidation operator="lessThan" allowBlank="1" showInputMessage="1" showErrorMessage="1" sqref="D8" xr:uid="{351B4DC3-9C88-4F49-87DD-F61859746D91}"/>
    <dataValidation operator="lessThanOrEqual" allowBlank="1" showInputMessage="1" showErrorMessage="1" sqref="B75:B80 C81:C82 G12:G13 G54 C56:C74 A84 D56:D82 E56:G79 E80:E81 E82:G82 G80:G81" xr:uid="{98628E38-D0F7-4173-A06E-EAAA830653B3}"/>
    <dataValidation type="list" allowBlank="1" showInputMessage="1" showErrorMessage="1" sqref="D11" xr:uid="{F77D5D5A-282A-43F4-987A-A669CA141765}">
      <formula1>$D$97:$D$116</formula1>
    </dataValidation>
  </dataValidations>
  <pageMargins left="0.7" right="0.7"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FF155-0BD3-4683-A2CD-BE31AD60618A}">
  <sheetPr>
    <pageSetUpPr fitToPage="1"/>
  </sheetPr>
  <dimension ref="A1:S165"/>
  <sheetViews>
    <sheetView showGridLines="0" view="pageBreakPreview" topLeftCell="A64" zoomScale="91" zoomScaleNormal="80" zoomScaleSheetLayoutView="91" workbookViewId="0">
      <selection activeCell="A131" sqref="A131:G131"/>
    </sheetView>
  </sheetViews>
  <sheetFormatPr defaultColWidth="9.1796875" defaultRowHeight="13.5"/>
  <cols>
    <col min="1" max="1" width="6.7265625" style="54" customWidth="1"/>
    <col min="2" max="2" width="16.81640625" style="54" customWidth="1"/>
    <col min="3" max="3" width="57.26953125" style="54" customWidth="1"/>
    <col min="4" max="4" width="44.453125" style="67" customWidth="1"/>
    <col min="5" max="5" width="38.453125" style="67" customWidth="1"/>
    <col min="6" max="6" width="19.1796875" style="67" bestFit="1" customWidth="1"/>
    <col min="7" max="7" width="52.54296875" style="67" customWidth="1"/>
    <col min="8" max="8" width="15.1796875" style="54" bestFit="1" customWidth="1"/>
    <col min="9" max="9" width="54.81640625" style="192" customWidth="1"/>
    <col min="10" max="10" width="22" style="54" customWidth="1"/>
    <col min="11" max="16384" width="9.1796875" style="54"/>
  </cols>
  <sheetData>
    <row r="1" spans="1:19" ht="58.5" customHeight="1">
      <c r="A1" s="383" t="s">
        <v>296</v>
      </c>
      <c r="B1" s="383"/>
      <c r="C1" s="383"/>
      <c r="D1" s="383"/>
      <c r="E1" s="383"/>
      <c r="F1" s="272" t="s">
        <v>156</v>
      </c>
      <c r="G1" s="381" t="s">
        <v>157</v>
      </c>
      <c r="H1" s="381"/>
    </row>
    <row r="2" spans="1:19" s="14" customFormat="1" ht="25" customHeight="1">
      <c r="A2" s="212"/>
      <c r="B2" s="213"/>
      <c r="C2" s="275"/>
      <c r="D2" s="214"/>
      <c r="E2" s="214"/>
      <c r="F2" s="214"/>
      <c r="G2" s="214"/>
      <c r="H2" s="215"/>
      <c r="I2" s="190"/>
    </row>
    <row r="3" spans="1:19" s="14" customFormat="1" ht="25" customHeight="1">
      <c r="A3" s="212"/>
      <c r="B3" s="382" t="s">
        <v>209</v>
      </c>
      <c r="C3" s="382"/>
      <c r="D3" s="382"/>
      <c r="E3" s="214"/>
      <c r="F3" s="214"/>
      <c r="G3" s="214"/>
      <c r="H3" s="215"/>
      <c r="I3" s="190"/>
    </row>
    <row r="4" spans="1:19" s="14" customFormat="1" ht="25" customHeight="1">
      <c r="A4" s="212"/>
      <c r="B4" s="386" t="s">
        <v>210</v>
      </c>
      <c r="C4" s="386"/>
      <c r="D4" s="386"/>
      <c r="E4" s="214"/>
      <c r="F4" s="214"/>
      <c r="G4" s="214"/>
      <c r="H4" s="215"/>
      <c r="I4" s="190"/>
    </row>
    <row r="5" spans="1:19" s="55" customFormat="1" ht="19.5" customHeight="1">
      <c r="A5" s="338" t="s">
        <v>127</v>
      </c>
      <c r="B5" s="339"/>
      <c r="C5" s="339"/>
      <c r="D5" s="339"/>
      <c r="E5" s="339"/>
      <c r="F5" s="339"/>
      <c r="G5" s="340"/>
      <c r="H5" s="216"/>
      <c r="I5" s="195"/>
    </row>
    <row r="6" spans="1:19" s="55" customFormat="1" ht="19.5" customHeight="1">
      <c r="A6" s="341" t="s">
        <v>258</v>
      </c>
      <c r="B6" s="342"/>
      <c r="C6" s="342"/>
      <c r="D6" s="342"/>
      <c r="E6" s="342"/>
      <c r="F6" s="342"/>
      <c r="G6" s="343"/>
      <c r="H6" s="217"/>
      <c r="I6" s="271"/>
    </row>
    <row r="7" spans="1:19" s="55" customFormat="1" ht="62.5">
      <c r="A7" s="379"/>
      <c r="B7" s="380"/>
      <c r="C7" s="68" t="s">
        <v>196</v>
      </c>
      <c r="D7" s="38" t="s">
        <v>121</v>
      </c>
      <c r="E7" s="218"/>
      <c r="F7" s="218"/>
      <c r="G7" s="17"/>
      <c r="H7" s="217"/>
      <c r="I7" s="195"/>
    </row>
    <row r="8" spans="1:19" s="55" customFormat="1" ht="62.5">
      <c r="A8" s="379"/>
      <c r="B8" s="380"/>
      <c r="C8" s="68" t="s">
        <v>197</v>
      </c>
      <c r="D8" s="38" t="s">
        <v>121</v>
      </c>
      <c r="E8" s="218"/>
      <c r="F8" s="218"/>
      <c r="G8" s="17"/>
      <c r="H8" s="217"/>
      <c r="I8" s="195"/>
    </row>
    <row r="9" spans="1:19" s="58" customFormat="1" ht="36.75" customHeight="1" thickBot="1">
      <c r="A9" s="356" t="s">
        <v>211</v>
      </c>
      <c r="B9" s="357"/>
      <c r="C9" s="128" t="s">
        <v>159</v>
      </c>
      <c r="D9" s="278">
        <v>1</v>
      </c>
      <c r="E9" s="219"/>
      <c r="F9" s="18"/>
      <c r="G9" s="69"/>
      <c r="H9" s="220"/>
      <c r="I9" s="193"/>
      <c r="J9" s="57"/>
      <c r="K9" s="57"/>
      <c r="L9" s="57"/>
      <c r="M9" s="59"/>
      <c r="N9" s="59"/>
      <c r="O9" s="60"/>
      <c r="P9" s="57"/>
      <c r="S9" s="59"/>
    </row>
    <row r="10" spans="1:19" s="58" customFormat="1" ht="28.5" thickBot="1">
      <c r="A10" s="358"/>
      <c r="B10" s="359"/>
      <c r="C10" s="61" t="s">
        <v>128</v>
      </c>
      <c r="D10" s="37"/>
      <c r="E10" s="221" t="s">
        <v>48</v>
      </c>
      <c r="F10" s="222">
        <f>D10*(('3. Prijsinvulformulier 2027'!F15)*D9)</f>
        <v>0</v>
      </c>
      <c r="G10" s="19" t="s">
        <v>130</v>
      </c>
      <c r="H10" s="223">
        <f>((F11-(F11*F12))*F10)/1000000</f>
        <v>0</v>
      </c>
      <c r="I10" s="193"/>
      <c r="J10" s="57"/>
      <c r="K10" s="57"/>
      <c r="L10" s="57"/>
      <c r="M10" s="59"/>
      <c r="N10" s="59"/>
      <c r="O10" s="60"/>
      <c r="P10" s="57"/>
      <c r="S10" s="59"/>
    </row>
    <row r="11" spans="1:19" s="58" customFormat="1" ht="25">
      <c r="A11" s="358"/>
      <c r="B11" s="359"/>
      <c r="C11" s="61" t="s">
        <v>125</v>
      </c>
      <c r="D11" s="37" t="s">
        <v>25</v>
      </c>
      <c r="E11" s="221" t="s">
        <v>106</v>
      </c>
      <c r="F11" s="219">
        <f>VLOOKUP(D11,$D$135:$E$141,2,FALSE)</f>
        <v>0</v>
      </c>
      <c r="G11" s="20"/>
      <c r="H11" s="224">
        <f>H10*$G$59</f>
        <v>0</v>
      </c>
      <c r="I11" s="191"/>
      <c r="J11" s="57"/>
      <c r="K11" s="57"/>
      <c r="L11" s="57"/>
      <c r="M11" s="59"/>
      <c r="N11" s="59"/>
      <c r="O11" s="60"/>
      <c r="P11" s="57"/>
      <c r="S11" s="59"/>
    </row>
    <row r="12" spans="1:19" s="58" customFormat="1" ht="29">
      <c r="A12" s="360"/>
      <c r="B12" s="361"/>
      <c r="C12" s="61" t="s">
        <v>126</v>
      </c>
      <c r="D12" s="37" t="s">
        <v>25</v>
      </c>
      <c r="E12" s="221" t="s">
        <v>107</v>
      </c>
      <c r="F12" s="225">
        <f>IF(D9=0,0,(1-(VLOOKUP(D12,$D$144:$G$163,2,FALSE))))</f>
        <v>1</v>
      </c>
      <c r="G12" s="21"/>
      <c r="H12" s="220"/>
      <c r="I12" s="193"/>
      <c r="J12" s="57"/>
      <c r="K12" s="57"/>
      <c r="L12" s="57"/>
      <c r="M12" s="59"/>
      <c r="N12" s="59"/>
      <c r="O12" s="60"/>
      <c r="P12" s="57"/>
      <c r="S12" s="59"/>
    </row>
    <row r="13" spans="1:19" s="55" customFormat="1" ht="19.5" customHeight="1">
      <c r="A13" s="387" t="s">
        <v>259</v>
      </c>
      <c r="B13" s="388"/>
      <c r="C13" s="388"/>
      <c r="D13" s="388"/>
      <c r="E13" s="388"/>
      <c r="F13" s="388"/>
      <c r="G13" s="389"/>
      <c r="H13" s="217"/>
      <c r="I13" s="192"/>
    </row>
    <row r="14" spans="1:19" s="55" customFormat="1" ht="62.5">
      <c r="A14" s="384"/>
      <c r="B14" s="385"/>
      <c r="C14" s="276" t="s">
        <v>196</v>
      </c>
      <c r="D14" s="277" t="s">
        <v>121</v>
      </c>
      <c r="E14" s="218"/>
      <c r="F14" s="218"/>
      <c r="G14" s="17"/>
      <c r="H14" s="217"/>
      <c r="I14" s="195"/>
    </row>
    <row r="15" spans="1:19" s="55" customFormat="1" ht="62.5">
      <c r="A15" s="384"/>
      <c r="B15" s="385"/>
      <c r="C15" s="276" t="s">
        <v>212</v>
      </c>
      <c r="D15" s="277" t="s">
        <v>121</v>
      </c>
      <c r="E15" s="218"/>
      <c r="F15" s="218"/>
      <c r="G15" s="17"/>
      <c r="H15" s="217"/>
      <c r="I15" s="195"/>
    </row>
    <row r="16" spans="1:19" s="58" customFormat="1" ht="36.75" customHeight="1" thickBot="1">
      <c r="A16" s="356" t="s">
        <v>213</v>
      </c>
      <c r="B16" s="357"/>
      <c r="C16" s="128" t="s">
        <v>214</v>
      </c>
      <c r="D16" s="278">
        <v>1</v>
      </c>
      <c r="E16" s="219"/>
      <c r="F16" s="18"/>
      <c r="G16" s="69"/>
      <c r="H16" s="220"/>
      <c r="I16" s="193"/>
      <c r="J16" s="57"/>
      <c r="K16" s="57"/>
      <c r="L16" s="57"/>
      <c r="M16" s="59"/>
      <c r="N16" s="59"/>
      <c r="O16" s="60"/>
      <c r="P16" s="57"/>
      <c r="S16" s="59"/>
    </row>
    <row r="17" spans="1:19" s="58" customFormat="1" ht="28.5" thickBot="1">
      <c r="A17" s="358"/>
      <c r="B17" s="359"/>
      <c r="C17" s="61" t="s">
        <v>215</v>
      </c>
      <c r="D17" s="37"/>
      <c r="E17" s="221" t="s">
        <v>48</v>
      </c>
      <c r="F17" s="222">
        <f>D17*(('3. Prijsinvulformulier 2027'!F20)*D16)</f>
        <v>0</v>
      </c>
      <c r="G17" s="19" t="s">
        <v>216</v>
      </c>
      <c r="H17" s="223">
        <f>((F18-(F18*F19))*F17)/1000000</f>
        <v>0</v>
      </c>
      <c r="I17" s="193"/>
      <c r="J17" s="57"/>
      <c r="K17" s="57"/>
      <c r="L17" s="57"/>
      <c r="M17" s="59"/>
      <c r="N17" s="59"/>
      <c r="O17" s="60"/>
      <c r="P17" s="57"/>
      <c r="S17" s="59"/>
    </row>
    <row r="18" spans="1:19" s="58" customFormat="1" ht="25">
      <c r="A18" s="358"/>
      <c r="B18" s="359"/>
      <c r="C18" s="61" t="s">
        <v>125</v>
      </c>
      <c r="D18" s="37" t="s">
        <v>25</v>
      </c>
      <c r="E18" s="221" t="s">
        <v>106</v>
      </c>
      <c r="F18" s="219">
        <f>VLOOKUP(D18,$D$135:$E$141,2,FALSE)</f>
        <v>0</v>
      </c>
      <c r="G18" s="279"/>
      <c r="H18" s="224">
        <f>H17*$G$98</f>
        <v>0</v>
      </c>
      <c r="I18" s="193"/>
      <c r="J18" s="57"/>
      <c r="K18" s="57"/>
      <c r="L18" s="57"/>
      <c r="M18" s="59"/>
      <c r="N18" s="59"/>
      <c r="O18" s="60"/>
      <c r="P18" s="57"/>
      <c r="S18" s="59"/>
    </row>
    <row r="19" spans="1:19" s="58" customFormat="1" ht="29.5" thickBot="1">
      <c r="A19" s="360"/>
      <c r="B19" s="361"/>
      <c r="C19" s="61" t="s">
        <v>126</v>
      </c>
      <c r="D19" s="37" t="s">
        <v>25</v>
      </c>
      <c r="E19" s="280" t="s">
        <v>107</v>
      </c>
      <c r="F19" s="281">
        <f>IF(D16=0,0,(1-(VLOOKUP(D19,$D$144:$G$163,2,FALSE))))</f>
        <v>1</v>
      </c>
      <c r="G19" s="282"/>
      <c r="H19" s="220"/>
      <c r="I19" s="193"/>
      <c r="J19" s="57"/>
      <c r="K19" s="57"/>
      <c r="L19" s="57"/>
      <c r="M19" s="59"/>
      <c r="N19" s="59"/>
      <c r="O19" s="60"/>
      <c r="P19" s="57"/>
      <c r="S19" s="59"/>
    </row>
    <row r="20" spans="1:19" s="58" customFormat="1" ht="19.899999999999999" customHeight="1" thickBot="1">
      <c r="A20" s="62"/>
      <c r="B20" s="226"/>
      <c r="C20" s="18"/>
      <c r="D20" s="18"/>
      <c r="E20" s="221"/>
      <c r="F20" s="70"/>
      <c r="G20" s="138" t="s">
        <v>119</v>
      </c>
      <c r="H20" s="227">
        <f>H18+H11</f>
        <v>0</v>
      </c>
      <c r="I20" s="193"/>
      <c r="J20" s="57"/>
      <c r="K20" s="57"/>
      <c r="L20" s="57"/>
      <c r="M20" s="63"/>
      <c r="N20" s="63"/>
      <c r="O20" s="64"/>
      <c r="P20" s="57"/>
      <c r="S20" s="63"/>
    </row>
    <row r="21" spans="1:19" s="58" customFormat="1" ht="15.75" customHeight="1" thickBot="1">
      <c r="A21" s="62"/>
      <c r="B21" s="226"/>
      <c r="C21" s="18"/>
      <c r="D21" s="18"/>
      <c r="E21" s="221"/>
      <c r="F21" s="70"/>
      <c r="G21" s="17"/>
      <c r="H21" s="220"/>
      <c r="I21" s="193"/>
      <c r="J21" s="57"/>
      <c r="K21" s="57"/>
      <c r="L21" s="57"/>
      <c r="M21" s="63"/>
      <c r="N21" s="63"/>
      <c r="O21" s="64"/>
      <c r="P21" s="57"/>
      <c r="S21" s="63"/>
    </row>
    <row r="22" spans="1:19" s="55" customFormat="1" ht="22.5" customHeight="1" thickBot="1">
      <c r="A22" s="348" t="s">
        <v>287</v>
      </c>
      <c r="B22" s="349"/>
      <c r="C22" s="349"/>
      <c r="D22" s="349"/>
      <c r="E22" s="349"/>
      <c r="F22" s="349"/>
      <c r="G22" s="350"/>
      <c r="H22" s="217"/>
      <c r="I22" s="195"/>
    </row>
    <row r="23" spans="1:19" s="65" customFormat="1" ht="75.5" thickBot="1">
      <c r="A23" s="354" t="s">
        <v>217</v>
      </c>
      <c r="B23" s="355"/>
      <c r="C23" s="104" t="s">
        <v>120</v>
      </c>
      <c r="D23" s="105" t="s">
        <v>121</v>
      </c>
      <c r="E23" s="351"/>
      <c r="F23" s="352"/>
      <c r="G23" s="353"/>
      <c r="H23" s="228"/>
      <c r="I23" s="196"/>
    </row>
    <row r="24" spans="1:19" s="65" customFormat="1" ht="28.5" thickBot="1">
      <c r="A24" s="344"/>
      <c r="B24" s="344"/>
      <c r="C24" s="140" t="s">
        <v>101</v>
      </c>
      <c r="D24" s="345" t="s">
        <v>22</v>
      </c>
      <c r="E24" s="345"/>
      <c r="F24" s="141" t="s">
        <v>62</v>
      </c>
      <c r="G24" s="139" t="s">
        <v>63</v>
      </c>
      <c r="H24" s="228"/>
      <c r="I24" s="196"/>
    </row>
    <row r="25" spans="1:19" s="65" customFormat="1" ht="28" thickBot="1">
      <c r="A25" s="368" t="s">
        <v>218</v>
      </c>
      <c r="B25" s="368"/>
      <c r="C25" s="368"/>
      <c r="D25" s="143"/>
      <c r="E25" s="143"/>
      <c r="F25" s="142" t="s">
        <v>149</v>
      </c>
      <c r="G25" s="39"/>
      <c r="H25" s="228"/>
      <c r="I25" s="196"/>
    </row>
    <row r="26" spans="1:19" s="65" customFormat="1" ht="25.5" thickBot="1">
      <c r="A26" s="229"/>
      <c r="B26" s="369"/>
      <c r="C26" s="75" t="s">
        <v>64</v>
      </c>
      <c r="D26" s="76" t="s">
        <v>138</v>
      </c>
      <c r="E26" s="371" t="s">
        <v>108</v>
      </c>
      <c r="F26" s="371"/>
      <c r="G26" s="103"/>
      <c r="H26" s="228"/>
      <c r="I26" s="194"/>
    </row>
    <row r="27" spans="1:19" s="65" customFormat="1">
      <c r="A27" s="229"/>
      <c r="B27" s="370"/>
      <c r="C27" s="78" t="s">
        <v>65</v>
      </c>
      <c r="D27" s="90"/>
      <c r="E27" s="79" t="s">
        <v>66</v>
      </c>
      <c r="F27" s="80">
        <v>0.36499999999999999</v>
      </c>
      <c r="G27" s="25">
        <f>D27*F27</f>
        <v>0</v>
      </c>
      <c r="H27" s="228"/>
      <c r="I27" s="196"/>
    </row>
    <row r="28" spans="1:19" s="65" customFormat="1">
      <c r="A28" s="229"/>
      <c r="B28" s="370"/>
      <c r="C28" s="22" t="s">
        <v>67</v>
      </c>
      <c r="D28" s="40"/>
      <c r="E28" s="23" t="s">
        <v>66</v>
      </c>
      <c r="F28" s="24">
        <v>0.20499999999999999</v>
      </c>
      <c r="G28" s="25">
        <f>D28*F28</f>
        <v>0</v>
      </c>
      <c r="H28" s="228"/>
      <c r="I28" s="196"/>
    </row>
    <row r="29" spans="1:19" s="65" customFormat="1" ht="14" thickBot="1">
      <c r="A29" s="229"/>
      <c r="B29" s="370"/>
      <c r="C29" s="71" t="s">
        <v>68</v>
      </c>
      <c r="D29" s="89"/>
      <c r="E29" s="72" t="s">
        <v>66</v>
      </c>
      <c r="F29" s="73">
        <v>0.20499999999999999</v>
      </c>
      <c r="G29" s="74">
        <f>D29*F29</f>
        <v>0</v>
      </c>
      <c r="H29" s="228"/>
      <c r="I29" s="196"/>
    </row>
    <row r="30" spans="1:19" s="65" customFormat="1" ht="25.5" thickBot="1">
      <c r="A30" s="229"/>
      <c r="B30" s="370"/>
      <c r="C30" s="75" t="s">
        <v>69</v>
      </c>
      <c r="D30" s="76" t="s">
        <v>138</v>
      </c>
      <c r="E30" s="374" t="s">
        <v>109</v>
      </c>
      <c r="F30" s="375"/>
      <c r="G30" s="77"/>
      <c r="H30" s="228"/>
      <c r="I30" s="196"/>
    </row>
    <row r="31" spans="1:19" s="65" customFormat="1" ht="14.5">
      <c r="A31" s="229"/>
      <c r="B31" s="370"/>
      <c r="C31" s="78" t="s">
        <v>70</v>
      </c>
      <c r="D31" s="90"/>
      <c r="E31" s="79" t="s">
        <v>110</v>
      </c>
      <c r="F31" s="80">
        <v>1.8</v>
      </c>
      <c r="G31" s="25">
        <f>D31*F31</f>
        <v>0</v>
      </c>
      <c r="H31" s="228"/>
      <c r="I31" s="196"/>
    </row>
    <row r="32" spans="1:19" s="65" customFormat="1" ht="15" thickBot="1">
      <c r="A32" s="229"/>
      <c r="B32" s="370"/>
      <c r="C32" s="71" t="s">
        <v>71</v>
      </c>
      <c r="D32" s="89"/>
      <c r="E32" s="72" t="s">
        <v>110</v>
      </c>
      <c r="F32" s="81">
        <v>2</v>
      </c>
      <c r="G32" s="74">
        <f>D32*F32</f>
        <v>0</v>
      </c>
      <c r="H32" s="228"/>
      <c r="I32" s="196"/>
    </row>
    <row r="33" spans="1:9" s="65" customFormat="1" ht="25.5" thickBot="1">
      <c r="A33" s="229"/>
      <c r="B33" s="370"/>
      <c r="C33" s="75" t="s">
        <v>72</v>
      </c>
      <c r="D33" s="76" t="s">
        <v>138</v>
      </c>
      <c r="E33" s="374" t="s">
        <v>111</v>
      </c>
      <c r="F33" s="375"/>
      <c r="G33" s="77"/>
      <c r="H33" s="228"/>
      <c r="I33" s="196"/>
    </row>
    <row r="34" spans="1:9" s="65" customFormat="1">
      <c r="A34" s="229"/>
      <c r="B34" s="370"/>
      <c r="C34" s="78" t="s">
        <v>198</v>
      </c>
      <c r="D34" s="90"/>
      <c r="E34" s="79" t="s">
        <v>73</v>
      </c>
      <c r="F34" s="82">
        <v>1.5</v>
      </c>
      <c r="G34" s="25">
        <f t="shared" ref="G34:G48" si="0">D34*F34</f>
        <v>0</v>
      </c>
      <c r="H34" s="228"/>
      <c r="I34" s="196"/>
    </row>
    <row r="35" spans="1:9" s="65" customFormat="1">
      <c r="A35" s="229"/>
      <c r="B35" s="370"/>
      <c r="C35" s="22" t="s">
        <v>74</v>
      </c>
      <c r="D35" s="40"/>
      <c r="E35" s="23" t="s">
        <v>73</v>
      </c>
      <c r="F35" s="24">
        <v>0.1</v>
      </c>
      <c r="G35" s="25">
        <f t="shared" si="0"/>
        <v>0</v>
      </c>
      <c r="H35" s="228"/>
      <c r="I35" s="196"/>
    </row>
    <row r="36" spans="1:9" s="65" customFormat="1">
      <c r="A36" s="229"/>
      <c r="B36" s="370"/>
      <c r="C36" s="22" t="s">
        <v>75</v>
      </c>
      <c r="D36" s="40"/>
      <c r="E36" s="23" t="s">
        <v>73</v>
      </c>
      <c r="F36" s="24">
        <v>0.5</v>
      </c>
      <c r="G36" s="25">
        <f t="shared" si="0"/>
        <v>0</v>
      </c>
      <c r="H36" s="228"/>
      <c r="I36" s="196"/>
    </row>
    <row r="37" spans="1:9" s="65" customFormat="1">
      <c r="A37" s="229"/>
      <c r="B37" s="370"/>
      <c r="C37" s="22" t="s">
        <v>76</v>
      </c>
      <c r="D37" s="40"/>
      <c r="E37" s="23" t="s">
        <v>73</v>
      </c>
      <c r="F37" s="24">
        <v>6.6</v>
      </c>
      <c r="G37" s="25">
        <f t="shared" si="0"/>
        <v>0</v>
      </c>
      <c r="H37" s="228"/>
      <c r="I37" s="196"/>
    </row>
    <row r="38" spans="1:9" s="65" customFormat="1">
      <c r="A38" s="229"/>
      <c r="B38" s="370"/>
      <c r="C38" s="22" t="s">
        <v>77</v>
      </c>
      <c r="D38" s="40"/>
      <c r="E38" s="23" t="s">
        <v>73</v>
      </c>
      <c r="F38" s="24">
        <v>0.3</v>
      </c>
      <c r="G38" s="25">
        <f t="shared" si="0"/>
        <v>0</v>
      </c>
      <c r="H38" s="228"/>
      <c r="I38" s="196"/>
    </row>
    <row r="39" spans="1:9" s="65" customFormat="1">
      <c r="A39" s="229"/>
      <c r="B39" s="370"/>
      <c r="C39" s="22" t="s">
        <v>78</v>
      </c>
      <c r="D39" s="40"/>
      <c r="E39" s="23" t="s">
        <v>73</v>
      </c>
      <c r="F39" s="24">
        <v>0</v>
      </c>
      <c r="G39" s="25">
        <f t="shared" si="0"/>
        <v>0</v>
      </c>
      <c r="H39" s="228"/>
      <c r="I39" s="196"/>
    </row>
    <row r="40" spans="1:9" s="65" customFormat="1">
      <c r="A40" s="229"/>
      <c r="B40" s="370"/>
      <c r="C40" s="22" t="s">
        <v>79</v>
      </c>
      <c r="D40" s="40"/>
      <c r="E40" s="23" t="s">
        <v>73</v>
      </c>
      <c r="F40" s="26">
        <v>2</v>
      </c>
      <c r="G40" s="25">
        <f t="shared" si="0"/>
        <v>0</v>
      </c>
      <c r="H40" s="228"/>
      <c r="I40" s="196"/>
    </row>
    <row r="41" spans="1:9" s="65" customFormat="1">
      <c r="A41" s="229"/>
      <c r="B41" s="370"/>
      <c r="C41" s="22" t="s">
        <v>80</v>
      </c>
      <c r="D41" s="40"/>
      <c r="E41" s="23" t="s">
        <v>73</v>
      </c>
      <c r="F41" s="26">
        <v>1</v>
      </c>
      <c r="G41" s="25">
        <f t="shared" si="0"/>
        <v>0</v>
      </c>
      <c r="H41" s="228"/>
      <c r="I41" s="196"/>
    </row>
    <row r="42" spans="1:9" s="65" customFormat="1">
      <c r="A42" s="229"/>
      <c r="B42" s="370"/>
      <c r="C42" s="22" t="s">
        <v>81</v>
      </c>
      <c r="D42" s="40"/>
      <c r="E42" s="23" t="s">
        <v>73</v>
      </c>
      <c r="F42" s="24">
        <v>0.5</v>
      </c>
      <c r="G42" s="25">
        <f t="shared" si="0"/>
        <v>0</v>
      </c>
      <c r="H42" s="228"/>
      <c r="I42" s="196"/>
    </row>
    <row r="43" spans="1:9" s="65" customFormat="1">
      <c r="A43" s="229"/>
      <c r="B43" s="370"/>
      <c r="C43" s="22" t="s">
        <v>82</v>
      </c>
      <c r="D43" s="40"/>
      <c r="E43" s="23" t="s">
        <v>73</v>
      </c>
      <c r="F43" s="24">
        <v>0</v>
      </c>
      <c r="G43" s="25">
        <f t="shared" si="0"/>
        <v>0</v>
      </c>
      <c r="H43" s="228"/>
      <c r="I43" s="196"/>
    </row>
    <row r="44" spans="1:9" s="65" customFormat="1">
      <c r="A44" s="229"/>
      <c r="B44" s="370"/>
      <c r="C44" s="22" t="s">
        <v>83</v>
      </c>
      <c r="D44" s="40"/>
      <c r="E44" s="23" t="s">
        <v>73</v>
      </c>
      <c r="F44" s="24">
        <v>0</v>
      </c>
      <c r="G44" s="25">
        <f t="shared" si="0"/>
        <v>0</v>
      </c>
      <c r="H44" s="228"/>
      <c r="I44" s="196"/>
    </row>
    <row r="45" spans="1:9" s="65" customFormat="1">
      <c r="A45" s="229"/>
      <c r="B45" s="370"/>
      <c r="C45" s="22" t="s">
        <v>84</v>
      </c>
      <c r="D45" s="40"/>
      <c r="E45" s="23" t="s">
        <v>73</v>
      </c>
      <c r="F45" s="24">
        <v>0</v>
      </c>
      <c r="G45" s="25">
        <f t="shared" si="0"/>
        <v>0</v>
      </c>
      <c r="H45" s="228"/>
      <c r="I45" s="196"/>
    </row>
    <row r="46" spans="1:9" s="65" customFormat="1">
      <c r="A46" s="229"/>
      <c r="B46" s="370"/>
      <c r="C46" s="22" t="s">
        <v>85</v>
      </c>
      <c r="D46" s="40"/>
      <c r="E46" s="23" t="s">
        <v>73</v>
      </c>
      <c r="F46" s="24">
        <v>0</v>
      </c>
      <c r="G46" s="25">
        <f t="shared" si="0"/>
        <v>0</v>
      </c>
      <c r="H46" s="228"/>
      <c r="I46" s="196"/>
    </row>
    <row r="47" spans="1:9" s="65" customFormat="1">
      <c r="A47" s="229"/>
      <c r="B47" s="370"/>
      <c r="C47" s="22" t="s">
        <v>86</v>
      </c>
      <c r="D47" s="40"/>
      <c r="E47" s="23" t="s">
        <v>73</v>
      </c>
      <c r="F47" s="24">
        <v>0.2</v>
      </c>
      <c r="G47" s="25">
        <f t="shared" si="0"/>
        <v>0</v>
      </c>
      <c r="H47" s="228"/>
      <c r="I47" s="196"/>
    </row>
    <row r="48" spans="1:9" s="65" customFormat="1" ht="14" thickBot="1">
      <c r="A48" s="229"/>
      <c r="B48" s="370"/>
      <c r="C48" s="71" t="s">
        <v>87</v>
      </c>
      <c r="D48" s="89"/>
      <c r="E48" s="72" t="s">
        <v>73</v>
      </c>
      <c r="F48" s="73">
        <v>0.1</v>
      </c>
      <c r="G48" s="74">
        <f t="shared" si="0"/>
        <v>0</v>
      </c>
      <c r="H48" s="228"/>
      <c r="I48" s="196"/>
    </row>
    <row r="49" spans="1:9" s="65" customFormat="1" ht="25.5" hidden="1" thickBot="1">
      <c r="A49" s="229"/>
      <c r="B49" s="370"/>
      <c r="C49" s="75" t="s">
        <v>88</v>
      </c>
      <c r="D49" s="76" t="s">
        <v>89</v>
      </c>
      <c r="E49" s="83" t="s">
        <v>90</v>
      </c>
      <c r="F49" s="84" t="s">
        <v>91</v>
      </c>
      <c r="G49" s="77"/>
      <c r="H49" s="228"/>
      <c r="I49" s="196"/>
    </row>
    <row r="50" spans="1:9" s="65" customFormat="1" hidden="1">
      <c r="A50" s="229"/>
      <c r="B50" s="370"/>
      <c r="C50" s="78" t="s">
        <v>92</v>
      </c>
      <c r="D50" s="183">
        <v>0</v>
      </c>
      <c r="E50" s="79" t="s">
        <v>93</v>
      </c>
      <c r="F50" s="80">
        <v>-0.11</v>
      </c>
      <c r="G50" s="25">
        <f>D50*F50</f>
        <v>0</v>
      </c>
      <c r="H50" s="228"/>
      <c r="I50" s="196"/>
    </row>
    <row r="51" spans="1:9" s="65" customFormat="1" hidden="1">
      <c r="A51" s="229"/>
      <c r="B51" s="370"/>
      <c r="C51" s="22" t="s">
        <v>94</v>
      </c>
      <c r="D51" s="184">
        <v>0</v>
      </c>
      <c r="E51" s="23" t="s">
        <v>93</v>
      </c>
      <c r="F51" s="24">
        <v>-0.04</v>
      </c>
      <c r="G51" s="25">
        <f>D51*F51</f>
        <v>0</v>
      </c>
      <c r="H51" s="228"/>
      <c r="I51" s="196"/>
    </row>
    <row r="52" spans="1:9" s="65" customFormat="1" ht="14" hidden="1" thickBot="1">
      <c r="A52" s="229"/>
      <c r="B52" s="370"/>
      <c r="C52" s="71" t="s">
        <v>95</v>
      </c>
      <c r="D52" s="185">
        <v>0</v>
      </c>
      <c r="E52" s="72" t="s">
        <v>96</v>
      </c>
      <c r="F52" s="73">
        <v>-0.11</v>
      </c>
      <c r="G52" s="74">
        <f>D52*F52</f>
        <v>0</v>
      </c>
      <c r="H52" s="228"/>
      <c r="I52" s="196"/>
    </row>
    <row r="53" spans="1:9" s="65" customFormat="1" ht="25.5" thickBot="1">
      <c r="A53" s="229"/>
      <c r="B53" s="370"/>
      <c r="C53" s="75" t="s">
        <v>97</v>
      </c>
      <c r="D53" s="76" t="s">
        <v>138</v>
      </c>
      <c r="E53" s="374" t="s">
        <v>111</v>
      </c>
      <c r="F53" s="375"/>
      <c r="G53" s="77"/>
      <c r="H53" s="228"/>
      <c r="I53" s="196"/>
    </row>
    <row r="54" spans="1:9" s="65" customFormat="1" ht="29" hidden="1">
      <c r="A54" s="229"/>
      <c r="B54" s="370"/>
      <c r="C54" s="78" t="s">
        <v>160</v>
      </c>
      <c r="D54" s="91"/>
      <c r="E54" s="79" t="s">
        <v>73</v>
      </c>
      <c r="F54" s="85">
        <v>-1</v>
      </c>
      <c r="G54" s="25">
        <f>D54*F54</f>
        <v>0</v>
      </c>
      <c r="H54" s="228"/>
      <c r="I54" s="196"/>
    </row>
    <row r="55" spans="1:9" s="65" customFormat="1" ht="25" hidden="1">
      <c r="A55" s="229"/>
      <c r="B55" s="370"/>
      <c r="C55" s="22" t="s">
        <v>98</v>
      </c>
      <c r="D55" s="41"/>
      <c r="E55" s="23"/>
      <c r="F55" s="26"/>
      <c r="G55" s="25"/>
      <c r="H55" s="228"/>
      <c r="I55" s="196"/>
    </row>
    <row r="56" spans="1:9" s="65" customFormat="1" ht="25" hidden="1">
      <c r="A56" s="229"/>
      <c r="B56" s="370"/>
      <c r="C56" s="22" t="s">
        <v>99</v>
      </c>
      <c r="D56" s="41"/>
      <c r="E56" s="23"/>
      <c r="F56" s="26"/>
      <c r="G56" s="25"/>
      <c r="H56" s="228"/>
      <c r="I56" s="196"/>
    </row>
    <row r="57" spans="1:9" s="65" customFormat="1" ht="17" thickBot="1">
      <c r="A57" s="229"/>
      <c r="B57" s="370"/>
      <c r="C57" s="22" t="s">
        <v>112</v>
      </c>
      <c r="D57" s="92"/>
      <c r="E57" s="72" t="s">
        <v>73</v>
      </c>
      <c r="F57" s="73">
        <v>0.5</v>
      </c>
      <c r="G57" s="74">
        <f>D57*F57</f>
        <v>0</v>
      </c>
      <c r="H57" s="228"/>
      <c r="I57" s="194"/>
    </row>
    <row r="58" spans="1:9" s="65" customFormat="1" ht="31.5" customHeight="1" thickBot="1">
      <c r="A58" s="229"/>
      <c r="B58" s="370"/>
      <c r="C58" s="27"/>
      <c r="D58" s="372" t="s">
        <v>306</v>
      </c>
      <c r="E58" s="376"/>
      <c r="F58" s="86"/>
      <c r="G58" s="87">
        <f>SUM(G27:G57)*'3. Prijsinvulformulier 2027'!F15</f>
        <v>0</v>
      </c>
      <c r="H58" s="228"/>
      <c r="I58" s="197"/>
    </row>
    <row r="59" spans="1:9" s="65" customFormat="1" ht="225.75" customHeight="1" thickBot="1">
      <c r="A59" s="229"/>
      <c r="B59" s="370"/>
      <c r="C59" s="28" t="s">
        <v>199</v>
      </c>
      <c r="D59" s="377" t="s">
        <v>200</v>
      </c>
      <c r="E59" s="378"/>
      <c r="F59" s="80"/>
      <c r="G59" s="146">
        <v>100</v>
      </c>
      <c r="H59" s="228"/>
      <c r="I59" s="198"/>
    </row>
    <row r="60" spans="1:9" s="65" customFormat="1" ht="14" thickBot="1">
      <c r="A60" s="229"/>
      <c r="B60" s="370"/>
      <c r="C60" s="88"/>
      <c r="D60" s="372" t="s">
        <v>100</v>
      </c>
      <c r="E60" s="373"/>
      <c r="F60" s="106"/>
      <c r="G60" s="107">
        <f>-(G58*G59/1000)</f>
        <v>0</v>
      </c>
      <c r="H60" s="228"/>
      <c r="I60" s="196"/>
    </row>
    <row r="61" spans="1:9" s="55" customFormat="1" ht="14.5" thickBot="1">
      <c r="A61" s="16"/>
      <c r="B61" s="230"/>
      <c r="C61" s="230" t="s">
        <v>47</v>
      </c>
      <c r="D61" s="218"/>
      <c r="E61" s="108" t="s">
        <v>104</v>
      </c>
      <c r="F61" s="109"/>
      <c r="G61" s="110">
        <f>G60/20686</f>
        <v>0</v>
      </c>
      <c r="H61" s="217"/>
      <c r="I61" s="199"/>
    </row>
    <row r="62" spans="1:9" s="65" customFormat="1" ht="63" thickBot="1">
      <c r="A62" s="390" t="s">
        <v>219</v>
      </c>
      <c r="B62" s="391"/>
      <c r="C62" s="283" t="s">
        <v>220</v>
      </c>
      <c r="D62" s="284" t="s">
        <v>121</v>
      </c>
      <c r="E62" s="392"/>
      <c r="F62" s="393"/>
      <c r="G62" s="394"/>
      <c r="H62" s="228"/>
      <c r="I62" s="196"/>
    </row>
    <row r="63" spans="1:9" s="65" customFormat="1" ht="28.5" thickBot="1">
      <c r="A63" s="395"/>
      <c r="B63" s="395"/>
      <c r="C63" s="285" t="s">
        <v>101</v>
      </c>
      <c r="D63" s="396" t="s">
        <v>22</v>
      </c>
      <c r="E63" s="396"/>
      <c r="F63" s="286" t="s">
        <v>62</v>
      </c>
      <c r="G63" s="142" t="s">
        <v>63</v>
      </c>
      <c r="H63" s="228"/>
      <c r="I63" s="196"/>
    </row>
    <row r="64" spans="1:9" s="65" customFormat="1" ht="28" thickBot="1">
      <c r="A64" s="397" t="s">
        <v>221</v>
      </c>
      <c r="B64" s="398"/>
      <c r="C64" s="399"/>
      <c r="D64" s="287"/>
      <c r="E64" s="288"/>
      <c r="F64" s="289" t="s">
        <v>149</v>
      </c>
      <c r="G64" s="290"/>
      <c r="H64" s="228"/>
      <c r="I64" s="196"/>
    </row>
    <row r="65" spans="1:9" s="65" customFormat="1" ht="25.5" thickBot="1">
      <c r="A65" s="229"/>
      <c r="B65" s="369" t="s">
        <v>222</v>
      </c>
      <c r="C65" s="75" t="s">
        <v>64</v>
      </c>
      <c r="D65" s="76" t="s">
        <v>138</v>
      </c>
      <c r="E65" s="374" t="s">
        <v>108</v>
      </c>
      <c r="F65" s="401"/>
      <c r="G65" s="291"/>
      <c r="H65" s="228"/>
      <c r="I65" s="196"/>
    </row>
    <row r="66" spans="1:9" s="65" customFormat="1">
      <c r="A66" s="229"/>
      <c r="B66" s="370"/>
      <c r="C66" s="78" t="s">
        <v>65</v>
      </c>
      <c r="D66" s="90"/>
      <c r="E66" s="79" t="s">
        <v>66</v>
      </c>
      <c r="F66" s="80">
        <v>0.36499999999999999</v>
      </c>
      <c r="G66" s="25">
        <f>D66*F66</f>
        <v>0</v>
      </c>
      <c r="H66" s="228"/>
      <c r="I66" s="196"/>
    </row>
    <row r="67" spans="1:9" s="65" customFormat="1">
      <c r="A67" s="229"/>
      <c r="B67" s="370"/>
      <c r="C67" s="22" t="s">
        <v>67</v>
      </c>
      <c r="D67" s="40"/>
      <c r="E67" s="23" t="s">
        <v>66</v>
      </c>
      <c r="F67" s="24">
        <v>0.20499999999999999</v>
      </c>
      <c r="G67" s="25">
        <f>D67*F67</f>
        <v>0</v>
      </c>
      <c r="H67" s="228"/>
      <c r="I67" s="196"/>
    </row>
    <row r="68" spans="1:9" s="65" customFormat="1" ht="14" thickBot="1">
      <c r="A68" s="229"/>
      <c r="B68" s="370"/>
      <c r="C68" s="71" t="s">
        <v>68</v>
      </c>
      <c r="D68" s="89"/>
      <c r="E68" s="72" t="s">
        <v>66</v>
      </c>
      <c r="F68" s="73">
        <v>0.20499999999999999</v>
      </c>
      <c r="G68" s="25">
        <f>D68*F68</f>
        <v>0</v>
      </c>
      <c r="H68" s="228"/>
      <c r="I68" s="196"/>
    </row>
    <row r="69" spans="1:9" s="65" customFormat="1" ht="25.5" thickBot="1">
      <c r="A69" s="229"/>
      <c r="B69" s="370"/>
      <c r="C69" s="75" t="s">
        <v>69</v>
      </c>
      <c r="D69" s="76" t="s">
        <v>138</v>
      </c>
      <c r="E69" s="374" t="s">
        <v>109</v>
      </c>
      <c r="F69" s="401"/>
      <c r="G69" s="292"/>
      <c r="H69" s="228"/>
      <c r="I69" s="196"/>
    </row>
    <row r="70" spans="1:9" s="65" customFormat="1" ht="14.5">
      <c r="A70" s="229"/>
      <c r="B70" s="370"/>
      <c r="C70" s="78" t="s">
        <v>70</v>
      </c>
      <c r="D70" s="90"/>
      <c r="E70" s="79" t="s">
        <v>110</v>
      </c>
      <c r="F70" s="80">
        <v>1.8</v>
      </c>
      <c r="G70" s="25">
        <f>D70*F70</f>
        <v>0</v>
      </c>
      <c r="H70" s="228"/>
      <c r="I70" s="196"/>
    </row>
    <row r="71" spans="1:9" s="65" customFormat="1" ht="15" thickBot="1">
      <c r="A71" s="229"/>
      <c r="B71" s="370"/>
      <c r="C71" s="71" t="s">
        <v>71</v>
      </c>
      <c r="D71" s="89"/>
      <c r="E71" s="72" t="s">
        <v>110</v>
      </c>
      <c r="F71" s="81">
        <v>2</v>
      </c>
      <c r="G71" s="25">
        <f>D71*F71</f>
        <v>0</v>
      </c>
      <c r="H71" s="228"/>
      <c r="I71" s="196"/>
    </row>
    <row r="72" spans="1:9" s="65" customFormat="1" ht="25.5" thickBot="1">
      <c r="A72" s="229"/>
      <c r="B72" s="370"/>
      <c r="C72" s="75" t="s">
        <v>72</v>
      </c>
      <c r="D72" s="76" t="s">
        <v>138</v>
      </c>
      <c r="E72" s="374" t="s">
        <v>111</v>
      </c>
      <c r="F72" s="401"/>
      <c r="G72" s="292"/>
      <c r="H72" s="228"/>
      <c r="I72" s="196"/>
    </row>
    <row r="73" spans="1:9" s="65" customFormat="1">
      <c r="A73" s="229"/>
      <c r="B73" s="370"/>
      <c r="C73" s="78" t="s">
        <v>198</v>
      </c>
      <c r="D73" s="40"/>
      <c r="E73" s="79" t="s">
        <v>73</v>
      </c>
      <c r="F73" s="82">
        <v>1.5</v>
      </c>
      <c r="G73" s="25">
        <f>D73*F73</f>
        <v>0</v>
      </c>
      <c r="H73" s="228"/>
      <c r="I73" s="196"/>
    </row>
    <row r="74" spans="1:9" s="65" customFormat="1">
      <c r="A74" s="229"/>
      <c r="B74" s="370"/>
      <c r="C74" s="22" t="s">
        <v>74</v>
      </c>
      <c r="D74" s="326"/>
      <c r="E74" s="23" t="s">
        <v>73</v>
      </c>
      <c r="F74" s="24">
        <v>0.1</v>
      </c>
      <c r="G74" s="25">
        <f>D74*F74</f>
        <v>0</v>
      </c>
      <c r="H74" s="228"/>
      <c r="I74" s="196"/>
    </row>
    <row r="75" spans="1:9" s="65" customFormat="1">
      <c r="A75" s="229"/>
      <c r="B75" s="370"/>
      <c r="C75" s="22" t="s">
        <v>75</v>
      </c>
      <c r="D75" s="40"/>
      <c r="E75" s="23" t="s">
        <v>73</v>
      </c>
      <c r="F75" s="24">
        <v>0.5</v>
      </c>
      <c r="G75" s="25">
        <f t="shared" ref="G75:G87" si="1">D75*F75</f>
        <v>0</v>
      </c>
      <c r="H75" s="228"/>
      <c r="I75" s="196"/>
    </row>
    <row r="76" spans="1:9" s="65" customFormat="1">
      <c r="A76" s="229"/>
      <c r="B76" s="370"/>
      <c r="C76" s="22" t="s">
        <v>76</v>
      </c>
      <c r="D76" s="40"/>
      <c r="E76" s="23" t="s">
        <v>73</v>
      </c>
      <c r="F76" s="24">
        <v>6.6</v>
      </c>
      <c r="G76" s="25">
        <f t="shared" si="1"/>
        <v>0</v>
      </c>
      <c r="H76" s="228"/>
      <c r="I76" s="196"/>
    </row>
    <row r="77" spans="1:9" s="65" customFormat="1">
      <c r="A77" s="229"/>
      <c r="B77" s="370"/>
      <c r="C77" s="22" t="s">
        <v>77</v>
      </c>
      <c r="D77" s="40"/>
      <c r="E77" s="23" t="s">
        <v>73</v>
      </c>
      <c r="F77" s="24">
        <v>0.3</v>
      </c>
      <c r="G77" s="25">
        <f t="shared" si="1"/>
        <v>0</v>
      </c>
      <c r="H77" s="228"/>
      <c r="I77" s="196"/>
    </row>
    <row r="78" spans="1:9" s="65" customFormat="1">
      <c r="A78" s="229"/>
      <c r="B78" s="370"/>
      <c r="C78" s="22" t="s">
        <v>78</v>
      </c>
      <c r="D78" s="40"/>
      <c r="E78" s="23" t="s">
        <v>73</v>
      </c>
      <c r="F78" s="24">
        <v>0</v>
      </c>
      <c r="G78" s="325">
        <f t="shared" si="1"/>
        <v>0</v>
      </c>
      <c r="H78" s="228"/>
      <c r="I78" s="196"/>
    </row>
    <row r="79" spans="1:9" s="65" customFormat="1">
      <c r="A79" s="229"/>
      <c r="B79" s="370"/>
      <c r="C79" s="22" t="s">
        <v>79</v>
      </c>
      <c r="D79" s="40"/>
      <c r="E79" s="23" t="s">
        <v>73</v>
      </c>
      <c r="F79" s="26">
        <v>2</v>
      </c>
      <c r="G79" s="25">
        <f t="shared" si="1"/>
        <v>0</v>
      </c>
      <c r="H79" s="228"/>
      <c r="I79" s="196"/>
    </row>
    <row r="80" spans="1:9" s="65" customFormat="1">
      <c r="A80" s="229"/>
      <c r="B80" s="370"/>
      <c r="C80" s="22" t="s">
        <v>80</v>
      </c>
      <c r="D80" s="40"/>
      <c r="E80" s="23" t="s">
        <v>73</v>
      </c>
      <c r="F80" s="26">
        <v>1</v>
      </c>
      <c r="G80" s="25">
        <f t="shared" si="1"/>
        <v>0</v>
      </c>
      <c r="H80" s="228"/>
      <c r="I80" s="196"/>
    </row>
    <row r="81" spans="1:9" s="65" customFormat="1">
      <c r="A81" s="229"/>
      <c r="B81" s="370"/>
      <c r="C81" s="22" t="s">
        <v>81</v>
      </c>
      <c r="D81" s="40"/>
      <c r="E81" s="23" t="s">
        <v>73</v>
      </c>
      <c r="F81" s="24">
        <v>0.5</v>
      </c>
      <c r="G81" s="25">
        <f t="shared" si="1"/>
        <v>0</v>
      </c>
      <c r="H81" s="228"/>
      <c r="I81" s="196"/>
    </row>
    <row r="82" spans="1:9" s="65" customFormat="1">
      <c r="A82" s="229"/>
      <c r="B82" s="370"/>
      <c r="C82" s="22" t="s">
        <v>82</v>
      </c>
      <c r="D82" s="40"/>
      <c r="E82" s="23" t="s">
        <v>73</v>
      </c>
      <c r="F82" s="24">
        <v>0</v>
      </c>
      <c r="G82" s="25">
        <f t="shared" si="1"/>
        <v>0</v>
      </c>
      <c r="H82" s="228"/>
      <c r="I82" s="196"/>
    </row>
    <row r="83" spans="1:9" s="65" customFormat="1">
      <c r="A83" s="229"/>
      <c r="B83" s="370"/>
      <c r="C83" s="22" t="s">
        <v>83</v>
      </c>
      <c r="D83" s="40"/>
      <c r="E83" s="23" t="s">
        <v>73</v>
      </c>
      <c r="F83" s="24">
        <v>0</v>
      </c>
      <c r="G83" s="25">
        <f t="shared" si="1"/>
        <v>0</v>
      </c>
      <c r="H83" s="228"/>
      <c r="I83" s="196"/>
    </row>
    <row r="84" spans="1:9" s="65" customFormat="1">
      <c r="A84" s="229"/>
      <c r="B84" s="370"/>
      <c r="C84" s="22" t="s">
        <v>84</v>
      </c>
      <c r="D84" s="40"/>
      <c r="E84" s="23" t="s">
        <v>73</v>
      </c>
      <c r="F84" s="24">
        <v>0</v>
      </c>
      <c r="G84" s="25">
        <f t="shared" si="1"/>
        <v>0</v>
      </c>
      <c r="H84" s="228"/>
      <c r="I84" s="196"/>
    </row>
    <row r="85" spans="1:9" s="65" customFormat="1">
      <c r="A85" s="229"/>
      <c r="B85" s="370"/>
      <c r="C85" s="22" t="s">
        <v>85</v>
      </c>
      <c r="D85" s="40"/>
      <c r="E85" s="23" t="s">
        <v>73</v>
      </c>
      <c r="F85" s="24">
        <v>0</v>
      </c>
      <c r="G85" s="25">
        <f t="shared" si="1"/>
        <v>0</v>
      </c>
      <c r="H85" s="228"/>
      <c r="I85" s="196"/>
    </row>
    <row r="86" spans="1:9" s="65" customFormat="1">
      <c r="A86" s="229"/>
      <c r="B86" s="370"/>
      <c r="C86" s="22" t="s">
        <v>86</v>
      </c>
      <c r="D86" s="40"/>
      <c r="E86" s="23" t="s">
        <v>73</v>
      </c>
      <c r="F86" s="24">
        <v>0.2</v>
      </c>
      <c r="G86" s="25">
        <f t="shared" si="1"/>
        <v>0</v>
      </c>
      <c r="H86" s="228"/>
      <c r="I86" s="196"/>
    </row>
    <row r="87" spans="1:9" s="65" customFormat="1" ht="14" thickBot="1">
      <c r="A87" s="229"/>
      <c r="B87" s="370"/>
      <c r="C87" s="71" t="s">
        <v>87</v>
      </c>
      <c r="D87" s="89"/>
      <c r="E87" s="72" t="s">
        <v>73</v>
      </c>
      <c r="F87" s="73">
        <v>0.1</v>
      </c>
      <c r="G87" s="74">
        <f t="shared" si="1"/>
        <v>0</v>
      </c>
      <c r="H87" s="228"/>
      <c r="I87" s="196"/>
    </row>
    <row r="88" spans="1:9" s="65" customFormat="1" ht="25.5" hidden="1" thickBot="1">
      <c r="A88" s="229"/>
      <c r="B88" s="370"/>
      <c r="C88" s="75" t="s">
        <v>88</v>
      </c>
      <c r="D88" s="76" t="s">
        <v>89</v>
      </c>
      <c r="E88" s="83" t="s">
        <v>90</v>
      </c>
      <c r="F88" s="84" t="s">
        <v>91</v>
      </c>
      <c r="G88" s="77"/>
      <c r="H88" s="228"/>
      <c r="I88" s="196"/>
    </row>
    <row r="89" spans="1:9" s="65" customFormat="1" hidden="1">
      <c r="A89" s="229"/>
      <c r="B89" s="370"/>
      <c r="C89" s="78" t="s">
        <v>92</v>
      </c>
      <c r="D89" s="293"/>
      <c r="E89" s="79" t="s">
        <v>93</v>
      </c>
      <c r="F89" s="80">
        <v>-0.11</v>
      </c>
      <c r="G89" s="25">
        <f>D89*F89</f>
        <v>0</v>
      </c>
      <c r="H89" s="228"/>
      <c r="I89" s="196"/>
    </row>
    <row r="90" spans="1:9" s="65" customFormat="1" hidden="1">
      <c r="A90" s="229"/>
      <c r="B90" s="370"/>
      <c r="C90" s="22" t="s">
        <v>94</v>
      </c>
      <c r="D90" s="294">
        <v>0</v>
      </c>
      <c r="E90" s="23" t="s">
        <v>93</v>
      </c>
      <c r="F90" s="24">
        <v>-0.04</v>
      </c>
      <c r="G90" s="25">
        <f>D90*F90</f>
        <v>0</v>
      </c>
      <c r="H90" s="228"/>
      <c r="I90" s="196"/>
    </row>
    <row r="91" spans="1:9" s="65" customFormat="1" ht="14" hidden="1" thickBot="1">
      <c r="A91" s="229"/>
      <c r="B91" s="370"/>
      <c r="C91" s="71" t="s">
        <v>95</v>
      </c>
      <c r="D91" s="295">
        <v>0</v>
      </c>
      <c r="E91" s="72" t="s">
        <v>96</v>
      </c>
      <c r="F91" s="73">
        <v>-0.11</v>
      </c>
      <c r="G91" s="74">
        <f>D91*F91</f>
        <v>0</v>
      </c>
      <c r="H91" s="228"/>
      <c r="I91" s="196"/>
    </row>
    <row r="92" spans="1:9" s="65" customFormat="1" ht="25.5" thickBot="1">
      <c r="A92" s="229"/>
      <c r="B92" s="370"/>
      <c r="C92" s="75" t="s">
        <v>97</v>
      </c>
      <c r="D92" s="76" t="s">
        <v>223</v>
      </c>
      <c r="E92" s="374" t="s">
        <v>111</v>
      </c>
      <c r="F92" s="375"/>
      <c r="G92" s="77"/>
      <c r="H92" s="228"/>
      <c r="I92" s="196"/>
    </row>
    <row r="93" spans="1:9" s="65" customFormat="1" ht="29" hidden="1">
      <c r="A93" s="229"/>
      <c r="B93" s="370"/>
      <c r="C93" s="78" t="s">
        <v>160</v>
      </c>
      <c r="D93" s="91"/>
      <c r="E93" s="79" t="s">
        <v>73</v>
      </c>
      <c r="F93" s="85">
        <v>-1</v>
      </c>
      <c r="G93" s="25">
        <f>D93*F93</f>
        <v>0</v>
      </c>
      <c r="H93" s="228"/>
      <c r="I93" s="196"/>
    </row>
    <row r="94" spans="1:9" s="65" customFormat="1" ht="25" hidden="1">
      <c r="A94" s="229"/>
      <c r="B94" s="370"/>
      <c r="C94" s="22" t="s">
        <v>98</v>
      </c>
      <c r="D94" s="41"/>
      <c r="E94" s="23"/>
      <c r="F94" s="26"/>
      <c r="G94" s="25"/>
      <c r="H94" s="228"/>
      <c r="I94" s="196"/>
    </row>
    <row r="95" spans="1:9" s="65" customFormat="1" ht="25" hidden="1">
      <c r="A95" s="229"/>
      <c r="B95" s="370"/>
      <c r="C95" s="22" t="s">
        <v>99</v>
      </c>
      <c r="D95" s="41"/>
      <c r="E95" s="23"/>
      <c r="F95" s="26"/>
      <c r="G95" s="25"/>
      <c r="H95" s="228"/>
      <c r="I95" s="196"/>
    </row>
    <row r="96" spans="1:9" s="65" customFormat="1" ht="17" thickBot="1">
      <c r="A96" s="229"/>
      <c r="B96" s="370"/>
      <c r="C96" s="22" t="s">
        <v>112</v>
      </c>
      <c r="D96" s="92"/>
      <c r="E96" s="72" t="s">
        <v>73</v>
      </c>
      <c r="F96" s="73">
        <v>0.5</v>
      </c>
      <c r="G96" s="74">
        <f>D96*F96</f>
        <v>0</v>
      </c>
      <c r="H96" s="228"/>
      <c r="I96" s="196"/>
    </row>
    <row r="97" spans="1:9" s="65" customFormat="1" ht="31.5" customHeight="1" thickBot="1">
      <c r="A97" s="229"/>
      <c r="B97" s="370"/>
      <c r="C97" s="27"/>
      <c r="D97" s="372" t="s">
        <v>306</v>
      </c>
      <c r="E97" s="400"/>
      <c r="F97" s="296"/>
      <c r="G97" s="87">
        <f>SUM(G66:G96)*'3. Prijsinvulformulier 2027'!F20</f>
        <v>0</v>
      </c>
      <c r="H97" s="228"/>
      <c r="I97" s="197"/>
    </row>
    <row r="98" spans="1:9" s="65" customFormat="1" ht="206.25" customHeight="1" thickBot="1">
      <c r="A98" s="229"/>
      <c r="B98" s="370"/>
      <c r="C98" s="28" t="s">
        <v>199</v>
      </c>
      <c r="D98" s="377" t="s">
        <v>200</v>
      </c>
      <c r="E98" s="378"/>
      <c r="F98" s="297"/>
      <c r="G98" s="146">
        <v>100</v>
      </c>
      <c r="H98" s="228"/>
      <c r="I98" s="198"/>
    </row>
    <row r="99" spans="1:9" s="65" customFormat="1" ht="14" thickBot="1">
      <c r="A99" s="229"/>
      <c r="B99" s="370"/>
      <c r="C99" s="88"/>
      <c r="D99" s="372" t="s">
        <v>100</v>
      </c>
      <c r="E99" s="376"/>
      <c r="F99" s="298"/>
      <c r="G99" s="299">
        <f>-(G97*G98/1000)</f>
        <v>0</v>
      </c>
      <c r="H99" s="228"/>
      <c r="I99" s="196"/>
    </row>
    <row r="100" spans="1:9" s="55" customFormat="1" ht="14.5" thickBot="1">
      <c r="A100" s="16"/>
      <c r="B100" s="230"/>
      <c r="C100" s="230" t="s">
        <v>47</v>
      </c>
      <c r="D100" s="218"/>
      <c r="E100" s="300" t="s">
        <v>104</v>
      </c>
      <c r="F100" s="218"/>
      <c r="G100" s="301">
        <f>G99/5262</f>
        <v>0</v>
      </c>
      <c r="H100" s="217"/>
      <c r="I100" s="302"/>
    </row>
    <row r="101" spans="1:9" s="55" customFormat="1" ht="14.5" thickBot="1">
      <c r="A101" s="16"/>
      <c r="B101" s="230"/>
      <c r="C101" s="230"/>
      <c r="D101" s="218"/>
      <c r="E101" s="218"/>
      <c r="F101" s="218"/>
      <c r="G101" s="144" t="s">
        <v>122</v>
      </c>
      <c r="H101" s="231">
        <f>G60+G99</f>
        <v>0</v>
      </c>
      <c r="I101" s="195"/>
    </row>
    <row r="102" spans="1:9" s="55" customFormat="1" ht="14">
      <c r="A102" s="66"/>
      <c r="B102" s="232"/>
      <c r="C102" s="232"/>
      <c r="D102" s="233"/>
      <c r="E102" s="233"/>
      <c r="F102" s="233"/>
      <c r="G102" s="56"/>
      <c r="H102" s="216"/>
      <c r="I102" s="195"/>
    </row>
    <row r="103" spans="1:9" ht="2.25" customHeight="1">
      <c r="A103" s="234"/>
      <c r="C103" s="235"/>
      <c r="D103" s="236"/>
      <c r="E103" s="237"/>
      <c r="F103" s="237"/>
      <c r="G103" s="237"/>
      <c r="H103" s="238"/>
    </row>
    <row r="104" spans="1:9" hidden="1">
      <c r="A104" s="234"/>
      <c r="C104" s="235"/>
      <c r="D104" s="239" t="s">
        <v>23</v>
      </c>
      <c r="E104" s="237">
        <v>0</v>
      </c>
      <c r="F104" s="237"/>
      <c r="G104" s="237"/>
      <c r="H104" s="238"/>
    </row>
    <row r="105" spans="1:9" hidden="1">
      <c r="A105" s="234"/>
      <c r="C105" s="235"/>
      <c r="D105" s="240" t="s">
        <v>24</v>
      </c>
      <c r="E105" s="237">
        <v>0</v>
      </c>
      <c r="F105" s="237"/>
      <c r="G105" s="237"/>
      <c r="H105" s="238"/>
    </row>
    <row r="106" spans="1:9" hidden="1">
      <c r="A106" s="234"/>
      <c r="C106" s="235"/>
      <c r="D106" s="239" t="s">
        <v>103</v>
      </c>
      <c r="E106" s="237">
        <v>0.33</v>
      </c>
      <c r="F106" s="237"/>
      <c r="G106" s="237"/>
      <c r="H106" s="238"/>
    </row>
    <row r="107" spans="1:9" hidden="1">
      <c r="A107" s="234"/>
      <c r="C107" s="235"/>
      <c r="D107" s="239" t="s">
        <v>102</v>
      </c>
      <c r="E107" s="237">
        <v>0.67</v>
      </c>
      <c r="F107" s="237"/>
      <c r="G107" s="237"/>
      <c r="H107" s="238"/>
    </row>
    <row r="108" spans="1:9" hidden="1">
      <c r="A108" s="234"/>
      <c r="C108" s="235"/>
      <c r="D108" s="239" t="s">
        <v>44</v>
      </c>
      <c r="E108" s="237">
        <v>1</v>
      </c>
      <c r="F108" s="237"/>
      <c r="G108" s="237"/>
      <c r="H108" s="238"/>
    </row>
    <row r="109" spans="1:9" hidden="1">
      <c r="A109" s="234"/>
      <c r="C109" s="235"/>
      <c r="D109" s="239"/>
      <c r="E109" s="237"/>
      <c r="F109" s="237"/>
      <c r="G109" s="237"/>
      <c r="H109" s="238"/>
    </row>
    <row r="110" spans="1:9" hidden="1">
      <c r="A110" s="234"/>
      <c r="C110" s="235"/>
      <c r="D110" s="239"/>
      <c r="E110" s="237"/>
      <c r="F110" s="237"/>
      <c r="G110" s="237"/>
      <c r="H110" s="238"/>
    </row>
    <row r="111" spans="1:9" hidden="1">
      <c r="A111" s="234"/>
      <c r="C111" s="235"/>
      <c r="D111" s="236"/>
      <c r="E111" s="237"/>
      <c r="F111" s="237"/>
      <c r="G111" s="237"/>
      <c r="H111" s="238"/>
    </row>
    <row r="112" spans="1:9" ht="2.25" hidden="1" customHeight="1">
      <c r="A112" s="234"/>
      <c r="C112" s="235"/>
      <c r="D112" s="236"/>
      <c r="E112" s="237"/>
      <c r="F112" s="237"/>
      <c r="G112" s="237"/>
      <c r="H112" s="238"/>
    </row>
    <row r="113" spans="1:8" hidden="1">
      <c r="A113" s="234"/>
      <c r="C113" s="235"/>
      <c r="D113" s="239" t="s">
        <v>23</v>
      </c>
      <c r="E113" s="237">
        <v>0</v>
      </c>
      <c r="F113" s="237"/>
      <c r="G113" s="237"/>
      <c r="H113" s="238"/>
    </row>
    <row r="114" spans="1:8" hidden="1">
      <c r="A114" s="234"/>
      <c r="C114" s="235"/>
      <c r="D114" s="240" t="s">
        <v>37</v>
      </c>
      <c r="E114" s="237">
        <v>0</v>
      </c>
      <c r="F114" s="237"/>
      <c r="G114" s="237"/>
      <c r="H114" s="238"/>
    </row>
    <row r="115" spans="1:8" hidden="1">
      <c r="A115" s="234"/>
      <c r="C115" s="235"/>
      <c r="D115" s="239" t="s">
        <v>38</v>
      </c>
      <c r="E115" s="237">
        <v>0.2</v>
      </c>
      <c r="F115" s="237"/>
      <c r="G115" s="237"/>
      <c r="H115" s="238"/>
    </row>
    <row r="116" spans="1:8" hidden="1">
      <c r="A116" s="234"/>
      <c r="C116" s="235"/>
      <c r="D116" s="239" t="s">
        <v>39</v>
      </c>
      <c r="E116" s="237">
        <v>0.4</v>
      </c>
      <c r="F116" s="237"/>
      <c r="G116" s="237"/>
      <c r="H116" s="238"/>
    </row>
    <row r="117" spans="1:8" hidden="1">
      <c r="A117" s="234"/>
      <c r="C117" s="235"/>
      <c r="D117" s="239" t="s">
        <v>40</v>
      </c>
      <c r="E117" s="237">
        <v>0.6</v>
      </c>
      <c r="F117" s="237"/>
      <c r="G117" s="237"/>
      <c r="H117" s="238"/>
    </row>
    <row r="118" spans="1:8" hidden="1">
      <c r="A118" s="234"/>
      <c r="C118" s="235"/>
      <c r="D118" s="239" t="s">
        <v>41</v>
      </c>
      <c r="E118" s="237">
        <v>0.8</v>
      </c>
      <c r="F118" s="237"/>
      <c r="G118" s="237"/>
      <c r="H118" s="238"/>
    </row>
    <row r="119" spans="1:8" hidden="1">
      <c r="A119" s="234"/>
      <c r="C119" s="235"/>
      <c r="D119" s="239" t="s">
        <v>42</v>
      </c>
      <c r="E119" s="237">
        <v>1</v>
      </c>
      <c r="F119" s="237"/>
      <c r="G119" s="237"/>
      <c r="H119" s="238"/>
    </row>
    <row r="120" spans="1:8" ht="2.25" hidden="1" customHeight="1">
      <c r="A120" s="234"/>
      <c r="C120" s="235"/>
      <c r="D120" s="236"/>
      <c r="E120" s="237"/>
      <c r="F120" s="237"/>
      <c r="G120" s="241"/>
      <c r="H120" s="238"/>
    </row>
    <row r="121" spans="1:8" hidden="1">
      <c r="A121" s="234"/>
      <c r="C121" s="235"/>
      <c r="D121" s="236" t="s">
        <v>23</v>
      </c>
      <c r="E121" s="237" t="s">
        <v>25</v>
      </c>
      <c r="F121" s="237">
        <v>0</v>
      </c>
      <c r="G121" s="242" t="e">
        <f>#REF!*((1+0.25)/2)</f>
        <v>#REF!</v>
      </c>
      <c r="H121" s="238"/>
    </row>
    <row r="122" spans="1:8" ht="27" hidden="1">
      <c r="A122" s="234"/>
      <c r="B122" s="236" t="s">
        <v>23</v>
      </c>
      <c r="C122" s="54">
        <v>0</v>
      </c>
      <c r="D122" s="236" t="s">
        <v>26</v>
      </c>
      <c r="E122" s="237" t="s">
        <v>27</v>
      </c>
      <c r="F122" s="237">
        <v>0</v>
      </c>
      <c r="G122" s="241"/>
      <c r="H122" s="238"/>
    </row>
    <row r="123" spans="1:8" ht="27" hidden="1">
      <c r="A123" s="234"/>
      <c r="B123" s="243" t="s">
        <v>28</v>
      </c>
      <c r="C123" s="54">
        <v>0.25</v>
      </c>
      <c r="D123" s="236" t="s">
        <v>29</v>
      </c>
      <c r="E123" s="237" t="s">
        <v>30</v>
      </c>
      <c r="F123" s="237">
        <v>1</v>
      </c>
      <c r="G123" s="241"/>
      <c r="H123" s="238"/>
    </row>
    <row r="124" spans="1:8" ht="67.5" hidden="1">
      <c r="A124" s="234"/>
      <c r="B124" s="243" t="s">
        <v>31</v>
      </c>
      <c r="C124" s="54">
        <v>0.5</v>
      </c>
      <c r="D124" s="244"/>
      <c r="E124" s="237" t="s">
        <v>32</v>
      </c>
      <c r="F124" s="237">
        <v>0.75</v>
      </c>
      <c r="G124" s="241"/>
      <c r="H124" s="238"/>
    </row>
    <row r="125" spans="1:8" ht="67.5" hidden="1">
      <c r="A125" s="234"/>
      <c r="B125" s="243" t="s">
        <v>33</v>
      </c>
      <c r="C125" s="54">
        <v>0.75</v>
      </c>
      <c r="D125" s="244"/>
      <c r="E125" s="237" t="s">
        <v>34</v>
      </c>
      <c r="F125" s="237">
        <v>0.5</v>
      </c>
      <c r="G125" s="241"/>
      <c r="H125" s="238"/>
    </row>
    <row r="126" spans="1:8" hidden="1">
      <c r="A126" s="234"/>
      <c r="B126" s="243" t="s">
        <v>35</v>
      </c>
      <c r="C126" s="54">
        <v>1</v>
      </c>
      <c r="D126" s="236"/>
      <c r="E126" s="237"/>
      <c r="F126" s="237"/>
      <c r="G126" s="241"/>
      <c r="H126" s="238"/>
    </row>
    <row r="127" spans="1:8" ht="30" customHeight="1">
      <c r="A127" s="234"/>
      <c r="B127" s="243"/>
      <c r="D127" s="236"/>
      <c r="E127" s="346" t="s">
        <v>244</v>
      </c>
      <c r="F127" s="347"/>
      <c r="G127" s="241"/>
      <c r="H127" s="238"/>
    </row>
    <row r="128" spans="1:8" ht="38.25" customHeight="1">
      <c r="A128" s="234"/>
      <c r="C128" s="235"/>
      <c r="D128" s="145" t="s">
        <v>36</v>
      </c>
      <c r="E128" s="315">
        <f>H20+H101</f>
        <v>0</v>
      </c>
      <c r="F128" s="316"/>
      <c r="G128" s="241"/>
      <c r="H128" s="238"/>
    </row>
    <row r="129" spans="1:11" ht="10.5" customHeight="1" thickBot="1">
      <c r="A129" s="234"/>
      <c r="C129" s="235"/>
      <c r="D129" s="236"/>
      <c r="E129" s="237"/>
      <c r="F129" s="237"/>
      <c r="G129" s="241"/>
      <c r="H129" s="238"/>
    </row>
    <row r="130" spans="1:11" ht="23.25" customHeight="1">
      <c r="A130" s="365" t="s">
        <v>131</v>
      </c>
      <c r="B130" s="366"/>
      <c r="C130" s="366"/>
      <c r="D130" s="366"/>
      <c r="E130" s="366"/>
      <c r="F130" s="366"/>
      <c r="G130" s="367"/>
      <c r="H130" s="238"/>
    </row>
    <row r="131" spans="1:11" ht="28.5" customHeight="1">
      <c r="A131" s="362" t="s">
        <v>115</v>
      </c>
      <c r="B131" s="363"/>
      <c r="C131" s="363"/>
      <c r="D131" s="363"/>
      <c r="E131" s="363"/>
      <c r="F131" s="363"/>
      <c r="G131" s="364"/>
      <c r="H131" s="245"/>
    </row>
    <row r="132" spans="1:11" hidden="1"/>
    <row r="133" spans="1:11" s="163" customFormat="1" ht="14" hidden="1">
      <c r="C133" s="337" t="s">
        <v>51</v>
      </c>
      <c r="D133" s="337"/>
      <c r="E133" s="337"/>
      <c r="F133" s="337"/>
      <c r="G133" s="337"/>
      <c r="H133" s="337"/>
      <c r="I133" s="337"/>
      <c r="J133" s="337"/>
      <c r="K133" s="337"/>
    </row>
    <row r="134" spans="1:11" s="163" customFormat="1" ht="14" hidden="1">
      <c r="C134" s="164"/>
      <c r="D134" s="165" t="s">
        <v>52</v>
      </c>
      <c r="E134" s="165" t="s">
        <v>53</v>
      </c>
      <c r="F134" s="166"/>
      <c r="G134" s="164"/>
      <c r="H134" s="164"/>
      <c r="I134" s="200"/>
      <c r="J134" s="164"/>
      <c r="K134" s="164"/>
    </row>
    <row r="135" spans="1:11" s="163" customFormat="1" ht="14" hidden="1">
      <c r="C135" s="164"/>
      <c r="D135" s="167" t="s">
        <v>123</v>
      </c>
      <c r="E135" s="168">
        <v>0</v>
      </c>
      <c r="F135" s="166"/>
      <c r="G135" s="164"/>
      <c r="H135" s="164"/>
      <c r="I135" s="200"/>
      <c r="J135" s="164"/>
      <c r="K135" s="164"/>
    </row>
    <row r="136" spans="1:11" s="163" customFormat="1" ht="14" hidden="1">
      <c r="C136" s="164"/>
      <c r="D136" s="167" t="s">
        <v>25</v>
      </c>
      <c r="E136" s="168">
        <v>0</v>
      </c>
      <c r="F136" s="166"/>
      <c r="G136" s="164"/>
      <c r="H136" s="164"/>
      <c r="I136" s="200"/>
      <c r="J136" s="164"/>
      <c r="K136" s="164"/>
    </row>
    <row r="137" spans="1:11" s="163" customFormat="1" ht="14" hidden="1">
      <c r="C137" s="164"/>
      <c r="D137" s="169" t="s">
        <v>166</v>
      </c>
      <c r="E137" s="167">
        <v>117</v>
      </c>
      <c r="F137" s="170"/>
      <c r="G137" s="164"/>
      <c r="H137" s="164"/>
      <c r="I137" s="200"/>
      <c r="J137" s="164"/>
      <c r="K137" s="164"/>
    </row>
    <row r="138" spans="1:11" s="163" customFormat="1" ht="14" hidden="1">
      <c r="C138" s="164"/>
      <c r="D138" s="171" t="s">
        <v>49</v>
      </c>
      <c r="E138" s="167">
        <v>102</v>
      </c>
      <c r="F138" s="172"/>
      <c r="G138" s="164"/>
      <c r="H138" s="164"/>
      <c r="I138" s="200"/>
      <c r="J138" s="164"/>
      <c r="K138" s="164"/>
    </row>
    <row r="139" spans="1:11" s="163" customFormat="1" ht="14" hidden="1">
      <c r="C139" s="164"/>
      <c r="D139" s="171" t="s">
        <v>167</v>
      </c>
      <c r="E139" s="167">
        <v>93</v>
      </c>
      <c r="F139" s="172"/>
      <c r="G139" s="164"/>
      <c r="H139" s="164"/>
      <c r="I139" s="200"/>
      <c r="J139" s="164"/>
      <c r="K139" s="164"/>
    </row>
    <row r="140" spans="1:11" s="163" customFormat="1" ht="14" hidden="1">
      <c r="C140" s="164"/>
      <c r="D140" s="171" t="s">
        <v>168</v>
      </c>
      <c r="E140" s="167">
        <v>30</v>
      </c>
      <c r="F140" s="172"/>
      <c r="G140" s="164"/>
      <c r="H140" s="164"/>
      <c r="I140" s="200"/>
      <c r="J140" s="164"/>
      <c r="K140" s="164"/>
    </row>
    <row r="141" spans="1:11" s="163" customFormat="1" ht="14" hidden="1">
      <c r="C141" s="164"/>
      <c r="D141" s="171" t="s">
        <v>169</v>
      </c>
      <c r="E141" s="167">
        <v>30</v>
      </c>
      <c r="F141" s="172"/>
      <c r="G141" s="164"/>
      <c r="H141" s="164"/>
      <c r="I141" s="200"/>
      <c r="J141" s="164"/>
      <c r="K141" s="164"/>
    </row>
    <row r="142" spans="1:11" s="163" customFormat="1" ht="14" hidden="1">
      <c r="C142" s="164"/>
      <c r="D142" s="173"/>
      <c r="E142" s="173"/>
      <c r="F142" s="172"/>
      <c r="G142" s="164"/>
      <c r="H142" s="164"/>
      <c r="I142" s="200"/>
      <c r="J142" s="164"/>
      <c r="K142" s="164"/>
    </row>
    <row r="143" spans="1:11" s="163" customFormat="1" ht="14" hidden="1">
      <c r="C143" s="164"/>
      <c r="D143" s="165" t="s">
        <v>54</v>
      </c>
      <c r="E143" s="165" t="s">
        <v>55</v>
      </c>
      <c r="F143" s="174" t="s">
        <v>56</v>
      </c>
      <c r="G143" s="174" t="s">
        <v>170</v>
      </c>
      <c r="H143" s="164"/>
      <c r="I143" s="200"/>
      <c r="J143" s="164"/>
      <c r="K143" s="164"/>
    </row>
    <row r="144" spans="1:11" s="163" customFormat="1" ht="14" hidden="1">
      <c r="C144" s="164"/>
      <c r="D144" s="167" t="s">
        <v>124</v>
      </c>
      <c r="E144" s="168">
        <v>0</v>
      </c>
      <c r="F144" s="175">
        <v>0</v>
      </c>
      <c r="G144" s="175">
        <v>0</v>
      </c>
      <c r="H144" s="164"/>
      <c r="I144" s="200"/>
      <c r="J144" s="164"/>
      <c r="K144" s="164"/>
    </row>
    <row r="145" spans="3:11" s="163" customFormat="1" ht="14" hidden="1">
      <c r="C145" s="164"/>
      <c r="D145" s="167" t="s">
        <v>25</v>
      </c>
      <c r="E145" s="168">
        <v>0</v>
      </c>
      <c r="F145" s="175">
        <v>0</v>
      </c>
      <c r="G145" s="175">
        <v>0</v>
      </c>
      <c r="H145" s="164"/>
      <c r="I145" s="200"/>
      <c r="J145" s="164"/>
      <c r="K145" s="164"/>
    </row>
    <row r="146" spans="3:11" s="163" customFormat="1" ht="14" hidden="1">
      <c r="C146" s="164"/>
      <c r="D146" s="169" t="s">
        <v>57</v>
      </c>
      <c r="E146" s="176">
        <v>1</v>
      </c>
      <c r="F146" s="177">
        <v>1</v>
      </c>
      <c r="G146" s="177">
        <v>1</v>
      </c>
      <c r="H146" s="164"/>
      <c r="I146" s="200"/>
      <c r="J146" s="164"/>
      <c r="K146" s="164"/>
    </row>
    <row r="147" spans="3:11" s="163" customFormat="1" ht="14" hidden="1">
      <c r="C147" s="164"/>
      <c r="D147" s="169" t="s">
        <v>171</v>
      </c>
      <c r="E147" s="178">
        <v>0.95726</v>
      </c>
      <c r="F147" s="179">
        <v>0.96077999999999997</v>
      </c>
      <c r="G147" s="179">
        <v>0.95699000000000001</v>
      </c>
      <c r="H147" s="164"/>
      <c r="I147" s="200"/>
      <c r="J147" s="164"/>
      <c r="K147" s="164"/>
    </row>
    <row r="148" spans="3:11" s="163" customFormat="1" ht="14" hidden="1">
      <c r="C148" s="164"/>
      <c r="D148" s="169" t="s">
        <v>59</v>
      </c>
      <c r="E148" s="178">
        <f>0.102/0.117</f>
        <v>0.8717948717948717</v>
      </c>
      <c r="F148" s="179">
        <f>0.089/0.102</f>
        <v>0.87254901960784315</v>
      </c>
      <c r="G148" s="179">
        <f>0.081/0.093</f>
        <v>0.87096774193548387</v>
      </c>
      <c r="H148" s="164"/>
      <c r="I148" s="200"/>
      <c r="J148" s="164"/>
      <c r="K148" s="164"/>
    </row>
    <row r="149" spans="3:11" s="163" customFormat="1" ht="14" hidden="1">
      <c r="C149" s="164"/>
      <c r="D149" s="169" t="s">
        <v>50</v>
      </c>
      <c r="E149" s="178">
        <f>0.095/0.117</f>
        <v>0.81196581196581197</v>
      </c>
      <c r="F149" s="179">
        <f>0.083/0.102</f>
        <v>0.81372549019607854</v>
      </c>
      <c r="G149" s="179">
        <v>0.80645</v>
      </c>
      <c r="H149" s="164"/>
      <c r="I149" s="200"/>
      <c r="J149" s="164"/>
      <c r="K149" s="164"/>
    </row>
    <row r="150" spans="3:11" s="163" customFormat="1" ht="14" hidden="1">
      <c r="C150" s="164"/>
      <c r="D150" s="169" t="s">
        <v>61</v>
      </c>
      <c r="E150" s="178">
        <v>0.78632000000000002</v>
      </c>
      <c r="F150" s="179">
        <v>0.79412000000000005</v>
      </c>
      <c r="G150" s="179">
        <v>0.78495000000000004</v>
      </c>
      <c r="H150" s="164"/>
      <c r="I150" s="200"/>
      <c r="J150" s="164"/>
      <c r="K150" s="164"/>
    </row>
    <row r="151" spans="3:11" s="163" customFormat="1" ht="14" hidden="1">
      <c r="C151" s="164"/>
      <c r="D151" s="169" t="s">
        <v>172</v>
      </c>
      <c r="E151" s="178">
        <v>0.76922999999999997</v>
      </c>
      <c r="F151" s="179">
        <v>0.77451000000000003</v>
      </c>
      <c r="G151" s="179">
        <v>0.77419000000000004</v>
      </c>
      <c r="H151" s="164"/>
      <c r="I151" s="200"/>
      <c r="J151" s="164"/>
      <c r="K151" s="164"/>
    </row>
    <row r="152" spans="3:11" s="163" customFormat="1" ht="14" hidden="1">
      <c r="C152" s="164"/>
      <c r="D152" s="169" t="s">
        <v>173</v>
      </c>
      <c r="E152" s="178">
        <v>0.63248000000000004</v>
      </c>
      <c r="F152" s="179">
        <f>0.065/0.102</f>
        <v>0.63725490196078438</v>
      </c>
      <c r="G152" s="179">
        <f>0.059/0.093</f>
        <v>0.63440860215053763</v>
      </c>
      <c r="H152" s="164"/>
      <c r="I152" s="200"/>
      <c r="J152" s="164"/>
      <c r="K152" s="164"/>
    </row>
    <row r="153" spans="3:11" s="163" customFormat="1" ht="14" hidden="1">
      <c r="C153" s="164"/>
      <c r="D153" s="169" t="s">
        <v>60</v>
      </c>
      <c r="E153" s="178">
        <f>0.035/0.117</f>
        <v>0.29914529914529914</v>
      </c>
      <c r="F153" s="179">
        <f>0.031/0.102</f>
        <v>0.30392156862745101</v>
      </c>
      <c r="G153" s="179">
        <f>0.028/0.093</f>
        <v>0.30107526881720431</v>
      </c>
      <c r="H153" s="164"/>
      <c r="I153" s="200"/>
      <c r="J153" s="164"/>
      <c r="K153" s="164"/>
    </row>
    <row r="154" spans="3:11" s="163" customFormat="1" ht="14" hidden="1">
      <c r="C154" s="164"/>
      <c r="D154" s="169" t="s">
        <v>174</v>
      </c>
      <c r="E154" s="178">
        <f>0.035/0.117</f>
        <v>0.29914529914529914</v>
      </c>
      <c r="F154" s="179">
        <f>0.031/0.102</f>
        <v>0.30392156862745101</v>
      </c>
      <c r="G154" s="179">
        <f>0.028/0.093</f>
        <v>0.30107526881720431</v>
      </c>
      <c r="H154" s="164"/>
      <c r="I154" s="200"/>
      <c r="J154" s="164"/>
      <c r="K154" s="164"/>
    </row>
    <row r="155" spans="3:11" s="163" customFormat="1" ht="14" hidden="1">
      <c r="C155" s="164"/>
      <c r="D155" s="169" t="s">
        <v>175</v>
      </c>
      <c r="E155" s="178">
        <f>0.034/0.117</f>
        <v>0.29059829059829062</v>
      </c>
      <c r="F155" s="179">
        <f>0.03/0.102</f>
        <v>0.29411764705882354</v>
      </c>
      <c r="G155" s="179">
        <f>0.027/0.093</f>
        <v>0.29032258064516131</v>
      </c>
      <c r="H155" s="164"/>
      <c r="I155" s="200"/>
      <c r="J155" s="164"/>
      <c r="K155" s="164"/>
    </row>
    <row r="156" spans="3:11" s="163" customFormat="1" ht="23" hidden="1">
      <c r="C156" s="164"/>
      <c r="D156" s="169" t="s">
        <v>176</v>
      </c>
      <c r="E156" s="178">
        <f>0.031/0.117</f>
        <v>0.26495726495726496</v>
      </c>
      <c r="F156" s="179">
        <f>0.027/0.102</f>
        <v>0.26470588235294118</v>
      </c>
      <c r="G156" s="179">
        <f>0.024/0.093</f>
        <v>0.25806451612903225</v>
      </c>
      <c r="H156" s="164"/>
      <c r="I156" s="200"/>
      <c r="J156" s="164"/>
      <c r="K156" s="164"/>
    </row>
    <row r="157" spans="3:11" s="163" customFormat="1" ht="14" hidden="1">
      <c r="C157" s="164"/>
      <c r="D157" s="169" t="s">
        <v>58</v>
      </c>
      <c r="E157" s="178">
        <f>0.026/0.117</f>
        <v>0.22222222222222221</v>
      </c>
      <c r="F157" s="179">
        <f>0.022/0.102</f>
        <v>0.21568627450980393</v>
      </c>
      <c r="G157" s="179">
        <f>0.02/0.093</f>
        <v>0.21505376344086022</v>
      </c>
      <c r="H157" s="164"/>
      <c r="I157" s="200"/>
      <c r="J157" s="164"/>
      <c r="K157" s="164"/>
    </row>
    <row r="158" spans="3:11" s="163" customFormat="1" ht="14" hidden="1">
      <c r="C158" s="164"/>
      <c r="D158" s="169" t="s">
        <v>177</v>
      </c>
      <c r="E158" s="178">
        <f>0.01/0.117</f>
        <v>8.5470085470085472E-2</v>
      </c>
      <c r="F158" s="179">
        <f>0.008/0.102</f>
        <v>7.8431372549019621E-2</v>
      </c>
      <c r="G158" s="179">
        <f>0.008/0.093</f>
        <v>8.6021505376344093E-2</v>
      </c>
      <c r="H158" s="164"/>
      <c r="I158" s="200"/>
      <c r="J158" s="164"/>
      <c r="K158" s="164"/>
    </row>
    <row r="159" spans="3:11" s="163" customFormat="1" ht="14" hidden="1">
      <c r="C159" s="164"/>
      <c r="D159" s="169" t="s">
        <v>178</v>
      </c>
      <c r="E159" s="178">
        <f>0.004/0.117</f>
        <v>3.4188034188034185E-2</v>
      </c>
      <c r="F159" s="179">
        <f>0.004/0.102</f>
        <v>3.921568627450981E-2</v>
      </c>
      <c r="G159" s="179">
        <f>0.003/0.093</f>
        <v>3.2258064516129031E-2</v>
      </c>
      <c r="H159" s="164"/>
      <c r="I159" s="200"/>
      <c r="J159" s="164"/>
      <c r="K159" s="164"/>
    </row>
    <row r="160" spans="3:11" s="163" customFormat="1" ht="14" hidden="1">
      <c r="C160" s="164"/>
      <c r="D160" s="169" t="s">
        <v>179</v>
      </c>
      <c r="E160" s="178">
        <v>0</v>
      </c>
      <c r="F160" s="179">
        <v>0</v>
      </c>
      <c r="G160" s="179">
        <v>0</v>
      </c>
      <c r="H160" s="164"/>
      <c r="I160" s="200"/>
      <c r="J160" s="164"/>
      <c r="K160" s="164"/>
    </row>
    <row r="161" spans="3:11" s="163" customFormat="1" ht="14" hidden="1">
      <c r="C161" s="164"/>
      <c r="D161" s="169" t="s">
        <v>168</v>
      </c>
      <c r="E161" s="180">
        <v>1</v>
      </c>
      <c r="F161" s="175"/>
      <c r="G161" s="175"/>
      <c r="H161" s="164"/>
      <c r="I161" s="200"/>
      <c r="J161" s="164"/>
      <c r="K161" s="164"/>
    </row>
    <row r="162" spans="3:11" s="163" customFormat="1" ht="14" hidden="1">
      <c r="C162" s="164"/>
      <c r="D162" s="169" t="s">
        <v>180</v>
      </c>
      <c r="E162" s="181">
        <f>0.0294/0.03</f>
        <v>0.98</v>
      </c>
      <c r="F162" s="175"/>
      <c r="G162" s="175"/>
      <c r="H162" s="164"/>
      <c r="I162" s="200"/>
      <c r="J162" s="164"/>
      <c r="K162" s="164"/>
    </row>
    <row r="163" spans="3:11" s="163" customFormat="1" ht="14" hidden="1">
      <c r="C163" s="164"/>
      <c r="D163" s="169" t="s">
        <v>181</v>
      </c>
      <c r="E163" s="181">
        <f>0.0285/0.03</f>
        <v>0.95000000000000007</v>
      </c>
      <c r="F163" s="175"/>
      <c r="G163" s="175"/>
      <c r="H163" s="164"/>
      <c r="I163" s="200"/>
      <c r="J163" s="164"/>
      <c r="K163" s="164"/>
    </row>
    <row r="164" spans="3:11" hidden="1"/>
    <row r="165" spans="3:11" hidden="1"/>
  </sheetData>
  <sheetProtection algorithmName="SHA-512" hashValue="6bG01tvLs6qFhLrbUDNhi90P3CnhErNPZIINAzAvMPvPV1eRPf8RWuwFG+jgPXl+3Nz2+Y65JskMz9rVVwPJ+g==" saltValue="IVr6WBPWOHhde2ZTgNznRw==" spinCount="100000" sheet="1" objects="1" scenarios="1"/>
  <protectedRanges>
    <protectedRange sqref="D2:D4 F2:F4" name="gegevens_1_2_1"/>
  </protectedRanges>
  <mergeCells count="44">
    <mergeCell ref="A131:G131"/>
    <mergeCell ref="C133:K133"/>
    <mergeCell ref="D97:E97"/>
    <mergeCell ref="D98:E98"/>
    <mergeCell ref="D99:E99"/>
    <mergeCell ref="E127:F127"/>
    <mergeCell ref="A130:G130"/>
    <mergeCell ref="B65:B99"/>
    <mergeCell ref="E65:F65"/>
    <mergeCell ref="E69:F69"/>
    <mergeCell ref="E72:F72"/>
    <mergeCell ref="E92:F92"/>
    <mergeCell ref="A62:B62"/>
    <mergeCell ref="E62:G62"/>
    <mergeCell ref="A63:B63"/>
    <mergeCell ref="D63:E63"/>
    <mergeCell ref="A64:C64"/>
    <mergeCell ref="A25:C25"/>
    <mergeCell ref="B26:B60"/>
    <mergeCell ref="E26:F26"/>
    <mergeCell ref="E30:F30"/>
    <mergeCell ref="E33:F33"/>
    <mergeCell ref="E53:F53"/>
    <mergeCell ref="D58:E58"/>
    <mergeCell ref="D59:E59"/>
    <mergeCell ref="D60:E60"/>
    <mergeCell ref="A16:B19"/>
    <mergeCell ref="A22:G22"/>
    <mergeCell ref="A23:B23"/>
    <mergeCell ref="E23:G23"/>
    <mergeCell ref="A24:B24"/>
    <mergeCell ref="D24:E24"/>
    <mergeCell ref="A15:B15"/>
    <mergeCell ref="A1:E1"/>
    <mergeCell ref="G1:H1"/>
    <mergeCell ref="B3:D3"/>
    <mergeCell ref="B4:D4"/>
    <mergeCell ref="A5:G5"/>
    <mergeCell ref="A6:G6"/>
    <mergeCell ref="A7:B7"/>
    <mergeCell ref="A8:B8"/>
    <mergeCell ref="A9:B12"/>
    <mergeCell ref="A13:G13"/>
    <mergeCell ref="A14:B14"/>
  </mergeCells>
  <dataValidations count="6">
    <dataValidation type="list" allowBlank="1" showInputMessage="1" showErrorMessage="1" sqref="D19 D12" xr:uid="{C7C94157-0BFA-418A-B0C9-E5870FA925F7}">
      <formula1>$D$144:$D$163</formula1>
    </dataValidation>
    <dataValidation operator="lessThanOrEqual" allowBlank="1" showInputMessage="1" showErrorMessage="1" sqref="B122:B127 C128:C129 G20:G21 G101 C103:C121 A131 D103:D129 E103:G126 E127:E128 E129:G129 G127:G128" xr:uid="{86036CF1-C94F-4659-931C-0399180EB00D}"/>
    <dataValidation operator="lessThan" allowBlank="1" showInputMessage="1" showErrorMessage="1" sqref="D9 D16" xr:uid="{103C50C8-A9E2-4C44-BA13-18F507C837E8}"/>
    <dataValidation type="whole" operator="lessThan" allowBlank="1" showInputMessage="1" showErrorMessage="1" sqref="D17 D10" xr:uid="{9157BC9F-C034-4378-974E-D46040B2DD78}">
      <formula1>1000</formula1>
    </dataValidation>
    <dataValidation type="list" allowBlank="1" showInputMessage="1" showErrorMessage="1" sqref="D18 D11" xr:uid="{35409A2D-9BDB-4D71-80EB-A3639CB03DD0}">
      <formula1>$D$135:$D$141</formula1>
    </dataValidation>
    <dataValidation type="list" allowBlank="1" showInputMessage="1" showErrorMessage="1" sqref="D13" xr:uid="{7099AFBB-3A93-41D0-82EB-A2535E86CCC9}">
      <formula1>$D$146:$D$159</formula1>
    </dataValidation>
  </dataValidations>
  <pageMargins left="0.7" right="0.7" top="0.75" bottom="0.75" header="0.3" footer="0.3"/>
  <pageSetup paperSize="9" scale="52" fitToHeight="0" orientation="landscape" r:id="rId1"/>
  <rowBreaks count="1" manualBreakCount="1">
    <brk id="95"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E525-A037-47A4-99A2-523248952221}">
  <sheetPr>
    <pageSetUpPr fitToPage="1"/>
  </sheetPr>
  <dimension ref="A1:S166"/>
  <sheetViews>
    <sheetView showGridLines="0" view="pageBreakPreview" topLeftCell="A98" zoomScale="91" zoomScaleNormal="80" zoomScaleSheetLayoutView="91" workbookViewId="0">
      <selection activeCell="A131" sqref="A131:G131"/>
    </sheetView>
  </sheetViews>
  <sheetFormatPr defaultColWidth="9.1796875" defaultRowHeight="13.5"/>
  <cols>
    <col min="1" max="1" width="6.7265625" style="54" customWidth="1"/>
    <col min="2" max="2" width="16.81640625" style="54" customWidth="1"/>
    <col min="3" max="3" width="57.26953125" style="54" customWidth="1"/>
    <col min="4" max="4" width="44.453125" style="67" customWidth="1"/>
    <col min="5" max="5" width="38.453125" style="67" customWidth="1"/>
    <col min="6" max="6" width="19.1796875" style="67" bestFit="1" customWidth="1"/>
    <col min="7" max="7" width="52.54296875" style="67" customWidth="1"/>
    <col min="8" max="8" width="19" style="54" customWidth="1"/>
    <col min="9" max="9" width="54.81640625" style="192" customWidth="1"/>
    <col min="10" max="10" width="22" style="54" customWidth="1"/>
    <col min="11" max="16384" width="9.1796875" style="54"/>
  </cols>
  <sheetData>
    <row r="1" spans="1:19" ht="58.5" customHeight="1">
      <c r="A1" s="383" t="s">
        <v>297</v>
      </c>
      <c r="B1" s="383"/>
      <c r="C1" s="383"/>
      <c r="D1" s="383"/>
      <c r="E1" s="383"/>
      <c r="F1" s="272" t="s">
        <v>156</v>
      </c>
      <c r="G1" s="381" t="s">
        <v>157</v>
      </c>
      <c r="H1" s="381"/>
    </row>
    <row r="2" spans="1:19" s="14" customFormat="1" ht="25" customHeight="1">
      <c r="A2" s="212"/>
      <c r="B2" s="213"/>
      <c r="C2" s="275"/>
      <c r="D2" s="214"/>
      <c r="E2" s="214"/>
      <c r="F2" s="214"/>
      <c r="G2" s="214"/>
      <c r="H2" s="215"/>
      <c r="I2" s="190"/>
    </row>
    <row r="3" spans="1:19" s="14" customFormat="1" ht="25" customHeight="1">
      <c r="A3" s="212"/>
      <c r="B3" s="382" t="s">
        <v>209</v>
      </c>
      <c r="C3" s="382"/>
      <c r="D3" s="382"/>
      <c r="E3" s="214"/>
      <c r="F3" s="214"/>
      <c r="G3" s="214"/>
      <c r="H3" s="215"/>
      <c r="I3" s="190"/>
    </row>
    <row r="4" spans="1:19" s="14" customFormat="1" ht="25" customHeight="1">
      <c r="A4" s="212"/>
      <c r="B4" s="386" t="s">
        <v>210</v>
      </c>
      <c r="C4" s="386"/>
      <c r="D4" s="386"/>
      <c r="E4" s="214"/>
      <c r="F4" s="214"/>
      <c r="G4" s="214"/>
      <c r="H4" s="215"/>
      <c r="I4" s="190"/>
    </row>
    <row r="5" spans="1:19" s="55" customFormat="1" ht="19.5" customHeight="1">
      <c r="A5" s="338" t="s">
        <v>127</v>
      </c>
      <c r="B5" s="339"/>
      <c r="C5" s="339"/>
      <c r="D5" s="339"/>
      <c r="E5" s="339"/>
      <c r="F5" s="339"/>
      <c r="G5" s="340"/>
      <c r="H5" s="216"/>
      <c r="I5" s="195"/>
    </row>
    <row r="6" spans="1:19" s="55" customFormat="1" ht="19.5" customHeight="1">
      <c r="A6" s="341" t="s">
        <v>258</v>
      </c>
      <c r="B6" s="342"/>
      <c r="C6" s="342"/>
      <c r="D6" s="342"/>
      <c r="E6" s="342"/>
      <c r="F6" s="342"/>
      <c r="G6" s="343"/>
      <c r="H6" s="217"/>
      <c r="I6" s="271"/>
    </row>
    <row r="7" spans="1:19" s="55" customFormat="1" ht="62.5">
      <c r="A7" s="379"/>
      <c r="B7" s="380"/>
      <c r="C7" s="68" t="s">
        <v>196</v>
      </c>
      <c r="D7" s="38" t="s">
        <v>121</v>
      </c>
      <c r="E7" s="218"/>
      <c r="F7" s="218"/>
      <c r="G7" s="17"/>
      <c r="H7" s="217"/>
      <c r="I7" s="195"/>
    </row>
    <row r="8" spans="1:19" s="55" customFormat="1" ht="62.5">
      <c r="A8" s="379"/>
      <c r="B8" s="380"/>
      <c r="C8" s="68" t="s">
        <v>197</v>
      </c>
      <c r="D8" s="38" t="s">
        <v>121</v>
      </c>
      <c r="E8" s="218"/>
      <c r="F8" s="218"/>
      <c r="G8" s="17"/>
      <c r="H8" s="217"/>
      <c r="I8" s="195"/>
    </row>
    <row r="9" spans="1:19" s="58" customFormat="1" ht="36.75" customHeight="1" thickBot="1">
      <c r="A9" s="356" t="s">
        <v>211</v>
      </c>
      <c r="B9" s="357"/>
      <c r="C9" s="128" t="s">
        <v>159</v>
      </c>
      <c r="D9" s="129">
        <v>1</v>
      </c>
      <c r="E9" s="219"/>
      <c r="F9" s="18"/>
      <c r="G9" s="69"/>
      <c r="H9" s="220"/>
      <c r="I9" s="193"/>
      <c r="J9" s="57"/>
      <c r="K9" s="57"/>
      <c r="L9" s="57"/>
      <c r="M9" s="59"/>
      <c r="N9" s="59"/>
      <c r="O9" s="60"/>
      <c r="P9" s="57"/>
      <c r="S9" s="59"/>
    </row>
    <row r="10" spans="1:19" s="58" customFormat="1" ht="28.5" thickBot="1">
      <c r="A10" s="358"/>
      <c r="B10" s="359"/>
      <c r="C10" s="61" t="s">
        <v>128</v>
      </c>
      <c r="D10" s="37"/>
      <c r="E10" s="221" t="s">
        <v>48</v>
      </c>
      <c r="F10" s="222">
        <f>D10*(('3. Prijsinvulformulier 2028'!F15)*D9)</f>
        <v>0</v>
      </c>
      <c r="G10" s="19" t="s">
        <v>130</v>
      </c>
      <c r="H10" s="223">
        <f>((F11-(F11*F12))*F10)/1000000</f>
        <v>0</v>
      </c>
      <c r="I10" s="193"/>
      <c r="J10" s="57"/>
      <c r="K10" s="57"/>
      <c r="L10" s="57"/>
      <c r="M10" s="59"/>
      <c r="N10" s="59"/>
      <c r="O10" s="60"/>
      <c r="P10" s="57"/>
      <c r="S10" s="59"/>
    </row>
    <row r="11" spans="1:19" s="58" customFormat="1" ht="25">
      <c r="A11" s="358"/>
      <c r="B11" s="359"/>
      <c r="C11" s="61" t="s">
        <v>125</v>
      </c>
      <c r="D11" s="37" t="s">
        <v>25</v>
      </c>
      <c r="E11" s="221" t="s">
        <v>106</v>
      </c>
      <c r="F11" s="219">
        <f>VLOOKUP(D11,$D$135:$E$141,2,FALSE)</f>
        <v>0</v>
      </c>
      <c r="G11" s="20"/>
      <c r="H11" s="224">
        <f>H10*$G$59</f>
        <v>0</v>
      </c>
      <c r="I11" s="191"/>
      <c r="J11" s="57"/>
      <c r="K11" s="57"/>
      <c r="L11" s="57"/>
      <c r="M11" s="59"/>
      <c r="N11" s="59"/>
      <c r="O11" s="60"/>
      <c r="P11" s="57"/>
      <c r="S11" s="59"/>
    </row>
    <row r="12" spans="1:19" s="58" customFormat="1" ht="29">
      <c r="A12" s="360"/>
      <c r="B12" s="361"/>
      <c r="C12" s="61" t="s">
        <v>126</v>
      </c>
      <c r="D12" s="37" t="s">
        <v>25</v>
      </c>
      <c r="E12" s="221" t="s">
        <v>107</v>
      </c>
      <c r="F12" s="225">
        <f>IF(D9=0,0,(1-(VLOOKUP(D12,$D$144:$G$163,2,FALSE))))</f>
        <v>1</v>
      </c>
      <c r="G12" s="21"/>
      <c r="H12" s="220"/>
      <c r="I12" s="193"/>
      <c r="J12" s="57"/>
      <c r="K12" s="57"/>
      <c r="L12" s="57"/>
      <c r="M12" s="59"/>
      <c r="N12" s="59"/>
      <c r="O12" s="60"/>
      <c r="P12" s="57"/>
      <c r="S12" s="59"/>
    </row>
    <row r="13" spans="1:19" s="55" customFormat="1" ht="19.5" customHeight="1">
      <c r="A13" s="387" t="s">
        <v>259</v>
      </c>
      <c r="B13" s="388"/>
      <c r="C13" s="388"/>
      <c r="D13" s="388"/>
      <c r="E13" s="388"/>
      <c r="F13" s="388"/>
      <c r="G13" s="389"/>
      <c r="H13" s="217"/>
      <c r="I13" s="192"/>
    </row>
    <row r="14" spans="1:19" s="55" customFormat="1" ht="62.5">
      <c r="A14" s="384"/>
      <c r="B14" s="385"/>
      <c r="C14" s="276" t="s">
        <v>196</v>
      </c>
      <c r="D14" s="277" t="s">
        <v>121</v>
      </c>
      <c r="E14" s="218"/>
      <c r="F14" s="218"/>
      <c r="G14" s="17"/>
      <c r="H14" s="217"/>
      <c r="I14" s="195"/>
    </row>
    <row r="15" spans="1:19" s="55" customFormat="1" ht="62.5">
      <c r="A15" s="384"/>
      <c r="B15" s="385"/>
      <c r="C15" s="276" t="s">
        <v>212</v>
      </c>
      <c r="D15" s="277" t="s">
        <v>121</v>
      </c>
      <c r="E15" s="218"/>
      <c r="F15" s="218"/>
      <c r="G15" s="17"/>
      <c r="H15" s="217"/>
      <c r="I15" s="195"/>
    </row>
    <row r="16" spans="1:19" s="58" customFormat="1" ht="36.75" customHeight="1" thickBot="1">
      <c r="A16" s="356" t="s">
        <v>213</v>
      </c>
      <c r="B16" s="357"/>
      <c r="C16" s="128" t="s">
        <v>214</v>
      </c>
      <c r="D16" s="278">
        <v>1</v>
      </c>
      <c r="E16" s="219"/>
      <c r="F16" s="18"/>
      <c r="G16" s="69"/>
      <c r="H16" s="220"/>
      <c r="I16" s="193"/>
      <c r="J16" s="57"/>
      <c r="K16" s="57"/>
      <c r="L16" s="57"/>
      <c r="M16" s="59"/>
      <c r="N16" s="59"/>
      <c r="O16" s="60"/>
      <c r="P16" s="57"/>
      <c r="S16" s="59"/>
    </row>
    <row r="17" spans="1:19" s="58" customFormat="1" ht="28.5" thickBot="1">
      <c r="A17" s="358"/>
      <c r="B17" s="359"/>
      <c r="C17" s="61" t="s">
        <v>215</v>
      </c>
      <c r="D17" s="37"/>
      <c r="E17" s="221" t="s">
        <v>48</v>
      </c>
      <c r="F17" s="222">
        <f>D17*(('3. Prijsinvulformulier 2028'!F20)*D16)</f>
        <v>0</v>
      </c>
      <c r="G17" s="19" t="s">
        <v>216</v>
      </c>
      <c r="H17" s="223">
        <f>((F18-(F18*F19))*F17)/1000000</f>
        <v>0</v>
      </c>
      <c r="I17" s="193"/>
      <c r="J17" s="57"/>
      <c r="K17" s="57"/>
      <c r="L17" s="57"/>
      <c r="M17" s="59"/>
      <c r="N17" s="59"/>
      <c r="O17" s="60"/>
      <c r="P17" s="57"/>
      <c r="S17" s="59"/>
    </row>
    <row r="18" spans="1:19" s="58" customFormat="1" ht="25">
      <c r="A18" s="358"/>
      <c r="B18" s="359"/>
      <c r="C18" s="61" t="s">
        <v>125</v>
      </c>
      <c r="D18" s="37" t="s">
        <v>25</v>
      </c>
      <c r="E18" s="221" t="s">
        <v>106</v>
      </c>
      <c r="F18" s="219">
        <f>VLOOKUP(D18,$D$135:$E$141,2,FALSE)</f>
        <v>0</v>
      </c>
      <c r="G18" s="279"/>
      <c r="H18" s="224">
        <f>H17*$G$98</f>
        <v>0</v>
      </c>
      <c r="I18" s="193"/>
      <c r="J18" s="57"/>
      <c r="K18" s="57"/>
      <c r="L18" s="57"/>
      <c r="M18" s="59"/>
      <c r="N18" s="59"/>
      <c r="O18" s="60"/>
      <c r="P18" s="57"/>
      <c r="S18" s="59"/>
    </row>
    <row r="19" spans="1:19" s="58" customFormat="1" ht="29.5" thickBot="1">
      <c r="A19" s="360"/>
      <c r="B19" s="361"/>
      <c r="C19" s="61" t="s">
        <v>126</v>
      </c>
      <c r="D19" s="37" t="s">
        <v>25</v>
      </c>
      <c r="E19" s="280" t="s">
        <v>107</v>
      </c>
      <c r="F19" s="281">
        <f>IF(D16=0,0,(1-(VLOOKUP(D19,$D$144:$G$163,2,FALSE))))</f>
        <v>1</v>
      </c>
      <c r="G19" s="282"/>
      <c r="H19" s="220"/>
      <c r="I19" s="193"/>
      <c r="J19" s="57"/>
      <c r="K19" s="57"/>
      <c r="L19" s="57"/>
      <c r="M19" s="59"/>
      <c r="N19" s="59"/>
      <c r="O19" s="60"/>
      <c r="P19" s="57"/>
      <c r="S19" s="59"/>
    </row>
    <row r="20" spans="1:19" s="58" customFormat="1" ht="19.899999999999999" customHeight="1" thickBot="1">
      <c r="A20" s="62"/>
      <c r="B20" s="226"/>
      <c r="C20" s="18"/>
      <c r="D20" s="18"/>
      <c r="E20" s="221"/>
      <c r="F20" s="70"/>
      <c r="G20" s="138" t="s">
        <v>119</v>
      </c>
      <c r="H20" s="227">
        <f>H18+H11</f>
        <v>0</v>
      </c>
      <c r="I20" s="193"/>
      <c r="J20" s="57"/>
      <c r="K20" s="57"/>
      <c r="L20" s="57"/>
      <c r="M20" s="63"/>
      <c r="N20" s="63"/>
      <c r="O20" s="64"/>
      <c r="P20" s="57"/>
      <c r="S20" s="63"/>
    </row>
    <row r="21" spans="1:19" s="58" customFormat="1" ht="15.75" customHeight="1" thickBot="1">
      <c r="A21" s="62"/>
      <c r="B21" s="226"/>
      <c r="C21" s="18"/>
      <c r="D21" s="18"/>
      <c r="E21" s="221"/>
      <c r="F21" s="70"/>
      <c r="G21" s="17"/>
      <c r="H21" s="220"/>
      <c r="I21" s="193"/>
      <c r="J21" s="57"/>
      <c r="K21" s="57"/>
      <c r="L21" s="57"/>
      <c r="M21" s="63"/>
      <c r="N21" s="63"/>
      <c r="O21" s="64"/>
      <c r="P21" s="57"/>
      <c r="S21" s="63"/>
    </row>
    <row r="22" spans="1:19" s="55" customFormat="1" ht="22.5" customHeight="1" thickBot="1">
      <c r="A22" s="348" t="s">
        <v>288</v>
      </c>
      <c r="B22" s="349"/>
      <c r="C22" s="349"/>
      <c r="D22" s="349"/>
      <c r="E22" s="349"/>
      <c r="F22" s="349"/>
      <c r="G22" s="350"/>
      <c r="H22" s="217"/>
      <c r="I22" s="195"/>
    </row>
    <row r="23" spans="1:19" s="65" customFormat="1" ht="75.5" thickBot="1">
      <c r="A23" s="354" t="s">
        <v>217</v>
      </c>
      <c r="B23" s="355"/>
      <c r="C23" s="104" t="s">
        <v>120</v>
      </c>
      <c r="D23" s="105" t="s">
        <v>121</v>
      </c>
      <c r="E23" s="351"/>
      <c r="F23" s="352"/>
      <c r="G23" s="353"/>
      <c r="H23" s="228"/>
      <c r="I23" s="196"/>
    </row>
    <row r="24" spans="1:19" s="65" customFormat="1" ht="28.5" thickBot="1">
      <c r="A24" s="344"/>
      <c r="B24" s="344"/>
      <c r="C24" s="140" t="s">
        <v>101</v>
      </c>
      <c r="D24" s="345" t="s">
        <v>22</v>
      </c>
      <c r="E24" s="345"/>
      <c r="F24" s="141" t="s">
        <v>62</v>
      </c>
      <c r="G24" s="139" t="s">
        <v>63</v>
      </c>
      <c r="H24" s="228"/>
      <c r="I24" s="196"/>
    </row>
    <row r="25" spans="1:19" s="65" customFormat="1" ht="28" thickBot="1">
      <c r="A25" s="368" t="s">
        <v>218</v>
      </c>
      <c r="B25" s="368"/>
      <c r="C25" s="368"/>
      <c r="D25" s="143"/>
      <c r="E25" s="143"/>
      <c r="F25" s="142" t="s">
        <v>149</v>
      </c>
      <c r="G25" s="39"/>
      <c r="H25" s="228"/>
      <c r="I25" s="196"/>
    </row>
    <row r="26" spans="1:19" s="65" customFormat="1" ht="25.5" thickBot="1">
      <c r="A26" s="229"/>
      <c r="B26" s="369"/>
      <c r="C26" s="75" t="s">
        <v>64</v>
      </c>
      <c r="D26" s="76" t="s">
        <v>138</v>
      </c>
      <c r="E26" s="371" t="s">
        <v>108</v>
      </c>
      <c r="F26" s="371"/>
      <c r="G26" s="103"/>
      <c r="H26" s="228"/>
      <c r="I26" s="194"/>
    </row>
    <row r="27" spans="1:19" s="65" customFormat="1">
      <c r="A27" s="229"/>
      <c r="B27" s="370"/>
      <c r="C27" s="78" t="s">
        <v>65</v>
      </c>
      <c r="D27" s="90"/>
      <c r="E27" s="79" t="s">
        <v>66</v>
      </c>
      <c r="F27" s="80">
        <v>0.36499999999999999</v>
      </c>
      <c r="G27" s="25">
        <f>D27*F27</f>
        <v>0</v>
      </c>
      <c r="H27" s="228"/>
      <c r="I27" s="196"/>
    </row>
    <row r="28" spans="1:19" s="65" customFormat="1">
      <c r="A28" s="229"/>
      <c r="B28" s="370"/>
      <c r="C28" s="22" t="s">
        <v>67</v>
      </c>
      <c r="D28" s="40"/>
      <c r="E28" s="23" t="s">
        <v>66</v>
      </c>
      <c r="F28" s="24">
        <v>0.20499999999999999</v>
      </c>
      <c r="G28" s="25">
        <f>D28*F28</f>
        <v>0</v>
      </c>
      <c r="H28" s="228"/>
      <c r="I28" s="196"/>
    </row>
    <row r="29" spans="1:19" s="65" customFormat="1" ht="14" thickBot="1">
      <c r="A29" s="229"/>
      <c r="B29" s="370"/>
      <c r="C29" s="71" t="s">
        <v>68</v>
      </c>
      <c r="D29" s="89"/>
      <c r="E29" s="72" t="s">
        <v>66</v>
      </c>
      <c r="F29" s="73">
        <v>0.20499999999999999</v>
      </c>
      <c r="G29" s="74">
        <f>D29*F29</f>
        <v>0</v>
      </c>
      <c r="H29" s="228"/>
      <c r="I29" s="196"/>
    </row>
    <row r="30" spans="1:19" s="65" customFormat="1" ht="25.5" thickBot="1">
      <c r="A30" s="229"/>
      <c r="B30" s="370"/>
      <c r="C30" s="75" t="s">
        <v>69</v>
      </c>
      <c r="D30" s="76" t="s">
        <v>138</v>
      </c>
      <c r="E30" s="374" t="s">
        <v>109</v>
      </c>
      <c r="F30" s="375"/>
      <c r="G30" s="77"/>
      <c r="H30" s="228"/>
      <c r="I30" s="196"/>
    </row>
    <row r="31" spans="1:19" s="65" customFormat="1" ht="14.5">
      <c r="A31" s="229"/>
      <c r="B31" s="370"/>
      <c r="C31" s="78" t="s">
        <v>70</v>
      </c>
      <c r="D31" s="90"/>
      <c r="E31" s="79" t="s">
        <v>110</v>
      </c>
      <c r="F31" s="80">
        <v>1.8</v>
      </c>
      <c r="G31" s="25">
        <f>D31*F31</f>
        <v>0</v>
      </c>
      <c r="H31" s="228"/>
      <c r="I31" s="196"/>
    </row>
    <row r="32" spans="1:19" s="65" customFormat="1" ht="15" thickBot="1">
      <c r="A32" s="229"/>
      <c r="B32" s="370"/>
      <c r="C32" s="71" t="s">
        <v>71</v>
      </c>
      <c r="D32" s="89"/>
      <c r="E32" s="72" t="s">
        <v>110</v>
      </c>
      <c r="F32" s="81">
        <v>2</v>
      </c>
      <c r="G32" s="74">
        <f>D32*F32</f>
        <v>0</v>
      </c>
      <c r="H32" s="228"/>
      <c r="I32" s="196"/>
    </row>
    <row r="33" spans="1:9" s="65" customFormat="1" ht="25.5" thickBot="1">
      <c r="A33" s="229"/>
      <c r="B33" s="370"/>
      <c r="C33" s="75" t="s">
        <v>72</v>
      </c>
      <c r="D33" s="76" t="s">
        <v>138</v>
      </c>
      <c r="E33" s="374" t="s">
        <v>111</v>
      </c>
      <c r="F33" s="375"/>
      <c r="G33" s="77"/>
      <c r="H33" s="228"/>
      <c r="I33" s="196"/>
    </row>
    <row r="34" spans="1:9" s="65" customFormat="1">
      <c r="A34" s="229"/>
      <c r="B34" s="370"/>
      <c r="C34" s="78" t="s">
        <v>198</v>
      </c>
      <c r="D34" s="90"/>
      <c r="E34" s="79" t="s">
        <v>73</v>
      </c>
      <c r="F34" s="82">
        <v>1.5</v>
      </c>
      <c r="G34" s="25">
        <f t="shared" ref="G34:G48" si="0">D34*F34</f>
        <v>0</v>
      </c>
      <c r="H34" s="228"/>
      <c r="I34" s="196"/>
    </row>
    <row r="35" spans="1:9" s="65" customFormat="1">
      <c r="A35" s="229"/>
      <c r="B35" s="370"/>
      <c r="C35" s="22" t="s">
        <v>74</v>
      </c>
      <c r="D35" s="40"/>
      <c r="E35" s="23" t="s">
        <v>73</v>
      </c>
      <c r="F35" s="24">
        <v>0.1</v>
      </c>
      <c r="G35" s="25">
        <f t="shared" si="0"/>
        <v>0</v>
      </c>
      <c r="H35" s="228"/>
      <c r="I35" s="196"/>
    </row>
    <row r="36" spans="1:9" s="65" customFormat="1">
      <c r="A36" s="229"/>
      <c r="B36" s="370"/>
      <c r="C36" s="22" t="s">
        <v>75</v>
      </c>
      <c r="D36" s="40"/>
      <c r="E36" s="23" t="s">
        <v>73</v>
      </c>
      <c r="F36" s="24">
        <v>0.5</v>
      </c>
      <c r="G36" s="25">
        <f t="shared" si="0"/>
        <v>0</v>
      </c>
      <c r="H36" s="228"/>
      <c r="I36" s="196"/>
    </row>
    <row r="37" spans="1:9" s="65" customFormat="1">
      <c r="A37" s="229"/>
      <c r="B37" s="370"/>
      <c r="C37" s="22" t="s">
        <v>76</v>
      </c>
      <c r="D37" s="40"/>
      <c r="E37" s="23" t="s">
        <v>73</v>
      </c>
      <c r="F37" s="24">
        <v>6.6</v>
      </c>
      <c r="G37" s="25">
        <f t="shared" si="0"/>
        <v>0</v>
      </c>
      <c r="H37" s="228"/>
      <c r="I37" s="196"/>
    </row>
    <row r="38" spans="1:9" s="65" customFormat="1">
      <c r="A38" s="229"/>
      <c r="B38" s="370"/>
      <c r="C38" s="22" t="s">
        <v>77</v>
      </c>
      <c r="D38" s="40"/>
      <c r="E38" s="23" t="s">
        <v>73</v>
      </c>
      <c r="F38" s="24">
        <v>0.3</v>
      </c>
      <c r="G38" s="25">
        <f t="shared" si="0"/>
        <v>0</v>
      </c>
      <c r="H38" s="228"/>
      <c r="I38" s="196"/>
    </row>
    <row r="39" spans="1:9" s="65" customFormat="1">
      <c r="A39" s="229"/>
      <c r="B39" s="370"/>
      <c r="C39" s="22" t="s">
        <v>78</v>
      </c>
      <c r="D39" s="40"/>
      <c r="E39" s="23" t="s">
        <v>73</v>
      </c>
      <c r="F39" s="24">
        <v>0</v>
      </c>
      <c r="G39" s="25">
        <f t="shared" si="0"/>
        <v>0</v>
      </c>
      <c r="H39" s="228"/>
      <c r="I39" s="196"/>
    </row>
    <row r="40" spans="1:9" s="65" customFormat="1">
      <c r="A40" s="229"/>
      <c r="B40" s="370"/>
      <c r="C40" s="22" t="s">
        <v>79</v>
      </c>
      <c r="D40" s="40"/>
      <c r="E40" s="23" t="s">
        <v>73</v>
      </c>
      <c r="F40" s="26">
        <v>2</v>
      </c>
      <c r="G40" s="25">
        <f t="shared" si="0"/>
        <v>0</v>
      </c>
      <c r="H40" s="228"/>
      <c r="I40" s="196"/>
    </row>
    <row r="41" spans="1:9" s="65" customFormat="1">
      <c r="A41" s="229"/>
      <c r="B41" s="370"/>
      <c r="C41" s="22" t="s">
        <v>80</v>
      </c>
      <c r="D41" s="40"/>
      <c r="E41" s="23" t="s">
        <v>73</v>
      </c>
      <c r="F41" s="26">
        <v>1</v>
      </c>
      <c r="G41" s="25">
        <f t="shared" si="0"/>
        <v>0</v>
      </c>
      <c r="H41" s="228"/>
      <c r="I41" s="196"/>
    </row>
    <row r="42" spans="1:9" s="65" customFormat="1">
      <c r="A42" s="229"/>
      <c r="B42" s="370"/>
      <c r="C42" s="22" t="s">
        <v>81</v>
      </c>
      <c r="D42" s="40"/>
      <c r="E42" s="23" t="s">
        <v>73</v>
      </c>
      <c r="F42" s="24">
        <v>0.5</v>
      </c>
      <c r="G42" s="25">
        <f t="shared" si="0"/>
        <v>0</v>
      </c>
      <c r="H42" s="228"/>
      <c r="I42" s="196"/>
    </row>
    <row r="43" spans="1:9" s="65" customFormat="1">
      <c r="A43" s="229"/>
      <c r="B43" s="370"/>
      <c r="C43" s="22" t="s">
        <v>82</v>
      </c>
      <c r="D43" s="40"/>
      <c r="E43" s="23" t="s">
        <v>73</v>
      </c>
      <c r="F43" s="24">
        <v>0</v>
      </c>
      <c r="G43" s="25">
        <f t="shared" si="0"/>
        <v>0</v>
      </c>
      <c r="H43" s="228"/>
      <c r="I43" s="196"/>
    </row>
    <row r="44" spans="1:9" s="65" customFormat="1">
      <c r="A44" s="229"/>
      <c r="B44" s="370"/>
      <c r="C44" s="22" t="s">
        <v>83</v>
      </c>
      <c r="D44" s="40"/>
      <c r="E44" s="23" t="s">
        <v>73</v>
      </c>
      <c r="F44" s="24">
        <v>0</v>
      </c>
      <c r="G44" s="25">
        <f t="shared" si="0"/>
        <v>0</v>
      </c>
      <c r="H44" s="228"/>
      <c r="I44" s="196"/>
    </row>
    <row r="45" spans="1:9" s="65" customFormat="1">
      <c r="A45" s="229"/>
      <c r="B45" s="370"/>
      <c r="C45" s="22" t="s">
        <v>84</v>
      </c>
      <c r="D45" s="40"/>
      <c r="E45" s="23" t="s">
        <v>73</v>
      </c>
      <c r="F45" s="24">
        <v>0</v>
      </c>
      <c r="G45" s="25">
        <f t="shared" si="0"/>
        <v>0</v>
      </c>
      <c r="H45" s="228"/>
      <c r="I45" s="196"/>
    </row>
    <row r="46" spans="1:9" s="65" customFormat="1">
      <c r="A46" s="229"/>
      <c r="B46" s="370"/>
      <c r="C46" s="22" t="s">
        <v>85</v>
      </c>
      <c r="D46" s="40"/>
      <c r="E46" s="23" t="s">
        <v>73</v>
      </c>
      <c r="F46" s="24">
        <v>0</v>
      </c>
      <c r="G46" s="25">
        <f t="shared" si="0"/>
        <v>0</v>
      </c>
      <c r="H46" s="228"/>
      <c r="I46" s="196"/>
    </row>
    <row r="47" spans="1:9" s="65" customFormat="1">
      <c r="A47" s="229"/>
      <c r="B47" s="370"/>
      <c r="C47" s="22" t="s">
        <v>86</v>
      </c>
      <c r="D47" s="40"/>
      <c r="E47" s="23" t="s">
        <v>73</v>
      </c>
      <c r="F47" s="24">
        <v>0.2</v>
      </c>
      <c r="G47" s="25">
        <f t="shared" si="0"/>
        <v>0</v>
      </c>
      <c r="H47" s="228"/>
      <c r="I47" s="196"/>
    </row>
    <row r="48" spans="1:9" s="65" customFormat="1" ht="14" thickBot="1">
      <c r="A48" s="229"/>
      <c r="B48" s="370"/>
      <c r="C48" s="71" t="s">
        <v>87</v>
      </c>
      <c r="D48" s="89"/>
      <c r="E48" s="72" t="s">
        <v>73</v>
      </c>
      <c r="F48" s="73">
        <v>0.1</v>
      </c>
      <c r="G48" s="74">
        <f t="shared" si="0"/>
        <v>0</v>
      </c>
      <c r="H48" s="228"/>
      <c r="I48" s="196"/>
    </row>
    <row r="49" spans="1:9" s="65" customFormat="1" ht="25.5" hidden="1" thickBot="1">
      <c r="A49" s="229"/>
      <c r="B49" s="370"/>
      <c r="C49" s="75" t="s">
        <v>88</v>
      </c>
      <c r="D49" s="76" t="s">
        <v>89</v>
      </c>
      <c r="E49" s="83" t="s">
        <v>90</v>
      </c>
      <c r="F49" s="84" t="s">
        <v>91</v>
      </c>
      <c r="G49" s="77"/>
      <c r="H49" s="228"/>
      <c r="I49" s="196"/>
    </row>
    <row r="50" spans="1:9" s="65" customFormat="1" hidden="1">
      <c r="A50" s="229"/>
      <c r="B50" s="370"/>
      <c r="C50" s="78" t="s">
        <v>92</v>
      </c>
      <c r="D50" s="183">
        <v>0</v>
      </c>
      <c r="E50" s="79" t="s">
        <v>93</v>
      </c>
      <c r="F50" s="80">
        <v>-0.11</v>
      </c>
      <c r="G50" s="25">
        <f>D50*F50</f>
        <v>0</v>
      </c>
      <c r="H50" s="228"/>
      <c r="I50" s="196"/>
    </row>
    <row r="51" spans="1:9" s="65" customFormat="1" hidden="1">
      <c r="A51" s="229"/>
      <c r="B51" s="370"/>
      <c r="C51" s="22" t="s">
        <v>94</v>
      </c>
      <c r="D51" s="184">
        <v>0</v>
      </c>
      <c r="E51" s="23" t="s">
        <v>93</v>
      </c>
      <c r="F51" s="24">
        <v>-0.04</v>
      </c>
      <c r="G51" s="25">
        <f>D51*F51</f>
        <v>0</v>
      </c>
      <c r="H51" s="228"/>
      <c r="I51" s="196"/>
    </row>
    <row r="52" spans="1:9" s="65" customFormat="1" ht="14" hidden="1" thickBot="1">
      <c r="A52" s="229"/>
      <c r="B52" s="370"/>
      <c r="C52" s="71" t="s">
        <v>95</v>
      </c>
      <c r="D52" s="185">
        <v>0</v>
      </c>
      <c r="E52" s="72" t="s">
        <v>96</v>
      </c>
      <c r="F52" s="73">
        <v>-0.11</v>
      </c>
      <c r="G52" s="74">
        <f>D52*F52</f>
        <v>0</v>
      </c>
      <c r="H52" s="228"/>
      <c r="I52" s="196"/>
    </row>
    <row r="53" spans="1:9" s="65" customFormat="1" ht="25.5" thickBot="1">
      <c r="A53" s="229"/>
      <c r="B53" s="370"/>
      <c r="C53" s="75" t="s">
        <v>97</v>
      </c>
      <c r="D53" s="76" t="s">
        <v>138</v>
      </c>
      <c r="E53" s="374" t="s">
        <v>111</v>
      </c>
      <c r="F53" s="375"/>
      <c r="G53" s="77"/>
      <c r="H53" s="228"/>
      <c r="I53" s="196"/>
    </row>
    <row r="54" spans="1:9" s="65" customFormat="1" ht="29" hidden="1">
      <c r="A54" s="229"/>
      <c r="B54" s="370"/>
      <c r="C54" s="78" t="s">
        <v>160</v>
      </c>
      <c r="D54" s="91"/>
      <c r="E54" s="79" t="s">
        <v>73</v>
      </c>
      <c r="F54" s="85">
        <v>-1</v>
      </c>
      <c r="G54" s="25">
        <f>D54*F54</f>
        <v>0</v>
      </c>
      <c r="H54" s="228"/>
      <c r="I54" s="196"/>
    </row>
    <row r="55" spans="1:9" s="65" customFormat="1" ht="25" hidden="1">
      <c r="A55" s="229"/>
      <c r="B55" s="370"/>
      <c r="C55" s="22" t="s">
        <v>98</v>
      </c>
      <c r="D55" s="41"/>
      <c r="E55" s="23"/>
      <c r="F55" s="26"/>
      <c r="G55" s="25"/>
      <c r="H55" s="228"/>
      <c r="I55" s="196"/>
    </row>
    <row r="56" spans="1:9" s="65" customFormat="1" ht="25" hidden="1">
      <c r="A56" s="229"/>
      <c r="B56" s="370"/>
      <c r="C56" s="22" t="s">
        <v>99</v>
      </c>
      <c r="D56" s="41"/>
      <c r="E56" s="23"/>
      <c r="F56" s="26"/>
      <c r="G56" s="25"/>
      <c r="H56" s="228"/>
      <c r="I56" s="196"/>
    </row>
    <row r="57" spans="1:9" s="65" customFormat="1" ht="17" thickBot="1">
      <c r="A57" s="229"/>
      <c r="B57" s="370"/>
      <c r="C57" s="22" t="s">
        <v>112</v>
      </c>
      <c r="D57" s="92"/>
      <c r="E57" s="72" t="s">
        <v>73</v>
      </c>
      <c r="F57" s="73">
        <v>0.5</v>
      </c>
      <c r="G57" s="74">
        <f>D57*F57</f>
        <v>0</v>
      </c>
      <c r="H57" s="228"/>
      <c r="I57" s="194"/>
    </row>
    <row r="58" spans="1:9" s="65" customFormat="1" ht="31.5" customHeight="1" thickBot="1">
      <c r="A58" s="229"/>
      <c r="B58" s="370"/>
      <c r="C58" s="27"/>
      <c r="D58" s="372" t="s">
        <v>306</v>
      </c>
      <c r="E58" s="376"/>
      <c r="F58" s="86"/>
      <c r="G58" s="87">
        <f>SUM(G27:G57)*'3. Prijsinvulformulier 2028'!F15</f>
        <v>0</v>
      </c>
      <c r="H58" s="228"/>
      <c r="I58" s="197"/>
    </row>
    <row r="59" spans="1:9" s="65" customFormat="1" ht="225.75" customHeight="1" thickBot="1">
      <c r="A59" s="229"/>
      <c r="B59" s="370"/>
      <c r="C59" s="28" t="s">
        <v>199</v>
      </c>
      <c r="D59" s="377" t="s">
        <v>200</v>
      </c>
      <c r="E59" s="378"/>
      <c r="F59" s="80"/>
      <c r="G59" s="146">
        <v>100</v>
      </c>
      <c r="H59" s="228"/>
      <c r="I59" s="198"/>
    </row>
    <row r="60" spans="1:9" s="65" customFormat="1" ht="14" thickBot="1">
      <c r="A60" s="229"/>
      <c r="B60" s="370"/>
      <c r="C60" s="88"/>
      <c r="D60" s="372" t="s">
        <v>100</v>
      </c>
      <c r="E60" s="373"/>
      <c r="F60" s="106"/>
      <c r="G60" s="107">
        <f>-(G58*G59/1000)</f>
        <v>0</v>
      </c>
      <c r="H60" s="228"/>
      <c r="I60" s="196"/>
    </row>
    <row r="61" spans="1:9" s="55" customFormat="1" ht="14.5" thickBot="1">
      <c r="A61" s="16"/>
      <c r="B61" s="230"/>
      <c r="C61" s="230" t="s">
        <v>47</v>
      </c>
      <c r="D61" s="218"/>
      <c r="E61" s="108" t="s">
        <v>104</v>
      </c>
      <c r="F61" s="109"/>
      <c r="G61" s="110">
        <f>G60/15424</f>
        <v>0</v>
      </c>
      <c r="H61" s="217"/>
      <c r="I61" s="199"/>
    </row>
    <row r="62" spans="1:9" s="65" customFormat="1" ht="63" thickBot="1">
      <c r="A62" s="390" t="s">
        <v>219</v>
      </c>
      <c r="B62" s="391"/>
      <c r="C62" s="283" t="s">
        <v>220</v>
      </c>
      <c r="D62" s="284" t="s">
        <v>121</v>
      </c>
      <c r="E62" s="392"/>
      <c r="F62" s="393"/>
      <c r="G62" s="394"/>
      <c r="H62" s="228"/>
      <c r="I62" s="196"/>
    </row>
    <row r="63" spans="1:9" s="65" customFormat="1" ht="28.5" thickBot="1">
      <c r="A63" s="395"/>
      <c r="B63" s="395"/>
      <c r="C63" s="285" t="s">
        <v>101</v>
      </c>
      <c r="D63" s="396" t="s">
        <v>22</v>
      </c>
      <c r="E63" s="396"/>
      <c r="F63" s="286" t="s">
        <v>62</v>
      </c>
      <c r="G63" s="142" t="s">
        <v>63</v>
      </c>
      <c r="H63" s="228"/>
      <c r="I63" s="196"/>
    </row>
    <row r="64" spans="1:9" s="65" customFormat="1" ht="28" thickBot="1">
      <c r="A64" s="397" t="s">
        <v>221</v>
      </c>
      <c r="B64" s="398"/>
      <c r="C64" s="399"/>
      <c r="D64" s="287"/>
      <c r="E64" s="288"/>
      <c r="F64" s="289" t="s">
        <v>149</v>
      </c>
      <c r="G64" s="290"/>
      <c r="H64" s="228"/>
      <c r="I64" s="196"/>
    </row>
    <row r="65" spans="1:9" s="65" customFormat="1" ht="25.5" thickBot="1">
      <c r="A65" s="229"/>
      <c r="B65" s="369" t="s">
        <v>222</v>
      </c>
      <c r="C65" s="75" t="s">
        <v>64</v>
      </c>
      <c r="D65" s="76" t="s">
        <v>138</v>
      </c>
      <c r="E65" s="374" t="s">
        <v>108</v>
      </c>
      <c r="F65" s="401"/>
      <c r="G65" s="291"/>
      <c r="H65" s="228"/>
      <c r="I65" s="196"/>
    </row>
    <row r="66" spans="1:9" s="65" customFormat="1">
      <c r="A66" s="229"/>
      <c r="B66" s="370"/>
      <c r="C66" s="78" t="s">
        <v>65</v>
      </c>
      <c r="D66" s="90"/>
      <c r="E66" s="79" t="s">
        <v>66</v>
      </c>
      <c r="F66" s="80">
        <v>0.36499999999999999</v>
      </c>
      <c r="G66" s="25">
        <f>D66*F66</f>
        <v>0</v>
      </c>
      <c r="H66" s="228"/>
      <c r="I66" s="196"/>
    </row>
    <row r="67" spans="1:9" s="65" customFormat="1">
      <c r="A67" s="229"/>
      <c r="B67" s="370"/>
      <c r="C67" s="22" t="s">
        <v>67</v>
      </c>
      <c r="D67" s="40"/>
      <c r="E67" s="23" t="s">
        <v>66</v>
      </c>
      <c r="F67" s="24">
        <v>0.20499999999999999</v>
      </c>
      <c r="G67" s="25">
        <f>D67*F67</f>
        <v>0</v>
      </c>
      <c r="H67" s="228"/>
      <c r="I67" s="196"/>
    </row>
    <row r="68" spans="1:9" s="65" customFormat="1" ht="14" thickBot="1">
      <c r="A68" s="229"/>
      <c r="B68" s="370"/>
      <c r="C68" s="71" t="s">
        <v>68</v>
      </c>
      <c r="D68" s="89"/>
      <c r="E68" s="72" t="s">
        <v>66</v>
      </c>
      <c r="F68" s="73">
        <v>0.20499999999999999</v>
      </c>
      <c r="G68" s="25">
        <f>D68*F68</f>
        <v>0</v>
      </c>
      <c r="H68" s="228"/>
      <c r="I68" s="196"/>
    </row>
    <row r="69" spans="1:9" s="65" customFormat="1" ht="25.5" thickBot="1">
      <c r="A69" s="229"/>
      <c r="B69" s="370"/>
      <c r="C69" s="75" t="s">
        <v>69</v>
      </c>
      <c r="D69" s="76" t="s">
        <v>138</v>
      </c>
      <c r="E69" s="374" t="s">
        <v>109</v>
      </c>
      <c r="F69" s="401"/>
      <c r="G69" s="292"/>
      <c r="H69" s="228"/>
      <c r="I69" s="196"/>
    </row>
    <row r="70" spans="1:9" s="65" customFormat="1" ht="14.5">
      <c r="A70" s="229"/>
      <c r="B70" s="370"/>
      <c r="C70" s="78" t="s">
        <v>70</v>
      </c>
      <c r="D70" s="90"/>
      <c r="E70" s="79" t="s">
        <v>110</v>
      </c>
      <c r="F70" s="80">
        <v>1.8</v>
      </c>
      <c r="G70" s="25">
        <f>D70*F70</f>
        <v>0</v>
      </c>
      <c r="H70" s="228"/>
      <c r="I70" s="196"/>
    </row>
    <row r="71" spans="1:9" s="65" customFormat="1" ht="15" thickBot="1">
      <c r="A71" s="229"/>
      <c r="B71" s="370"/>
      <c r="C71" s="71" t="s">
        <v>71</v>
      </c>
      <c r="D71" s="89"/>
      <c r="E71" s="72" t="s">
        <v>110</v>
      </c>
      <c r="F71" s="81">
        <v>2</v>
      </c>
      <c r="G71" s="25">
        <f>D71*F71</f>
        <v>0</v>
      </c>
      <c r="H71" s="228"/>
      <c r="I71" s="196"/>
    </row>
    <row r="72" spans="1:9" s="65" customFormat="1" ht="25.5" thickBot="1">
      <c r="A72" s="229"/>
      <c r="B72" s="370"/>
      <c r="C72" s="75" t="s">
        <v>72</v>
      </c>
      <c r="D72" s="76" t="s">
        <v>138</v>
      </c>
      <c r="E72" s="374" t="s">
        <v>111</v>
      </c>
      <c r="F72" s="401"/>
      <c r="G72" s="292"/>
      <c r="H72" s="228"/>
      <c r="I72" s="196"/>
    </row>
    <row r="73" spans="1:9" s="65" customFormat="1">
      <c r="A73" s="229"/>
      <c r="B73" s="370"/>
      <c r="C73" s="78" t="s">
        <v>198</v>
      </c>
      <c r="D73" s="90"/>
      <c r="E73" s="79" t="s">
        <v>73</v>
      </c>
      <c r="F73" s="82">
        <v>1.5</v>
      </c>
      <c r="G73" s="25">
        <f>D73*F73</f>
        <v>0</v>
      </c>
      <c r="H73" s="228"/>
      <c r="I73" s="196"/>
    </row>
    <row r="74" spans="1:9" s="65" customFormat="1">
      <c r="A74" s="229"/>
      <c r="B74" s="370"/>
      <c r="C74" s="22" t="s">
        <v>74</v>
      </c>
      <c r="D74" s="40"/>
      <c r="E74" s="23" t="s">
        <v>73</v>
      </c>
      <c r="F74" s="24">
        <v>0.1</v>
      </c>
      <c r="G74" s="25">
        <f t="shared" ref="G74:G87" si="1">D74*F74</f>
        <v>0</v>
      </c>
      <c r="H74" s="228"/>
      <c r="I74" s="196"/>
    </row>
    <row r="75" spans="1:9" s="65" customFormat="1">
      <c r="A75" s="229"/>
      <c r="B75" s="370"/>
      <c r="C75" s="22" t="s">
        <v>75</v>
      </c>
      <c r="D75" s="40"/>
      <c r="E75" s="23" t="s">
        <v>73</v>
      </c>
      <c r="F75" s="24">
        <v>0.5</v>
      </c>
      <c r="G75" s="25">
        <f t="shared" si="1"/>
        <v>0</v>
      </c>
      <c r="H75" s="228"/>
      <c r="I75" s="196"/>
    </row>
    <row r="76" spans="1:9" s="65" customFormat="1">
      <c r="A76" s="229"/>
      <c r="B76" s="370"/>
      <c r="C76" s="22" t="s">
        <v>76</v>
      </c>
      <c r="D76" s="40"/>
      <c r="E76" s="23" t="s">
        <v>73</v>
      </c>
      <c r="F76" s="24">
        <v>6.6</v>
      </c>
      <c r="G76" s="25">
        <f t="shared" si="1"/>
        <v>0</v>
      </c>
      <c r="H76" s="228"/>
      <c r="I76" s="196"/>
    </row>
    <row r="77" spans="1:9" s="65" customFormat="1">
      <c r="A77" s="229"/>
      <c r="B77" s="370"/>
      <c r="C77" s="22" t="s">
        <v>77</v>
      </c>
      <c r="D77" s="40"/>
      <c r="E77" s="23" t="s">
        <v>73</v>
      </c>
      <c r="F77" s="24">
        <v>0.3</v>
      </c>
      <c r="G77" s="25">
        <f t="shared" si="1"/>
        <v>0</v>
      </c>
      <c r="H77" s="228"/>
      <c r="I77" s="196"/>
    </row>
    <row r="78" spans="1:9" s="65" customFormat="1">
      <c r="A78" s="229"/>
      <c r="B78" s="370"/>
      <c r="C78" s="22" t="s">
        <v>78</v>
      </c>
      <c r="D78" s="40"/>
      <c r="E78" s="23" t="s">
        <v>73</v>
      </c>
      <c r="F78" s="24">
        <v>0</v>
      </c>
      <c r="G78" s="25">
        <f t="shared" si="1"/>
        <v>0</v>
      </c>
      <c r="H78" s="228"/>
      <c r="I78" s="196"/>
    </row>
    <row r="79" spans="1:9" s="65" customFormat="1">
      <c r="A79" s="229"/>
      <c r="B79" s="370"/>
      <c r="C79" s="22" t="s">
        <v>79</v>
      </c>
      <c r="D79" s="40"/>
      <c r="E79" s="23" t="s">
        <v>73</v>
      </c>
      <c r="F79" s="26">
        <v>2</v>
      </c>
      <c r="G79" s="25">
        <f t="shared" si="1"/>
        <v>0</v>
      </c>
      <c r="H79" s="228"/>
      <c r="I79" s="196"/>
    </row>
    <row r="80" spans="1:9" s="65" customFormat="1">
      <c r="A80" s="229"/>
      <c r="B80" s="370"/>
      <c r="C80" s="22" t="s">
        <v>80</v>
      </c>
      <c r="D80" s="40"/>
      <c r="E80" s="23" t="s">
        <v>73</v>
      </c>
      <c r="F80" s="26">
        <v>1</v>
      </c>
      <c r="G80" s="25">
        <f t="shared" si="1"/>
        <v>0</v>
      </c>
      <c r="H80" s="228"/>
      <c r="I80" s="196"/>
    </row>
    <row r="81" spans="1:9" s="65" customFormat="1">
      <c r="A81" s="229"/>
      <c r="B81" s="370"/>
      <c r="C81" s="22" t="s">
        <v>81</v>
      </c>
      <c r="D81" s="40"/>
      <c r="E81" s="23" t="s">
        <v>73</v>
      </c>
      <c r="F81" s="24">
        <v>0.5</v>
      </c>
      <c r="G81" s="25">
        <f t="shared" si="1"/>
        <v>0</v>
      </c>
      <c r="H81" s="228"/>
      <c r="I81" s="196"/>
    </row>
    <row r="82" spans="1:9" s="65" customFormat="1">
      <c r="A82" s="229"/>
      <c r="B82" s="370"/>
      <c r="C82" s="22" t="s">
        <v>82</v>
      </c>
      <c r="D82" s="40"/>
      <c r="E82" s="23" t="s">
        <v>73</v>
      </c>
      <c r="F82" s="24">
        <v>0</v>
      </c>
      <c r="G82" s="25">
        <f t="shared" si="1"/>
        <v>0</v>
      </c>
      <c r="H82" s="228"/>
      <c r="I82" s="196"/>
    </row>
    <row r="83" spans="1:9" s="65" customFormat="1">
      <c r="A83" s="229"/>
      <c r="B83" s="370"/>
      <c r="C83" s="22" t="s">
        <v>83</v>
      </c>
      <c r="D83" s="40"/>
      <c r="E83" s="23" t="s">
        <v>73</v>
      </c>
      <c r="F83" s="24">
        <v>0</v>
      </c>
      <c r="G83" s="25">
        <f t="shared" si="1"/>
        <v>0</v>
      </c>
      <c r="H83" s="228"/>
      <c r="I83" s="196"/>
    </row>
    <row r="84" spans="1:9" s="65" customFormat="1">
      <c r="A84" s="229"/>
      <c r="B84" s="370"/>
      <c r="C84" s="22" t="s">
        <v>84</v>
      </c>
      <c r="D84" s="40"/>
      <c r="E84" s="23" t="s">
        <v>73</v>
      </c>
      <c r="F84" s="24">
        <v>0</v>
      </c>
      <c r="G84" s="25">
        <f t="shared" si="1"/>
        <v>0</v>
      </c>
      <c r="H84" s="228"/>
      <c r="I84" s="196"/>
    </row>
    <row r="85" spans="1:9" s="65" customFormat="1">
      <c r="A85" s="229"/>
      <c r="B85" s="370"/>
      <c r="C85" s="22" t="s">
        <v>85</v>
      </c>
      <c r="D85" s="40"/>
      <c r="E85" s="23" t="s">
        <v>73</v>
      </c>
      <c r="F85" s="24">
        <v>0</v>
      </c>
      <c r="G85" s="25">
        <f t="shared" si="1"/>
        <v>0</v>
      </c>
      <c r="H85" s="228"/>
      <c r="I85" s="196"/>
    </row>
    <row r="86" spans="1:9" s="65" customFormat="1">
      <c r="A86" s="229"/>
      <c r="B86" s="370"/>
      <c r="C86" s="22" t="s">
        <v>86</v>
      </c>
      <c r="D86" s="40"/>
      <c r="E86" s="23" t="s">
        <v>73</v>
      </c>
      <c r="F86" s="24">
        <v>0.2</v>
      </c>
      <c r="G86" s="25">
        <f t="shared" si="1"/>
        <v>0</v>
      </c>
      <c r="H86" s="228"/>
      <c r="I86" s="196"/>
    </row>
    <row r="87" spans="1:9" s="65" customFormat="1" ht="14" thickBot="1">
      <c r="A87" s="229"/>
      <c r="B87" s="370"/>
      <c r="C87" s="71" t="s">
        <v>87</v>
      </c>
      <c r="D87" s="89"/>
      <c r="E87" s="72" t="s">
        <v>73</v>
      </c>
      <c r="F87" s="73">
        <v>0.1</v>
      </c>
      <c r="G87" s="74">
        <f t="shared" si="1"/>
        <v>0</v>
      </c>
      <c r="H87" s="228"/>
      <c r="I87" s="196"/>
    </row>
    <row r="88" spans="1:9" s="65" customFormat="1" ht="25.5" hidden="1" thickBot="1">
      <c r="A88" s="229"/>
      <c r="B88" s="370"/>
      <c r="C88" s="75" t="s">
        <v>88</v>
      </c>
      <c r="D88" s="76" t="s">
        <v>89</v>
      </c>
      <c r="E88" s="83" t="s">
        <v>90</v>
      </c>
      <c r="F88" s="84" t="s">
        <v>91</v>
      </c>
      <c r="G88" s="77"/>
      <c r="H88" s="228"/>
      <c r="I88" s="196"/>
    </row>
    <row r="89" spans="1:9" s="65" customFormat="1" hidden="1">
      <c r="A89" s="229"/>
      <c r="B89" s="370"/>
      <c r="C89" s="78" t="s">
        <v>92</v>
      </c>
      <c r="D89" s="293"/>
      <c r="E89" s="79" t="s">
        <v>93</v>
      </c>
      <c r="F89" s="80">
        <v>-0.11</v>
      </c>
      <c r="G89" s="25">
        <f>D89*F89</f>
        <v>0</v>
      </c>
      <c r="H89" s="228"/>
      <c r="I89" s="196"/>
    </row>
    <row r="90" spans="1:9" s="65" customFormat="1" hidden="1">
      <c r="A90" s="229"/>
      <c r="B90" s="370"/>
      <c r="C90" s="22" t="s">
        <v>94</v>
      </c>
      <c r="D90" s="294">
        <v>0</v>
      </c>
      <c r="E90" s="23" t="s">
        <v>93</v>
      </c>
      <c r="F90" s="24">
        <v>-0.04</v>
      </c>
      <c r="G90" s="25">
        <f>D90*F90</f>
        <v>0</v>
      </c>
      <c r="H90" s="228"/>
      <c r="I90" s="196"/>
    </row>
    <row r="91" spans="1:9" s="65" customFormat="1" ht="14" hidden="1" thickBot="1">
      <c r="A91" s="229"/>
      <c r="B91" s="370"/>
      <c r="C91" s="71" t="s">
        <v>95</v>
      </c>
      <c r="D91" s="295">
        <v>0</v>
      </c>
      <c r="E91" s="72" t="s">
        <v>96</v>
      </c>
      <c r="F91" s="73">
        <v>-0.11</v>
      </c>
      <c r="G91" s="74">
        <f>D91*F91</f>
        <v>0</v>
      </c>
      <c r="H91" s="228"/>
      <c r="I91" s="196"/>
    </row>
    <row r="92" spans="1:9" s="65" customFormat="1" ht="25.5" thickBot="1">
      <c r="A92" s="229"/>
      <c r="B92" s="370"/>
      <c r="C92" s="75" t="s">
        <v>97</v>
      </c>
      <c r="D92" s="76" t="s">
        <v>223</v>
      </c>
      <c r="E92" s="374" t="s">
        <v>111</v>
      </c>
      <c r="F92" s="375"/>
      <c r="G92" s="77"/>
      <c r="H92" s="228"/>
      <c r="I92" s="196"/>
    </row>
    <row r="93" spans="1:9" s="65" customFormat="1" ht="29" hidden="1">
      <c r="A93" s="229"/>
      <c r="B93" s="370"/>
      <c r="C93" s="78" t="s">
        <v>160</v>
      </c>
      <c r="D93" s="91"/>
      <c r="E93" s="79" t="s">
        <v>73</v>
      </c>
      <c r="F93" s="85">
        <v>-1</v>
      </c>
      <c r="G93" s="25">
        <f>D93*F93</f>
        <v>0</v>
      </c>
      <c r="H93" s="228"/>
      <c r="I93" s="196"/>
    </row>
    <row r="94" spans="1:9" s="65" customFormat="1" ht="25" hidden="1">
      <c r="A94" s="229"/>
      <c r="B94" s="370"/>
      <c r="C94" s="22" t="s">
        <v>98</v>
      </c>
      <c r="D94" s="41"/>
      <c r="E94" s="23"/>
      <c r="F94" s="26"/>
      <c r="G94" s="25"/>
      <c r="H94" s="228"/>
      <c r="I94" s="196"/>
    </row>
    <row r="95" spans="1:9" s="65" customFormat="1" ht="25" hidden="1">
      <c r="A95" s="229"/>
      <c r="B95" s="370"/>
      <c r="C95" s="22" t="s">
        <v>99</v>
      </c>
      <c r="D95" s="41"/>
      <c r="E95" s="23"/>
      <c r="F95" s="26"/>
      <c r="G95" s="25"/>
      <c r="H95" s="228"/>
      <c r="I95" s="196"/>
    </row>
    <row r="96" spans="1:9" s="65" customFormat="1" ht="17" thickBot="1">
      <c r="A96" s="229"/>
      <c r="B96" s="370"/>
      <c r="C96" s="22" t="s">
        <v>112</v>
      </c>
      <c r="D96" s="92"/>
      <c r="E96" s="72" t="s">
        <v>73</v>
      </c>
      <c r="F96" s="73">
        <v>0.5</v>
      </c>
      <c r="G96" s="74">
        <f>D96*F96</f>
        <v>0</v>
      </c>
      <c r="H96" s="228"/>
      <c r="I96" s="196"/>
    </row>
    <row r="97" spans="1:9" s="65" customFormat="1" ht="31.5" customHeight="1" thickBot="1">
      <c r="A97" s="229"/>
      <c r="B97" s="370"/>
      <c r="C97" s="27"/>
      <c r="D97" s="372" t="s">
        <v>306</v>
      </c>
      <c r="E97" s="400"/>
      <c r="F97" s="296"/>
      <c r="G97" s="87">
        <f>SUM(G66:G96)*'3. Prijsinvulformulier 2028'!F20</f>
        <v>0</v>
      </c>
      <c r="H97" s="228"/>
      <c r="I97" s="197"/>
    </row>
    <row r="98" spans="1:9" s="65" customFormat="1" ht="206.25" customHeight="1" thickBot="1">
      <c r="A98" s="229"/>
      <c r="B98" s="370"/>
      <c r="C98" s="28" t="s">
        <v>199</v>
      </c>
      <c r="D98" s="377" t="s">
        <v>200</v>
      </c>
      <c r="E98" s="378"/>
      <c r="F98" s="297"/>
      <c r="G98" s="146">
        <v>100</v>
      </c>
      <c r="H98" s="228"/>
      <c r="I98" s="198"/>
    </row>
    <row r="99" spans="1:9" s="65" customFormat="1" ht="14" thickBot="1">
      <c r="A99" s="229"/>
      <c r="B99" s="370"/>
      <c r="C99" s="88"/>
      <c r="D99" s="372" t="s">
        <v>100</v>
      </c>
      <c r="E99" s="376"/>
      <c r="F99" s="298"/>
      <c r="G99" s="299">
        <f>-(G97*G98/1000)</f>
        <v>0</v>
      </c>
      <c r="H99" s="228"/>
      <c r="I99" s="196"/>
    </row>
    <row r="100" spans="1:9" s="55" customFormat="1" ht="14.5" thickBot="1">
      <c r="A100" s="16"/>
      <c r="B100" s="230"/>
      <c r="C100" s="230" t="s">
        <v>47</v>
      </c>
      <c r="D100" s="218"/>
      <c r="E100" s="300" t="s">
        <v>104</v>
      </c>
      <c r="F100" s="218"/>
      <c r="G100" s="301">
        <f>G99/10524</f>
        <v>0</v>
      </c>
      <c r="H100" s="217"/>
      <c r="I100" s="302"/>
    </row>
    <row r="101" spans="1:9" s="55" customFormat="1" ht="14.5" thickBot="1">
      <c r="A101" s="16"/>
      <c r="B101" s="230"/>
      <c r="C101" s="230"/>
      <c r="D101" s="218"/>
      <c r="E101" s="218"/>
      <c r="F101" s="218"/>
      <c r="G101" s="144" t="s">
        <v>122</v>
      </c>
      <c r="H101" s="231">
        <f>G60+G99</f>
        <v>0</v>
      </c>
      <c r="I101" s="195"/>
    </row>
    <row r="102" spans="1:9" s="55" customFormat="1" ht="14">
      <c r="A102" s="66"/>
      <c r="B102" s="232"/>
      <c r="C102" s="232"/>
      <c r="D102" s="233"/>
      <c r="E102" s="233"/>
      <c r="F102" s="233"/>
      <c r="G102" s="56"/>
      <c r="H102" s="216"/>
      <c r="I102" s="195"/>
    </row>
    <row r="103" spans="1:9" ht="2.25" customHeight="1">
      <c r="A103" s="234"/>
      <c r="C103" s="235"/>
      <c r="D103" s="236"/>
      <c r="E103" s="237"/>
      <c r="F103" s="237"/>
      <c r="G103" s="237"/>
      <c r="H103" s="238"/>
    </row>
    <row r="104" spans="1:9" hidden="1">
      <c r="A104" s="234"/>
      <c r="C104" s="235"/>
      <c r="D104" s="239" t="s">
        <v>23</v>
      </c>
      <c r="E104" s="237">
        <v>0</v>
      </c>
      <c r="F104" s="237"/>
      <c r="G104" s="237"/>
      <c r="H104" s="238"/>
    </row>
    <row r="105" spans="1:9" hidden="1">
      <c r="A105" s="234"/>
      <c r="C105" s="235"/>
      <c r="D105" s="240" t="s">
        <v>24</v>
      </c>
      <c r="E105" s="237">
        <v>0</v>
      </c>
      <c r="F105" s="237"/>
      <c r="G105" s="237"/>
      <c r="H105" s="238"/>
    </row>
    <row r="106" spans="1:9" hidden="1">
      <c r="A106" s="234"/>
      <c r="C106" s="235"/>
      <c r="D106" s="239" t="s">
        <v>103</v>
      </c>
      <c r="E106" s="237">
        <v>0.33</v>
      </c>
      <c r="F106" s="237"/>
      <c r="G106" s="237"/>
      <c r="H106" s="238"/>
    </row>
    <row r="107" spans="1:9" hidden="1">
      <c r="A107" s="234"/>
      <c r="C107" s="235"/>
      <c r="D107" s="239" t="s">
        <v>102</v>
      </c>
      <c r="E107" s="237">
        <v>0.67</v>
      </c>
      <c r="F107" s="237"/>
      <c r="G107" s="237"/>
      <c r="H107" s="238"/>
    </row>
    <row r="108" spans="1:9" hidden="1">
      <c r="A108" s="234"/>
      <c r="C108" s="235"/>
      <c r="D108" s="239" t="s">
        <v>44</v>
      </c>
      <c r="E108" s="237">
        <v>1</v>
      </c>
      <c r="F108" s="237"/>
      <c r="G108" s="237"/>
      <c r="H108" s="238"/>
    </row>
    <row r="109" spans="1:9" hidden="1">
      <c r="A109" s="234"/>
      <c r="C109" s="235"/>
      <c r="D109" s="239"/>
      <c r="E109" s="237"/>
      <c r="F109" s="237"/>
      <c r="G109" s="237"/>
      <c r="H109" s="238"/>
    </row>
    <row r="110" spans="1:9" hidden="1">
      <c r="A110" s="234"/>
      <c r="C110" s="235"/>
      <c r="D110" s="239"/>
      <c r="E110" s="237"/>
      <c r="F110" s="237"/>
      <c r="G110" s="237"/>
      <c r="H110" s="238"/>
    </row>
    <row r="111" spans="1:9" hidden="1">
      <c r="A111" s="234"/>
      <c r="C111" s="235"/>
      <c r="D111" s="236"/>
      <c r="E111" s="237"/>
      <c r="F111" s="237"/>
      <c r="G111" s="237"/>
      <c r="H111" s="238"/>
    </row>
    <row r="112" spans="1:9" ht="2.25" hidden="1" customHeight="1">
      <c r="A112" s="234"/>
      <c r="C112" s="235"/>
      <c r="D112" s="236"/>
      <c r="E112" s="237"/>
      <c r="F112" s="237"/>
      <c r="G112" s="237"/>
      <c r="H112" s="238"/>
    </row>
    <row r="113" spans="1:8" hidden="1">
      <c r="A113" s="234"/>
      <c r="C113" s="235"/>
      <c r="D113" s="239" t="s">
        <v>23</v>
      </c>
      <c r="E113" s="237">
        <v>0</v>
      </c>
      <c r="F113" s="237"/>
      <c r="G113" s="237"/>
      <c r="H113" s="238"/>
    </row>
    <row r="114" spans="1:8" hidden="1">
      <c r="A114" s="234"/>
      <c r="C114" s="235"/>
      <c r="D114" s="240" t="s">
        <v>37</v>
      </c>
      <c r="E114" s="237">
        <v>0</v>
      </c>
      <c r="F114" s="237"/>
      <c r="G114" s="237"/>
      <c r="H114" s="238"/>
    </row>
    <row r="115" spans="1:8" hidden="1">
      <c r="A115" s="234"/>
      <c r="C115" s="235"/>
      <c r="D115" s="239" t="s">
        <v>38</v>
      </c>
      <c r="E115" s="237">
        <v>0.2</v>
      </c>
      <c r="F115" s="237"/>
      <c r="G115" s="237"/>
      <c r="H115" s="238"/>
    </row>
    <row r="116" spans="1:8" hidden="1">
      <c r="A116" s="234"/>
      <c r="C116" s="235"/>
      <c r="D116" s="239" t="s">
        <v>39</v>
      </c>
      <c r="E116" s="237">
        <v>0.4</v>
      </c>
      <c r="F116" s="237"/>
      <c r="G116" s="237"/>
      <c r="H116" s="238"/>
    </row>
    <row r="117" spans="1:8" hidden="1">
      <c r="A117" s="234"/>
      <c r="C117" s="235"/>
      <c r="D117" s="239" t="s">
        <v>40</v>
      </c>
      <c r="E117" s="237">
        <v>0.6</v>
      </c>
      <c r="F117" s="237"/>
      <c r="G117" s="237"/>
      <c r="H117" s="238"/>
    </row>
    <row r="118" spans="1:8" hidden="1">
      <c r="A118" s="234"/>
      <c r="C118" s="235"/>
      <c r="D118" s="239" t="s">
        <v>41</v>
      </c>
      <c r="E118" s="237">
        <v>0.8</v>
      </c>
      <c r="F118" s="237"/>
      <c r="G118" s="237"/>
      <c r="H118" s="238"/>
    </row>
    <row r="119" spans="1:8" hidden="1">
      <c r="A119" s="234"/>
      <c r="C119" s="235"/>
      <c r="D119" s="239" t="s">
        <v>42</v>
      </c>
      <c r="E119" s="237">
        <v>1</v>
      </c>
      <c r="F119" s="237"/>
      <c r="G119" s="237"/>
      <c r="H119" s="238"/>
    </row>
    <row r="120" spans="1:8" ht="2.25" hidden="1" customHeight="1">
      <c r="A120" s="234"/>
      <c r="C120" s="235"/>
      <c r="D120" s="236"/>
      <c r="E120" s="237"/>
      <c r="F120" s="237"/>
      <c r="G120" s="241"/>
      <c r="H120" s="238"/>
    </row>
    <row r="121" spans="1:8" hidden="1">
      <c r="A121" s="234"/>
      <c r="C121" s="235"/>
      <c r="D121" s="236" t="s">
        <v>23</v>
      </c>
      <c r="E121" s="237" t="s">
        <v>25</v>
      </c>
      <c r="F121" s="237">
        <v>0</v>
      </c>
      <c r="G121" s="242" t="e">
        <f>#REF!*((1+0.25)/2)</f>
        <v>#REF!</v>
      </c>
      <c r="H121" s="238"/>
    </row>
    <row r="122" spans="1:8" ht="27" hidden="1">
      <c r="A122" s="234"/>
      <c r="B122" s="236" t="s">
        <v>23</v>
      </c>
      <c r="C122" s="54">
        <v>0</v>
      </c>
      <c r="D122" s="236" t="s">
        <v>26</v>
      </c>
      <c r="E122" s="237" t="s">
        <v>27</v>
      </c>
      <c r="F122" s="237">
        <v>0</v>
      </c>
      <c r="G122" s="241"/>
      <c r="H122" s="238"/>
    </row>
    <row r="123" spans="1:8" ht="27" hidden="1">
      <c r="A123" s="234"/>
      <c r="B123" s="243" t="s">
        <v>28</v>
      </c>
      <c r="C123" s="54">
        <v>0.25</v>
      </c>
      <c r="D123" s="236" t="s">
        <v>29</v>
      </c>
      <c r="E123" s="237" t="s">
        <v>30</v>
      </c>
      <c r="F123" s="237">
        <v>1</v>
      </c>
      <c r="G123" s="241"/>
      <c r="H123" s="238"/>
    </row>
    <row r="124" spans="1:8" ht="67.5" hidden="1">
      <c r="A124" s="234"/>
      <c r="B124" s="243" t="s">
        <v>31</v>
      </c>
      <c r="C124" s="54">
        <v>0.5</v>
      </c>
      <c r="D124" s="244"/>
      <c r="E124" s="237" t="s">
        <v>32</v>
      </c>
      <c r="F124" s="237">
        <v>0.75</v>
      </c>
      <c r="G124" s="241"/>
      <c r="H124" s="238"/>
    </row>
    <row r="125" spans="1:8" ht="67.5" hidden="1">
      <c r="A125" s="234"/>
      <c r="B125" s="243" t="s">
        <v>33</v>
      </c>
      <c r="C125" s="54">
        <v>0.75</v>
      </c>
      <c r="D125" s="244"/>
      <c r="E125" s="237" t="s">
        <v>34</v>
      </c>
      <c r="F125" s="237">
        <v>0.5</v>
      </c>
      <c r="G125" s="241"/>
      <c r="H125" s="238"/>
    </row>
    <row r="126" spans="1:8" hidden="1">
      <c r="A126" s="234"/>
      <c r="B126" s="243" t="s">
        <v>35</v>
      </c>
      <c r="C126" s="54">
        <v>1</v>
      </c>
      <c r="D126" s="236"/>
      <c r="E126" s="237"/>
      <c r="F126" s="237"/>
      <c r="G126" s="241"/>
      <c r="H126" s="238"/>
    </row>
    <row r="127" spans="1:8" ht="30" customHeight="1">
      <c r="A127" s="234"/>
      <c r="B127" s="243"/>
      <c r="D127" s="236"/>
      <c r="E127" s="346" t="s">
        <v>247</v>
      </c>
      <c r="F127" s="347"/>
      <c r="G127" s="241"/>
      <c r="H127" s="238"/>
    </row>
    <row r="128" spans="1:8" ht="38.25" customHeight="1">
      <c r="A128" s="234"/>
      <c r="C128" s="235"/>
      <c r="D128" s="145" t="s">
        <v>36</v>
      </c>
      <c r="E128" s="315">
        <f>H20+H101</f>
        <v>0</v>
      </c>
      <c r="F128" s="316"/>
      <c r="G128" s="241"/>
      <c r="H128" s="238"/>
    </row>
    <row r="129" spans="1:11" ht="10.5" customHeight="1" thickBot="1">
      <c r="A129" s="234"/>
      <c r="C129" s="235"/>
      <c r="D129" s="236"/>
      <c r="E129" s="237"/>
      <c r="F129" s="237"/>
      <c r="G129" s="241"/>
      <c r="H129" s="238"/>
    </row>
    <row r="130" spans="1:11" ht="23.25" customHeight="1">
      <c r="A130" s="365" t="s">
        <v>131</v>
      </c>
      <c r="B130" s="366"/>
      <c r="C130" s="366"/>
      <c r="D130" s="366"/>
      <c r="E130" s="366"/>
      <c r="F130" s="366"/>
      <c r="G130" s="367"/>
      <c r="H130" s="238"/>
    </row>
    <row r="131" spans="1:11" ht="28.5" customHeight="1">
      <c r="A131" s="362" t="s">
        <v>115</v>
      </c>
      <c r="B131" s="363"/>
      <c r="C131" s="363"/>
      <c r="D131" s="363"/>
      <c r="E131" s="363"/>
      <c r="F131" s="363"/>
      <c r="G131" s="364"/>
      <c r="H131" s="245"/>
    </row>
    <row r="132" spans="1:11" ht="15.75" customHeight="1"/>
    <row r="133" spans="1:11" s="163" customFormat="1" ht="14" hidden="1">
      <c r="C133" s="337" t="s">
        <v>51</v>
      </c>
      <c r="D133" s="337"/>
      <c r="E133" s="337"/>
      <c r="F133" s="337"/>
      <c r="G133" s="337"/>
      <c r="H133" s="337"/>
      <c r="I133" s="337"/>
      <c r="J133" s="337"/>
      <c r="K133" s="337"/>
    </row>
    <row r="134" spans="1:11" s="163" customFormat="1" ht="14" hidden="1">
      <c r="C134" s="164"/>
      <c r="D134" s="165" t="s">
        <v>52</v>
      </c>
      <c r="E134" s="165" t="s">
        <v>53</v>
      </c>
      <c r="F134" s="166"/>
      <c r="G134" s="164"/>
      <c r="H134" s="164"/>
      <c r="I134" s="200"/>
      <c r="J134" s="164"/>
      <c r="K134" s="164"/>
    </row>
    <row r="135" spans="1:11" s="163" customFormat="1" ht="14" hidden="1">
      <c r="C135" s="164"/>
      <c r="D135" s="167" t="s">
        <v>123</v>
      </c>
      <c r="E135" s="168">
        <v>0</v>
      </c>
      <c r="F135" s="166"/>
      <c r="G135" s="164"/>
      <c r="H135" s="164"/>
      <c r="I135" s="200"/>
      <c r="J135" s="164"/>
      <c r="K135" s="164"/>
    </row>
    <row r="136" spans="1:11" s="163" customFormat="1" ht="14" hidden="1">
      <c r="C136" s="164"/>
      <c r="D136" s="167" t="s">
        <v>25</v>
      </c>
      <c r="E136" s="168">
        <v>0</v>
      </c>
      <c r="F136" s="166"/>
      <c r="G136" s="164"/>
      <c r="H136" s="164"/>
      <c r="I136" s="200"/>
      <c r="J136" s="164"/>
      <c r="K136" s="164"/>
    </row>
    <row r="137" spans="1:11" s="163" customFormat="1" ht="14" hidden="1">
      <c r="C137" s="164"/>
      <c r="D137" s="169" t="s">
        <v>166</v>
      </c>
      <c r="E137" s="167">
        <v>117</v>
      </c>
      <c r="F137" s="170"/>
      <c r="G137" s="164"/>
      <c r="H137" s="164"/>
      <c r="I137" s="200"/>
      <c r="J137" s="164"/>
      <c r="K137" s="164"/>
    </row>
    <row r="138" spans="1:11" s="163" customFormat="1" ht="14" hidden="1">
      <c r="C138" s="164"/>
      <c r="D138" s="171" t="s">
        <v>49</v>
      </c>
      <c r="E138" s="167">
        <v>102</v>
      </c>
      <c r="F138" s="172"/>
      <c r="G138" s="164"/>
      <c r="H138" s="164"/>
      <c r="I138" s="200"/>
      <c r="J138" s="164"/>
      <c r="K138" s="164"/>
    </row>
    <row r="139" spans="1:11" s="163" customFormat="1" ht="14" hidden="1">
      <c r="C139" s="164"/>
      <c r="D139" s="171" t="s">
        <v>167</v>
      </c>
      <c r="E139" s="167">
        <v>93</v>
      </c>
      <c r="F139" s="172"/>
      <c r="G139" s="164"/>
      <c r="H139" s="164"/>
      <c r="I139" s="200"/>
      <c r="J139" s="164"/>
      <c r="K139" s="164"/>
    </row>
    <row r="140" spans="1:11" s="163" customFormat="1" ht="14" hidden="1">
      <c r="C140" s="164"/>
      <c r="D140" s="171" t="s">
        <v>168</v>
      </c>
      <c r="E140" s="167">
        <v>30</v>
      </c>
      <c r="F140" s="172"/>
      <c r="G140" s="164"/>
      <c r="H140" s="164"/>
      <c r="I140" s="200"/>
      <c r="J140" s="164"/>
      <c r="K140" s="164"/>
    </row>
    <row r="141" spans="1:11" s="163" customFormat="1" ht="14" hidden="1">
      <c r="C141" s="164"/>
      <c r="D141" s="171" t="s">
        <v>169</v>
      </c>
      <c r="E141" s="167">
        <v>30</v>
      </c>
      <c r="F141" s="172"/>
      <c r="G141" s="164"/>
      <c r="H141" s="164"/>
      <c r="I141" s="200"/>
      <c r="J141" s="164"/>
      <c r="K141" s="164"/>
    </row>
    <row r="142" spans="1:11" s="163" customFormat="1" ht="14" hidden="1">
      <c r="C142" s="164"/>
      <c r="D142" s="173"/>
      <c r="E142" s="173"/>
      <c r="F142" s="172"/>
      <c r="G142" s="164"/>
      <c r="H142" s="164"/>
      <c r="I142" s="200"/>
      <c r="J142" s="164"/>
      <c r="K142" s="164"/>
    </row>
    <row r="143" spans="1:11" s="163" customFormat="1" ht="14" hidden="1">
      <c r="C143" s="164"/>
      <c r="D143" s="165" t="s">
        <v>54</v>
      </c>
      <c r="E143" s="165" t="s">
        <v>55</v>
      </c>
      <c r="F143" s="174" t="s">
        <v>56</v>
      </c>
      <c r="G143" s="174" t="s">
        <v>170</v>
      </c>
      <c r="H143" s="164"/>
      <c r="I143" s="200"/>
      <c r="J143" s="164"/>
      <c r="K143" s="164"/>
    </row>
    <row r="144" spans="1:11" s="163" customFormat="1" ht="14" hidden="1">
      <c r="C144" s="164"/>
      <c r="D144" s="167" t="s">
        <v>124</v>
      </c>
      <c r="E144" s="168">
        <v>0</v>
      </c>
      <c r="F144" s="175">
        <v>0</v>
      </c>
      <c r="G144" s="175">
        <v>0</v>
      </c>
      <c r="H144" s="164"/>
      <c r="I144" s="200"/>
      <c r="J144" s="164"/>
      <c r="K144" s="164"/>
    </row>
    <row r="145" spans="3:11" s="163" customFormat="1" ht="14" hidden="1">
      <c r="C145" s="164"/>
      <c r="D145" s="167" t="s">
        <v>25</v>
      </c>
      <c r="E145" s="168">
        <v>0</v>
      </c>
      <c r="F145" s="175">
        <v>0</v>
      </c>
      <c r="G145" s="175">
        <v>0</v>
      </c>
      <c r="H145" s="164"/>
      <c r="I145" s="200"/>
      <c r="J145" s="164"/>
      <c r="K145" s="164"/>
    </row>
    <row r="146" spans="3:11" s="163" customFormat="1" ht="14" hidden="1">
      <c r="C146" s="164"/>
      <c r="D146" s="169" t="s">
        <v>57</v>
      </c>
      <c r="E146" s="176">
        <v>1</v>
      </c>
      <c r="F146" s="177">
        <v>1</v>
      </c>
      <c r="G146" s="177">
        <v>1</v>
      </c>
      <c r="H146" s="164"/>
      <c r="I146" s="200"/>
      <c r="J146" s="164"/>
      <c r="K146" s="164"/>
    </row>
    <row r="147" spans="3:11" s="163" customFormat="1" ht="14" hidden="1">
      <c r="C147" s="164"/>
      <c r="D147" s="169" t="s">
        <v>171</v>
      </c>
      <c r="E147" s="178">
        <v>0.95726</v>
      </c>
      <c r="F147" s="179">
        <v>0.96077999999999997</v>
      </c>
      <c r="G147" s="179">
        <v>0.95699000000000001</v>
      </c>
      <c r="H147" s="164"/>
      <c r="I147" s="200"/>
      <c r="J147" s="164"/>
      <c r="K147" s="164"/>
    </row>
    <row r="148" spans="3:11" s="163" customFormat="1" ht="14" hidden="1">
      <c r="C148" s="164"/>
      <c r="D148" s="169" t="s">
        <v>59</v>
      </c>
      <c r="E148" s="178">
        <f>0.102/0.117</f>
        <v>0.8717948717948717</v>
      </c>
      <c r="F148" s="179">
        <f>0.089/0.102</f>
        <v>0.87254901960784315</v>
      </c>
      <c r="G148" s="179">
        <f>0.081/0.093</f>
        <v>0.87096774193548387</v>
      </c>
      <c r="H148" s="164"/>
      <c r="I148" s="200"/>
      <c r="J148" s="164"/>
      <c r="K148" s="164"/>
    </row>
    <row r="149" spans="3:11" s="163" customFormat="1" ht="14" hidden="1">
      <c r="C149" s="164"/>
      <c r="D149" s="169" t="s">
        <v>50</v>
      </c>
      <c r="E149" s="178">
        <f>0.095/0.117</f>
        <v>0.81196581196581197</v>
      </c>
      <c r="F149" s="179">
        <f>0.083/0.102</f>
        <v>0.81372549019607854</v>
      </c>
      <c r="G149" s="179">
        <v>0.80645</v>
      </c>
      <c r="H149" s="164"/>
      <c r="I149" s="200"/>
      <c r="J149" s="164"/>
      <c r="K149" s="164"/>
    </row>
    <row r="150" spans="3:11" s="163" customFormat="1" ht="14" hidden="1">
      <c r="C150" s="164"/>
      <c r="D150" s="169" t="s">
        <v>61</v>
      </c>
      <c r="E150" s="178">
        <v>0.78632000000000002</v>
      </c>
      <c r="F150" s="179">
        <v>0.79412000000000005</v>
      </c>
      <c r="G150" s="179">
        <v>0.78495000000000004</v>
      </c>
      <c r="H150" s="164"/>
      <c r="I150" s="200"/>
      <c r="J150" s="164"/>
      <c r="K150" s="164"/>
    </row>
    <row r="151" spans="3:11" s="163" customFormat="1" ht="14" hidden="1">
      <c r="C151" s="164"/>
      <c r="D151" s="169" t="s">
        <v>172</v>
      </c>
      <c r="E151" s="178">
        <v>0.76922999999999997</v>
      </c>
      <c r="F151" s="179">
        <v>0.77451000000000003</v>
      </c>
      <c r="G151" s="179">
        <v>0.77419000000000004</v>
      </c>
      <c r="H151" s="164"/>
      <c r="I151" s="200"/>
      <c r="J151" s="164"/>
      <c r="K151" s="164"/>
    </row>
    <row r="152" spans="3:11" s="163" customFormat="1" ht="14" hidden="1">
      <c r="C152" s="164"/>
      <c r="D152" s="169" t="s">
        <v>173</v>
      </c>
      <c r="E152" s="178">
        <v>0.63248000000000004</v>
      </c>
      <c r="F152" s="179">
        <f>0.065/0.102</f>
        <v>0.63725490196078438</v>
      </c>
      <c r="G152" s="179">
        <f>0.059/0.093</f>
        <v>0.63440860215053763</v>
      </c>
      <c r="H152" s="164"/>
      <c r="I152" s="200"/>
      <c r="J152" s="164"/>
      <c r="K152" s="164"/>
    </row>
    <row r="153" spans="3:11" s="163" customFormat="1" ht="14" hidden="1">
      <c r="C153" s="164"/>
      <c r="D153" s="169" t="s">
        <v>60</v>
      </c>
      <c r="E153" s="178">
        <f>0.035/0.117</f>
        <v>0.29914529914529914</v>
      </c>
      <c r="F153" s="179">
        <f>0.031/0.102</f>
        <v>0.30392156862745101</v>
      </c>
      <c r="G153" s="179">
        <f>0.028/0.093</f>
        <v>0.30107526881720431</v>
      </c>
      <c r="H153" s="164"/>
      <c r="I153" s="200"/>
      <c r="J153" s="164"/>
      <c r="K153" s="164"/>
    </row>
    <row r="154" spans="3:11" s="163" customFormat="1" ht="14" hidden="1">
      <c r="C154" s="164"/>
      <c r="D154" s="169" t="s">
        <v>174</v>
      </c>
      <c r="E154" s="178">
        <f>0.035/0.117</f>
        <v>0.29914529914529914</v>
      </c>
      <c r="F154" s="179">
        <f>0.031/0.102</f>
        <v>0.30392156862745101</v>
      </c>
      <c r="G154" s="179">
        <f>0.028/0.093</f>
        <v>0.30107526881720431</v>
      </c>
      <c r="H154" s="164"/>
      <c r="I154" s="200"/>
      <c r="J154" s="164"/>
      <c r="K154" s="164"/>
    </row>
    <row r="155" spans="3:11" s="163" customFormat="1" ht="14" hidden="1">
      <c r="C155" s="164"/>
      <c r="D155" s="169" t="s">
        <v>175</v>
      </c>
      <c r="E155" s="178">
        <f>0.034/0.117</f>
        <v>0.29059829059829062</v>
      </c>
      <c r="F155" s="179">
        <f>0.03/0.102</f>
        <v>0.29411764705882354</v>
      </c>
      <c r="G155" s="179">
        <f>0.027/0.093</f>
        <v>0.29032258064516131</v>
      </c>
      <c r="H155" s="164"/>
      <c r="I155" s="200"/>
      <c r="J155" s="164"/>
      <c r="K155" s="164"/>
    </row>
    <row r="156" spans="3:11" s="163" customFormat="1" ht="23" hidden="1">
      <c r="C156" s="164"/>
      <c r="D156" s="169" t="s">
        <v>176</v>
      </c>
      <c r="E156" s="178">
        <f>0.031/0.117</f>
        <v>0.26495726495726496</v>
      </c>
      <c r="F156" s="179">
        <f>0.027/0.102</f>
        <v>0.26470588235294118</v>
      </c>
      <c r="G156" s="179">
        <f>0.024/0.093</f>
        <v>0.25806451612903225</v>
      </c>
      <c r="H156" s="164"/>
      <c r="I156" s="200"/>
      <c r="J156" s="164"/>
      <c r="K156" s="164"/>
    </row>
    <row r="157" spans="3:11" s="163" customFormat="1" ht="14" hidden="1">
      <c r="C157" s="164"/>
      <c r="D157" s="169" t="s">
        <v>58</v>
      </c>
      <c r="E157" s="178">
        <f>0.026/0.117</f>
        <v>0.22222222222222221</v>
      </c>
      <c r="F157" s="179">
        <f>0.022/0.102</f>
        <v>0.21568627450980393</v>
      </c>
      <c r="G157" s="179">
        <f>0.02/0.093</f>
        <v>0.21505376344086022</v>
      </c>
      <c r="H157" s="164"/>
      <c r="I157" s="200"/>
      <c r="J157" s="164"/>
      <c r="K157" s="164"/>
    </row>
    <row r="158" spans="3:11" s="163" customFormat="1" ht="14" hidden="1">
      <c r="C158" s="164"/>
      <c r="D158" s="169" t="s">
        <v>177</v>
      </c>
      <c r="E158" s="178">
        <f>0.01/0.117</f>
        <v>8.5470085470085472E-2</v>
      </c>
      <c r="F158" s="179">
        <f>0.008/0.102</f>
        <v>7.8431372549019621E-2</v>
      </c>
      <c r="G158" s="179">
        <f>0.008/0.093</f>
        <v>8.6021505376344093E-2</v>
      </c>
      <c r="H158" s="164"/>
      <c r="I158" s="200"/>
      <c r="J158" s="164"/>
      <c r="K158" s="164"/>
    </row>
    <row r="159" spans="3:11" s="163" customFormat="1" ht="14" hidden="1">
      <c r="C159" s="164"/>
      <c r="D159" s="169" t="s">
        <v>178</v>
      </c>
      <c r="E159" s="178">
        <f>0.004/0.117</f>
        <v>3.4188034188034185E-2</v>
      </c>
      <c r="F159" s="179">
        <f>0.004/0.102</f>
        <v>3.921568627450981E-2</v>
      </c>
      <c r="G159" s="179">
        <f>0.003/0.093</f>
        <v>3.2258064516129031E-2</v>
      </c>
      <c r="H159" s="164"/>
      <c r="I159" s="200"/>
      <c r="J159" s="164"/>
      <c r="K159" s="164"/>
    </row>
    <row r="160" spans="3:11" s="163" customFormat="1" ht="14" hidden="1">
      <c r="C160" s="164"/>
      <c r="D160" s="169" t="s">
        <v>179</v>
      </c>
      <c r="E160" s="178">
        <v>0</v>
      </c>
      <c r="F160" s="179">
        <v>0</v>
      </c>
      <c r="G160" s="179">
        <v>0</v>
      </c>
      <c r="H160" s="164"/>
      <c r="I160" s="200"/>
      <c r="J160" s="164"/>
      <c r="K160" s="164"/>
    </row>
    <row r="161" spans="3:11" s="163" customFormat="1" ht="14" hidden="1">
      <c r="C161" s="164"/>
      <c r="D161" s="169" t="s">
        <v>168</v>
      </c>
      <c r="E161" s="180">
        <v>1</v>
      </c>
      <c r="F161" s="175"/>
      <c r="G161" s="175"/>
      <c r="H161" s="164"/>
      <c r="I161" s="200"/>
      <c r="J161" s="164"/>
      <c r="K161" s="164"/>
    </row>
    <row r="162" spans="3:11" s="163" customFormat="1" ht="14" hidden="1">
      <c r="C162" s="164"/>
      <c r="D162" s="169" t="s">
        <v>180</v>
      </c>
      <c r="E162" s="181">
        <f>0.0294/0.03</f>
        <v>0.98</v>
      </c>
      <c r="F162" s="175"/>
      <c r="G162" s="175"/>
      <c r="H162" s="164"/>
      <c r="I162" s="200"/>
      <c r="J162" s="164"/>
      <c r="K162" s="164"/>
    </row>
    <row r="163" spans="3:11" s="163" customFormat="1" ht="14" hidden="1">
      <c r="C163" s="164"/>
      <c r="D163" s="169" t="s">
        <v>181</v>
      </c>
      <c r="E163" s="181">
        <f>0.0285/0.03</f>
        <v>0.95000000000000007</v>
      </c>
      <c r="F163" s="175"/>
      <c r="G163" s="175"/>
      <c r="H163" s="164"/>
      <c r="I163" s="200"/>
      <c r="J163" s="164"/>
      <c r="K163" s="164"/>
    </row>
    <row r="164" spans="3:11" hidden="1"/>
    <row r="165" spans="3:11" hidden="1"/>
    <row r="166" spans="3:11" hidden="1"/>
  </sheetData>
  <sheetProtection algorithmName="SHA-512" hashValue="/LSejcW/P938pbRMLQWkCpKYp/ZICPpwH2mBqF6bgXHrgsiJF0Cr1MJVCErc6IGIgGZnpkUUGmpmQ20hljgi5g==" saltValue="LEbluUafymnY2Qk0yIS6jA==" spinCount="100000" sheet="1" objects="1" scenarios="1"/>
  <protectedRanges>
    <protectedRange sqref="D2:D4 F2:F4" name="gegevens_1_2_1"/>
  </protectedRanges>
  <mergeCells count="44">
    <mergeCell ref="A131:G131"/>
    <mergeCell ref="C133:K133"/>
    <mergeCell ref="D97:E97"/>
    <mergeCell ref="D98:E98"/>
    <mergeCell ref="D99:E99"/>
    <mergeCell ref="E127:F127"/>
    <mergeCell ref="A130:G130"/>
    <mergeCell ref="B65:B99"/>
    <mergeCell ref="E65:F65"/>
    <mergeCell ref="E69:F69"/>
    <mergeCell ref="E72:F72"/>
    <mergeCell ref="E92:F92"/>
    <mergeCell ref="A62:B62"/>
    <mergeCell ref="E62:G62"/>
    <mergeCell ref="A63:B63"/>
    <mergeCell ref="D63:E63"/>
    <mergeCell ref="A64:C64"/>
    <mergeCell ref="A25:C25"/>
    <mergeCell ref="B26:B60"/>
    <mergeCell ref="E26:F26"/>
    <mergeCell ref="E30:F30"/>
    <mergeCell ref="E33:F33"/>
    <mergeCell ref="E53:F53"/>
    <mergeCell ref="D58:E58"/>
    <mergeCell ref="D59:E59"/>
    <mergeCell ref="D60:E60"/>
    <mergeCell ref="A16:B19"/>
    <mergeCell ref="A22:G22"/>
    <mergeCell ref="A23:B23"/>
    <mergeCell ref="E23:G23"/>
    <mergeCell ref="A24:B24"/>
    <mergeCell ref="D24:E24"/>
    <mergeCell ref="A15:B15"/>
    <mergeCell ref="A1:E1"/>
    <mergeCell ref="G1:H1"/>
    <mergeCell ref="B3:D3"/>
    <mergeCell ref="B4:D4"/>
    <mergeCell ref="A5:G5"/>
    <mergeCell ref="A6:G6"/>
    <mergeCell ref="A7:B7"/>
    <mergeCell ref="A8:B8"/>
    <mergeCell ref="A9:B12"/>
    <mergeCell ref="A13:G13"/>
    <mergeCell ref="A14:B14"/>
  </mergeCells>
  <dataValidations count="6">
    <dataValidation type="list" allowBlank="1" showInputMessage="1" showErrorMessage="1" sqref="D13" xr:uid="{31845005-6ED9-4971-81DB-96A8ABB73ED5}">
      <formula1>$D$146:$D$159</formula1>
    </dataValidation>
    <dataValidation type="list" allowBlank="1" showInputMessage="1" showErrorMessage="1" sqref="D18 D11" xr:uid="{542D8D83-AB9C-48FF-BF32-D3B750A7FAAE}">
      <formula1>$D$135:$D$141</formula1>
    </dataValidation>
    <dataValidation type="whole" operator="lessThan" allowBlank="1" showInputMessage="1" showErrorMessage="1" sqref="D17 D10" xr:uid="{5BDC7C75-06E9-44F3-9330-EE4EA7FAE21F}">
      <formula1>1000</formula1>
    </dataValidation>
    <dataValidation operator="lessThan" allowBlank="1" showInputMessage="1" showErrorMessage="1" sqref="D9 D16" xr:uid="{9008B414-0EA5-4F5B-8E01-EC95A9727CCD}"/>
    <dataValidation operator="lessThanOrEqual" allowBlank="1" showInputMessage="1" showErrorMessage="1" sqref="B122:B127 C128:C129 G20:G21 G101 C103:C121 A131 D103:D129 E103:G126 E127:E128 E129:G129 G127:G128" xr:uid="{6E01E2FF-2040-4A1E-BD1D-4D94C5A84AED}"/>
    <dataValidation type="list" allowBlank="1" showInputMessage="1" showErrorMessage="1" sqref="D19 D12" xr:uid="{961A3924-055A-42DF-BAF1-F35C0793CF2B}">
      <formula1>$D$144:$D$163</formula1>
    </dataValidation>
  </dataValidations>
  <pageMargins left="0.7" right="0.7" top="0.75" bottom="0.75" header="0.3" footer="0.3"/>
  <pageSetup paperSize="9" scale="51" fitToHeight="0" orientation="landscape" r:id="rId1"/>
  <rowBreaks count="1" manualBreakCount="1">
    <brk id="95"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6B8BC-D9C1-44F7-A083-8711CEE84F7F}">
  <sheetPr>
    <pageSetUpPr fitToPage="1"/>
  </sheetPr>
  <dimension ref="A1:S169"/>
  <sheetViews>
    <sheetView showGridLines="0" view="pageBreakPreview" topLeftCell="A98" zoomScale="91" zoomScaleNormal="80" zoomScaleSheetLayoutView="91" workbookViewId="0">
      <selection activeCell="A131" sqref="A131:G131"/>
    </sheetView>
  </sheetViews>
  <sheetFormatPr defaultColWidth="9.1796875" defaultRowHeight="13.5"/>
  <cols>
    <col min="1" max="1" width="6.7265625" style="54" customWidth="1"/>
    <col min="2" max="2" width="16.81640625" style="54" customWidth="1"/>
    <col min="3" max="3" width="57.26953125" style="54" customWidth="1"/>
    <col min="4" max="4" width="44.453125" style="67" customWidth="1"/>
    <col min="5" max="5" width="38.453125" style="67" customWidth="1"/>
    <col min="6" max="6" width="19.1796875" style="67" bestFit="1" customWidth="1"/>
    <col min="7" max="7" width="52.54296875" style="67" customWidth="1"/>
    <col min="8" max="8" width="19.7265625" style="54" customWidth="1"/>
    <col min="9" max="9" width="54.81640625" style="192" customWidth="1"/>
    <col min="10" max="10" width="22" style="54" customWidth="1"/>
    <col min="11" max="16384" width="9.1796875" style="54"/>
  </cols>
  <sheetData>
    <row r="1" spans="1:19" ht="58.5" customHeight="1">
      <c r="A1" s="383" t="s">
        <v>298</v>
      </c>
      <c r="B1" s="383"/>
      <c r="C1" s="383"/>
      <c r="D1" s="383"/>
      <c r="E1" s="383"/>
      <c r="F1" s="272" t="s">
        <v>156</v>
      </c>
      <c r="G1" s="381" t="s">
        <v>157</v>
      </c>
      <c r="H1" s="381"/>
    </row>
    <row r="2" spans="1:19" s="14" customFormat="1" ht="25" customHeight="1">
      <c r="A2" s="212"/>
      <c r="B2" s="213"/>
      <c r="C2" s="275"/>
      <c r="D2" s="214"/>
      <c r="E2" s="214"/>
      <c r="F2" s="214"/>
      <c r="G2" s="214"/>
      <c r="H2" s="215"/>
      <c r="I2" s="190"/>
    </row>
    <row r="3" spans="1:19" s="14" customFormat="1" ht="25" customHeight="1">
      <c r="A3" s="212"/>
      <c r="B3" s="382" t="s">
        <v>209</v>
      </c>
      <c r="C3" s="382"/>
      <c r="D3" s="382"/>
      <c r="E3" s="214"/>
      <c r="F3" s="214"/>
      <c r="G3" s="214"/>
      <c r="H3" s="215"/>
      <c r="I3" s="190"/>
    </row>
    <row r="4" spans="1:19" s="14" customFormat="1" ht="25" customHeight="1">
      <c r="A4" s="212"/>
      <c r="B4" s="386" t="s">
        <v>210</v>
      </c>
      <c r="C4" s="386"/>
      <c r="D4" s="386"/>
      <c r="E4" s="214"/>
      <c r="F4" s="214"/>
      <c r="G4" s="214"/>
      <c r="H4" s="215"/>
      <c r="I4" s="190"/>
    </row>
    <row r="5" spans="1:19" s="55" customFormat="1" ht="19.5" customHeight="1">
      <c r="A5" s="338" t="s">
        <v>127</v>
      </c>
      <c r="B5" s="339"/>
      <c r="C5" s="339"/>
      <c r="D5" s="339"/>
      <c r="E5" s="339"/>
      <c r="F5" s="339"/>
      <c r="G5" s="340"/>
      <c r="H5" s="216"/>
      <c r="I5" s="195"/>
    </row>
    <row r="6" spans="1:19" s="55" customFormat="1" ht="19.5" customHeight="1">
      <c r="A6" s="341" t="s">
        <v>258</v>
      </c>
      <c r="B6" s="342"/>
      <c r="C6" s="342"/>
      <c r="D6" s="342"/>
      <c r="E6" s="342"/>
      <c r="F6" s="342"/>
      <c r="G6" s="343"/>
      <c r="H6" s="217"/>
      <c r="I6" s="271"/>
    </row>
    <row r="7" spans="1:19" s="55" customFormat="1" ht="62.5">
      <c r="A7" s="379"/>
      <c r="B7" s="380"/>
      <c r="C7" s="68" t="s">
        <v>196</v>
      </c>
      <c r="D7" s="38" t="s">
        <v>121</v>
      </c>
      <c r="E7" s="218"/>
      <c r="F7" s="218"/>
      <c r="G7" s="17"/>
      <c r="H7" s="217"/>
      <c r="I7" s="195"/>
    </row>
    <row r="8" spans="1:19" s="55" customFormat="1" ht="62.5">
      <c r="A8" s="379"/>
      <c r="B8" s="380"/>
      <c r="C8" s="68" t="s">
        <v>197</v>
      </c>
      <c r="D8" s="38" t="s">
        <v>121</v>
      </c>
      <c r="E8" s="218"/>
      <c r="F8" s="218"/>
      <c r="G8" s="17"/>
      <c r="H8" s="217"/>
      <c r="I8" s="195"/>
    </row>
    <row r="9" spans="1:19" s="58" customFormat="1" ht="36.75" customHeight="1" thickBot="1">
      <c r="A9" s="356" t="s">
        <v>211</v>
      </c>
      <c r="B9" s="357"/>
      <c r="C9" s="128" t="s">
        <v>159</v>
      </c>
      <c r="D9" s="278">
        <v>1</v>
      </c>
      <c r="E9" s="219"/>
      <c r="F9" s="18"/>
      <c r="G9" s="69"/>
      <c r="H9" s="220"/>
      <c r="I9" s="193"/>
      <c r="J9" s="57"/>
      <c r="K9" s="57"/>
      <c r="L9" s="57"/>
      <c r="M9" s="59"/>
      <c r="N9" s="59"/>
      <c r="O9" s="60"/>
      <c r="P9" s="57"/>
      <c r="S9" s="59"/>
    </row>
    <row r="10" spans="1:19" s="58" customFormat="1" ht="28.5" thickBot="1">
      <c r="A10" s="358"/>
      <c r="B10" s="359"/>
      <c r="C10" s="61" t="s">
        <v>128</v>
      </c>
      <c r="D10" s="37"/>
      <c r="E10" s="221" t="s">
        <v>48</v>
      </c>
      <c r="F10" s="222">
        <f>D10*(('3. Prijsinvulformulier 2029'!F15)*D9)</f>
        <v>0</v>
      </c>
      <c r="G10" s="19" t="s">
        <v>130</v>
      </c>
      <c r="H10" s="223">
        <f>((F11-(F11*F12))*F10)/1000000</f>
        <v>0</v>
      </c>
      <c r="I10" s="193"/>
      <c r="J10" s="57"/>
      <c r="K10" s="57"/>
      <c r="L10" s="57"/>
      <c r="M10" s="59"/>
      <c r="N10" s="59"/>
      <c r="O10" s="60"/>
      <c r="P10" s="57"/>
      <c r="S10" s="59"/>
    </row>
    <row r="11" spans="1:19" s="58" customFormat="1" ht="25">
      <c r="A11" s="358"/>
      <c r="B11" s="359"/>
      <c r="C11" s="61" t="s">
        <v>125</v>
      </c>
      <c r="D11" s="37" t="s">
        <v>25</v>
      </c>
      <c r="E11" s="221" t="s">
        <v>106</v>
      </c>
      <c r="F11" s="219">
        <f>VLOOKUP(D11,$D$135:$E$141,2,FALSE)</f>
        <v>0</v>
      </c>
      <c r="G11" s="20"/>
      <c r="H11" s="224">
        <f>H10*$G$59</f>
        <v>0</v>
      </c>
      <c r="I11" s="191"/>
      <c r="J11" s="57"/>
      <c r="K11" s="57"/>
      <c r="L11" s="57"/>
      <c r="M11" s="59"/>
      <c r="N11" s="59"/>
      <c r="O11" s="60"/>
      <c r="P11" s="57"/>
      <c r="S11" s="59"/>
    </row>
    <row r="12" spans="1:19" s="58" customFormat="1" ht="29">
      <c r="A12" s="360"/>
      <c r="B12" s="361"/>
      <c r="C12" s="61" t="s">
        <v>126</v>
      </c>
      <c r="D12" s="37" t="s">
        <v>25</v>
      </c>
      <c r="E12" s="221" t="s">
        <v>107</v>
      </c>
      <c r="F12" s="225">
        <f>IF(D9=0,0,(1-(VLOOKUP(D12,$D$144:$G$163,2,FALSE))))</f>
        <v>1</v>
      </c>
      <c r="G12" s="21"/>
      <c r="H12" s="220"/>
      <c r="I12" s="193"/>
      <c r="J12" s="57"/>
      <c r="K12" s="57"/>
      <c r="L12" s="57"/>
      <c r="M12" s="59"/>
      <c r="N12" s="59"/>
      <c r="O12" s="60"/>
      <c r="P12" s="57"/>
      <c r="S12" s="59"/>
    </row>
    <row r="13" spans="1:19" s="55" customFormat="1" ht="19.5" customHeight="1">
      <c r="A13" s="387" t="s">
        <v>259</v>
      </c>
      <c r="B13" s="388"/>
      <c r="C13" s="388"/>
      <c r="D13" s="388"/>
      <c r="E13" s="388"/>
      <c r="F13" s="388"/>
      <c r="G13" s="389"/>
      <c r="H13" s="217"/>
      <c r="I13" s="192"/>
    </row>
    <row r="14" spans="1:19" s="55" customFormat="1" ht="62.5">
      <c r="A14" s="384"/>
      <c r="B14" s="385"/>
      <c r="C14" s="276" t="s">
        <v>196</v>
      </c>
      <c r="D14" s="277" t="s">
        <v>121</v>
      </c>
      <c r="E14" s="218"/>
      <c r="F14" s="218"/>
      <c r="G14" s="17"/>
      <c r="H14" s="217"/>
      <c r="I14" s="195"/>
    </row>
    <row r="15" spans="1:19" s="55" customFormat="1" ht="62.5">
      <c r="A15" s="384"/>
      <c r="B15" s="385"/>
      <c r="C15" s="276" t="s">
        <v>212</v>
      </c>
      <c r="D15" s="277" t="s">
        <v>121</v>
      </c>
      <c r="E15" s="218"/>
      <c r="F15" s="218"/>
      <c r="G15" s="17"/>
      <c r="H15" s="217"/>
      <c r="I15" s="195"/>
    </row>
    <row r="16" spans="1:19" s="58" customFormat="1" ht="36.75" customHeight="1" thickBot="1">
      <c r="A16" s="356" t="s">
        <v>213</v>
      </c>
      <c r="B16" s="357"/>
      <c r="C16" s="128" t="s">
        <v>214</v>
      </c>
      <c r="D16" s="278">
        <v>1</v>
      </c>
      <c r="E16" s="219"/>
      <c r="F16" s="18"/>
      <c r="G16" s="69"/>
      <c r="H16" s="220"/>
      <c r="I16" s="193"/>
      <c r="J16" s="57"/>
      <c r="K16" s="57"/>
      <c r="L16" s="57"/>
      <c r="M16" s="59"/>
      <c r="N16" s="59"/>
      <c r="O16" s="60"/>
      <c r="P16" s="57"/>
      <c r="S16" s="59"/>
    </row>
    <row r="17" spans="1:19" s="58" customFormat="1" ht="28.5" thickBot="1">
      <c r="A17" s="358"/>
      <c r="B17" s="359"/>
      <c r="C17" s="61" t="s">
        <v>215</v>
      </c>
      <c r="D17" s="37"/>
      <c r="E17" s="221" t="s">
        <v>48</v>
      </c>
      <c r="F17" s="222">
        <f>D17*(('3. Prijsinvulformulier 2029'!F20)*D16)</f>
        <v>0</v>
      </c>
      <c r="G17" s="19" t="s">
        <v>216</v>
      </c>
      <c r="H17" s="223">
        <f>((F18-(F18*F19))*F17)/1000000</f>
        <v>0</v>
      </c>
      <c r="I17" s="193"/>
      <c r="J17" s="57"/>
      <c r="K17" s="57"/>
      <c r="L17" s="57"/>
      <c r="M17" s="59"/>
      <c r="N17" s="59"/>
      <c r="O17" s="60"/>
      <c r="P17" s="57"/>
      <c r="S17" s="59"/>
    </row>
    <row r="18" spans="1:19" s="58" customFormat="1" ht="25">
      <c r="A18" s="358"/>
      <c r="B18" s="359"/>
      <c r="C18" s="61" t="s">
        <v>125</v>
      </c>
      <c r="D18" s="37" t="s">
        <v>25</v>
      </c>
      <c r="E18" s="221" t="s">
        <v>106</v>
      </c>
      <c r="F18" s="219">
        <f>VLOOKUP(D18,$D$135:$E$141,2,FALSE)</f>
        <v>0</v>
      </c>
      <c r="G18" s="279"/>
      <c r="H18" s="224">
        <f>H17*$G$98</f>
        <v>0</v>
      </c>
      <c r="I18" s="193"/>
      <c r="J18" s="57"/>
      <c r="K18" s="57"/>
      <c r="L18" s="57"/>
      <c r="M18" s="59"/>
      <c r="N18" s="59"/>
      <c r="O18" s="60"/>
      <c r="P18" s="57"/>
      <c r="S18" s="59"/>
    </row>
    <row r="19" spans="1:19" s="58" customFormat="1" ht="29.5" thickBot="1">
      <c r="A19" s="360"/>
      <c r="B19" s="361"/>
      <c r="C19" s="61" t="s">
        <v>126</v>
      </c>
      <c r="D19" s="37" t="s">
        <v>25</v>
      </c>
      <c r="E19" s="280" t="s">
        <v>107</v>
      </c>
      <c r="F19" s="281">
        <f>IF(D16=0,0,(1-(VLOOKUP(D19,$D$144:$G$163,2,FALSE))))</f>
        <v>1</v>
      </c>
      <c r="G19" s="282"/>
      <c r="H19" s="220"/>
      <c r="I19" s="193"/>
      <c r="J19" s="57"/>
      <c r="K19" s="57"/>
      <c r="L19" s="57"/>
      <c r="M19" s="59"/>
      <c r="N19" s="59"/>
      <c r="O19" s="60"/>
      <c r="P19" s="57"/>
      <c r="S19" s="59"/>
    </row>
    <row r="20" spans="1:19" s="58" customFormat="1" ht="19.899999999999999" customHeight="1" thickBot="1">
      <c r="A20" s="62"/>
      <c r="B20" s="226"/>
      <c r="C20" s="18"/>
      <c r="D20" s="18"/>
      <c r="E20" s="221"/>
      <c r="F20" s="70"/>
      <c r="G20" s="138" t="s">
        <v>119</v>
      </c>
      <c r="H20" s="227">
        <f>H18+H11</f>
        <v>0</v>
      </c>
      <c r="I20" s="193"/>
      <c r="J20" s="57"/>
      <c r="K20" s="57"/>
      <c r="L20" s="57"/>
      <c r="M20" s="63"/>
      <c r="N20" s="63"/>
      <c r="O20" s="64"/>
      <c r="P20" s="57"/>
      <c r="S20" s="63"/>
    </row>
    <row r="21" spans="1:19" s="58" customFormat="1" ht="15.75" customHeight="1" thickBot="1">
      <c r="A21" s="62"/>
      <c r="B21" s="226"/>
      <c r="C21" s="18"/>
      <c r="D21" s="18"/>
      <c r="E21" s="221"/>
      <c r="F21" s="70"/>
      <c r="G21" s="17"/>
      <c r="H21" s="220"/>
      <c r="I21" s="193"/>
      <c r="J21" s="57"/>
      <c r="K21" s="57"/>
      <c r="L21" s="57"/>
      <c r="M21" s="63"/>
      <c r="N21" s="63"/>
      <c r="O21" s="64"/>
      <c r="P21" s="57"/>
      <c r="S21" s="63"/>
    </row>
    <row r="22" spans="1:19" s="55" customFormat="1" ht="22.5" customHeight="1" thickBot="1">
      <c r="A22" s="348" t="s">
        <v>289</v>
      </c>
      <c r="B22" s="349"/>
      <c r="C22" s="349"/>
      <c r="D22" s="349"/>
      <c r="E22" s="349"/>
      <c r="F22" s="349"/>
      <c r="G22" s="350"/>
      <c r="H22" s="217"/>
      <c r="I22" s="195"/>
    </row>
    <row r="23" spans="1:19" s="65" customFormat="1" ht="75.5" thickBot="1">
      <c r="A23" s="354" t="s">
        <v>217</v>
      </c>
      <c r="B23" s="355"/>
      <c r="C23" s="104" t="s">
        <v>120</v>
      </c>
      <c r="D23" s="105" t="s">
        <v>121</v>
      </c>
      <c r="E23" s="351"/>
      <c r="F23" s="352"/>
      <c r="G23" s="353"/>
      <c r="H23" s="228"/>
      <c r="I23" s="196"/>
    </row>
    <row r="24" spans="1:19" s="65" customFormat="1" ht="28.5" thickBot="1">
      <c r="A24" s="344"/>
      <c r="B24" s="344"/>
      <c r="C24" s="140" t="s">
        <v>101</v>
      </c>
      <c r="D24" s="345" t="s">
        <v>22</v>
      </c>
      <c r="E24" s="345"/>
      <c r="F24" s="141" t="s">
        <v>62</v>
      </c>
      <c r="G24" s="139" t="s">
        <v>63</v>
      </c>
      <c r="H24" s="228"/>
      <c r="I24" s="196"/>
    </row>
    <row r="25" spans="1:19" s="65" customFormat="1" ht="28" thickBot="1">
      <c r="A25" s="368" t="s">
        <v>218</v>
      </c>
      <c r="B25" s="368"/>
      <c r="C25" s="368"/>
      <c r="D25" s="143"/>
      <c r="E25" s="143"/>
      <c r="F25" s="142" t="s">
        <v>149</v>
      </c>
      <c r="G25" s="39"/>
      <c r="H25" s="228"/>
      <c r="I25" s="196"/>
    </row>
    <row r="26" spans="1:19" s="65" customFormat="1" ht="25.5" thickBot="1">
      <c r="A26" s="229"/>
      <c r="B26" s="369"/>
      <c r="C26" s="75" t="s">
        <v>64</v>
      </c>
      <c r="D26" s="76" t="s">
        <v>138</v>
      </c>
      <c r="E26" s="371" t="s">
        <v>108</v>
      </c>
      <c r="F26" s="371"/>
      <c r="G26" s="103"/>
      <c r="H26" s="228"/>
      <c r="I26" s="194"/>
    </row>
    <row r="27" spans="1:19" s="65" customFormat="1">
      <c r="A27" s="229"/>
      <c r="B27" s="370"/>
      <c r="C27" s="78" t="s">
        <v>65</v>
      </c>
      <c r="D27" s="90"/>
      <c r="E27" s="79" t="s">
        <v>66</v>
      </c>
      <c r="F27" s="80">
        <v>0.36499999999999999</v>
      </c>
      <c r="G27" s="25">
        <f>D27*F27</f>
        <v>0</v>
      </c>
      <c r="H27" s="228"/>
      <c r="I27" s="196"/>
    </row>
    <row r="28" spans="1:19" s="65" customFormat="1">
      <c r="A28" s="229"/>
      <c r="B28" s="370"/>
      <c r="C28" s="22" t="s">
        <v>67</v>
      </c>
      <c r="D28" s="40"/>
      <c r="E28" s="23" t="s">
        <v>66</v>
      </c>
      <c r="F28" s="24">
        <v>0.20499999999999999</v>
      </c>
      <c r="G28" s="25">
        <f>D28*F28</f>
        <v>0</v>
      </c>
      <c r="H28" s="228"/>
      <c r="I28" s="196"/>
    </row>
    <row r="29" spans="1:19" s="65" customFormat="1" ht="14" thickBot="1">
      <c r="A29" s="229"/>
      <c r="B29" s="370"/>
      <c r="C29" s="71" t="s">
        <v>68</v>
      </c>
      <c r="D29" s="89"/>
      <c r="E29" s="72" t="s">
        <v>66</v>
      </c>
      <c r="F29" s="73">
        <v>0.20499999999999999</v>
      </c>
      <c r="G29" s="74">
        <f>D29*F29</f>
        <v>0</v>
      </c>
      <c r="H29" s="228"/>
      <c r="I29" s="196"/>
    </row>
    <row r="30" spans="1:19" s="65" customFormat="1" ht="25.5" thickBot="1">
      <c r="A30" s="229"/>
      <c r="B30" s="370"/>
      <c r="C30" s="75" t="s">
        <v>69</v>
      </c>
      <c r="D30" s="76" t="s">
        <v>138</v>
      </c>
      <c r="E30" s="374" t="s">
        <v>109</v>
      </c>
      <c r="F30" s="375"/>
      <c r="G30" s="77"/>
      <c r="H30" s="228"/>
      <c r="I30" s="196"/>
    </row>
    <row r="31" spans="1:19" s="65" customFormat="1" ht="14.5">
      <c r="A31" s="229"/>
      <c r="B31" s="370"/>
      <c r="C31" s="78" t="s">
        <v>70</v>
      </c>
      <c r="D31" s="90"/>
      <c r="E31" s="79" t="s">
        <v>110</v>
      </c>
      <c r="F31" s="80">
        <v>1.8</v>
      </c>
      <c r="G31" s="25">
        <f>D31*F31</f>
        <v>0</v>
      </c>
      <c r="H31" s="228"/>
      <c r="I31" s="196"/>
    </row>
    <row r="32" spans="1:19" s="65" customFormat="1" ht="15" thickBot="1">
      <c r="A32" s="229"/>
      <c r="B32" s="370"/>
      <c r="C32" s="71" t="s">
        <v>71</v>
      </c>
      <c r="D32" s="89"/>
      <c r="E32" s="72" t="s">
        <v>110</v>
      </c>
      <c r="F32" s="81">
        <v>2</v>
      </c>
      <c r="G32" s="74">
        <f>D32*F32</f>
        <v>0</v>
      </c>
      <c r="H32" s="228"/>
      <c r="I32" s="196"/>
    </row>
    <row r="33" spans="1:9" s="65" customFormat="1" ht="25.5" thickBot="1">
      <c r="A33" s="229"/>
      <c r="B33" s="370"/>
      <c r="C33" s="75" t="s">
        <v>72</v>
      </c>
      <c r="D33" s="76" t="s">
        <v>138</v>
      </c>
      <c r="E33" s="374" t="s">
        <v>111</v>
      </c>
      <c r="F33" s="375"/>
      <c r="G33" s="77"/>
      <c r="H33" s="228"/>
      <c r="I33" s="196"/>
    </row>
    <row r="34" spans="1:9" s="65" customFormat="1">
      <c r="A34" s="229"/>
      <c r="B34" s="370"/>
      <c r="C34" s="78" t="s">
        <v>198</v>
      </c>
      <c r="D34" s="90"/>
      <c r="E34" s="79" t="s">
        <v>73</v>
      </c>
      <c r="F34" s="82">
        <v>1.5</v>
      </c>
      <c r="G34" s="25">
        <f t="shared" ref="G34:G48" si="0">D34*F34</f>
        <v>0</v>
      </c>
      <c r="H34" s="228"/>
      <c r="I34" s="196"/>
    </row>
    <row r="35" spans="1:9" s="65" customFormat="1">
      <c r="A35" s="229"/>
      <c r="B35" s="370"/>
      <c r="C35" s="22" t="s">
        <v>74</v>
      </c>
      <c r="D35" s="40"/>
      <c r="E35" s="23" t="s">
        <v>73</v>
      </c>
      <c r="F35" s="24">
        <v>0.1</v>
      </c>
      <c r="G35" s="25">
        <f t="shared" si="0"/>
        <v>0</v>
      </c>
      <c r="H35" s="228"/>
      <c r="I35" s="196"/>
    </row>
    <row r="36" spans="1:9" s="65" customFormat="1">
      <c r="A36" s="229"/>
      <c r="B36" s="370"/>
      <c r="C36" s="22" t="s">
        <v>75</v>
      </c>
      <c r="D36" s="40"/>
      <c r="E36" s="23" t="s">
        <v>73</v>
      </c>
      <c r="F36" s="24">
        <v>0.5</v>
      </c>
      <c r="G36" s="25">
        <f t="shared" si="0"/>
        <v>0</v>
      </c>
      <c r="H36" s="228"/>
      <c r="I36" s="196"/>
    </row>
    <row r="37" spans="1:9" s="65" customFormat="1">
      <c r="A37" s="229"/>
      <c r="B37" s="370"/>
      <c r="C37" s="22" t="s">
        <v>76</v>
      </c>
      <c r="D37" s="40"/>
      <c r="E37" s="23" t="s">
        <v>73</v>
      </c>
      <c r="F37" s="24">
        <v>6.6</v>
      </c>
      <c r="G37" s="25">
        <f t="shared" si="0"/>
        <v>0</v>
      </c>
      <c r="H37" s="228"/>
      <c r="I37" s="196"/>
    </row>
    <row r="38" spans="1:9" s="65" customFormat="1">
      <c r="A38" s="229"/>
      <c r="B38" s="370"/>
      <c r="C38" s="22" t="s">
        <v>77</v>
      </c>
      <c r="D38" s="40"/>
      <c r="E38" s="23" t="s">
        <v>73</v>
      </c>
      <c r="F38" s="24">
        <v>0.3</v>
      </c>
      <c r="G38" s="25">
        <f t="shared" si="0"/>
        <v>0</v>
      </c>
      <c r="H38" s="228"/>
      <c r="I38" s="196"/>
    </row>
    <row r="39" spans="1:9" s="65" customFormat="1">
      <c r="A39" s="229"/>
      <c r="B39" s="370"/>
      <c r="C39" s="22" t="s">
        <v>78</v>
      </c>
      <c r="D39" s="40"/>
      <c r="E39" s="23" t="s">
        <v>73</v>
      </c>
      <c r="F39" s="24">
        <v>0</v>
      </c>
      <c r="G39" s="25">
        <f t="shared" si="0"/>
        <v>0</v>
      </c>
      <c r="H39" s="228"/>
      <c r="I39" s="196"/>
    </row>
    <row r="40" spans="1:9" s="65" customFormat="1">
      <c r="A40" s="229"/>
      <c r="B40" s="370"/>
      <c r="C40" s="22" t="s">
        <v>79</v>
      </c>
      <c r="D40" s="40"/>
      <c r="E40" s="23" t="s">
        <v>73</v>
      </c>
      <c r="F40" s="26">
        <v>2</v>
      </c>
      <c r="G40" s="25">
        <f t="shared" si="0"/>
        <v>0</v>
      </c>
      <c r="H40" s="228"/>
      <c r="I40" s="196"/>
    </row>
    <row r="41" spans="1:9" s="65" customFormat="1">
      <c r="A41" s="229"/>
      <c r="B41" s="370"/>
      <c r="C41" s="22" t="s">
        <v>80</v>
      </c>
      <c r="D41" s="40"/>
      <c r="E41" s="23" t="s">
        <v>73</v>
      </c>
      <c r="F41" s="26">
        <v>1</v>
      </c>
      <c r="G41" s="25">
        <f t="shared" si="0"/>
        <v>0</v>
      </c>
      <c r="H41" s="228"/>
      <c r="I41" s="196"/>
    </row>
    <row r="42" spans="1:9" s="65" customFormat="1">
      <c r="A42" s="229"/>
      <c r="B42" s="370"/>
      <c r="C42" s="22" t="s">
        <v>81</v>
      </c>
      <c r="D42" s="40"/>
      <c r="E42" s="23" t="s">
        <v>73</v>
      </c>
      <c r="F42" s="24">
        <v>0.5</v>
      </c>
      <c r="G42" s="25">
        <f t="shared" si="0"/>
        <v>0</v>
      </c>
      <c r="H42" s="228"/>
      <c r="I42" s="196"/>
    </row>
    <row r="43" spans="1:9" s="65" customFormat="1">
      <c r="A43" s="229"/>
      <c r="B43" s="370"/>
      <c r="C43" s="22" t="s">
        <v>82</v>
      </c>
      <c r="D43" s="40"/>
      <c r="E43" s="23" t="s">
        <v>73</v>
      </c>
      <c r="F43" s="24">
        <v>0</v>
      </c>
      <c r="G43" s="25">
        <f t="shared" si="0"/>
        <v>0</v>
      </c>
      <c r="H43" s="228"/>
      <c r="I43" s="196"/>
    </row>
    <row r="44" spans="1:9" s="65" customFormat="1">
      <c r="A44" s="229"/>
      <c r="B44" s="370"/>
      <c r="C44" s="22" t="s">
        <v>83</v>
      </c>
      <c r="D44" s="40"/>
      <c r="E44" s="23" t="s">
        <v>73</v>
      </c>
      <c r="F44" s="24">
        <v>0</v>
      </c>
      <c r="G44" s="25">
        <f t="shared" si="0"/>
        <v>0</v>
      </c>
      <c r="H44" s="228"/>
      <c r="I44" s="196"/>
    </row>
    <row r="45" spans="1:9" s="65" customFormat="1">
      <c r="A45" s="229"/>
      <c r="B45" s="370"/>
      <c r="C45" s="22" t="s">
        <v>84</v>
      </c>
      <c r="D45" s="40"/>
      <c r="E45" s="23" t="s">
        <v>73</v>
      </c>
      <c r="F45" s="24">
        <v>0</v>
      </c>
      <c r="G45" s="25">
        <f t="shared" si="0"/>
        <v>0</v>
      </c>
      <c r="H45" s="228"/>
      <c r="I45" s="196"/>
    </row>
    <row r="46" spans="1:9" s="65" customFormat="1">
      <c r="A46" s="229"/>
      <c r="B46" s="370"/>
      <c r="C46" s="22" t="s">
        <v>85</v>
      </c>
      <c r="D46" s="40"/>
      <c r="E46" s="23" t="s">
        <v>73</v>
      </c>
      <c r="F46" s="24">
        <v>0</v>
      </c>
      <c r="G46" s="25">
        <f t="shared" si="0"/>
        <v>0</v>
      </c>
      <c r="H46" s="228"/>
      <c r="I46" s="196"/>
    </row>
    <row r="47" spans="1:9" s="65" customFormat="1">
      <c r="A47" s="229"/>
      <c r="B47" s="370"/>
      <c r="C47" s="22" t="s">
        <v>86</v>
      </c>
      <c r="D47" s="40"/>
      <c r="E47" s="23" t="s">
        <v>73</v>
      </c>
      <c r="F47" s="24">
        <v>0.2</v>
      </c>
      <c r="G47" s="25">
        <f t="shared" si="0"/>
        <v>0</v>
      </c>
      <c r="H47" s="228"/>
      <c r="I47" s="196"/>
    </row>
    <row r="48" spans="1:9" s="65" customFormat="1" ht="14" thickBot="1">
      <c r="A48" s="229"/>
      <c r="B48" s="370"/>
      <c r="C48" s="71" t="s">
        <v>87</v>
      </c>
      <c r="D48" s="89"/>
      <c r="E48" s="72" t="s">
        <v>73</v>
      </c>
      <c r="F48" s="73">
        <v>0.1</v>
      </c>
      <c r="G48" s="74">
        <f t="shared" si="0"/>
        <v>0</v>
      </c>
      <c r="H48" s="228"/>
      <c r="I48" s="196"/>
    </row>
    <row r="49" spans="1:9" s="65" customFormat="1" ht="25.5" hidden="1" thickBot="1">
      <c r="A49" s="229"/>
      <c r="B49" s="370"/>
      <c r="C49" s="75" t="s">
        <v>88</v>
      </c>
      <c r="D49" s="76" t="s">
        <v>89</v>
      </c>
      <c r="E49" s="83" t="s">
        <v>90</v>
      </c>
      <c r="F49" s="84" t="s">
        <v>91</v>
      </c>
      <c r="G49" s="77"/>
      <c r="H49" s="228"/>
      <c r="I49" s="196"/>
    </row>
    <row r="50" spans="1:9" s="65" customFormat="1" hidden="1">
      <c r="A50" s="229"/>
      <c r="B50" s="370"/>
      <c r="C50" s="78" t="s">
        <v>92</v>
      </c>
      <c r="D50" s="183">
        <v>0</v>
      </c>
      <c r="E50" s="79" t="s">
        <v>93</v>
      </c>
      <c r="F50" s="80">
        <v>-0.11</v>
      </c>
      <c r="G50" s="25">
        <f>D50*F50</f>
        <v>0</v>
      </c>
      <c r="H50" s="228"/>
      <c r="I50" s="196"/>
    </row>
    <row r="51" spans="1:9" s="65" customFormat="1" hidden="1">
      <c r="A51" s="229"/>
      <c r="B51" s="370"/>
      <c r="C51" s="22" t="s">
        <v>94</v>
      </c>
      <c r="D51" s="184">
        <v>0</v>
      </c>
      <c r="E51" s="23" t="s">
        <v>93</v>
      </c>
      <c r="F51" s="24">
        <v>-0.04</v>
      </c>
      <c r="G51" s="25">
        <f>D51*F51</f>
        <v>0</v>
      </c>
      <c r="H51" s="228"/>
      <c r="I51" s="196"/>
    </row>
    <row r="52" spans="1:9" s="65" customFormat="1" ht="14" hidden="1" thickBot="1">
      <c r="A52" s="229"/>
      <c r="B52" s="370"/>
      <c r="C52" s="71" t="s">
        <v>95</v>
      </c>
      <c r="D52" s="185">
        <v>0</v>
      </c>
      <c r="E52" s="72" t="s">
        <v>96</v>
      </c>
      <c r="F52" s="73">
        <v>-0.11</v>
      </c>
      <c r="G52" s="74">
        <f>D52*F52</f>
        <v>0</v>
      </c>
      <c r="H52" s="228"/>
      <c r="I52" s="196"/>
    </row>
    <row r="53" spans="1:9" s="65" customFormat="1" ht="25.5" thickBot="1">
      <c r="A53" s="229"/>
      <c r="B53" s="370"/>
      <c r="C53" s="75" t="s">
        <v>97</v>
      </c>
      <c r="D53" s="76" t="s">
        <v>138</v>
      </c>
      <c r="E53" s="374" t="s">
        <v>111</v>
      </c>
      <c r="F53" s="375"/>
      <c r="G53" s="77"/>
      <c r="H53" s="228"/>
      <c r="I53" s="196"/>
    </row>
    <row r="54" spans="1:9" s="65" customFormat="1" ht="29" hidden="1">
      <c r="A54" s="229"/>
      <c r="B54" s="370"/>
      <c r="C54" s="78" t="s">
        <v>160</v>
      </c>
      <c r="D54" s="91"/>
      <c r="E54" s="79" t="s">
        <v>73</v>
      </c>
      <c r="F54" s="85">
        <v>-1</v>
      </c>
      <c r="G54" s="25">
        <f>D54*F54</f>
        <v>0</v>
      </c>
      <c r="H54" s="228"/>
      <c r="I54" s="196"/>
    </row>
    <row r="55" spans="1:9" s="65" customFormat="1" ht="25" hidden="1">
      <c r="A55" s="229"/>
      <c r="B55" s="370"/>
      <c r="C55" s="22" t="s">
        <v>98</v>
      </c>
      <c r="D55" s="41"/>
      <c r="E55" s="23"/>
      <c r="F55" s="26"/>
      <c r="G55" s="25"/>
      <c r="H55" s="228"/>
      <c r="I55" s="196"/>
    </row>
    <row r="56" spans="1:9" s="65" customFormat="1" ht="25" hidden="1">
      <c r="A56" s="229"/>
      <c r="B56" s="370"/>
      <c r="C56" s="22" t="s">
        <v>99</v>
      </c>
      <c r="D56" s="41"/>
      <c r="E56" s="23"/>
      <c r="F56" s="26"/>
      <c r="G56" s="25"/>
      <c r="H56" s="228"/>
      <c r="I56" s="196"/>
    </row>
    <row r="57" spans="1:9" s="65" customFormat="1" ht="17" thickBot="1">
      <c r="A57" s="229"/>
      <c r="B57" s="370"/>
      <c r="C57" s="22" t="s">
        <v>112</v>
      </c>
      <c r="D57" s="92"/>
      <c r="E57" s="72" t="s">
        <v>73</v>
      </c>
      <c r="F57" s="73">
        <v>0.5</v>
      </c>
      <c r="G57" s="74">
        <f>D57*F57</f>
        <v>0</v>
      </c>
      <c r="H57" s="228"/>
      <c r="I57" s="194"/>
    </row>
    <row r="58" spans="1:9" s="65" customFormat="1" ht="31.5" customHeight="1" thickBot="1">
      <c r="A58" s="229"/>
      <c r="B58" s="370"/>
      <c r="C58" s="27"/>
      <c r="D58" s="372" t="s">
        <v>307</v>
      </c>
      <c r="E58" s="376"/>
      <c r="F58" s="86"/>
      <c r="G58" s="87">
        <f>SUM(G27:G57)*'3. Prijsinvulformulier 2029'!F15</f>
        <v>0</v>
      </c>
      <c r="H58" s="228"/>
      <c r="I58" s="197"/>
    </row>
    <row r="59" spans="1:9" s="65" customFormat="1" ht="225.75" customHeight="1" thickBot="1">
      <c r="A59" s="229"/>
      <c r="B59" s="370"/>
      <c r="C59" s="28" t="s">
        <v>199</v>
      </c>
      <c r="D59" s="377" t="s">
        <v>200</v>
      </c>
      <c r="E59" s="378"/>
      <c r="F59" s="80"/>
      <c r="G59" s="146">
        <v>100</v>
      </c>
      <c r="H59" s="228"/>
      <c r="I59" s="198"/>
    </row>
    <row r="60" spans="1:9" s="65" customFormat="1" ht="14" thickBot="1">
      <c r="A60" s="229"/>
      <c r="B60" s="370"/>
      <c r="C60" s="88"/>
      <c r="D60" s="372" t="s">
        <v>100</v>
      </c>
      <c r="E60" s="373"/>
      <c r="F60" s="106"/>
      <c r="G60" s="107">
        <f>-(G58*G59/1000)</f>
        <v>0</v>
      </c>
      <c r="H60" s="228"/>
      <c r="I60" s="196"/>
    </row>
    <row r="61" spans="1:9" s="55" customFormat="1" ht="14.5" thickBot="1">
      <c r="A61" s="16"/>
      <c r="B61" s="230"/>
      <c r="C61" s="230" t="s">
        <v>47</v>
      </c>
      <c r="D61" s="218"/>
      <c r="E61" s="108" t="s">
        <v>104</v>
      </c>
      <c r="F61" s="109"/>
      <c r="G61" s="110">
        <f>G60/15424</f>
        <v>0</v>
      </c>
      <c r="H61" s="217"/>
      <c r="I61" s="199"/>
    </row>
    <row r="62" spans="1:9" s="65" customFormat="1" ht="63" thickBot="1">
      <c r="A62" s="390" t="s">
        <v>219</v>
      </c>
      <c r="B62" s="391"/>
      <c r="C62" s="283" t="s">
        <v>220</v>
      </c>
      <c r="D62" s="284" t="s">
        <v>121</v>
      </c>
      <c r="E62" s="392"/>
      <c r="F62" s="393"/>
      <c r="G62" s="394"/>
      <c r="H62" s="228"/>
      <c r="I62" s="196"/>
    </row>
    <row r="63" spans="1:9" s="65" customFormat="1" ht="28.5" thickBot="1">
      <c r="A63" s="395"/>
      <c r="B63" s="395"/>
      <c r="C63" s="285" t="s">
        <v>101</v>
      </c>
      <c r="D63" s="396" t="s">
        <v>22</v>
      </c>
      <c r="E63" s="396"/>
      <c r="F63" s="286" t="s">
        <v>62</v>
      </c>
      <c r="G63" s="142" t="s">
        <v>63</v>
      </c>
      <c r="H63" s="228"/>
      <c r="I63" s="196"/>
    </row>
    <row r="64" spans="1:9" s="65" customFormat="1" ht="28" thickBot="1">
      <c r="A64" s="397" t="s">
        <v>221</v>
      </c>
      <c r="B64" s="398"/>
      <c r="C64" s="399"/>
      <c r="D64" s="287"/>
      <c r="E64" s="288"/>
      <c r="F64" s="289" t="s">
        <v>149</v>
      </c>
      <c r="G64" s="290"/>
      <c r="H64" s="228"/>
      <c r="I64" s="196"/>
    </row>
    <row r="65" spans="1:9" s="65" customFormat="1" ht="25.5" thickBot="1">
      <c r="A65" s="229"/>
      <c r="B65" s="369" t="s">
        <v>222</v>
      </c>
      <c r="C65" s="75" t="s">
        <v>64</v>
      </c>
      <c r="D65" s="76" t="s">
        <v>138</v>
      </c>
      <c r="E65" s="374" t="s">
        <v>108</v>
      </c>
      <c r="F65" s="401"/>
      <c r="G65" s="291"/>
      <c r="H65" s="228"/>
      <c r="I65" s="196"/>
    </row>
    <row r="66" spans="1:9" s="65" customFormat="1">
      <c r="A66" s="229"/>
      <c r="B66" s="370"/>
      <c r="C66" s="78" t="s">
        <v>65</v>
      </c>
      <c r="D66" s="90"/>
      <c r="E66" s="79" t="s">
        <v>66</v>
      </c>
      <c r="F66" s="80">
        <v>0.36499999999999999</v>
      </c>
      <c r="G66" s="25">
        <f>D66*F66</f>
        <v>0</v>
      </c>
      <c r="H66" s="228"/>
      <c r="I66" s="196"/>
    </row>
    <row r="67" spans="1:9" s="65" customFormat="1">
      <c r="A67" s="229"/>
      <c r="B67" s="370"/>
      <c r="C67" s="22" t="s">
        <v>67</v>
      </c>
      <c r="D67" s="40"/>
      <c r="E67" s="23" t="s">
        <v>66</v>
      </c>
      <c r="F67" s="24">
        <v>0.20499999999999999</v>
      </c>
      <c r="G67" s="25">
        <f>D67*F67</f>
        <v>0</v>
      </c>
      <c r="H67" s="228"/>
      <c r="I67" s="196"/>
    </row>
    <row r="68" spans="1:9" s="65" customFormat="1" ht="14" thickBot="1">
      <c r="A68" s="229"/>
      <c r="B68" s="370"/>
      <c r="C68" s="71" t="s">
        <v>68</v>
      </c>
      <c r="D68" s="89"/>
      <c r="E68" s="72" t="s">
        <v>66</v>
      </c>
      <c r="F68" s="73">
        <v>0.20499999999999999</v>
      </c>
      <c r="G68" s="25">
        <f>D68*F68</f>
        <v>0</v>
      </c>
      <c r="H68" s="228"/>
      <c r="I68" s="196"/>
    </row>
    <row r="69" spans="1:9" s="65" customFormat="1" ht="25.5" thickBot="1">
      <c r="A69" s="229"/>
      <c r="B69" s="370"/>
      <c r="C69" s="75" t="s">
        <v>69</v>
      </c>
      <c r="D69" s="76" t="s">
        <v>138</v>
      </c>
      <c r="E69" s="374" t="s">
        <v>109</v>
      </c>
      <c r="F69" s="401"/>
      <c r="G69" s="292"/>
      <c r="H69" s="228"/>
      <c r="I69" s="196"/>
    </row>
    <row r="70" spans="1:9" s="65" customFormat="1" ht="14.5">
      <c r="A70" s="229"/>
      <c r="B70" s="370"/>
      <c r="C70" s="78" t="s">
        <v>70</v>
      </c>
      <c r="D70" s="90"/>
      <c r="E70" s="79" t="s">
        <v>110</v>
      </c>
      <c r="F70" s="80">
        <v>1.8</v>
      </c>
      <c r="G70" s="25">
        <f>D70*F70</f>
        <v>0</v>
      </c>
      <c r="H70" s="228"/>
      <c r="I70" s="196"/>
    </row>
    <row r="71" spans="1:9" s="65" customFormat="1" ht="15" thickBot="1">
      <c r="A71" s="229"/>
      <c r="B71" s="370"/>
      <c r="C71" s="71" t="s">
        <v>71</v>
      </c>
      <c r="D71" s="89"/>
      <c r="E71" s="72" t="s">
        <v>110</v>
      </c>
      <c r="F71" s="81">
        <v>2</v>
      </c>
      <c r="G71" s="25">
        <f>D71*F71</f>
        <v>0</v>
      </c>
      <c r="H71" s="228"/>
      <c r="I71" s="196"/>
    </row>
    <row r="72" spans="1:9" s="65" customFormat="1" ht="25.5" thickBot="1">
      <c r="A72" s="229"/>
      <c r="B72" s="370"/>
      <c r="C72" s="75" t="s">
        <v>72</v>
      </c>
      <c r="D72" s="76" t="s">
        <v>138</v>
      </c>
      <c r="E72" s="374" t="s">
        <v>111</v>
      </c>
      <c r="F72" s="401"/>
      <c r="G72" s="292"/>
      <c r="H72" s="228"/>
      <c r="I72" s="196"/>
    </row>
    <row r="73" spans="1:9" s="65" customFormat="1">
      <c r="A73" s="229"/>
      <c r="B73" s="370"/>
      <c r="C73" s="78" t="s">
        <v>198</v>
      </c>
      <c r="D73" s="90"/>
      <c r="E73" s="79" t="s">
        <v>73</v>
      </c>
      <c r="F73" s="82">
        <v>1.5</v>
      </c>
      <c r="G73" s="25">
        <f>D73*F73</f>
        <v>0</v>
      </c>
      <c r="H73" s="228"/>
      <c r="I73" s="196"/>
    </row>
    <row r="74" spans="1:9" s="65" customFormat="1">
      <c r="A74" s="229"/>
      <c r="B74" s="370"/>
      <c r="C74" s="22" t="s">
        <v>74</v>
      </c>
      <c r="D74" s="40"/>
      <c r="E74" s="23" t="s">
        <v>73</v>
      </c>
      <c r="F74" s="24">
        <v>0.1</v>
      </c>
      <c r="G74" s="25">
        <f t="shared" ref="G74:G87" si="1">D74*F74</f>
        <v>0</v>
      </c>
      <c r="H74" s="228"/>
      <c r="I74" s="196"/>
    </row>
    <row r="75" spans="1:9" s="65" customFormat="1">
      <c r="A75" s="229"/>
      <c r="B75" s="370"/>
      <c r="C75" s="22" t="s">
        <v>75</v>
      </c>
      <c r="D75" s="40"/>
      <c r="E75" s="23" t="s">
        <v>73</v>
      </c>
      <c r="F75" s="24">
        <v>0.5</v>
      </c>
      <c r="G75" s="25">
        <f t="shared" si="1"/>
        <v>0</v>
      </c>
      <c r="H75" s="228"/>
      <c r="I75" s="196"/>
    </row>
    <row r="76" spans="1:9" s="65" customFormat="1">
      <c r="A76" s="229"/>
      <c r="B76" s="370"/>
      <c r="C76" s="22" t="s">
        <v>76</v>
      </c>
      <c r="D76" s="40"/>
      <c r="E76" s="23" t="s">
        <v>73</v>
      </c>
      <c r="F76" s="24">
        <v>6.6</v>
      </c>
      <c r="G76" s="25">
        <f t="shared" si="1"/>
        <v>0</v>
      </c>
      <c r="H76" s="228"/>
      <c r="I76" s="196"/>
    </row>
    <row r="77" spans="1:9" s="65" customFormat="1">
      <c r="A77" s="229"/>
      <c r="B77" s="370"/>
      <c r="C77" s="22" t="s">
        <v>77</v>
      </c>
      <c r="D77" s="40"/>
      <c r="E77" s="23" t="s">
        <v>73</v>
      </c>
      <c r="F77" s="24">
        <v>0.3</v>
      </c>
      <c r="G77" s="25">
        <f t="shared" si="1"/>
        <v>0</v>
      </c>
      <c r="H77" s="228"/>
      <c r="I77" s="196"/>
    </row>
    <row r="78" spans="1:9" s="65" customFormat="1">
      <c r="A78" s="229"/>
      <c r="B78" s="370"/>
      <c r="C78" s="22" t="s">
        <v>78</v>
      </c>
      <c r="D78" s="40"/>
      <c r="E78" s="23" t="s">
        <v>73</v>
      </c>
      <c r="F78" s="24">
        <v>0</v>
      </c>
      <c r="G78" s="25">
        <f t="shared" si="1"/>
        <v>0</v>
      </c>
      <c r="H78" s="228"/>
      <c r="I78" s="196"/>
    </row>
    <row r="79" spans="1:9" s="65" customFormat="1">
      <c r="A79" s="229"/>
      <c r="B79" s="370"/>
      <c r="C79" s="22" t="s">
        <v>79</v>
      </c>
      <c r="D79" s="40"/>
      <c r="E79" s="23" t="s">
        <v>73</v>
      </c>
      <c r="F79" s="26">
        <v>2</v>
      </c>
      <c r="G79" s="25">
        <f t="shared" si="1"/>
        <v>0</v>
      </c>
      <c r="H79" s="228"/>
      <c r="I79" s="196"/>
    </row>
    <row r="80" spans="1:9" s="65" customFormat="1">
      <c r="A80" s="229"/>
      <c r="B80" s="370"/>
      <c r="C80" s="22" t="s">
        <v>80</v>
      </c>
      <c r="D80" s="40"/>
      <c r="E80" s="23" t="s">
        <v>73</v>
      </c>
      <c r="F80" s="26">
        <v>1</v>
      </c>
      <c r="G80" s="25">
        <f t="shared" si="1"/>
        <v>0</v>
      </c>
      <c r="H80" s="228"/>
      <c r="I80" s="196"/>
    </row>
    <row r="81" spans="1:9" s="65" customFormat="1">
      <c r="A81" s="229"/>
      <c r="B81" s="370"/>
      <c r="C81" s="22" t="s">
        <v>81</v>
      </c>
      <c r="D81" s="40"/>
      <c r="E81" s="23" t="s">
        <v>73</v>
      </c>
      <c r="F81" s="24">
        <v>0.5</v>
      </c>
      <c r="G81" s="25">
        <f t="shared" si="1"/>
        <v>0</v>
      </c>
      <c r="H81" s="228"/>
      <c r="I81" s="196"/>
    </row>
    <row r="82" spans="1:9" s="65" customFormat="1">
      <c r="A82" s="229"/>
      <c r="B82" s="370"/>
      <c r="C82" s="22" t="s">
        <v>82</v>
      </c>
      <c r="D82" s="40"/>
      <c r="E82" s="23" t="s">
        <v>73</v>
      </c>
      <c r="F82" s="24">
        <v>0</v>
      </c>
      <c r="G82" s="25">
        <f t="shared" si="1"/>
        <v>0</v>
      </c>
      <c r="H82" s="228"/>
      <c r="I82" s="196"/>
    </row>
    <row r="83" spans="1:9" s="65" customFormat="1">
      <c r="A83" s="229"/>
      <c r="B83" s="370"/>
      <c r="C83" s="22" t="s">
        <v>83</v>
      </c>
      <c r="D83" s="40"/>
      <c r="E83" s="23" t="s">
        <v>73</v>
      </c>
      <c r="F83" s="24">
        <v>0</v>
      </c>
      <c r="G83" s="25">
        <f t="shared" si="1"/>
        <v>0</v>
      </c>
      <c r="H83" s="228"/>
      <c r="I83" s="196"/>
    </row>
    <row r="84" spans="1:9" s="65" customFormat="1">
      <c r="A84" s="229"/>
      <c r="B84" s="370"/>
      <c r="C84" s="22" t="s">
        <v>84</v>
      </c>
      <c r="D84" s="40"/>
      <c r="E84" s="23" t="s">
        <v>73</v>
      </c>
      <c r="F84" s="24">
        <v>0</v>
      </c>
      <c r="G84" s="25">
        <f t="shared" si="1"/>
        <v>0</v>
      </c>
      <c r="H84" s="228"/>
      <c r="I84" s="196"/>
    </row>
    <row r="85" spans="1:9" s="65" customFormat="1">
      <c r="A85" s="229"/>
      <c r="B85" s="370"/>
      <c r="C85" s="22" t="s">
        <v>85</v>
      </c>
      <c r="D85" s="40"/>
      <c r="E85" s="23" t="s">
        <v>73</v>
      </c>
      <c r="F85" s="24">
        <v>0</v>
      </c>
      <c r="G85" s="25">
        <f t="shared" si="1"/>
        <v>0</v>
      </c>
      <c r="H85" s="228"/>
      <c r="I85" s="196"/>
    </row>
    <row r="86" spans="1:9" s="65" customFormat="1">
      <c r="A86" s="229"/>
      <c r="B86" s="370"/>
      <c r="C86" s="22" t="s">
        <v>86</v>
      </c>
      <c r="D86" s="40"/>
      <c r="E86" s="23" t="s">
        <v>73</v>
      </c>
      <c r="F86" s="24">
        <v>0.2</v>
      </c>
      <c r="G86" s="25">
        <f t="shared" si="1"/>
        <v>0</v>
      </c>
      <c r="H86" s="228"/>
      <c r="I86" s="196"/>
    </row>
    <row r="87" spans="1:9" s="65" customFormat="1" ht="14" thickBot="1">
      <c r="A87" s="229"/>
      <c r="B87" s="370"/>
      <c r="C87" s="71" t="s">
        <v>87</v>
      </c>
      <c r="D87" s="89"/>
      <c r="E87" s="72" t="s">
        <v>73</v>
      </c>
      <c r="F87" s="73">
        <v>0.1</v>
      </c>
      <c r="G87" s="74">
        <f t="shared" si="1"/>
        <v>0</v>
      </c>
      <c r="H87" s="228"/>
      <c r="I87" s="196"/>
    </row>
    <row r="88" spans="1:9" s="65" customFormat="1" ht="25.5" hidden="1" thickBot="1">
      <c r="A88" s="229"/>
      <c r="B88" s="370"/>
      <c r="C88" s="75" t="s">
        <v>88</v>
      </c>
      <c r="D88" s="76" t="s">
        <v>89</v>
      </c>
      <c r="E88" s="83" t="s">
        <v>90</v>
      </c>
      <c r="F88" s="84" t="s">
        <v>91</v>
      </c>
      <c r="G88" s="77"/>
      <c r="H88" s="228"/>
      <c r="I88" s="196"/>
    </row>
    <row r="89" spans="1:9" s="65" customFormat="1" hidden="1">
      <c r="A89" s="229"/>
      <c r="B89" s="370"/>
      <c r="C89" s="78" t="s">
        <v>92</v>
      </c>
      <c r="D89" s="293"/>
      <c r="E89" s="79" t="s">
        <v>93</v>
      </c>
      <c r="F89" s="80">
        <v>-0.11</v>
      </c>
      <c r="G89" s="25">
        <f>D89*F89</f>
        <v>0</v>
      </c>
      <c r="H89" s="228"/>
      <c r="I89" s="196"/>
    </row>
    <row r="90" spans="1:9" s="65" customFormat="1" hidden="1">
      <c r="A90" s="229"/>
      <c r="B90" s="370"/>
      <c r="C90" s="22" t="s">
        <v>94</v>
      </c>
      <c r="D90" s="294">
        <v>0</v>
      </c>
      <c r="E90" s="23" t="s">
        <v>93</v>
      </c>
      <c r="F90" s="24">
        <v>-0.04</v>
      </c>
      <c r="G90" s="25">
        <f>D90*F90</f>
        <v>0</v>
      </c>
      <c r="H90" s="228"/>
      <c r="I90" s="196"/>
    </row>
    <row r="91" spans="1:9" s="65" customFormat="1" ht="14" hidden="1" thickBot="1">
      <c r="A91" s="229"/>
      <c r="B91" s="370"/>
      <c r="C91" s="71" t="s">
        <v>95</v>
      </c>
      <c r="D91" s="295">
        <v>0</v>
      </c>
      <c r="E91" s="72" t="s">
        <v>96</v>
      </c>
      <c r="F91" s="73">
        <v>-0.11</v>
      </c>
      <c r="G91" s="74">
        <f>D91*F91</f>
        <v>0</v>
      </c>
      <c r="H91" s="228"/>
      <c r="I91" s="196"/>
    </row>
    <row r="92" spans="1:9" s="65" customFormat="1" ht="25.5" thickBot="1">
      <c r="A92" s="229"/>
      <c r="B92" s="370"/>
      <c r="C92" s="75" t="s">
        <v>97</v>
      </c>
      <c r="D92" s="76" t="s">
        <v>223</v>
      </c>
      <c r="E92" s="374" t="s">
        <v>111</v>
      </c>
      <c r="F92" s="375"/>
      <c r="G92" s="77"/>
      <c r="H92" s="228"/>
      <c r="I92" s="196"/>
    </row>
    <row r="93" spans="1:9" s="65" customFormat="1" ht="29" hidden="1">
      <c r="A93" s="229"/>
      <c r="B93" s="370"/>
      <c r="C93" s="78" t="s">
        <v>160</v>
      </c>
      <c r="D93" s="91"/>
      <c r="E93" s="79" t="s">
        <v>73</v>
      </c>
      <c r="F93" s="85">
        <v>-1</v>
      </c>
      <c r="G93" s="25">
        <f>D93*F93</f>
        <v>0</v>
      </c>
      <c r="H93" s="228"/>
      <c r="I93" s="196"/>
    </row>
    <row r="94" spans="1:9" s="65" customFormat="1" ht="25" hidden="1">
      <c r="A94" s="229"/>
      <c r="B94" s="370"/>
      <c r="C94" s="22" t="s">
        <v>98</v>
      </c>
      <c r="D94" s="41"/>
      <c r="E94" s="23"/>
      <c r="F94" s="26"/>
      <c r="G94" s="25"/>
      <c r="H94" s="228"/>
      <c r="I94" s="196"/>
    </row>
    <row r="95" spans="1:9" s="65" customFormat="1" ht="25" hidden="1">
      <c r="A95" s="229"/>
      <c r="B95" s="370"/>
      <c r="C95" s="22" t="s">
        <v>99</v>
      </c>
      <c r="D95" s="41"/>
      <c r="E95" s="23"/>
      <c r="F95" s="26"/>
      <c r="G95" s="25"/>
      <c r="H95" s="228"/>
      <c r="I95" s="196"/>
    </row>
    <row r="96" spans="1:9" s="65" customFormat="1" ht="17" thickBot="1">
      <c r="A96" s="229"/>
      <c r="B96" s="370"/>
      <c r="C96" s="22" t="s">
        <v>112</v>
      </c>
      <c r="D96" s="92"/>
      <c r="E96" s="72" t="s">
        <v>73</v>
      </c>
      <c r="F96" s="73">
        <v>0.5</v>
      </c>
      <c r="G96" s="74">
        <f>D96*F96</f>
        <v>0</v>
      </c>
      <c r="H96" s="228"/>
      <c r="I96" s="196"/>
    </row>
    <row r="97" spans="1:9" s="65" customFormat="1" ht="31.5" customHeight="1" thickBot="1">
      <c r="A97" s="229"/>
      <c r="B97" s="370"/>
      <c r="C97" s="27"/>
      <c r="D97" s="372" t="s">
        <v>306</v>
      </c>
      <c r="E97" s="400"/>
      <c r="F97" s="296"/>
      <c r="G97" s="87">
        <f>SUM(G66:G96)*'3. Prijsinvulformulier 2029'!F20</f>
        <v>0</v>
      </c>
      <c r="H97" s="228"/>
      <c r="I97" s="197"/>
    </row>
    <row r="98" spans="1:9" s="65" customFormat="1" ht="206.25" customHeight="1" thickBot="1">
      <c r="A98" s="229"/>
      <c r="B98" s="370"/>
      <c r="C98" s="28" t="s">
        <v>199</v>
      </c>
      <c r="D98" s="377" t="s">
        <v>200</v>
      </c>
      <c r="E98" s="378"/>
      <c r="F98" s="297"/>
      <c r="G98" s="146">
        <v>100</v>
      </c>
      <c r="H98" s="228"/>
      <c r="I98" s="198"/>
    </row>
    <row r="99" spans="1:9" s="65" customFormat="1" ht="14" thickBot="1">
      <c r="A99" s="229"/>
      <c r="B99" s="370"/>
      <c r="C99" s="88"/>
      <c r="D99" s="372" t="s">
        <v>100</v>
      </c>
      <c r="E99" s="376"/>
      <c r="F99" s="298"/>
      <c r="G99" s="299">
        <f>-(G97*G98/1000)</f>
        <v>0</v>
      </c>
      <c r="H99" s="228"/>
      <c r="I99" s="196"/>
    </row>
    <row r="100" spans="1:9" s="55" customFormat="1" ht="14.5" thickBot="1">
      <c r="A100" s="16"/>
      <c r="B100" s="230"/>
      <c r="C100" s="230" t="s">
        <v>47</v>
      </c>
      <c r="D100" s="218"/>
      <c r="E100" s="300" t="s">
        <v>104</v>
      </c>
      <c r="F100" s="218"/>
      <c r="G100" s="301">
        <f>G99/10524</f>
        <v>0</v>
      </c>
      <c r="H100" s="217"/>
      <c r="I100" s="302"/>
    </row>
    <row r="101" spans="1:9" s="55" customFormat="1" ht="14.5" thickBot="1">
      <c r="A101" s="16"/>
      <c r="B101" s="230"/>
      <c r="C101" s="230"/>
      <c r="D101" s="218"/>
      <c r="E101" s="218"/>
      <c r="F101" s="218"/>
      <c r="G101" s="144" t="s">
        <v>122</v>
      </c>
      <c r="H101" s="231">
        <f>G60+G99</f>
        <v>0</v>
      </c>
      <c r="I101" s="195"/>
    </row>
    <row r="102" spans="1:9" s="55" customFormat="1" ht="14">
      <c r="A102" s="66"/>
      <c r="B102" s="232"/>
      <c r="C102" s="232"/>
      <c r="D102" s="233"/>
      <c r="E102" s="233"/>
      <c r="F102" s="233"/>
      <c r="G102" s="56"/>
      <c r="H102" s="216"/>
      <c r="I102" s="195"/>
    </row>
    <row r="103" spans="1:9" ht="2.25" customHeight="1">
      <c r="A103" s="234"/>
      <c r="C103" s="235"/>
      <c r="D103" s="236"/>
      <c r="E103" s="237"/>
      <c r="F103" s="237"/>
      <c r="G103" s="237"/>
      <c r="H103" s="238"/>
    </row>
    <row r="104" spans="1:9" hidden="1">
      <c r="A104" s="234"/>
      <c r="C104" s="235"/>
      <c r="D104" s="239" t="s">
        <v>23</v>
      </c>
      <c r="E104" s="237">
        <v>0</v>
      </c>
      <c r="F104" s="237"/>
      <c r="G104" s="237"/>
      <c r="H104" s="238"/>
    </row>
    <row r="105" spans="1:9" hidden="1">
      <c r="A105" s="234"/>
      <c r="C105" s="235"/>
      <c r="D105" s="240" t="s">
        <v>24</v>
      </c>
      <c r="E105" s="237">
        <v>0</v>
      </c>
      <c r="F105" s="237"/>
      <c r="G105" s="237"/>
      <c r="H105" s="238"/>
    </row>
    <row r="106" spans="1:9" hidden="1">
      <c r="A106" s="234"/>
      <c r="C106" s="235"/>
      <c r="D106" s="239" t="s">
        <v>103</v>
      </c>
      <c r="E106" s="237">
        <v>0.33</v>
      </c>
      <c r="F106" s="237"/>
      <c r="G106" s="237"/>
      <c r="H106" s="238"/>
    </row>
    <row r="107" spans="1:9" hidden="1">
      <c r="A107" s="234"/>
      <c r="C107" s="235"/>
      <c r="D107" s="239" t="s">
        <v>102</v>
      </c>
      <c r="E107" s="237">
        <v>0.67</v>
      </c>
      <c r="F107" s="237"/>
      <c r="G107" s="237"/>
      <c r="H107" s="238"/>
    </row>
    <row r="108" spans="1:9" hidden="1">
      <c r="A108" s="234"/>
      <c r="C108" s="235"/>
      <c r="D108" s="239" t="s">
        <v>44</v>
      </c>
      <c r="E108" s="237">
        <v>1</v>
      </c>
      <c r="F108" s="237"/>
      <c r="G108" s="237"/>
      <c r="H108" s="238"/>
    </row>
    <row r="109" spans="1:9" hidden="1">
      <c r="A109" s="234"/>
      <c r="C109" s="235"/>
      <c r="D109" s="239"/>
      <c r="E109" s="237"/>
      <c r="F109" s="237"/>
      <c r="G109" s="237"/>
      <c r="H109" s="238"/>
    </row>
    <row r="110" spans="1:9" hidden="1">
      <c r="A110" s="234"/>
      <c r="C110" s="235"/>
      <c r="D110" s="239"/>
      <c r="E110" s="237"/>
      <c r="F110" s="237"/>
      <c r="G110" s="237"/>
      <c r="H110" s="238"/>
    </row>
    <row r="111" spans="1:9" hidden="1">
      <c r="A111" s="234"/>
      <c r="C111" s="235"/>
      <c r="D111" s="236"/>
      <c r="E111" s="237"/>
      <c r="F111" s="237"/>
      <c r="G111" s="237"/>
      <c r="H111" s="238"/>
    </row>
    <row r="112" spans="1:9" ht="2.25" hidden="1" customHeight="1">
      <c r="A112" s="234"/>
      <c r="C112" s="235"/>
      <c r="D112" s="236"/>
      <c r="E112" s="237"/>
      <c r="F112" s="237"/>
      <c r="G112" s="237"/>
      <c r="H112" s="238"/>
    </row>
    <row r="113" spans="1:8" hidden="1">
      <c r="A113" s="234"/>
      <c r="C113" s="235"/>
      <c r="D113" s="239" t="s">
        <v>23</v>
      </c>
      <c r="E113" s="237">
        <v>0</v>
      </c>
      <c r="F113" s="237"/>
      <c r="G113" s="237"/>
      <c r="H113" s="238"/>
    </row>
    <row r="114" spans="1:8" hidden="1">
      <c r="A114" s="234"/>
      <c r="C114" s="235"/>
      <c r="D114" s="240" t="s">
        <v>37</v>
      </c>
      <c r="E114" s="237">
        <v>0</v>
      </c>
      <c r="F114" s="237"/>
      <c r="G114" s="237"/>
      <c r="H114" s="238"/>
    </row>
    <row r="115" spans="1:8" hidden="1">
      <c r="A115" s="234"/>
      <c r="C115" s="235"/>
      <c r="D115" s="239" t="s">
        <v>38</v>
      </c>
      <c r="E115" s="237">
        <v>0.2</v>
      </c>
      <c r="F115" s="237"/>
      <c r="G115" s="237"/>
      <c r="H115" s="238"/>
    </row>
    <row r="116" spans="1:8" hidden="1">
      <c r="A116" s="234"/>
      <c r="C116" s="235"/>
      <c r="D116" s="239" t="s">
        <v>39</v>
      </c>
      <c r="E116" s="237">
        <v>0.4</v>
      </c>
      <c r="F116" s="237"/>
      <c r="G116" s="237"/>
      <c r="H116" s="238"/>
    </row>
    <row r="117" spans="1:8" hidden="1">
      <c r="A117" s="234"/>
      <c r="C117" s="235"/>
      <c r="D117" s="239" t="s">
        <v>40</v>
      </c>
      <c r="E117" s="237">
        <v>0.6</v>
      </c>
      <c r="F117" s="237"/>
      <c r="G117" s="237"/>
      <c r="H117" s="238"/>
    </row>
    <row r="118" spans="1:8" hidden="1">
      <c r="A118" s="234"/>
      <c r="C118" s="235"/>
      <c r="D118" s="239" t="s">
        <v>41</v>
      </c>
      <c r="E118" s="237">
        <v>0.8</v>
      </c>
      <c r="F118" s="237"/>
      <c r="G118" s="237"/>
      <c r="H118" s="238"/>
    </row>
    <row r="119" spans="1:8" hidden="1">
      <c r="A119" s="234"/>
      <c r="C119" s="235"/>
      <c r="D119" s="239" t="s">
        <v>42</v>
      </c>
      <c r="E119" s="237">
        <v>1</v>
      </c>
      <c r="F119" s="237"/>
      <c r="G119" s="237"/>
      <c r="H119" s="238"/>
    </row>
    <row r="120" spans="1:8" ht="2.25" hidden="1" customHeight="1">
      <c r="A120" s="234"/>
      <c r="C120" s="235"/>
      <c r="D120" s="236"/>
      <c r="E120" s="237"/>
      <c r="F120" s="237"/>
      <c r="G120" s="241"/>
      <c r="H120" s="238"/>
    </row>
    <row r="121" spans="1:8" hidden="1">
      <c r="A121" s="234"/>
      <c r="C121" s="235"/>
      <c r="D121" s="236" t="s">
        <v>23</v>
      </c>
      <c r="E121" s="237" t="s">
        <v>25</v>
      </c>
      <c r="F121" s="237">
        <v>0</v>
      </c>
      <c r="G121" s="242" t="e">
        <f>#REF!*((1+0.25)/2)</f>
        <v>#REF!</v>
      </c>
      <c r="H121" s="238"/>
    </row>
    <row r="122" spans="1:8" ht="27" hidden="1">
      <c r="A122" s="234"/>
      <c r="B122" s="236" t="s">
        <v>23</v>
      </c>
      <c r="C122" s="54">
        <v>0</v>
      </c>
      <c r="D122" s="236" t="s">
        <v>26</v>
      </c>
      <c r="E122" s="237" t="s">
        <v>27</v>
      </c>
      <c r="F122" s="237">
        <v>0</v>
      </c>
      <c r="G122" s="241"/>
      <c r="H122" s="238"/>
    </row>
    <row r="123" spans="1:8" ht="27" hidden="1">
      <c r="A123" s="234"/>
      <c r="B123" s="243" t="s">
        <v>28</v>
      </c>
      <c r="C123" s="54">
        <v>0.25</v>
      </c>
      <c r="D123" s="236" t="s">
        <v>29</v>
      </c>
      <c r="E123" s="237" t="s">
        <v>30</v>
      </c>
      <c r="F123" s="237">
        <v>1</v>
      </c>
      <c r="G123" s="241"/>
      <c r="H123" s="238"/>
    </row>
    <row r="124" spans="1:8" ht="67.5" hidden="1">
      <c r="A124" s="234"/>
      <c r="B124" s="243" t="s">
        <v>31</v>
      </c>
      <c r="C124" s="54">
        <v>0.5</v>
      </c>
      <c r="D124" s="244"/>
      <c r="E124" s="237" t="s">
        <v>32</v>
      </c>
      <c r="F124" s="237">
        <v>0.75</v>
      </c>
      <c r="G124" s="241"/>
      <c r="H124" s="238"/>
    </row>
    <row r="125" spans="1:8" ht="67.5" hidden="1">
      <c r="A125" s="234"/>
      <c r="B125" s="243" t="s">
        <v>33</v>
      </c>
      <c r="C125" s="54">
        <v>0.75</v>
      </c>
      <c r="D125" s="244"/>
      <c r="E125" s="237" t="s">
        <v>34</v>
      </c>
      <c r="F125" s="237">
        <v>0.5</v>
      </c>
      <c r="G125" s="241"/>
      <c r="H125" s="238"/>
    </row>
    <row r="126" spans="1:8" hidden="1">
      <c r="A126" s="234"/>
      <c r="B126" s="243" t="s">
        <v>35</v>
      </c>
      <c r="C126" s="54">
        <v>1</v>
      </c>
      <c r="D126" s="236"/>
      <c r="E126" s="237"/>
      <c r="F126" s="237"/>
      <c r="G126" s="241"/>
      <c r="H126" s="238"/>
    </row>
    <row r="127" spans="1:8" ht="30" customHeight="1">
      <c r="A127" s="234"/>
      <c r="B127" s="243"/>
      <c r="D127" s="236"/>
      <c r="E127" s="346" t="s">
        <v>248</v>
      </c>
      <c r="F127" s="347"/>
      <c r="G127" s="241"/>
      <c r="H127" s="238"/>
    </row>
    <row r="128" spans="1:8" ht="38.25" customHeight="1">
      <c r="A128" s="234"/>
      <c r="C128" s="235"/>
      <c r="D128" s="145" t="s">
        <v>36</v>
      </c>
      <c r="E128" s="315">
        <f>H20+H101</f>
        <v>0</v>
      </c>
      <c r="F128" s="316"/>
      <c r="G128" s="241"/>
      <c r="H128" s="238"/>
    </row>
    <row r="129" spans="1:11" ht="10.5" customHeight="1" thickBot="1">
      <c r="A129" s="234"/>
      <c r="C129" s="235"/>
      <c r="D129" s="236"/>
      <c r="E129" s="237"/>
      <c r="F129" s="237"/>
      <c r="G129" s="241"/>
      <c r="H129" s="238"/>
    </row>
    <row r="130" spans="1:11" ht="23.25" customHeight="1">
      <c r="A130" s="365" t="s">
        <v>131</v>
      </c>
      <c r="B130" s="366"/>
      <c r="C130" s="366"/>
      <c r="D130" s="366"/>
      <c r="E130" s="366"/>
      <c r="F130" s="366"/>
      <c r="G130" s="367"/>
      <c r="H130" s="238"/>
    </row>
    <row r="131" spans="1:11" ht="28.5" customHeight="1">
      <c r="A131" s="362" t="s">
        <v>115</v>
      </c>
      <c r="B131" s="363"/>
      <c r="C131" s="363"/>
      <c r="D131" s="363"/>
      <c r="E131" s="363"/>
      <c r="F131" s="363"/>
      <c r="G131" s="364"/>
      <c r="H131" s="245"/>
    </row>
    <row r="133" spans="1:11" s="163" customFormat="1" ht="14" hidden="1">
      <c r="C133" s="337" t="s">
        <v>51</v>
      </c>
      <c r="D133" s="337"/>
      <c r="E133" s="337"/>
      <c r="F133" s="337"/>
      <c r="G133" s="337"/>
      <c r="H133" s="337"/>
      <c r="I133" s="337"/>
      <c r="J133" s="337"/>
      <c r="K133" s="337"/>
    </row>
    <row r="134" spans="1:11" s="163" customFormat="1" ht="14" hidden="1">
      <c r="C134" s="164"/>
      <c r="D134" s="165" t="s">
        <v>52</v>
      </c>
      <c r="E134" s="165" t="s">
        <v>53</v>
      </c>
      <c r="F134" s="166"/>
      <c r="G134" s="164"/>
      <c r="H134" s="164"/>
      <c r="I134" s="200"/>
      <c r="J134" s="164"/>
      <c r="K134" s="164"/>
    </row>
    <row r="135" spans="1:11" s="163" customFormat="1" ht="14" hidden="1">
      <c r="C135" s="164"/>
      <c r="D135" s="167" t="s">
        <v>123</v>
      </c>
      <c r="E135" s="168">
        <v>0</v>
      </c>
      <c r="F135" s="166"/>
      <c r="G135" s="164"/>
      <c r="H135" s="164"/>
      <c r="I135" s="200"/>
      <c r="J135" s="164"/>
      <c r="K135" s="164"/>
    </row>
    <row r="136" spans="1:11" s="163" customFormat="1" ht="14" hidden="1">
      <c r="C136" s="164"/>
      <c r="D136" s="167" t="s">
        <v>25</v>
      </c>
      <c r="E136" s="168">
        <v>0</v>
      </c>
      <c r="F136" s="166"/>
      <c r="G136" s="164"/>
      <c r="H136" s="164"/>
      <c r="I136" s="200"/>
      <c r="J136" s="164"/>
      <c r="K136" s="164"/>
    </row>
    <row r="137" spans="1:11" s="163" customFormat="1" ht="14" hidden="1">
      <c r="C137" s="164"/>
      <c r="D137" s="169" t="s">
        <v>166</v>
      </c>
      <c r="E137" s="167">
        <v>117</v>
      </c>
      <c r="F137" s="170"/>
      <c r="G137" s="164"/>
      <c r="H137" s="164"/>
      <c r="I137" s="200"/>
      <c r="J137" s="164"/>
      <c r="K137" s="164"/>
    </row>
    <row r="138" spans="1:11" s="163" customFormat="1" ht="14" hidden="1">
      <c r="C138" s="164"/>
      <c r="D138" s="171" t="s">
        <v>49</v>
      </c>
      <c r="E138" s="167">
        <v>102</v>
      </c>
      <c r="F138" s="172"/>
      <c r="G138" s="164"/>
      <c r="H138" s="164"/>
      <c r="I138" s="200"/>
      <c r="J138" s="164"/>
      <c r="K138" s="164"/>
    </row>
    <row r="139" spans="1:11" s="163" customFormat="1" ht="14" hidden="1">
      <c r="C139" s="164"/>
      <c r="D139" s="171" t="s">
        <v>167</v>
      </c>
      <c r="E139" s="167">
        <v>93</v>
      </c>
      <c r="F139" s="172"/>
      <c r="G139" s="164"/>
      <c r="H139" s="164"/>
      <c r="I139" s="200"/>
      <c r="J139" s="164"/>
      <c r="K139" s="164"/>
    </row>
    <row r="140" spans="1:11" s="163" customFormat="1" ht="14" hidden="1">
      <c r="C140" s="164"/>
      <c r="D140" s="171" t="s">
        <v>168</v>
      </c>
      <c r="E140" s="167">
        <v>30</v>
      </c>
      <c r="F140" s="172"/>
      <c r="G140" s="164"/>
      <c r="H140" s="164"/>
      <c r="I140" s="200"/>
      <c r="J140" s="164"/>
      <c r="K140" s="164"/>
    </row>
    <row r="141" spans="1:11" s="163" customFormat="1" ht="14" hidden="1">
      <c r="C141" s="164"/>
      <c r="D141" s="171" t="s">
        <v>169</v>
      </c>
      <c r="E141" s="167">
        <v>30</v>
      </c>
      <c r="F141" s="172"/>
      <c r="G141" s="164"/>
      <c r="H141" s="164"/>
      <c r="I141" s="200"/>
      <c r="J141" s="164"/>
      <c r="K141" s="164"/>
    </row>
    <row r="142" spans="1:11" s="163" customFormat="1" ht="14" hidden="1">
      <c r="C142" s="164"/>
      <c r="D142" s="173"/>
      <c r="E142" s="173"/>
      <c r="F142" s="172"/>
      <c r="G142" s="164"/>
      <c r="H142" s="164"/>
      <c r="I142" s="200"/>
      <c r="J142" s="164"/>
      <c r="K142" s="164"/>
    </row>
    <row r="143" spans="1:11" s="163" customFormat="1" ht="14" hidden="1">
      <c r="C143" s="164"/>
      <c r="D143" s="165" t="s">
        <v>54</v>
      </c>
      <c r="E143" s="165" t="s">
        <v>55</v>
      </c>
      <c r="F143" s="174" t="s">
        <v>56</v>
      </c>
      <c r="G143" s="174" t="s">
        <v>170</v>
      </c>
      <c r="H143" s="164"/>
      <c r="I143" s="200"/>
      <c r="J143" s="164"/>
      <c r="K143" s="164"/>
    </row>
    <row r="144" spans="1:11" s="163" customFormat="1" ht="14" hidden="1">
      <c r="C144" s="164"/>
      <c r="D144" s="167" t="s">
        <v>124</v>
      </c>
      <c r="E144" s="168">
        <v>0</v>
      </c>
      <c r="F144" s="175">
        <v>0</v>
      </c>
      <c r="G144" s="175">
        <v>0</v>
      </c>
      <c r="H144" s="164"/>
      <c r="I144" s="200"/>
      <c r="J144" s="164"/>
      <c r="K144" s="164"/>
    </row>
    <row r="145" spans="3:11" s="163" customFormat="1" ht="14" hidden="1">
      <c r="C145" s="164"/>
      <c r="D145" s="167" t="s">
        <v>25</v>
      </c>
      <c r="E145" s="168">
        <v>0</v>
      </c>
      <c r="F145" s="175">
        <v>0</v>
      </c>
      <c r="G145" s="175">
        <v>0</v>
      </c>
      <c r="H145" s="164"/>
      <c r="I145" s="200"/>
      <c r="J145" s="164"/>
      <c r="K145" s="164"/>
    </row>
    <row r="146" spans="3:11" s="163" customFormat="1" ht="14" hidden="1">
      <c r="C146" s="164"/>
      <c r="D146" s="169" t="s">
        <v>57</v>
      </c>
      <c r="E146" s="176">
        <v>1</v>
      </c>
      <c r="F146" s="177">
        <v>1</v>
      </c>
      <c r="G146" s="177">
        <v>1</v>
      </c>
      <c r="H146" s="164"/>
      <c r="I146" s="200"/>
      <c r="J146" s="164"/>
      <c r="K146" s="164"/>
    </row>
    <row r="147" spans="3:11" s="163" customFormat="1" ht="14" hidden="1">
      <c r="C147" s="164"/>
      <c r="D147" s="169" t="s">
        <v>171</v>
      </c>
      <c r="E147" s="178">
        <v>0.95726</v>
      </c>
      <c r="F147" s="179">
        <v>0.96077999999999997</v>
      </c>
      <c r="G147" s="179">
        <v>0.95699000000000001</v>
      </c>
      <c r="H147" s="164"/>
      <c r="I147" s="200"/>
      <c r="J147" s="164"/>
      <c r="K147" s="164"/>
    </row>
    <row r="148" spans="3:11" s="163" customFormat="1" ht="14" hidden="1">
      <c r="C148" s="164"/>
      <c r="D148" s="169" t="s">
        <v>59</v>
      </c>
      <c r="E148" s="178">
        <f>0.102/0.117</f>
        <v>0.8717948717948717</v>
      </c>
      <c r="F148" s="179">
        <f>0.089/0.102</f>
        <v>0.87254901960784315</v>
      </c>
      <c r="G148" s="179">
        <f>0.081/0.093</f>
        <v>0.87096774193548387</v>
      </c>
      <c r="H148" s="164"/>
      <c r="I148" s="200"/>
      <c r="J148" s="164"/>
      <c r="K148" s="164"/>
    </row>
    <row r="149" spans="3:11" s="163" customFormat="1" ht="14" hidden="1">
      <c r="C149" s="164"/>
      <c r="D149" s="169" t="s">
        <v>50</v>
      </c>
      <c r="E149" s="178">
        <f>0.095/0.117</f>
        <v>0.81196581196581197</v>
      </c>
      <c r="F149" s="179">
        <f>0.083/0.102</f>
        <v>0.81372549019607854</v>
      </c>
      <c r="G149" s="179">
        <v>0.80645</v>
      </c>
      <c r="H149" s="164"/>
      <c r="I149" s="200"/>
      <c r="J149" s="164"/>
      <c r="K149" s="164"/>
    </row>
    <row r="150" spans="3:11" s="163" customFormat="1" ht="14" hidden="1">
      <c r="C150" s="164"/>
      <c r="D150" s="169" t="s">
        <v>61</v>
      </c>
      <c r="E150" s="178">
        <v>0.78632000000000002</v>
      </c>
      <c r="F150" s="179">
        <v>0.79412000000000005</v>
      </c>
      <c r="G150" s="179">
        <v>0.78495000000000004</v>
      </c>
      <c r="H150" s="164"/>
      <c r="I150" s="200"/>
      <c r="J150" s="164"/>
      <c r="K150" s="164"/>
    </row>
    <row r="151" spans="3:11" s="163" customFormat="1" ht="14" hidden="1">
      <c r="C151" s="164"/>
      <c r="D151" s="169" t="s">
        <v>172</v>
      </c>
      <c r="E151" s="178">
        <v>0.76922999999999997</v>
      </c>
      <c r="F151" s="179">
        <v>0.77451000000000003</v>
      </c>
      <c r="G151" s="179">
        <v>0.77419000000000004</v>
      </c>
      <c r="H151" s="164"/>
      <c r="I151" s="200"/>
      <c r="J151" s="164"/>
      <c r="K151" s="164"/>
    </row>
    <row r="152" spans="3:11" s="163" customFormat="1" ht="14" hidden="1">
      <c r="C152" s="164"/>
      <c r="D152" s="169" t="s">
        <v>173</v>
      </c>
      <c r="E152" s="178">
        <v>0.63248000000000004</v>
      </c>
      <c r="F152" s="179">
        <f>0.065/0.102</f>
        <v>0.63725490196078438</v>
      </c>
      <c r="G152" s="179">
        <f>0.059/0.093</f>
        <v>0.63440860215053763</v>
      </c>
      <c r="H152" s="164"/>
      <c r="I152" s="200"/>
      <c r="J152" s="164"/>
      <c r="K152" s="164"/>
    </row>
    <row r="153" spans="3:11" s="163" customFormat="1" ht="14" hidden="1">
      <c r="C153" s="164"/>
      <c r="D153" s="169" t="s">
        <v>60</v>
      </c>
      <c r="E153" s="178">
        <f>0.035/0.117</f>
        <v>0.29914529914529914</v>
      </c>
      <c r="F153" s="179">
        <f>0.031/0.102</f>
        <v>0.30392156862745101</v>
      </c>
      <c r="G153" s="179">
        <f>0.028/0.093</f>
        <v>0.30107526881720431</v>
      </c>
      <c r="H153" s="164"/>
      <c r="I153" s="200"/>
      <c r="J153" s="164"/>
      <c r="K153" s="164"/>
    </row>
    <row r="154" spans="3:11" s="163" customFormat="1" ht="14" hidden="1">
      <c r="C154" s="164"/>
      <c r="D154" s="169" t="s">
        <v>174</v>
      </c>
      <c r="E154" s="178">
        <f>0.035/0.117</f>
        <v>0.29914529914529914</v>
      </c>
      <c r="F154" s="179">
        <f>0.031/0.102</f>
        <v>0.30392156862745101</v>
      </c>
      <c r="G154" s="179">
        <f>0.028/0.093</f>
        <v>0.30107526881720431</v>
      </c>
      <c r="H154" s="164"/>
      <c r="I154" s="200"/>
      <c r="J154" s="164"/>
      <c r="K154" s="164"/>
    </row>
    <row r="155" spans="3:11" s="163" customFormat="1" ht="14" hidden="1">
      <c r="C155" s="164"/>
      <c r="D155" s="169" t="s">
        <v>175</v>
      </c>
      <c r="E155" s="178">
        <f>0.034/0.117</f>
        <v>0.29059829059829062</v>
      </c>
      <c r="F155" s="179">
        <f>0.03/0.102</f>
        <v>0.29411764705882354</v>
      </c>
      <c r="G155" s="179">
        <f>0.027/0.093</f>
        <v>0.29032258064516131</v>
      </c>
      <c r="H155" s="164"/>
      <c r="I155" s="200"/>
      <c r="J155" s="164"/>
      <c r="K155" s="164"/>
    </row>
    <row r="156" spans="3:11" s="163" customFormat="1" ht="23" hidden="1">
      <c r="C156" s="164"/>
      <c r="D156" s="169" t="s">
        <v>176</v>
      </c>
      <c r="E156" s="178">
        <f>0.031/0.117</f>
        <v>0.26495726495726496</v>
      </c>
      <c r="F156" s="179">
        <f>0.027/0.102</f>
        <v>0.26470588235294118</v>
      </c>
      <c r="G156" s="179">
        <f>0.024/0.093</f>
        <v>0.25806451612903225</v>
      </c>
      <c r="H156" s="164"/>
      <c r="I156" s="200"/>
      <c r="J156" s="164"/>
      <c r="K156" s="164"/>
    </row>
    <row r="157" spans="3:11" s="163" customFormat="1" ht="14" hidden="1">
      <c r="C157" s="164"/>
      <c r="D157" s="169" t="s">
        <v>58</v>
      </c>
      <c r="E157" s="178">
        <f>0.026/0.117</f>
        <v>0.22222222222222221</v>
      </c>
      <c r="F157" s="179">
        <f>0.022/0.102</f>
        <v>0.21568627450980393</v>
      </c>
      <c r="G157" s="179">
        <f>0.02/0.093</f>
        <v>0.21505376344086022</v>
      </c>
      <c r="H157" s="164"/>
      <c r="I157" s="200"/>
      <c r="J157" s="164"/>
      <c r="K157" s="164"/>
    </row>
    <row r="158" spans="3:11" s="163" customFormat="1" ht="14" hidden="1">
      <c r="C158" s="164"/>
      <c r="D158" s="169" t="s">
        <v>177</v>
      </c>
      <c r="E158" s="178">
        <f>0.01/0.117</f>
        <v>8.5470085470085472E-2</v>
      </c>
      <c r="F158" s="179">
        <f>0.008/0.102</f>
        <v>7.8431372549019621E-2</v>
      </c>
      <c r="G158" s="179">
        <f>0.008/0.093</f>
        <v>8.6021505376344093E-2</v>
      </c>
      <c r="H158" s="164"/>
      <c r="I158" s="200"/>
      <c r="J158" s="164"/>
      <c r="K158" s="164"/>
    </row>
    <row r="159" spans="3:11" s="163" customFormat="1" ht="14" hidden="1">
      <c r="C159" s="164"/>
      <c r="D159" s="169" t="s">
        <v>178</v>
      </c>
      <c r="E159" s="178">
        <f>0.004/0.117</f>
        <v>3.4188034188034185E-2</v>
      </c>
      <c r="F159" s="179">
        <f>0.004/0.102</f>
        <v>3.921568627450981E-2</v>
      </c>
      <c r="G159" s="179">
        <f>0.003/0.093</f>
        <v>3.2258064516129031E-2</v>
      </c>
      <c r="H159" s="164"/>
      <c r="I159" s="200"/>
      <c r="J159" s="164"/>
      <c r="K159" s="164"/>
    </row>
    <row r="160" spans="3:11" s="163" customFormat="1" ht="14" hidden="1">
      <c r="C160" s="164"/>
      <c r="D160" s="169" t="s">
        <v>179</v>
      </c>
      <c r="E160" s="178">
        <v>0</v>
      </c>
      <c r="F160" s="179">
        <v>0</v>
      </c>
      <c r="G160" s="179">
        <v>0</v>
      </c>
      <c r="H160" s="164"/>
      <c r="I160" s="200"/>
      <c r="J160" s="164"/>
      <c r="K160" s="164"/>
    </row>
    <row r="161" spans="3:11" s="163" customFormat="1" ht="14" hidden="1">
      <c r="C161" s="164"/>
      <c r="D161" s="169" t="s">
        <v>168</v>
      </c>
      <c r="E161" s="180">
        <v>1</v>
      </c>
      <c r="F161" s="175"/>
      <c r="G161" s="175"/>
      <c r="H161" s="164"/>
      <c r="I161" s="200"/>
      <c r="J161" s="164"/>
      <c r="K161" s="164"/>
    </row>
    <row r="162" spans="3:11" s="163" customFormat="1" ht="14" hidden="1">
      <c r="C162" s="164"/>
      <c r="D162" s="169" t="s">
        <v>180</v>
      </c>
      <c r="E162" s="181">
        <f>0.0294/0.03</f>
        <v>0.98</v>
      </c>
      <c r="F162" s="175"/>
      <c r="G162" s="175"/>
      <c r="H162" s="164"/>
      <c r="I162" s="200"/>
      <c r="J162" s="164"/>
      <c r="K162" s="164"/>
    </row>
    <row r="163" spans="3:11" s="163" customFormat="1" ht="14" hidden="1">
      <c r="C163" s="164"/>
      <c r="D163" s="169" t="s">
        <v>181</v>
      </c>
      <c r="E163" s="181">
        <f>0.0285/0.03</f>
        <v>0.95000000000000007</v>
      </c>
      <c r="F163" s="175"/>
      <c r="G163" s="175"/>
      <c r="H163" s="164"/>
      <c r="I163" s="200"/>
      <c r="J163" s="164"/>
      <c r="K163" s="164"/>
    </row>
    <row r="164" spans="3:11" hidden="1"/>
    <row r="165" spans="3:11" hidden="1"/>
    <row r="166" spans="3:11" hidden="1"/>
    <row r="167" spans="3:11" hidden="1"/>
    <row r="168" spans="3:11" hidden="1"/>
    <row r="169" spans="3:11" hidden="1"/>
  </sheetData>
  <sheetProtection algorithmName="SHA-512" hashValue="FFdekfspGi/ZTRAXjS905AgI3MlOXTR7V/JaFxBW7m2OwK9ZZU1/4keWlOzVSKjTYDXJPADoS6M9ednayyun6w==" saltValue="LYStWWFDTSraF5fikL1rUQ==" spinCount="100000" sheet="1" objects="1" scenarios="1"/>
  <protectedRanges>
    <protectedRange sqref="D2:D4 F2:F4" name="gegevens_1_2_1"/>
  </protectedRanges>
  <mergeCells count="44">
    <mergeCell ref="A131:G131"/>
    <mergeCell ref="C133:K133"/>
    <mergeCell ref="D97:E97"/>
    <mergeCell ref="D98:E98"/>
    <mergeCell ref="D99:E99"/>
    <mergeCell ref="E127:F127"/>
    <mergeCell ref="A130:G130"/>
    <mergeCell ref="B65:B99"/>
    <mergeCell ref="E65:F65"/>
    <mergeCell ref="E69:F69"/>
    <mergeCell ref="E72:F72"/>
    <mergeCell ref="E92:F92"/>
    <mergeCell ref="A62:B62"/>
    <mergeCell ref="E62:G62"/>
    <mergeCell ref="A63:B63"/>
    <mergeCell ref="D63:E63"/>
    <mergeCell ref="A64:C64"/>
    <mergeCell ref="A25:C25"/>
    <mergeCell ref="B26:B60"/>
    <mergeCell ref="E26:F26"/>
    <mergeCell ref="E30:F30"/>
    <mergeCell ref="E33:F33"/>
    <mergeCell ref="E53:F53"/>
    <mergeCell ref="D58:E58"/>
    <mergeCell ref="D59:E59"/>
    <mergeCell ref="D60:E60"/>
    <mergeCell ref="A16:B19"/>
    <mergeCell ref="A22:G22"/>
    <mergeCell ref="A23:B23"/>
    <mergeCell ref="E23:G23"/>
    <mergeCell ref="A24:B24"/>
    <mergeCell ref="D24:E24"/>
    <mergeCell ref="A15:B15"/>
    <mergeCell ref="A1:E1"/>
    <mergeCell ref="G1:H1"/>
    <mergeCell ref="B3:D3"/>
    <mergeCell ref="B4:D4"/>
    <mergeCell ref="A5:G5"/>
    <mergeCell ref="A6:G6"/>
    <mergeCell ref="A7:B7"/>
    <mergeCell ref="A8:B8"/>
    <mergeCell ref="A9:B12"/>
    <mergeCell ref="A13:G13"/>
    <mergeCell ref="A14:B14"/>
  </mergeCells>
  <dataValidations count="6">
    <dataValidation type="list" allowBlank="1" showInputMessage="1" showErrorMessage="1" sqref="D19 D12" xr:uid="{A2EDACC5-F11E-4CC5-B127-E77EBDA651F1}">
      <formula1>$D$144:$D$163</formula1>
    </dataValidation>
    <dataValidation operator="lessThanOrEqual" allowBlank="1" showInputMessage="1" showErrorMessage="1" sqref="B122:B127 C128:C129 G20:G21 G101 C103:C121 A131 D103:D129 E103:G126 E127:E128 E129:G129 G127:G128" xr:uid="{7217DEB6-3AC6-47DA-9B99-D54CD864B340}"/>
    <dataValidation operator="lessThan" allowBlank="1" showInputMessage="1" showErrorMessage="1" sqref="D9 D16" xr:uid="{F46F6AE6-FE7B-4600-A50A-74E456CD6360}"/>
    <dataValidation type="whole" operator="lessThan" allowBlank="1" showInputMessage="1" showErrorMessage="1" sqref="D17 D10" xr:uid="{7DB14624-EEE2-4C88-954D-DE2829C41EE0}">
      <formula1>1000</formula1>
    </dataValidation>
    <dataValidation type="list" allowBlank="1" showInputMessage="1" showErrorMessage="1" sqref="D18 D11" xr:uid="{A835D345-BDD4-4FDB-A55D-1A19AA204159}">
      <formula1>$D$135:$D$141</formula1>
    </dataValidation>
    <dataValidation type="list" allowBlank="1" showInputMessage="1" showErrorMessage="1" sqref="D13" xr:uid="{272EDEA3-DE2C-4F3B-A128-09BCBAFE8EFD}">
      <formula1>$D$146:$D$159</formula1>
    </dataValidation>
  </dataValidations>
  <pageMargins left="0.7" right="0.7" top="0.75" bottom="0.75" header="0.3" footer="0.3"/>
  <pageSetup paperSize="9" scale="51" fitToHeight="0" orientation="landscape" r:id="rId1"/>
  <rowBreaks count="1" manualBreakCount="1">
    <brk id="95"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683E-AAFD-4693-9820-33AC27165110}">
  <sheetPr>
    <pageSetUpPr fitToPage="1"/>
  </sheetPr>
  <dimension ref="A1:S183"/>
  <sheetViews>
    <sheetView showGridLines="0" view="pageBreakPreview" topLeftCell="A98" zoomScale="91" zoomScaleNormal="80" zoomScaleSheetLayoutView="91" workbookViewId="0">
      <selection activeCell="D9" sqref="D9"/>
    </sheetView>
  </sheetViews>
  <sheetFormatPr defaultColWidth="9.1796875" defaultRowHeight="13.5"/>
  <cols>
    <col min="1" max="1" width="6.7265625" style="54" customWidth="1"/>
    <col min="2" max="2" width="16.81640625" style="54" customWidth="1"/>
    <col min="3" max="3" width="57.26953125" style="54" customWidth="1"/>
    <col min="4" max="4" width="44.453125" style="67" customWidth="1"/>
    <col min="5" max="5" width="38.453125" style="67" customWidth="1"/>
    <col min="6" max="6" width="19.1796875" style="67" bestFit="1" customWidth="1"/>
    <col min="7" max="7" width="52.54296875" style="67" customWidth="1"/>
    <col min="8" max="8" width="18.81640625" style="54" customWidth="1"/>
    <col min="9" max="9" width="54.81640625" style="192" customWidth="1"/>
    <col min="10" max="10" width="22" style="54" customWidth="1"/>
    <col min="11" max="16384" width="9.1796875" style="54"/>
  </cols>
  <sheetData>
    <row r="1" spans="1:19" ht="58.5" customHeight="1">
      <c r="A1" s="383" t="s">
        <v>299</v>
      </c>
      <c r="B1" s="383"/>
      <c r="C1" s="383"/>
      <c r="D1" s="383"/>
      <c r="E1" s="383"/>
      <c r="F1" s="272" t="s">
        <v>156</v>
      </c>
      <c r="G1" s="381" t="s">
        <v>157</v>
      </c>
      <c r="H1" s="381"/>
    </row>
    <row r="2" spans="1:19" s="14" customFormat="1" ht="25" customHeight="1">
      <c r="A2" s="212"/>
      <c r="B2" s="213"/>
      <c r="C2" s="275"/>
      <c r="D2" s="214"/>
      <c r="E2" s="214"/>
      <c r="F2" s="214"/>
      <c r="G2" s="214"/>
      <c r="H2" s="215"/>
      <c r="I2" s="190"/>
    </row>
    <row r="3" spans="1:19" s="14" customFormat="1" ht="25" customHeight="1">
      <c r="A3" s="212"/>
      <c r="B3" s="382" t="s">
        <v>209</v>
      </c>
      <c r="C3" s="382"/>
      <c r="D3" s="382"/>
      <c r="E3" s="214"/>
      <c r="F3" s="214"/>
      <c r="G3" s="214"/>
      <c r="H3" s="215"/>
      <c r="I3" s="190"/>
    </row>
    <row r="4" spans="1:19" s="14" customFormat="1" ht="25" customHeight="1">
      <c r="A4" s="212"/>
      <c r="B4" s="386" t="s">
        <v>210</v>
      </c>
      <c r="C4" s="386"/>
      <c r="D4" s="386"/>
      <c r="E4" s="214"/>
      <c r="F4" s="214"/>
      <c r="G4" s="214"/>
      <c r="H4" s="215"/>
      <c r="I4" s="190"/>
    </row>
    <row r="5" spans="1:19" s="55" customFormat="1" ht="19.5" customHeight="1">
      <c r="A5" s="338" t="s">
        <v>127</v>
      </c>
      <c r="B5" s="339"/>
      <c r="C5" s="339"/>
      <c r="D5" s="339"/>
      <c r="E5" s="339"/>
      <c r="F5" s="339"/>
      <c r="G5" s="340"/>
      <c r="H5" s="216"/>
      <c r="I5" s="195"/>
    </row>
    <row r="6" spans="1:19" s="55" customFormat="1" ht="19.5" customHeight="1">
      <c r="A6" s="341" t="s">
        <v>258</v>
      </c>
      <c r="B6" s="342"/>
      <c r="C6" s="342"/>
      <c r="D6" s="342"/>
      <c r="E6" s="342"/>
      <c r="F6" s="342"/>
      <c r="G6" s="343"/>
      <c r="H6" s="217"/>
      <c r="I6" s="271"/>
    </row>
    <row r="7" spans="1:19" s="55" customFormat="1" ht="62.5">
      <c r="A7" s="379"/>
      <c r="B7" s="380"/>
      <c r="C7" s="68" t="s">
        <v>196</v>
      </c>
      <c r="D7" s="38" t="s">
        <v>121</v>
      </c>
      <c r="E7" s="218"/>
      <c r="F7" s="218"/>
      <c r="G7" s="17"/>
      <c r="H7" s="217"/>
      <c r="I7" s="195"/>
    </row>
    <row r="8" spans="1:19" s="55" customFormat="1" ht="62.5">
      <c r="A8" s="379"/>
      <c r="B8" s="380"/>
      <c r="C8" s="68" t="s">
        <v>197</v>
      </c>
      <c r="D8" s="38" t="s">
        <v>121</v>
      </c>
      <c r="E8" s="218"/>
      <c r="F8" s="218"/>
      <c r="G8" s="17"/>
      <c r="H8" s="217"/>
      <c r="I8" s="195"/>
    </row>
    <row r="9" spans="1:19" s="58" customFormat="1" ht="36.75" customHeight="1" thickBot="1">
      <c r="A9" s="356" t="s">
        <v>211</v>
      </c>
      <c r="B9" s="357"/>
      <c r="C9" s="128" t="s">
        <v>159</v>
      </c>
      <c r="D9" s="278">
        <v>1</v>
      </c>
      <c r="E9" s="219"/>
      <c r="F9" s="18"/>
      <c r="G9" s="69"/>
      <c r="H9" s="220"/>
      <c r="I9" s="193"/>
      <c r="J9" s="57"/>
      <c r="K9" s="57"/>
      <c r="L9" s="57"/>
      <c r="M9" s="59"/>
      <c r="N9" s="59"/>
      <c r="O9" s="60"/>
      <c r="P9" s="57"/>
      <c r="S9" s="59"/>
    </row>
    <row r="10" spans="1:19" s="58" customFormat="1" ht="28.5" thickBot="1">
      <c r="A10" s="358"/>
      <c r="B10" s="359"/>
      <c r="C10" s="61" t="s">
        <v>128</v>
      </c>
      <c r="D10" s="37"/>
      <c r="E10" s="221" t="s">
        <v>48</v>
      </c>
      <c r="F10" s="222">
        <f>D10*(('3.Prijsinvulformulier 2030-2033'!F15)*D9)</f>
        <v>0</v>
      </c>
      <c r="G10" s="19" t="s">
        <v>130</v>
      </c>
      <c r="H10" s="223">
        <f>(((F11-(F11*F12))*F10)/1000000)*4</f>
        <v>0</v>
      </c>
      <c r="I10" s="193"/>
      <c r="J10" s="57"/>
      <c r="K10" s="57"/>
      <c r="L10" s="57"/>
      <c r="M10" s="59"/>
      <c r="N10" s="59"/>
      <c r="O10" s="60"/>
      <c r="P10" s="57"/>
      <c r="S10" s="59"/>
    </row>
    <row r="11" spans="1:19" s="58" customFormat="1" ht="25">
      <c r="A11" s="358"/>
      <c r="B11" s="359"/>
      <c r="C11" s="61" t="s">
        <v>125</v>
      </c>
      <c r="D11" s="37" t="s">
        <v>25</v>
      </c>
      <c r="E11" s="221" t="s">
        <v>106</v>
      </c>
      <c r="F11" s="219">
        <f>VLOOKUP(D11,$D$135:$E$141,2,FALSE)</f>
        <v>0</v>
      </c>
      <c r="G11" s="20"/>
      <c r="H11" s="224">
        <f>H10*$G$59</f>
        <v>0</v>
      </c>
      <c r="I11" s="191"/>
      <c r="J11" s="57"/>
      <c r="K11" s="57"/>
      <c r="L11" s="57"/>
      <c r="M11" s="59"/>
      <c r="N11" s="59"/>
      <c r="O11" s="60"/>
      <c r="P11" s="57"/>
      <c r="S11" s="59"/>
    </row>
    <row r="12" spans="1:19" s="58" customFormat="1" ht="29">
      <c r="A12" s="360"/>
      <c r="B12" s="361"/>
      <c r="C12" s="61" t="s">
        <v>126</v>
      </c>
      <c r="D12" s="37" t="s">
        <v>25</v>
      </c>
      <c r="E12" s="221" t="s">
        <v>107</v>
      </c>
      <c r="F12" s="225">
        <f>IF(D9=0,0,(1-(VLOOKUP(D12,$D$144:$G$163,2,FALSE))))</f>
        <v>1</v>
      </c>
      <c r="G12" s="21"/>
      <c r="H12" s="220"/>
      <c r="I12" s="193"/>
      <c r="J12" s="57"/>
      <c r="K12" s="57"/>
      <c r="L12" s="57"/>
      <c r="M12" s="59"/>
      <c r="N12" s="59"/>
      <c r="O12" s="60"/>
      <c r="P12" s="57"/>
      <c r="S12" s="59"/>
    </row>
    <row r="13" spans="1:19" s="55" customFormat="1" ht="19.5" customHeight="1">
      <c r="A13" s="387" t="s">
        <v>259</v>
      </c>
      <c r="B13" s="388"/>
      <c r="C13" s="388"/>
      <c r="D13" s="388"/>
      <c r="E13" s="388"/>
      <c r="F13" s="388"/>
      <c r="G13" s="389"/>
      <c r="H13" s="217"/>
      <c r="I13" s="192"/>
    </row>
    <row r="14" spans="1:19" s="55" customFormat="1" ht="62.5">
      <c r="A14" s="384"/>
      <c r="B14" s="385"/>
      <c r="C14" s="276" t="s">
        <v>196</v>
      </c>
      <c r="D14" s="277" t="s">
        <v>121</v>
      </c>
      <c r="E14" s="218"/>
      <c r="F14" s="218"/>
      <c r="G14" s="17"/>
      <c r="H14" s="217"/>
      <c r="I14" s="195"/>
    </row>
    <row r="15" spans="1:19" s="55" customFormat="1" ht="62.5">
      <c r="A15" s="384"/>
      <c r="B15" s="385"/>
      <c r="C15" s="276" t="s">
        <v>212</v>
      </c>
      <c r="D15" s="277" t="s">
        <v>121</v>
      </c>
      <c r="E15" s="218"/>
      <c r="F15" s="218"/>
      <c r="G15" s="17"/>
      <c r="H15" s="217"/>
      <c r="I15" s="195"/>
    </row>
    <row r="16" spans="1:19" s="58" customFormat="1" ht="36.75" customHeight="1" thickBot="1">
      <c r="A16" s="356" t="s">
        <v>213</v>
      </c>
      <c r="B16" s="357"/>
      <c r="C16" s="128" t="s">
        <v>214</v>
      </c>
      <c r="D16" s="278">
        <v>1</v>
      </c>
      <c r="E16" s="219"/>
      <c r="F16" s="18"/>
      <c r="G16" s="69"/>
      <c r="H16" s="220"/>
      <c r="I16" s="193"/>
      <c r="J16" s="57"/>
      <c r="K16" s="57"/>
      <c r="L16" s="57"/>
      <c r="M16" s="59"/>
      <c r="N16" s="59"/>
      <c r="O16" s="60"/>
      <c r="P16" s="57"/>
      <c r="S16" s="59"/>
    </row>
    <row r="17" spans="1:19" s="58" customFormat="1" ht="28.5" thickBot="1">
      <c r="A17" s="358"/>
      <c r="B17" s="359"/>
      <c r="C17" s="61" t="s">
        <v>215</v>
      </c>
      <c r="D17" s="37"/>
      <c r="E17" s="221" t="s">
        <v>48</v>
      </c>
      <c r="F17" s="222">
        <f>D17*(('3.Prijsinvulformulier 2030-2033'!F20)*D16)</f>
        <v>0</v>
      </c>
      <c r="G17" s="19" t="s">
        <v>216</v>
      </c>
      <c r="H17" s="223">
        <f>(((F18-(F18*F19))*F17)/1000000)*4</f>
        <v>0</v>
      </c>
      <c r="I17" s="193"/>
      <c r="J17" s="57"/>
      <c r="K17" s="57"/>
      <c r="L17" s="57"/>
      <c r="M17" s="59"/>
      <c r="N17" s="59"/>
      <c r="O17" s="60"/>
      <c r="P17" s="57"/>
      <c r="S17" s="59"/>
    </row>
    <row r="18" spans="1:19" s="58" customFormat="1" ht="25">
      <c r="A18" s="358"/>
      <c r="B18" s="359"/>
      <c r="C18" s="61" t="s">
        <v>125</v>
      </c>
      <c r="D18" s="37" t="s">
        <v>25</v>
      </c>
      <c r="E18" s="221" t="s">
        <v>106</v>
      </c>
      <c r="F18" s="219">
        <f>VLOOKUP(D18,$D$135:$E$141,2,FALSE)</f>
        <v>0</v>
      </c>
      <c r="G18" s="279"/>
      <c r="H18" s="224">
        <f>H17*$G$98</f>
        <v>0</v>
      </c>
      <c r="I18" s="193"/>
      <c r="J18" s="57"/>
      <c r="K18" s="57"/>
      <c r="L18" s="57"/>
      <c r="M18" s="59"/>
      <c r="N18" s="59"/>
      <c r="O18" s="60"/>
      <c r="P18" s="57"/>
      <c r="S18" s="59"/>
    </row>
    <row r="19" spans="1:19" s="58" customFormat="1" ht="29.5" thickBot="1">
      <c r="A19" s="360"/>
      <c r="B19" s="361"/>
      <c r="C19" s="61" t="s">
        <v>126</v>
      </c>
      <c r="D19" s="37" t="s">
        <v>25</v>
      </c>
      <c r="E19" s="280" t="s">
        <v>107</v>
      </c>
      <c r="F19" s="281">
        <f>IF(D16=0,0,(1-(VLOOKUP(D19,$D$144:$G$163,2,FALSE))))</f>
        <v>1</v>
      </c>
      <c r="G19" s="282"/>
      <c r="H19" s="220"/>
      <c r="I19" s="193"/>
      <c r="J19" s="57"/>
      <c r="K19" s="57"/>
      <c r="L19" s="57"/>
      <c r="M19" s="59"/>
      <c r="N19" s="59"/>
      <c r="O19" s="60"/>
      <c r="P19" s="57"/>
      <c r="S19" s="59"/>
    </row>
    <row r="20" spans="1:19" s="58" customFormat="1" ht="19.899999999999999" customHeight="1" thickBot="1">
      <c r="A20" s="62"/>
      <c r="B20" s="226"/>
      <c r="C20" s="18"/>
      <c r="D20" s="18"/>
      <c r="E20" s="221"/>
      <c r="F20" s="70"/>
      <c r="G20" s="138" t="s">
        <v>119</v>
      </c>
      <c r="H20" s="227">
        <f>H18+H11</f>
        <v>0</v>
      </c>
      <c r="I20" s="193"/>
      <c r="J20" s="57"/>
      <c r="K20" s="57"/>
      <c r="L20" s="57"/>
      <c r="M20" s="63"/>
      <c r="N20" s="63"/>
      <c r="O20" s="64"/>
      <c r="P20" s="57"/>
      <c r="S20" s="63"/>
    </row>
    <row r="21" spans="1:19" s="58" customFormat="1" ht="15.75" customHeight="1" thickBot="1">
      <c r="A21" s="62"/>
      <c r="B21" s="226"/>
      <c r="C21" s="18"/>
      <c r="D21" s="18"/>
      <c r="E21" s="221"/>
      <c r="F21" s="70"/>
      <c r="G21" s="17"/>
      <c r="H21" s="220"/>
      <c r="I21" s="193"/>
      <c r="J21" s="57"/>
      <c r="K21" s="57"/>
      <c r="L21" s="57"/>
      <c r="M21" s="63"/>
      <c r="N21" s="63"/>
      <c r="O21" s="64"/>
      <c r="P21" s="57"/>
      <c r="S21" s="63"/>
    </row>
    <row r="22" spans="1:19" s="55" customFormat="1" ht="22.5" customHeight="1" thickBot="1">
      <c r="A22" s="348" t="s">
        <v>290</v>
      </c>
      <c r="B22" s="349"/>
      <c r="C22" s="349"/>
      <c r="D22" s="349"/>
      <c r="E22" s="349"/>
      <c r="F22" s="349"/>
      <c r="G22" s="350"/>
      <c r="H22" s="217"/>
      <c r="I22" s="195"/>
    </row>
    <row r="23" spans="1:19" s="65" customFormat="1" ht="75.5" thickBot="1">
      <c r="A23" s="354" t="s">
        <v>217</v>
      </c>
      <c r="B23" s="355"/>
      <c r="C23" s="104" t="s">
        <v>120</v>
      </c>
      <c r="D23" s="105" t="s">
        <v>121</v>
      </c>
      <c r="E23" s="351"/>
      <c r="F23" s="352"/>
      <c r="G23" s="353"/>
      <c r="H23" s="228"/>
      <c r="I23" s="196"/>
    </row>
    <row r="24" spans="1:19" s="65" customFormat="1" ht="28.5" thickBot="1">
      <c r="A24" s="344"/>
      <c r="B24" s="344"/>
      <c r="C24" s="140" t="s">
        <v>101</v>
      </c>
      <c r="D24" s="345" t="s">
        <v>22</v>
      </c>
      <c r="E24" s="345"/>
      <c r="F24" s="141" t="s">
        <v>62</v>
      </c>
      <c r="G24" s="139" t="s">
        <v>63</v>
      </c>
      <c r="H24" s="228"/>
      <c r="I24" s="196"/>
    </row>
    <row r="25" spans="1:19" s="65" customFormat="1" ht="28" thickBot="1">
      <c r="A25" s="368" t="s">
        <v>218</v>
      </c>
      <c r="B25" s="368"/>
      <c r="C25" s="368"/>
      <c r="D25" s="143"/>
      <c r="E25" s="143"/>
      <c r="F25" s="142" t="s">
        <v>149</v>
      </c>
      <c r="G25" s="39"/>
      <c r="H25" s="228"/>
      <c r="I25" s="196"/>
    </row>
    <row r="26" spans="1:19" s="65" customFormat="1" ht="25.5" thickBot="1">
      <c r="A26" s="229"/>
      <c r="B26" s="369"/>
      <c r="C26" s="75" t="s">
        <v>64</v>
      </c>
      <c r="D26" s="76" t="s">
        <v>138</v>
      </c>
      <c r="E26" s="371" t="s">
        <v>108</v>
      </c>
      <c r="F26" s="371"/>
      <c r="G26" s="103"/>
      <c r="H26" s="228"/>
      <c r="I26" s="194"/>
    </row>
    <row r="27" spans="1:19" s="65" customFormat="1">
      <c r="A27" s="229"/>
      <c r="B27" s="370"/>
      <c r="C27" s="78" t="s">
        <v>65</v>
      </c>
      <c r="D27" s="90"/>
      <c r="E27" s="79" t="s">
        <v>66</v>
      </c>
      <c r="F27" s="80">
        <v>0.36499999999999999</v>
      </c>
      <c r="G27" s="25">
        <f>D27*F27</f>
        <v>0</v>
      </c>
      <c r="H27" s="228"/>
      <c r="I27" s="196"/>
    </row>
    <row r="28" spans="1:19" s="65" customFormat="1">
      <c r="A28" s="229"/>
      <c r="B28" s="370"/>
      <c r="C28" s="22" t="s">
        <v>67</v>
      </c>
      <c r="D28" s="40"/>
      <c r="E28" s="23" t="s">
        <v>66</v>
      </c>
      <c r="F28" s="24">
        <v>0.20499999999999999</v>
      </c>
      <c r="G28" s="25">
        <f>D28*F28</f>
        <v>0</v>
      </c>
      <c r="H28" s="228"/>
      <c r="I28" s="196"/>
    </row>
    <row r="29" spans="1:19" s="65" customFormat="1" ht="14" thickBot="1">
      <c r="A29" s="229"/>
      <c r="B29" s="370"/>
      <c r="C29" s="71" t="s">
        <v>68</v>
      </c>
      <c r="D29" s="89"/>
      <c r="E29" s="72" t="s">
        <v>66</v>
      </c>
      <c r="F29" s="73">
        <v>0.20499999999999999</v>
      </c>
      <c r="G29" s="74">
        <f>D29*F29</f>
        <v>0</v>
      </c>
      <c r="H29" s="228"/>
      <c r="I29" s="196"/>
    </row>
    <row r="30" spans="1:19" s="65" customFormat="1" ht="25.5" thickBot="1">
      <c r="A30" s="229"/>
      <c r="B30" s="370"/>
      <c r="C30" s="75" t="s">
        <v>69</v>
      </c>
      <c r="D30" s="76" t="s">
        <v>138</v>
      </c>
      <c r="E30" s="374" t="s">
        <v>109</v>
      </c>
      <c r="F30" s="375"/>
      <c r="G30" s="77"/>
      <c r="H30" s="228"/>
      <c r="I30" s="196"/>
    </row>
    <row r="31" spans="1:19" s="65" customFormat="1" ht="14.5">
      <c r="A31" s="229"/>
      <c r="B31" s="370"/>
      <c r="C31" s="78" t="s">
        <v>70</v>
      </c>
      <c r="D31" s="90"/>
      <c r="E31" s="79" t="s">
        <v>110</v>
      </c>
      <c r="F31" s="80">
        <v>1.8</v>
      </c>
      <c r="G31" s="25">
        <f>D31*F31</f>
        <v>0</v>
      </c>
      <c r="H31" s="228"/>
      <c r="I31" s="196"/>
    </row>
    <row r="32" spans="1:19" s="65" customFormat="1" ht="15" thickBot="1">
      <c r="A32" s="229"/>
      <c r="B32" s="370"/>
      <c r="C32" s="71" t="s">
        <v>71</v>
      </c>
      <c r="D32" s="89"/>
      <c r="E32" s="72" t="s">
        <v>110</v>
      </c>
      <c r="F32" s="81">
        <v>2</v>
      </c>
      <c r="G32" s="74">
        <f>D32*F32</f>
        <v>0</v>
      </c>
      <c r="H32" s="228"/>
      <c r="I32" s="196"/>
    </row>
    <row r="33" spans="1:9" s="65" customFormat="1" ht="25.5" thickBot="1">
      <c r="A33" s="229"/>
      <c r="B33" s="370"/>
      <c r="C33" s="75" t="s">
        <v>72</v>
      </c>
      <c r="D33" s="76" t="s">
        <v>138</v>
      </c>
      <c r="E33" s="374" t="s">
        <v>111</v>
      </c>
      <c r="F33" s="375"/>
      <c r="G33" s="77"/>
      <c r="H33" s="228"/>
      <c r="I33" s="196"/>
    </row>
    <row r="34" spans="1:9" s="65" customFormat="1">
      <c r="A34" s="229"/>
      <c r="B34" s="370"/>
      <c r="C34" s="78" t="s">
        <v>198</v>
      </c>
      <c r="D34" s="90"/>
      <c r="E34" s="79" t="s">
        <v>73</v>
      </c>
      <c r="F34" s="82">
        <v>1.5</v>
      </c>
      <c r="G34" s="25">
        <f t="shared" ref="G34:G48" si="0">D34*F34</f>
        <v>0</v>
      </c>
      <c r="H34" s="228"/>
      <c r="I34" s="196"/>
    </row>
    <row r="35" spans="1:9" s="65" customFormat="1">
      <c r="A35" s="229"/>
      <c r="B35" s="370"/>
      <c r="C35" s="22" t="s">
        <v>74</v>
      </c>
      <c r="D35" s="40"/>
      <c r="E35" s="23" t="s">
        <v>73</v>
      </c>
      <c r="F35" s="24">
        <v>0.1</v>
      </c>
      <c r="G35" s="25">
        <f t="shared" si="0"/>
        <v>0</v>
      </c>
      <c r="H35" s="228"/>
      <c r="I35" s="196"/>
    </row>
    <row r="36" spans="1:9" s="65" customFormat="1">
      <c r="A36" s="229"/>
      <c r="B36" s="370"/>
      <c r="C36" s="22" t="s">
        <v>75</v>
      </c>
      <c r="D36" s="40"/>
      <c r="E36" s="23" t="s">
        <v>73</v>
      </c>
      <c r="F36" s="24">
        <v>0.5</v>
      </c>
      <c r="G36" s="25">
        <f t="shared" si="0"/>
        <v>0</v>
      </c>
      <c r="H36" s="228"/>
      <c r="I36" s="196"/>
    </row>
    <row r="37" spans="1:9" s="65" customFormat="1">
      <c r="A37" s="229"/>
      <c r="B37" s="370"/>
      <c r="C37" s="22" t="s">
        <v>76</v>
      </c>
      <c r="D37" s="40"/>
      <c r="E37" s="23" t="s">
        <v>73</v>
      </c>
      <c r="F37" s="24">
        <v>6.6</v>
      </c>
      <c r="G37" s="25">
        <f t="shared" si="0"/>
        <v>0</v>
      </c>
      <c r="H37" s="228"/>
      <c r="I37" s="196"/>
    </row>
    <row r="38" spans="1:9" s="65" customFormat="1">
      <c r="A38" s="229"/>
      <c r="B38" s="370"/>
      <c r="C38" s="22" t="s">
        <v>77</v>
      </c>
      <c r="D38" s="40"/>
      <c r="E38" s="23" t="s">
        <v>73</v>
      </c>
      <c r="F38" s="24">
        <v>0.3</v>
      </c>
      <c r="G38" s="25">
        <f t="shared" si="0"/>
        <v>0</v>
      </c>
      <c r="H38" s="228"/>
      <c r="I38" s="196"/>
    </row>
    <row r="39" spans="1:9" s="65" customFormat="1">
      <c r="A39" s="229"/>
      <c r="B39" s="370"/>
      <c r="C39" s="22" t="s">
        <v>78</v>
      </c>
      <c r="D39" s="40"/>
      <c r="E39" s="23" t="s">
        <v>73</v>
      </c>
      <c r="F39" s="24">
        <v>0</v>
      </c>
      <c r="G39" s="25">
        <f t="shared" si="0"/>
        <v>0</v>
      </c>
      <c r="H39" s="228"/>
      <c r="I39" s="196"/>
    </row>
    <row r="40" spans="1:9" s="65" customFormat="1">
      <c r="A40" s="229"/>
      <c r="B40" s="370"/>
      <c r="C40" s="22" t="s">
        <v>79</v>
      </c>
      <c r="D40" s="40"/>
      <c r="E40" s="23" t="s">
        <v>73</v>
      </c>
      <c r="F40" s="26">
        <v>2</v>
      </c>
      <c r="G40" s="25">
        <f t="shared" si="0"/>
        <v>0</v>
      </c>
      <c r="H40" s="228"/>
      <c r="I40" s="196"/>
    </row>
    <row r="41" spans="1:9" s="65" customFormat="1">
      <c r="A41" s="229"/>
      <c r="B41" s="370"/>
      <c r="C41" s="22" t="s">
        <v>80</v>
      </c>
      <c r="D41" s="40"/>
      <c r="E41" s="23" t="s">
        <v>73</v>
      </c>
      <c r="F41" s="26">
        <v>1</v>
      </c>
      <c r="G41" s="25">
        <f t="shared" si="0"/>
        <v>0</v>
      </c>
      <c r="H41" s="228"/>
      <c r="I41" s="196"/>
    </row>
    <row r="42" spans="1:9" s="65" customFormat="1">
      <c r="A42" s="229"/>
      <c r="B42" s="370"/>
      <c r="C42" s="22" t="s">
        <v>81</v>
      </c>
      <c r="D42" s="40"/>
      <c r="E42" s="23" t="s">
        <v>73</v>
      </c>
      <c r="F42" s="24">
        <v>0.5</v>
      </c>
      <c r="G42" s="25">
        <f t="shared" si="0"/>
        <v>0</v>
      </c>
      <c r="H42" s="228"/>
      <c r="I42" s="196"/>
    </row>
    <row r="43" spans="1:9" s="65" customFormat="1">
      <c r="A43" s="229"/>
      <c r="B43" s="370"/>
      <c r="C43" s="22" t="s">
        <v>82</v>
      </c>
      <c r="D43" s="40"/>
      <c r="E43" s="23" t="s">
        <v>73</v>
      </c>
      <c r="F43" s="24">
        <v>0</v>
      </c>
      <c r="G43" s="25">
        <f t="shared" si="0"/>
        <v>0</v>
      </c>
      <c r="H43" s="228"/>
      <c r="I43" s="196"/>
    </row>
    <row r="44" spans="1:9" s="65" customFormat="1">
      <c r="A44" s="229"/>
      <c r="B44" s="370"/>
      <c r="C44" s="22" t="s">
        <v>83</v>
      </c>
      <c r="D44" s="40"/>
      <c r="E44" s="23" t="s">
        <v>73</v>
      </c>
      <c r="F44" s="24">
        <v>0</v>
      </c>
      <c r="G44" s="25">
        <f t="shared" si="0"/>
        <v>0</v>
      </c>
      <c r="H44" s="228"/>
      <c r="I44" s="196"/>
    </row>
    <row r="45" spans="1:9" s="65" customFormat="1">
      <c r="A45" s="229"/>
      <c r="B45" s="370"/>
      <c r="C45" s="22" t="s">
        <v>84</v>
      </c>
      <c r="D45" s="40"/>
      <c r="E45" s="23" t="s">
        <v>73</v>
      </c>
      <c r="F45" s="24">
        <v>0</v>
      </c>
      <c r="G45" s="25">
        <f t="shared" si="0"/>
        <v>0</v>
      </c>
      <c r="H45" s="228"/>
      <c r="I45" s="196"/>
    </row>
    <row r="46" spans="1:9" s="65" customFormat="1">
      <c r="A46" s="229"/>
      <c r="B46" s="370"/>
      <c r="C46" s="22" t="s">
        <v>85</v>
      </c>
      <c r="D46" s="40"/>
      <c r="E46" s="23" t="s">
        <v>73</v>
      </c>
      <c r="F46" s="24">
        <v>0</v>
      </c>
      <c r="G46" s="25">
        <f t="shared" si="0"/>
        <v>0</v>
      </c>
      <c r="H46" s="228"/>
      <c r="I46" s="196"/>
    </row>
    <row r="47" spans="1:9" s="65" customFormat="1">
      <c r="A47" s="229"/>
      <c r="B47" s="370"/>
      <c r="C47" s="22" t="s">
        <v>86</v>
      </c>
      <c r="D47" s="40"/>
      <c r="E47" s="23" t="s">
        <v>73</v>
      </c>
      <c r="F47" s="24">
        <v>0.2</v>
      </c>
      <c r="G47" s="25">
        <f t="shared" si="0"/>
        <v>0</v>
      </c>
      <c r="H47" s="228"/>
      <c r="I47" s="196"/>
    </row>
    <row r="48" spans="1:9" s="65" customFormat="1" ht="14" thickBot="1">
      <c r="A48" s="229"/>
      <c r="B48" s="370"/>
      <c r="C48" s="71" t="s">
        <v>87</v>
      </c>
      <c r="D48" s="89"/>
      <c r="E48" s="72" t="s">
        <v>73</v>
      </c>
      <c r="F48" s="73">
        <v>0.1</v>
      </c>
      <c r="G48" s="74">
        <f t="shared" si="0"/>
        <v>0</v>
      </c>
      <c r="H48" s="228"/>
      <c r="I48" s="196"/>
    </row>
    <row r="49" spans="1:9" s="65" customFormat="1" ht="25.5" hidden="1" thickBot="1">
      <c r="A49" s="229"/>
      <c r="B49" s="370"/>
      <c r="C49" s="75" t="s">
        <v>88</v>
      </c>
      <c r="D49" s="76" t="s">
        <v>89</v>
      </c>
      <c r="E49" s="83" t="s">
        <v>90</v>
      </c>
      <c r="F49" s="84" t="s">
        <v>91</v>
      </c>
      <c r="G49" s="77"/>
      <c r="H49" s="228"/>
      <c r="I49" s="196"/>
    </row>
    <row r="50" spans="1:9" s="65" customFormat="1" hidden="1">
      <c r="A50" s="229"/>
      <c r="B50" s="370"/>
      <c r="C50" s="78" t="s">
        <v>92</v>
      </c>
      <c r="D50" s="183">
        <v>0</v>
      </c>
      <c r="E50" s="79" t="s">
        <v>93</v>
      </c>
      <c r="F50" s="80">
        <v>-0.11</v>
      </c>
      <c r="G50" s="25">
        <f>D50*F50</f>
        <v>0</v>
      </c>
      <c r="H50" s="228"/>
      <c r="I50" s="196"/>
    </row>
    <row r="51" spans="1:9" s="65" customFormat="1" hidden="1">
      <c r="A51" s="229"/>
      <c r="B51" s="370"/>
      <c r="C51" s="22" t="s">
        <v>94</v>
      </c>
      <c r="D51" s="184">
        <v>0</v>
      </c>
      <c r="E51" s="23" t="s">
        <v>93</v>
      </c>
      <c r="F51" s="24">
        <v>-0.04</v>
      </c>
      <c r="G51" s="25">
        <f>D51*F51</f>
        <v>0</v>
      </c>
      <c r="H51" s="228"/>
      <c r="I51" s="196"/>
    </row>
    <row r="52" spans="1:9" s="65" customFormat="1" ht="14" hidden="1" thickBot="1">
      <c r="A52" s="229"/>
      <c r="B52" s="370"/>
      <c r="C52" s="71" t="s">
        <v>95</v>
      </c>
      <c r="D52" s="185">
        <v>0</v>
      </c>
      <c r="E52" s="72" t="s">
        <v>96</v>
      </c>
      <c r="F52" s="73">
        <v>-0.11</v>
      </c>
      <c r="G52" s="74">
        <f>D52*F52</f>
        <v>0</v>
      </c>
      <c r="H52" s="228"/>
      <c r="I52" s="196"/>
    </row>
    <row r="53" spans="1:9" s="65" customFormat="1" ht="25.5" thickBot="1">
      <c r="A53" s="229"/>
      <c r="B53" s="370"/>
      <c r="C53" s="75" t="s">
        <v>97</v>
      </c>
      <c r="D53" s="76" t="s">
        <v>138</v>
      </c>
      <c r="E53" s="374" t="s">
        <v>111</v>
      </c>
      <c r="F53" s="375"/>
      <c r="G53" s="77"/>
      <c r="H53" s="228"/>
      <c r="I53" s="196"/>
    </row>
    <row r="54" spans="1:9" s="65" customFormat="1" ht="29" hidden="1">
      <c r="A54" s="229"/>
      <c r="B54" s="370"/>
      <c r="C54" s="78" t="s">
        <v>160</v>
      </c>
      <c r="D54" s="91"/>
      <c r="E54" s="79" t="s">
        <v>73</v>
      </c>
      <c r="F54" s="85">
        <v>-1</v>
      </c>
      <c r="G54" s="25">
        <f>D54*F54</f>
        <v>0</v>
      </c>
      <c r="H54" s="228"/>
      <c r="I54" s="196"/>
    </row>
    <row r="55" spans="1:9" s="65" customFormat="1" ht="25" hidden="1">
      <c r="A55" s="229"/>
      <c r="B55" s="370"/>
      <c r="C55" s="22" t="s">
        <v>98</v>
      </c>
      <c r="D55" s="41"/>
      <c r="E55" s="23"/>
      <c r="F55" s="26"/>
      <c r="G55" s="25"/>
      <c r="H55" s="228"/>
      <c r="I55" s="196"/>
    </row>
    <row r="56" spans="1:9" s="65" customFormat="1" ht="25" hidden="1">
      <c r="A56" s="229"/>
      <c r="B56" s="370"/>
      <c r="C56" s="22" t="s">
        <v>99</v>
      </c>
      <c r="D56" s="41"/>
      <c r="E56" s="23"/>
      <c r="F56" s="26"/>
      <c r="G56" s="25"/>
      <c r="H56" s="228"/>
      <c r="I56" s="196"/>
    </row>
    <row r="57" spans="1:9" s="65" customFormat="1" ht="17" thickBot="1">
      <c r="A57" s="229"/>
      <c r="B57" s="370"/>
      <c r="C57" s="22" t="s">
        <v>112</v>
      </c>
      <c r="D57" s="92"/>
      <c r="E57" s="72" t="s">
        <v>73</v>
      </c>
      <c r="F57" s="73">
        <v>0.5</v>
      </c>
      <c r="G57" s="74">
        <f>D57*F57</f>
        <v>0</v>
      </c>
      <c r="H57" s="228"/>
      <c r="I57" s="194"/>
    </row>
    <row r="58" spans="1:9" s="65" customFormat="1" ht="31.5" customHeight="1" thickBot="1">
      <c r="A58" s="229"/>
      <c r="B58" s="370"/>
      <c r="C58" s="27"/>
      <c r="D58" s="372" t="s">
        <v>306</v>
      </c>
      <c r="E58" s="376"/>
      <c r="F58" s="86"/>
      <c r="G58" s="87" cm="1">
        <f t="array" ref="G58">SUM((G27:G57)*'3.Prijsinvulformulier 2030-2033'!F15)*4</f>
        <v>0</v>
      </c>
      <c r="H58" s="228"/>
      <c r="I58" s="197"/>
    </row>
    <row r="59" spans="1:9" s="65" customFormat="1" ht="225.75" customHeight="1" thickBot="1">
      <c r="A59" s="229"/>
      <c r="B59" s="370"/>
      <c r="C59" s="28" t="s">
        <v>199</v>
      </c>
      <c r="D59" s="377" t="s">
        <v>200</v>
      </c>
      <c r="E59" s="378"/>
      <c r="F59" s="80"/>
      <c r="G59" s="146">
        <v>100</v>
      </c>
      <c r="H59" s="228"/>
      <c r="I59" s="198"/>
    </row>
    <row r="60" spans="1:9" s="65" customFormat="1" ht="14" thickBot="1">
      <c r="A60" s="229"/>
      <c r="B60" s="370"/>
      <c r="C60" s="88"/>
      <c r="D60" s="372" t="s">
        <v>100</v>
      </c>
      <c r="E60" s="373"/>
      <c r="F60" s="106"/>
      <c r="G60" s="107">
        <f>-(G58*G59/1000)</f>
        <v>0</v>
      </c>
      <c r="H60" s="228"/>
      <c r="I60" s="196"/>
    </row>
    <row r="61" spans="1:9" s="55" customFormat="1" ht="14.5" thickBot="1">
      <c r="A61" s="16"/>
      <c r="B61" s="230"/>
      <c r="C61" s="230" t="s">
        <v>47</v>
      </c>
      <c r="D61" s="218"/>
      <c r="E61" s="108" t="s">
        <v>104</v>
      </c>
      <c r="F61" s="109"/>
      <c r="G61" s="110">
        <f>G60/(15424*4)</f>
        <v>0</v>
      </c>
      <c r="H61" s="217"/>
      <c r="I61" s="199"/>
    </row>
    <row r="62" spans="1:9" s="65" customFormat="1" ht="63" thickBot="1">
      <c r="A62" s="390" t="s">
        <v>219</v>
      </c>
      <c r="B62" s="391"/>
      <c r="C62" s="283" t="s">
        <v>220</v>
      </c>
      <c r="D62" s="284" t="s">
        <v>121</v>
      </c>
      <c r="E62" s="392"/>
      <c r="F62" s="393"/>
      <c r="G62" s="394"/>
      <c r="H62" s="228"/>
      <c r="I62" s="196"/>
    </row>
    <row r="63" spans="1:9" s="65" customFormat="1" ht="28.5" thickBot="1">
      <c r="A63" s="395"/>
      <c r="B63" s="395"/>
      <c r="C63" s="285" t="s">
        <v>101</v>
      </c>
      <c r="D63" s="396" t="s">
        <v>22</v>
      </c>
      <c r="E63" s="396"/>
      <c r="F63" s="286" t="s">
        <v>62</v>
      </c>
      <c r="G63" s="142" t="s">
        <v>63</v>
      </c>
      <c r="H63" s="228"/>
      <c r="I63" s="196"/>
    </row>
    <row r="64" spans="1:9" s="65" customFormat="1" ht="28" thickBot="1">
      <c r="A64" s="397" t="s">
        <v>221</v>
      </c>
      <c r="B64" s="398"/>
      <c r="C64" s="399"/>
      <c r="D64" s="287"/>
      <c r="E64" s="288"/>
      <c r="F64" s="289" t="s">
        <v>149</v>
      </c>
      <c r="G64" s="290"/>
      <c r="H64" s="228"/>
      <c r="I64" s="196"/>
    </row>
    <row r="65" spans="1:9" s="65" customFormat="1" ht="25.5" thickBot="1">
      <c r="A65" s="229"/>
      <c r="B65" s="369" t="s">
        <v>222</v>
      </c>
      <c r="C65" s="75" t="s">
        <v>64</v>
      </c>
      <c r="D65" s="76" t="s">
        <v>138</v>
      </c>
      <c r="E65" s="374" t="s">
        <v>108</v>
      </c>
      <c r="F65" s="401"/>
      <c r="G65" s="291"/>
      <c r="H65" s="228"/>
      <c r="I65" s="196"/>
    </row>
    <row r="66" spans="1:9" s="65" customFormat="1">
      <c r="A66" s="229"/>
      <c r="B66" s="370"/>
      <c r="C66" s="78" t="s">
        <v>65</v>
      </c>
      <c r="D66" s="90"/>
      <c r="E66" s="79" t="s">
        <v>66</v>
      </c>
      <c r="F66" s="80">
        <v>0.36499999999999999</v>
      </c>
      <c r="G66" s="25">
        <f>D66*F66</f>
        <v>0</v>
      </c>
      <c r="H66" s="228"/>
      <c r="I66" s="196"/>
    </row>
    <row r="67" spans="1:9" s="65" customFormat="1">
      <c r="A67" s="229"/>
      <c r="B67" s="370"/>
      <c r="C67" s="22" t="s">
        <v>67</v>
      </c>
      <c r="D67" s="40"/>
      <c r="E67" s="23" t="s">
        <v>66</v>
      </c>
      <c r="F67" s="24">
        <v>0.20499999999999999</v>
      </c>
      <c r="G67" s="25">
        <f>D67*F67</f>
        <v>0</v>
      </c>
      <c r="H67" s="228"/>
      <c r="I67" s="196"/>
    </row>
    <row r="68" spans="1:9" s="65" customFormat="1" ht="14" thickBot="1">
      <c r="A68" s="229"/>
      <c r="B68" s="370"/>
      <c r="C68" s="71" t="s">
        <v>68</v>
      </c>
      <c r="D68" s="89"/>
      <c r="E68" s="72" t="s">
        <v>66</v>
      </c>
      <c r="F68" s="73">
        <v>0.20499999999999999</v>
      </c>
      <c r="G68" s="25">
        <f>D68*F68</f>
        <v>0</v>
      </c>
      <c r="H68" s="228"/>
      <c r="I68" s="196"/>
    </row>
    <row r="69" spans="1:9" s="65" customFormat="1" ht="25.5" thickBot="1">
      <c r="A69" s="229"/>
      <c r="B69" s="370"/>
      <c r="C69" s="75" t="s">
        <v>69</v>
      </c>
      <c r="D69" s="76" t="s">
        <v>138</v>
      </c>
      <c r="E69" s="374" t="s">
        <v>109</v>
      </c>
      <c r="F69" s="401"/>
      <c r="G69" s="292"/>
      <c r="H69" s="228"/>
      <c r="I69" s="196"/>
    </row>
    <row r="70" spans="1:9" s="65" customFormat="1" ht="14.5">
      <c r="A70" s="229"/>
      <c r="B70" s="370"/>
      <c r="C70" s="78" t="s">
        <v>70</v>
      </c>
      <c r="D70" s="90"/>
      <c r="E70" s="79" t="s">
        <v>110</v>
      </c>
      <c r="F70" s="80">
        <v>1.8</v>
      </c>
      <c r="G70" s="25">
        <f>D70*F70</f>
        <v>0</v>
      </c>
      <c r="H70" s="228"/>
      <c r="I70" s="196"/>
    </row>
    <row r="71" spans="1:9" s="65" customFormat="1" ht="15" thickBot="1">
      <c r="A71" s="229"/>
      <c r="B71" s="370"/>
      <c r="C71" s="71" t="s">
        <v>71</v>
      </c>
      <c r="D71" s="89"/>
      <c r="E71" s="72" t="s">
        <v>110</v>
      </c>
      <c r="F71" s="81">
        <v>2</v>
      </c>
      <c r="G71" s="25">
        <f>D71*F71</f>
        <v>0</v>
      </c>
      <c r="H71" s="228"/>
      <c r="I71" s="196"/>
    </row>
    <row r="72" spans="1:9" s="65" customFormat="1" ht="25.5" thickBot="1">
      <c r="A72" s="229"/>
      <c r="B72" s="370"/>
      <c r="C72" s="75" t="s">
        <v>72</v>
      </c>
      <c r="D72" s="76" t="s">
        <v>138</v>
      </c>
      <c r="E72" s="374" t="s">
        <v>111</v>
      </c>
      <c r="F72" s="401"/>
      <c r="G72" s="292"/>
      <c r="H72" s="228"/>
      <c r="I72" s="196"/>
    </row>
    <row r="73" spans="1:9" s="65" customFormat="1">
      <c r="A73" s="229"/>
      <c r="B73" s="370"/>
      <c r="C73" s="78" t="s">
        <v>198</v>
      </c>
      <c r="D73" s="90"/>
      <c r="E73" s="79" t="s">
        <v>73</v>
      </c>
      <c r="F73" s="82">
        <v>1.5</v>
      </c>
      <c r="G73" s="25">
        <f>D73*F73</f>
        <v>0</v>
      </c>
      <c r="H73" s="228"/>
      <c r="I73" s="196"/>
    </row>
    <row r="74" spans="1:9" s="65" customFormat="1">
      <c r="A74" s="229"/>
      <c r="B74" s="370"/>
      <c r="C74" s="22" t="s">
        <v>74</v>
      </c>
      <c r="D74" s="40"/>
      <c r="E74" s="23" t="s">
        <v>73</v>
      </c>
      <c r="F74" s="24">
        <v>0.1</v>
      </c>
      <c r="G74" s="25">
        <f t="shared" ref="G74:G87" si="1">D74*F74</f>
        <v>0</v>
      </c>
      <c r="H74" s="228"/>
      <c r="I74" s="196"/>
    </row>
    <row r="75" spans="1:9" s="65" customFormat="1">
      <c r="A75" s="229"/>
      <c r="B75" s="370"/>
      <c r="C75" s="22" t="s">
        <v>75</v>
      </c>
      <c r="D75" s="40"/>
      <c r="E75" s="23" t="s">
        <v>73</v>
      </c>
      <c r="F75" s="24">
        <v>0.5</v>
      </c>
      <c r="G75" s="25">
        <f t="shared" si="1"/>
        <v>0</v>
      </c>
      <c r="H75" s="228"/>
      <c r="I75" s="196"/>
    </row>
    <row r="76" spans="1:9" s="65" customFormat="1">
      <c r="A76" s="229"/>
      <c r="B76" s="370"/>
      <c r="C76" s="22" t="s">
        <v>76</v>
      </c>
      <c r="D76" s="40"/>
      <c r="E76" s="23" t="s">
        <v>73</v>
      </c>
      <c r="F76" s="24">
        <v>6.6</v>
      </c>
      <c r="G76" s="25">
        <f t="shared" si="1"/>
        <v>0</v>
      </c>
      <c r="H76" s="228"/>
      <c r="I76" s="196"/>
    </row>
    <row r="77" spans="1:9" s="65" customFormat="1">
      <c r="A77" s="229"/>
      <c r="B77" s="370"/>
      <c r="C77" s="22" t="s">
        <v>77</v>
      </c>
      <c r="D77" s="40"/>
      <c r="E77" s="23" t="s">
        <v>73</v>
      </c>
      <c r="F77" s="24">
        <v>0.3</v>
      </c>
      <c r="G77" s="25">
        <f t="shared" si="1"/>
        <v>0</v>
      </c>
      <c r="H77" s="228"/>
      <c r="I77" s="196"/>
    </row>
    <row r="78" spans="1:9" s="65" customFormat="1">
      <c r="A78" s="229"/>
      <c r="B78" s="370"/>
      <c r="C78" s="22" t="s">
        <v>78</v>
      </c>
      <c r="D78" s="40"/>
      <c r="E78" s="23" t="s">
        <v>73</v>
      </c>
      <c r="F78" s="24">
        <v>0</v>
      </c>
      <c r="G78" s="25">
        <f t="shared" si="1"/>
        <v>0</v>
      </c>
      <c r="H78" s="228"/>
      <c r="I78" s="196"/>
    </row>
    <row r="79" spans="1:9" s="65" customFormat="1">
      <c r="A79" s="229"/>
      <c r="B79" s="370"/>
      <c r="C79" s="22" t="s">
        <v>79</v>
      </c>
      <c r="D79" s="40"/>
      <c r="E79" s="23" t="s">
        <v>73</v>
      </c>
      <c r="F79" s="26">
        <v>2</v>
      </c>
      <c r="G79" s="25">
        <f t="shared" si="1"/>
        <v>0</v>
      </c>
      <c r="H79" s="228"/>
      <c r="I79" s="196"/>
    </row>
    <row r="80" spans="1:9" s="65" customFormat="1">
      <c r="A80" s="229"/>
      <c r="B80" s="370"/>
      <c r="C80" s="22" t="s">
        <v>80</v>
      </c>
      <c r="D80" s="40"/>
      <c r="E80" s="23" t="s">
        <v>73</v>
      </c>
      <c r="F80" s="26">
        <v>1</v>
      </c>
      <c r="G80" s="25">
        <f t="shared" si="1"/>
        <v>0</v>
      </c>
      <c r="H80" s="228"/>
      <c r="I80" s="196"/>
    </row>
    <row r="81" spans="1:9" s="65" customFormat="1">
      <c r="A81" s="229"/>
      <c r="B81" s="370"/>
      <c r="C81" s="22" t="s">
        <v>81</v>
      </c>
      <c r="D81" s="40"/>
      <c r="E81" s="23" t="s">
        <v>73</v>
      </c>
      <c r="F81" s="24">
        <v>0.5</v>
      </c>
      <c r="G81" s="25">
        <f t="shared" si="1"/>
        <v>0</v>
      </c>
      <c r="H81" s="228"/>
      <c r="I81" s="196"/>
    </row>
    <row r="82" spans="1:9" s="65" customFormat="1">
      <c r="A82" s="229"/>
      <c r="B82" s="370"/>
      <c r="C82" s="22" t="s">
        <v>82</v>
      </c>
      <c r="D82" s="40"/>
      <c r="E82" s="23" t="s">
        <v>73</v>
      </c>
      <c r="F82" s="24">
        <v>0</v>
      </c>
      <c r="G82" s="25">
        <f t="shared" si="1"/>
        <v>0</v>
      </c>
      <c r="H82" s="228"/>
      <c r="I82" s="196"/>
    </row>
    <row r="83" spans="1:9" s="65" customFormat="1">
      <c r="A83" s="229"/>
      <c r="B83" s="370"/>
      <c r="C83" s="22" t="s">
        <v>83</v>
      </c>
      <c r="D83" s="40"/>
      <c r="E83" s="23" t="s">
        <v>73</v>
      </c>
      <c r="F83" s="24">
        <v>0</v>
      </c>
      <c r="G83" s="25">
        <f t="shared" si="1"/>
        <v>0</v>
      </c>
      <c r="H83" s="228"/>
      <c r="I83" s="196"/>
    </row>
    <row r="84" spans="1:9" s="65" customFormat="1">
      <c r="A84" s="229"/>
      <c r="B84" s="370"/>
      <c r="C84" s="22" t="s">
        <v>84</v>
      </c>
      <c r="D84" s="40"/>
      <c r="E84" s="23" t="s">
        <v>73</v>
      </c>
      <c r="F84" s="24">
        <v>0</v>
      </c>
      <c r="G84" s="25">
        <f t="shared" si="1"/>
        <v>0</v>
      </c>
      <c r="H84" s="228"/>
      <c r="I84" s="196"/>
    </row>
    <row r="85" spans="1:9" s="65" customFormat="1">
      <c r="A85" s="229"/>
      <c r="B85" s="370"/>
      <c r="C85" s="22" t="s">
        <v>85</v>
      </c>
      <c r="D85" s="40"/>
      <c r="E85" s="23" t="s">
        <v>73</v>
      </c>
      <c r="F85" s="24">
        <v>0</v>
      </c>
      <c r="G85" s="25">
        <f t="shared" si="1"/>
        <v>0</v>
      </c>
      <c r="H85" s="228"/>
      <c r="I85" s="196"/>
    </row>
    <row r="86" spans="1:9" s="65" customFormat="1">
      <c r="A86" s="229"/>
      <c r="B86" s="370"/>
      <c r="C86" s="22" t="s">
        <v>86</v>
      </c>
      <c r="D86" s="40"/>
      <c r="E86" s="23" t="s">
        <v>73</v>
      </c>
      <c r="F86" s="24">
        <v>0.2</v>
      </c>
      <c r="G86" s="25">
        <f t="shared" si="1"/>
        <v>0</v>
      </c>
      <c r="H86" s="228"/>
      <c r="I86" s="196"/>
    </row>
    <row r="87" spans="1:9" s="65" customFormat="1" ht="14" thickBot="1">
      <c r="A87" s="229"/>
      <c r="B87" s="370"/>
      <c r="C87" s="71" t="s">
        <v>87</v>
      </c>
      <c r="D87" s="89"/>
      <c r="E87" s="72" t="s">
        <v>73</v>
      </c>
      <c r="F87" s="73">
        <v>0.1</v>
      </c>
      <c r="G87" s="74">
        <f t="shared" si="1"/>
        <v>0</v>
      </c>
      <c r="H87" s="228"/>
      <c r="I87" s="196"/>
    </row>
    <row r="88" spans="1:9" s="65" customFormat="1" ht="25.5" hidden="1" thickBot="1">
      <c r="A88" s="229"/>
      <c r="B88" s="370"/>
      <c r="C88" s="75" t="s">
        <v>88</v>
      </c>
      <c r="D88" s="76" t="s">
        <v>89</v>
      </c>
      <c r="E88" s="83" t="s">
        <v>90</v>
      </c>
      <c r="F88" s="84" t="s">
        <v>91</v>
      </c>
      <c r="G88" s="77"/>
      <c r="H88" s="228"/>
      <c r="I88" s="196"/>
    </row>
    <row r="89" spans="1:9" s="65" customFormat="1" ht="14" hidden="1" thickBot="1">
      <c r="A89" s="229"/>
      <c r="B89" s="370"/>
      <c r="C89" s="78" t="s">
        <v>92</v>
      </c>
      <c r="D89" s="293"/>
      <c r="E89" s="79" t="s">
        <v>93</v>
      </c>
      <c r="F89" s="80">
        <v>-0.11</v>
      </c>
      <c r="G89" s="25">
        <f>D89*F89</f>
        <v>0</v>
      </c>
      <c r="H89" s="228"/>
      <c r="I89" s="196"/>
    </row>
    <row r="90" spans="1:9" s="65" customFormat="1" ht="14" hidden="1" thickBot="1">
      <c r="A90" s="229"/>
      <c r="B90" s="370"/>
      <c r="C90" s="22" t="s">
        <v>94</v>
      </c>
      <c r="D90" s="294">
        <v>0</v>
      </c>
      <c r="E90" s="23" t="s">
        <v>93</v>
      </c>
      <c r="F90" s="24">
        <v>-0.04</v>
      </c>
      <c r="G90" s="25">
        <f>D90*F90</f>
        <v>0</v>
      </c>
      <c r="H90" s="228"/>
      <c r="I90" s="196"/>
    </row>
    <row r="91" spans="1:9" s="65" customFormat="1" ht="14" hidden="1" thickBot="1">
      <c r="A91" s="229"/>
      <c r="B91" s="370"/>
      <c r="C91" s="71" t="s">
        <v>95</v>
      </c>
      <c r="D91" s="295">
        <v>0</v>
      </c>
      <c r="E91" s="72" t="s">
        <v>96</v>
      </c>
      <c r="F91" s="73">
        <v>-0.11</v>
      </c>
      <c r="G91" s="74">
        <f>D91*F91</f>
        <v>0</v>
      </c>
      <c r="H91" s="228"/>
      <c r="I91" s="196"/>
    </row>
    <row r="92" spans="1:9" s="65" customFormat="1" ht="25.5" thickBot="1">
      <c r="A92" s="229"/>
      <c r="B92" s="370"/>
      <c r="C92" s="75" t="s">
        <v>97</v>
      </c>
      <c r="D92" s="76" t="s">
        <v>223</v>
      </c>
      <c r="E92" s="374" t="s">
        <v>111</v>
      </c>
      <c r="F92" s="375"/>
      <c r="G92" s="77"/>
      <c r="H92" s="228"/>
      <c r="I92" s="196"/>
    </row>
    <row r="93" spans="1:9" s="65" customFormat="1" ht="29" hidden="1">
      <c r="A93" s="229"/>
      <c r="B93" s="370"/>
      <c r="C93" s="78" t="s">
        <v>160</v>
      </c>
      <c r="D93" s="91"/>
      <c r="E93" s="79" t="s">
        <v>73</v>
      </c>
      <c r="F93" s="85">
        <v>-1</v>
      </c>
      <c r="G93" s="25">
        <f>D93*F93</f>
        <v>0</v>
      </c>
      <c r="H93" s="228"/>
      <c r="I93" s="196"/>
    </row>
    <row r="94" spans="1:9" s="65" customFormat="1" ht="25" hidden="1">
      <c r="A94" s="229"/>
      <c r="B94" s="370"/>
      <c r="C94" s="22" t="s">
        <v>98</v>
      </c>
      <c r="D94" s="41"/>
      <c r="E94" s="23"/>
      <c r="F94" s="26"/>
      <c r="G94" s="25"/>
      <c r="H94" s="228"/>
      <c r="I94" s="196"/>
    </row>
    <row r="95" spans="1:9" s="65" customFormat="1" ht="25" hidden="1">
      <c r="A95" s="229"/>
      <c r="B95" s="370"/>
      <c r="C95" s="22" t="s">
        <v>99</v>
      </c>
      <c r="D95" s="41"/>
      <c r="E95" s="23"/>
      <c r="F95" s="26"/>
      <c r="G95" s="25"/>
      <c r="H95" s="228"/>
      <c r="I95" s="196"/>
    </row>
    <row r="96" spans="1:9" s="65" customFormat="1" ht="17" thickBot="1">
      <c r="A96" s="229"/>
      <c r="B96" s="370"/>
      <c r="C96" s="22" t="s">
        <v>112</v>
      </c>
      <c r="D96" s="92"/>
      <c r="E96" s="72" t="s">
        <v>73</v>
      </c>
      <c r="F96" s="73">
        <v>0.5</v>
      </c>
      <c r="G96" s="74">
        <f>D96*F96</f>
        <v>0</v>
      </c>
      <c r="H96" s="228"/>
      <c r="I96" s="196"/>
    </row>
    <row r="97" spans="1:9" s="65" customFormat="1" ht="31.5" customHeight="1" thickBot="1">
      <c r="A97" s="229"/>
      <c r="B97" s="370"/>
      <c r="C97" s="27"/>
      <c r="D97" s="372" t="s">
        <v>306</v>
      </c>
      <c r="E97" s="400"/>
      <c r="F97" s="296"/>
      <c r="G97" s="87" cm="1">
        <f t="array" ref="G97">SUM((G66:G96)*'3.Prijsinvulformulier 2030-2033'!F20)*4</f>
        <v>0</v>
      </c>
      <c r="H97" s="228"/>
      <c r="I97" s="197"/>
    </row>
    <row r="98" spans="1:9" s="65" customFormat="1" ht="206.25" customHeight="1" thickBot="1">
      <c r="A98" s="229"/>
      <c r="B98" s="370"/>
      <c r="C98" s="28" t="s">
        <v>199</v>
      </c>
      <c r="D98" s="377" t="s">
        <v>200</v>
      </c>
      <c r="E98" s="378"/>
      <c r="F98" s="297"/>
      <c r="G98" s="146">
        <v>100</v>
      </c>
      <c r="H98" s="228"/>
      <c r="I98" s="198"/>
    </row>
    <row r="99" spans="1:9" s="65" customFormat="1" ht="14" thickBot="1">
      <c r="A99" s="229"/>
      <c r="B99" s="370"/>
      <c r="C99" s="88"/>
      <c r="D99" s="372" t="s">
        <v>100</v>
      </c>
      <c r="E99" s="376"/>
      <c r="F99" s="298"/>
      <c r="G99" s="299">
        <f>-(G97*G98/1000)</f>
        <v>0</v>
      </c>
      <c r="H99" s="228"/>
      <c r="I99" s="196"/>
    </row>
    <row r="100" spans="1:9" s="55" customFormat="1" ht="14.5" thickBot="1">
      <c r="A100" s="16"/>
      <c r="B100" s="230"/>
      <c r="C100" s="230" t="s">
        <v>47</v>
      </c>
      <c r="D100" s="218"/>
      <c r="E100" s="300" t="s">
        <v>104</v>
      </c>
      <c r="F100" s="218"/>
      <c r="G100" s="301">
        <f>G99/(10524*4)</f>
        <v>0</v>
      </c>
      <c r="H100" s="217"/>
      <c r="I100" s="302"/>
    </row>
    <row r="101" spans="1:9" s="55" customFormat="1" ht="14.5" thickBot="1">
      <c r="A101" s="16"/>
      <c r="B101" s="230"/>
      <c r="C101" s="230"/>
      <c r="D101" s="218"/>
      <c r="E101" s="218"/>
      <c r="F101" s="218"/>
      <c r="G101" s="144" t="s">
        <v>122</v>
      </c>
      <c r="H101" s="231">
        <f>G60+G99</f>
        <v>0</v>
      </c>
      <c r="I101" s="195"/>
    </row>
    <row r="102" spans="1:9" s="55" customFormat="1" ht="14">
      <c r="A102" s="66"/>
      <c r="B102" s="232"/>
      <c r="C102" s="232"/>
      <c r="D102" s="233"/>
      <c r="E102" s="233"/>
      <c r="F102" s="233"/>
      <c r="G102" s="56"/>
      <c r="H102" s="216"/>
      <c r="I102" s="195"/>
    </row>
    <row r="103" spans="1:9" ht="2.25" customHeight="1">
      <c r="A103" s="234"/>
      <c r="C103" s="235"/>
      <c r="D103" s="236"/>
      <c r="E103" s="237"/>
      <c r="F103" s="237"/>
      <c r="G103" s="237"/>
      <c r="H103" s="238"/>
    </row>
    <row r="104" spans="1:9" hidden="1">
      <c r="A104" s="234"/>
      <c r="C104" s="235"/>
      <c r="D104" s="239" t="s">
        <v>23</v>
      </c>
      <c r="E104" s="237">
        <v>0</v>
      </c>
      <c r="F104" s="237"/>
      <c r="G104" s="237"/>
      <c r="H104" s="238"/>
    </row>
    <row r="105" spans="1:9" hidden="1">
      <c r="A105" s="234"/>
      <c r="C105" s="235"/>
      <c r="D105" s="240" t="s">
        <v>24</v>
      </c>
      <c r="E105" s="237">
        <v>0</v>
      </c>
      <c r="F105" s="237"/>
      <c r="G105" s="237"/>
      <c r="H105" s="238"/>
    </row>
    <row r="106" spans="1:9" hidden="1">
      <c r="A106" s="234"/>
      <c r="C106" s="235"/>
      <c r="D106" s="239" t="s">
        <v>103</v>
      </c>
      <c r="E106" s="237">
        <v>0.33</v>
      </c>
      <c r="F106" s="237"/>
      <c r="G106" s="237"/>
      <c r="H106" s="238"/>
    </row>
    <row r="107" spans="1:9" hidden="1">
      <c r="A107" s="234"/>
      <c r="C107" s="235"/>
      <c r="D107" s="239" t="s">
        <v>102</v>
      </c>
      <c r="E107" s="237">
        <v>0.67</v>
      </c>
      <c r="F107" s="237"/>
      <c r="G107" s="237"/>
      <c r="H107" s="238"/>
    </row>
    <row r="108" spans="1:9" hidden="1">
      <c r="A108" s="234"/>
      <c r="C108" s="235"/>
      <c r="D108" s="239" t="s">
        <v>44</v>
      </c>
      <c r="E108" s="237">
        <v>1</v>
      </c>
      <c r="F108" s="237"/>
      <c r="G108" s="237"/>
      <c r="H108" s="238"/>
    </row>
    <row r="109" spans="1:9" hidden="1">
      <c r="A109" s="234"/>
      <c r="C109" s="235"/>
      <c r="D109" s="239"/>
      <c r="E109" s="237"/>
      <c r="F109" s="237"/>
      <c r="G109" s="237"/>
      <c r="H109" s="238"/>
    </row>
    <row r="110" spans="1:9" hidden="1">
      <c r="A110" s="234"/>
      <c r="C110" s="235"/>
      <c r="D110" s="239"/>
      <c r="E110" s="237"/>
      <c r="F110" s="237"/>
      <c r="G110" s="237"/>
      <c r="H110" s="238"/>
    </row>
    <row r="111" spans="1:9" hidden="1">
      <c r="A111" s="234"/>
      <c r="C111" s="235"/>
      <c r="D111" s="236"/>
      <c r="E111" s="237"/>
      <c r="F111" s="237"/>
      <c r="G111" s="237"/>
      <c r="H111" s="238"/>
    </row>
    <row r="112" spans="1:9" ht="2.25" hidden="1" customHeight="1">
      <c r="A112" s="234"/>
      <c r="C112" s="235"/>
      <c r="D112" s="236"/>
      <c r="E112" s="237"/>
      <c r="F112" s="237"/>
      <c r="G112" s="237"/>
      <c r="H112" s="238"/>
    </row>
    <row r="113" spans="1:8" hidden="1">
      <c r="A113" s="234"/>
      <c r="C113" s="235"/>
      <c r="D113" s="239" t="s">
        <v>23</v>
      </c>
      <c r="E113" s="237">
        <v>0</v>
      </c>
      <c r="F113" s="237"/>
      <c r="G113" s="237"/>
      <c r="H113" s="238"/>
    </row>
    <row r="114" spans="1:8" hidden="1">
      <c r="A114" s="234"/>
      <c r="C114" s="235"/>
      <c r="D114" s="240" t="s">
        <v>37</v>
      </c>
      <c r="E114" s="237">
        <v>0</v>
      </c>
      <c r="F114" s="237"/>
      <c r="G114" s="237"/>
      <c r="H114" s="238"/>
    </row>
    <row r="115" spans="1:8" hidden="1">
      <c r="A115" s="234"/>
      <c r="C115" s="235"/>
      <c r="D115" s="239" t="s">
        <v>38</v>
      </c>
      <c r="E115" s="237">
        <v>0.2</v>
      </c>
      <c r="F115" s="237"/>
      <c r="G115" s="237"/>
      <c r="H115" s="238"/>
    </row>
    <row r="116" spans="1:8" hidden="1">
      <c r="A116" s="234"/>
      <c r="C116" s="235"/>
      <c r="D116" s="239" t="s">
        <v>39</v>
      </c>
      <c r="E116" s="237">
        <v>0.4</v>
      </c>
      <c r="F116" s="237"/>
      <c r="G116" s="237"/>
      <c r="H116" s="238"/>
    </row>
    <row r="117" spans="1:8" hidden="1">
      <c r="A117" s="234"/>
      <c r="C117" s="235"/>
      <c r="D117" s="239" t="s">
        <v>40</v>
      </c>
      <c r="E117" s="237">
        <v>0.6</v>
      </c>
      <c r="F117" s="237"/>
      <c r="G117" s="237"/>
      <c r="H117" s="238"/>
    </row>
    <row r="118" spans="1:8" hidden="1">
      <c r="A118" s="234"/>
      <c r="C118" s="235"/>
      <c r="D118" s="239" t="s">
        <v>41</v>
      </c>
      <c r="E118" s="237">
        <v>0.8</v>
      </c>
      <c r="F118" s="237"/>
      <c r="G118" s="237"/>
      <c r="H118" s="238"/>
    </row>
    <row r="119" spans="1:8" hidden="1">
      <c r="A119" s="234"/>
      <c r="C119" s="235"/>
      <c r="D119" s="239" t="s">
        <v>42</v>
      </c>
      <c r="E119" s="237">
        <v>1</v>
      </c>
      <c r="F119" s="237"/>
      <c r="G119" s="237"/>
      <c r="H119" s="238"/>
    </row>
    <row r="120" spans="1:8" ht="2.25" hidden="1" customHeight="1">
      <c r="A120" s="234"/>
      <c r="C120" s="235"/>
      <c r="D120" s="236"/>
      <c r="E120" s="237"/>
      <c r="F120" s="237"/>
      <c r="G120" s="241"/>
      <c r="H120" s="238"/>
    </row>
    <row r="121" spans="1:8" hidden="1">
      <c r="A121" s="234"/>
      <c r="C121" s="235"/>
      <c r="D121" s="236" t="s">
        <v>23</v>
      </c>
      <c r="E121" s="237" t="s">
        <v>25</v>
      </c>
      <c r="F121" s="237">
        <v>0</v>
      </c>
      <c r="G121" s="242" t="e">
        <f>#REF!*((1+0.25)/2)</f>
        <v>#REF!</v>
      </c>
      <c r="H121" s="238"/>
    </row>
    <row r="122" spans="1:8" ht="27" hidden="1">
      <c r="A122" s="234"/>
      <c r="B122" s="236" t="s">
        <v>23</v>
      </c>
      <c r="C122" s="54">
        <v>0</v>
      </c>
      <c r="D122" s="236" t="s">
        <v>26</v>
      </c>
      <c r="E122" s="237" t="s">
        <v>27</v>
      </c>
      <c r="F122" s="237">
        <v>0</v>
      </c>
      <c r="G122" s="241"/>
      <c r="H122" s="238"/>
    </row>
    <row r="123" spans="1:8" ht="27" hidden="1">
      <c r="A123" s="234"/>
      <c r="B123" s="243" t="s">
        <v>28</v>
      </c>
      <c r="C123" s="54">
        <v>0.25</v>
      </c>
      <c r="D123" s="236" t="s">
        <v>29</v>
      </c>
      <c r="E123" s="237" t="s">
        <v>30</v>
      </c>
      <c r="F123" s="237">
        <v>1</v>
      </c>
      <c r="G123" s="241"/>
      <c r="H123" s="238"/>
    </row>
    <row r="124" spans="1:8" ht="67.5" hidden="1">
      <c r="A124" s="234"/>
      <c r="B124" s="243" t="s">
        <v>31</v>
      </c>
      <c r="C124" s="54">
        <v>0.5</v>
      </c>
      <c r="D124" s="244"/>
      <c r="E124" s="237" t="s">
        <v>32</v>
      </c>
      <c r="F124" s="237">
        <v>0.75</v>
      </c>
      <c r="G124" s="241"/>
      <c r="H124" s="238"/>
    </row>
    <row r="125" spans="1:8" ht="67.5" hidden="1">
      <c r="A125" s="234"/>
      <c r="B125" s="243" t="s">
        <v>33</v>
      </c>
      <c r="C125" s="54">
        <v>0.75</v>
      </c>
      <c r="D125" s="244"/>
      <c r="E125" s="237" t="s">
        <v>34</v>
      </c>
      <c r="F125" s="237">
        <v>0.5</v>
      </c>
      <c r="G125" s="241"/>
      <c r="H125" s="238"/>
    </row>
    <row r="126" spans="1:8" hidden="1">
      <c r="A126" s="234"/>
      <c r="B126" s="243" t="s">
        <v>35</v>
      </c>
      <c r="C126" s="54">
        <v>1</v>
      </c>
      <c r="D126" s="236"/>
      <c r="E126" s="237"/>
      <c r="F126" s="237"/>
      <c r="G126" s="241"/>
      <c r="H126" s="238"/>
    </row>
    <row r="127" spans="1:8" ht="30" customHeight="1">
      <c r="A127" s="234"/>
      <c r="B127" s="243"/>
      <c r="D127" s="236"/>
      <c r="E127" s="346" t="s">
        <v>252</v>
      </c>
      <c r="F127" s="347"/>
      <c r="G127" s="241"/>
      <c r="H127" s="238"/>
    </row>
    <row r="128" spans="1:8" ht="38.25" customHeight="1">
      <c r="A128" s="234"/>
      <c r="C128" s="235"/>
      <c r="D128" s="145" t="s">
        <v>36</v>
      </c>
      <c r="E128" s="315">
        <f>H20+H101</f>
        <v>0</v>
      </c>
      <c r="F128" s="316"/>
      <c r="G128" s="241"/>
      <c r="H128" s="238"/>
    </row>
    <row r="129" spans="1:11" ht="10.5" customHeight="1" thickBot="1">
      <c r="A129" s="234"/>
      <c r="C129" s="235"/>
      <c r="D129" s="236"/>
      <c r="E129" s="237"/>
      <c r="F129" s="237"/>
      <c r="G129" s="241"/>
      <c r="H129" s="238"/>
    </row>
    <row r="130" spans="1:11" ht="23.25" customHeight="1">
      <c r="A130" s="365" t="s">
        <v>131</v>
      </c>
      <c r="B130" s="366"/>
      <c r="C130" s="366"/>
      <c r="D130" s="366"/>
      <c r="E130" s="366"/>
      <c r="F130" s="366"/>
      <c r="G130" s="367"/>
      <c r="H130" s="238"/>
    </row>
    <row r="131" spans="1:11" ht="28.5" customHeight="1">
      <c r="A131" s="362" t="s">
        <v>115</v>
      </c>
      <c r="B131" s="363"/>
      <c r="C131" s="363"/>
      <c r="D131" s="363"/>
      <c r="E131" s="363"/>
      <c r="F131" s="363"/>
      <c r="G131" s="364"/>
      <c r="H131" s="245"/>
    </row>
    <row r="133" spans="1:11" s="163" customFormat="1" ht="14" hidden="1">
      <c r="C133" s="337" t="s">
        <v>51</v>
      </c>
      <c r="D133" s="337"/>
      <c r="E133" s="337"/>
      <c r="F133" s="337"/>
      <c r="G133" s="337"/>
      <c r="H133" s="337"/>
      <c r="I133" s="337"/>
      <c r="J133" s="337"/>
      <c r="K133" s="337"/>
    </row>
    <row r="134" spans="1:11" s="163" customFormat="1" ht="14" hidden="1">
      <c r="C134" s="164"/>
      <c r="D134" s="165" t="s">
        <v>52</v>
      </c>
      <c r="E134" s="165" t="s">
        <v>53</v>
      </c>
      <c r="F134" s="166"/>
      <c r="G134" s="164"/>
      <c r="H134" s="164"/>
      <c r="I134" s="200"/>
      <c r="J134" s="164"/>
      <c r="K134" s="164"/>
    </row>
    <row r="135" spans="1:11" s="163" customFormat="1" ht="14" hidden="1">
      <c r="C135" s="164"/>
      <c r="D135" s="167" t="s">
        <v>123</v>
      </c>
      <c r="E135" s="168">
        <v>0</v>
      </c>
      <c r="F135" s="166"/>
      <c r="G135" s="164"/>
      <c r="H135" s="164"/>
      <c r="I135" s="200"/>
      <c r="J135" s="164"/>
      <c r="K135" s="164"/>
    </row>
    <row r="136" spans="1:11" s="163" customFormat="1" ht="14" hidden="1">
      <c r="C136" s="164"/>
      <c r="D136" s="167" t="s">
        <v>25</v>
      </c>
      <c r="E136" s="168">
        <v>0</v>
      </c>
      <c r="F136" s="166"/>
      <c r="G136" s="164"/>
      <c r="H136" s="164"/>
      <c r="I136" s="200"/>
      <c r="J136" s="164"/>
      <c r="K136" s="164"/>
    </row>
    <row r="137" spans="1:11" s="163" customFormat="1" ht="14" hidden="1">
      <c r="C137" s="164"/>
      <c r="D137" s="169" t="s">
        <v>166</v>
      </c>
      <c r="E137" s="167">
        <v>117</v>
      </c>
      <c r="F137" s="170"/>
      <c r="G137" s="164"/>
      <c r="H137" s="164"/>
      <c r="I137" s="200"/>
      <c r="J137" s="164"/>
      <c r="K137" s="164"/>
    </row>
    <row r="138" spans="1:11" s="163" customFormat="1" ht="14" hidden="1">
      <c r="C138" s="164"/>
      <c r="D138" s="171" t="s">
        <v>49</v>
      </c>
      <c r="E138" s="167">
        <v>102</v>
      </c>
      <c r="F138" s="172"/>
      <c r="G138" s="164"/>
      <c r="H138" s="164"/>
      <c r="I138" s="200"/>
      <c r="J138" s="164"/>
      <c r="K138" s="164"/>
    </row>
    <row r="139" spans="1:11" s="163" customFormat="1" ht="14" hidden="1">
      <c r="C139" s="164"/>
      <c r="D139" s="171" t="s">
        <v>167</v>
      </c>
      <c r="E139" s="167">
        <v>93</v>
      </c>
      <c r="F139" s="172"/>
      <c r="G139" s="164"/>
      <c r="H139" s="164"/>
      <c r="I139" s="200"/>
      <c r="J139" s="164"/>
      <c r="K139" s="164"/>
    </row>
    <row r="140" spans="1:11" s="163" customFormat="1" ht="14" hidden="1">
      <c r="C140" s="164"/>
      <c r="D140" s="171" t="s">
        <v>168</v>
      </c>
      <c r="E140" s="167">
        <v>30</v>
      </c>
      <c r="F140" s="172"/>
      <c r="G140" s="164"/>
      <c r="H140" s="164"/>
      <c r="I140" s="200"/>
      <c r="J140" s="164"/>
      <c r="K140" s="164"/>
    </row>
    <row r="141" spans="1:11" s="163" customFormat="1" ht="14" hidden="1">
      <c r="C141" s="164"/>
      <c r="D141" s="171" t="s">
        <v>169</v>
      </c>
      <c r="E141" s="167">
        <v>30</v>
      </c>
      <c r="F141" s="172"/>
      <c r="G141" s="164"/>
      <c r="H141" s="164"/>
      <c r="I141" s="200"/>
      <c r="J141" s="164"/>
      <c r="K141" s="164"/>
    </row>
    <row r="142" spans="1:11" s="163" customFormat="1" ht="14" hidden="1">
      <c r="C142" s="164"/>
      <c r="D142" s="173"/>
      <c r="E142" s="173"/>
      <c r="F142" s="172"/>
      <c r="G142" s="164"/>
      <c r="H142" s="164"/>
      <c r="I142" s="200"/>
      <c r="J142" s="164"/>
      <c r="K142" s="164"/>
    </row>
    <row r="143" spans="1:11" s="163" customFormat="1" ht="14" hidden="1">
      <c r="C143" s="164"/>
      <c r="D143" s="165" t="s">
        <v>54</v>
      </c>
      <c r="E143" s="165" t="s">
        <v>55</v>
      </c>
      <c r="F143" s="174" t="s">
        <v>56</v>
      </c>
      <c r="G143" s="174" t="s">
        <v>170</v>
      </c>
      <c r="H143" s="164"/>
      <c r="I143" s="200"/>
      <c r="J143" s="164"/>
      <c r="K143" s="164"/>
    </row>
    <row r="144" spans="1:11" s="163" customFormat="1" ht="14" hidden="1">
      <c r="C144" s="164"/>
      <c r="D144" s="167" t="s">
        <v>124</v>
      </c>
      <c r="E144" s="168">
        <v>0</v>
      </c>
      <c r="F144" s="175">
        <v>0</v>
      </c>
      <c r="G144" s="175">
        <v>0</v>
      </c>
      <c r="H144" s="164"/>
      <c r="I144" s="200"/>
      <c r="J144" s="164"/>
      <c r="K144" s="164"/>
    </row>
    <row r="145" spans="3:11" s="163" customFormat="1" ht="14" hidden="1">
      <c r="C145" s="164"/>
      <c r="D145" s="167" t="s">
        <v>25</v>
      </c>
      <c r="E145" s="168">
        <v>0</v>
      </c>
      <c r="F145" s="175">
        <v>0</v>
      </c>
      <c r="G145" s="175">
        <v>0</v>
      </c>
      <c r="H145" s="164"/>
      <c r="I145" s="200"/>
      <c r="J145" s="164"/>
      <c r="K145" s="164"/>
    </row>
    <row r="146" spans="3:11" s="163" customFormat="1" ht="14" hidden="1">
      <c r="C146" s="164"/>
      <c r="D146" s="169" t="s">
        <v>57</v>
      </c>
      <c r="E146" s="176">
        <v>1</v>
      </c>
      <c r="F146" s="177">
        <v>1</v>
      </c>
      <c r="G146" s="177">
        <v>1</v>
      </c>
      <c r="H146" s="164"/>
      <c r="I146" s="200"/>
      <c r="J146" s="164"/>
      <c r="K146" s="164"/>
    </row>
    <row r="147" spans="3:11" s="163" customFormat="1" ht="14" hidden="1">
      <c r="C147" s="164"/>
      <c r="D147" s="169" t="s">
        <v>171</v>
      </c>
      <c r="E147" s="178">
        <v>0.95726</v>
      </c>
      <c r="F147" s="179">
        <v>0.96077999999999997</v>
      </c>
      <c r="G147" s="179">
        <v>0.95699000000000001</v>
      </c>
      <c r="H147" s="164"/>
      <c r="I147" s="200"/>
      <c r="J147" s="164"/>
      <c r="K147" s="164"/>
    </row>
    <row r="148" spans="3:11" s="163" customFormat="1" ht="14" hidden="1">
      <c r="C148" s="164"/>
      <c r="D148" s="169" t="s">
        <v>59</v>
      </c>
      <c r="E148" s="178">
        <f>0.102/0.117</f>
        <v>0.8717948717948717</v>
      </c>
      <c r="F148" s="179">
        <f>0.089/0.102</f>
        <v>0.87254901960784315</v>
      </c>
      <c r="G148" s="179">
        <f>0.081/0.093</f>
        <v>0.87096774193548387</v>
      </c>
      <c r="H148" s="164"/>
      <c r="I148" s="200"/>
      <c r="J148" s="164"/>
      <c r="K148" s="164"/>
    </row>
    <row r="149" spans="3:11" s="163" customFormat="1" ht="14" hidden="1">
      <c r="C149" s="164"/>
      <c r="D149" s="169" t="s">
        <v>50</v>
      </c>
      <c r="E149" s="178">
        <f>0.095/0.117</f>
        <v>0.81196581196581197</v>
      </c>
      <c r="F149" s="179">
        <f>0.083/0.102</f>
        <v>0.81372549019607854</v>
      </c>
      <c r="G149" s="179">
        <v>0.80645</v>
      </c>
      <c r="H149" s="164"/>
      <c r="I149" s="200"/>
      <c r="J149" s="164"/>
      <c r="K149" s="164"/>
    </row>
    <row r="150" spans="3:11" s="163" customFormat="1" ht="14" hidden="1">
      <c r="C150" s="164"/>
      <c r="D150" s="169" t="s">
        <v>61</v>
      </c>
      <c r="E150" s="178">
        <v>0.78632000000000002</v>
      </c>
      <c r="F150" s="179">
        <v>0.79412000000000005</v>
      </c>
      <c r="G150" s="179">
        <v>0.78495000000000004</v>
      </c>
      <c r="H150" s="164"/>
      <c r="I150" s="200"/>
      <c r="J150" s="164"/>
      <c r="K150" s="164"/>
    </row>
    <row r="151" spans="3:11" s="163" customFormat="1" ht="14" hidden="1">
      <c r="C151" s="164"/>
      <c r="D151" s="169" t="s">
        <v>172</v>
      </c>
      <c r="E151" s="178">
        <v>0.76922999999999997</v>
      </c>
      <c r="F151" s="179">
        <v>0.77451000000000003</v>
      </c>
      <c r="G151" s="179">
        <v>0.77419000000000004</v>
      </c>
      <c r="H151" s="164"/>
      <c r="I151" s="200"/>
      <c r="J151" s="164"/>
      <c r="K151" s="164"/>
    </row>
    <row r="152" spans="3:11" s="163" customFormat="1" ht="14" hidden="1">
      <c r="C152" s="164"/>
      <c r="D152" s="169" t="s">
        <v>173</v>
      </c>
      <c r="E152" s="178">
        <v>0.63248000000000004</v>
      </c>
      <c r="F152" s="179">
        <f>0.065/0.102</f>
        <v>0.63725490196078438</v>
      </c>
      <c r="G152" s="179">
        <f>0.059/0.093</f>
        <v>0.63440860215053763</v>
      </c>
      <c r="H152" s="164"/>
      <c r="I152" s="200"/>
      <c r="J152" s="164"/>
      <c r="K152" s="164"/>
    </row>
    <row r="153" spans="3:11" s="163" customFormat="1" ht="14" hidden="1">
      <c r="C153" s="164"/>
      <c r="D153" s="169" t="s">
        <v>60</v>
      </c>
      <c r="E153" s="178">
        <f>0.035/0.117</f>
        <v>0.29914529914529914</v>
      </c>
      <c r="F153" s="179">
        <f>0.031/0.102</f>
        <v>0.30392156862745101</v>
      </c>
      <c r="G153" s="179">
        <f>0.028/0.093</f>
        <v>0.30107526881720431</v>
      </c>
      <c r="H153" s="164"/>
      <c r="I153" s="200"/>
      <c r="J153" s="164"/>
      <c r="K153" s="164"/>
    </row>
    <row r="154" spans="3:11" s="163" customFormat="1" ht="14" hidden="1">
      <c r="C154" s="164"/>
      <c r="D154" s="169" t="s">
        <v>174</v>
      </c>
      <c r="E154" s="178">
        <f>0.035/0.117</f>
        <v>0.29914529914529914</v>
      </c>
      <c r="F154" s="179">
        <f>0.031/0.102</f>
        <v>0.30392156862745101</v>
      </c>
      <c r="G154" s="179">
        <f>0.028/0.093</f>
        <v>0.30107526881720431</v>
      </c>
      <c r="H154" s="164"/>
      <c r="I154" s="200"/>
      <c r="J154" s="164"/>
      <c r="K154" s="164"/>
    </row>
    <row r="155" spans="3:11" s="163" customFormat="1" ht="14" hidden="1">
      <c r="C155" s="164"/>
      <c r="D155" s="169" t="s">
        <v>175</v>
      </c>
      <c r="E155" s="178">
        <f>0.034/0.117</f>
        <v>0.29059829059829062</v>
      </c>
      <c r="F155" s="179">
        <f>0.03/0.102</f>
        <v>0.29411764705882354</v>
      </c>
      <c r="G155" s="179">
        <f>0.027/0.093</f>
        <v>0.29032258064516131</v>
      </c>
      <c r="H155" s="164"/>
      <c r="I155" s="200"/>
      <c r="J155" s="164"/>
      <c r="K155" s="164"/>
    </row>
    <row r="156" spans="3:11" s="163" customFormat="1" ht="23" hidden="1">
      <c r="C156" s="164"/>
      <c r="D156" s="169" t="s">
        <v>176</v>
      </c>
      <c r="E156" s="178">
        <f>0.031/0.117</f>
        <v>0.26495726495726496</v>
      </c>
      <c r="F156" s="179">
        <f>0.027/0.102</f>
        <v>0.26470588235294118</v>
      </c>
      <c r="G156" s="179">
        <f>0.024/0.093</f>
        <v>0.25806451612903225</v>
      </c>
      <c r="H156" s="164"/>
      <c r="I156" s="200"/>
      <c r="J156" s="164"/>
      <c r="K156" s="164"/>
    </row>
    <row r="157" spans="3:11" s="163" customFormat="1" ht="14" hidden="1">
      <c r="C157" s="164"/>
      <c r="D157" s="169" t="s">
        <v>58</v>
      </c>
      <c r="E157" s="178">
        <f>0.026/0.117</f>
        <v>0.22222222222222221</v>
      </c>
      <c r="F157" s="179">
        <f>0.022/0.102</f>
        <v>0.21568627450980393</v>
      </c>
      <c r="G157" s="179">
        <f>0.02/0.093</f>
        <v>0.21505376344086022</v>
      </c>
      <c r="H157" s="164"/>
      <c r="I157" s="200"/>
      <c r="J157" s="164"/>
      <c r="K157" s="164"/>
    </row>
    <row r="158" spans="3:11" s="163" customFormat="1" ht="14" hidden="1">
      <c r="C158" s="164"/>
      <c r="D158" s="169" t="s">
        <v>177</v>
      </c>
      <c r="E158" s="178">
        <f>0.01/0.117</f>
        <v>8.5470085470085472E-2</v>
      </c>
      <c r="F158" s="179">
        <f>0.008/0.102</f>
        <v>7.8431372549019621E-2</v>
      </c>
      <c r="G158" s="179">
        <f>0.008/0.093</f>
        <v>8.6021505376344093E-2</v>
      </c>
      <c r="H158" s="164"/>
      <c r="I158" s="200"/>
      <c r="J158" s="164"/>
      <c r="K158" s="164"/>
    </row>
    <row r="159" spans="3:11" s="163" customFormat="1" ht="14" hidden="1">
      <c r="C159" s="164"/>
      <c r="D159" s="169" t="s">
        <v>178</v>
      </c>
      <c r="E159" s="178">
        <f>0.004/0.117</f>
        <v>3.4188034188034185E-2</v>
      </c>
      <c r="F159" s="179">
        <f>0.004/0.102</f>
        <v>3.921568627450981E-2</v>
      </c>
      <c r="G159" s="179">
        <f>0.003/0.093</f>
        <v>3.2258064516129031E-2</v>
      </c>
      <c r="H159" s="164"/>
      <c r="I159" s="200"/>
      <c r="J159" s="164"/>
      <c r="K159" s="164"/>
    </row>
    <row r="160" spans="3:11" s="163" customFormat="1" ht="14" hidden="1">
      <c r="C160" s="164"/>
      <c r="D160" s="169" t="s">
        <v>179</v>
      </c>
      <c r="E160" s="178">
        <v>0</v>
      </c>
      <c r="F160" s="179">
        <v>0</v>
      </c>
      <c r="G160" s="179">
        <v>0</v>
      </c>
      <c r="H160" s="164"/>
      <c r="I160" s="200"/>
      <c r="J160" s="164"/>
      <c r="K160" s="164"/>
    </row>
    <row r="161" spans="3:11" s="163" customFormat="1" ht="14" hidden="1">
      <c r="C161" s="164"/>
      <c r="D161" s="169" t="s">
        <v>168</v>
      </c>
      <c r="E161" s="180">
        <v>1</v>
      </c>
      <c r="F161" s="175"/>
      <c r="G161" s="175"/>
      <c r="H161" s="164"/>
      <c r="I161" s="200"/>
      <c r="J161" s="164"/>
      <c r="K161" s="164"/>
    </row>
    <row r="162" spans="3:11" s="163" customFormat="1" ht="14" hidden="1">
      <c r="C162" s="164"/>
      <c r="D162" s="169" t="s">
        <v>180</v>
      </c>
      <c r="E162" s="181">
        <f>0.0294/0.03</f>
        <v>0.98</v>
      </c>
      <c r="F162" s="175"/>
      <c r="G162" s="175"/>
      <c r="H162" s="164"/>
      <c r="I162" s="200"/>
      <c r="J162" s="164"/>
      <c r="K162" s="164"/>
    </row>
    <row r="163" spans="3:11" s="163" customFormat="1" ht="14" hidden="1">
      <c r="C163" s="164"/>
      <c r="D163" s="169" t="s">
        <v>181</v>
      </c>
      <c r="E163" s="181">
        <f>0.0285/0.03</f>
        <v>0.95000000000000007</v>
      </c>
      <c r="F163" s="175"/>
      <c r="G163" s="175"/>
      <c r="H163" s="164"/>
      <c r="I163" s="200"/>
      <c r="J163" s="164"/>
      <c r="K163" s="164"/>
    </row>
    <row r="164" spans="3:11" hidden="1"/>
    <row r="165" spans="3:11" hidden="1"/>
    <row r="166" spans="3:11" hidden="1"/>
    <row r="167" spans="3:11" hidden="1"/>
    <row r="183" spans="6:6">
      <c r="F183" s="327"/>
    </row>
  </sheetData>
  <sheetProtection algorithmName="SHA-512" hashValue="m7ih/kycqba1rSWZbJeiL03pJ1Jaa8BIMLHUpZoZJ5yWrKgJhUDs61OKKk2yum2k0kKU9Oho0ZmlBpEa8wCosg==" saltValue="c2KYqWDxpjusa5a3sugCnQ==" spinCount="100000" sheet="1" objects="1" scenarios="1"/>
  <protectedRanges>
    <protectedRange sqref="D2:D4 F2:F4" name="gegevens_1_2_1"/>
  </protectedRanges>
  <mergeCells count="44">
    <mergeCell ref="A131:G131"/>
    <mergeCell ref="C133:K133"/>
    <mergeCell ref="D97:E97"/>
    <mergeCell ref="D98:E98"/>
    <mergeCell ref="D99:E99"/>
    <mergeCell ref="E127:F127"/>
    <mergeCell ref="A130:G130"/>
    <mergeCell ref="B65:B99"/>
    <mergeCell ref="E65:F65"/>
    <mergeCell ref="E69:F69"/>
    <mergeCell ref="E72:F72"/>
    <mergeCell ref="E92:F92"/>
    <mergeCell ref="A62:B62"/>
    <mergeCell ref="E62:G62"/>
    <mergeCell ref="A63:B63"/>
    <mergeCell ref="D63:E63"/>
    <mergeCell ref="A64:C64"/>
    <mergeCell ref="A25:C25"/>
    <mergeCell ref="B26:B60"/>
    <mergeCell ref="E26:F26"/>
    <mergeCell ref="E30:F30"/>
    <mergeCell ref="E33:F33"/>
    <mergeCell ref="E53:F53"/>
    <mergeCell ref="D58:E58"/>
    <mergeCell ref="D59:E59"/>
    <mergeCell ref="D60:E60"/>
    <mergeCell ref="A16:B19"/>
    <mergeCell ref="A22:G22"/>
    <mergeCell ref="A23:B23"/>
    <mergeCell ref="E23:G23"/>
    <mergeCell ref="A24:B24"/>
    <mergeCell ref="D24:E24"/>
    <mergeCell ref="A15:B15"/>
    <mergeCell ref="A1:E1"/>
    <mergeCell ref="G1:H1"/>
    <mergeCell ref="B3:D3"/>
    <mergeCell ref="B4:D4"/>
    <mergeCell ref="A5:G5"/>
    <mergeCell ref="A6:G6"/>
    <mergeCell ref="A7:B7"/>
    <mergeCell ref="A8:B8"/>
    <mergeCell ref="A9:B12"/>
    <mergeCell ref="A13:G13"/>
    <mergeCell ref="A14:B14"/>
  </mergeCells>
  <dataValidations count="6">
    <dataValidation type="list" allowBlank="1" showInputMessage="1" showErrorMessage="1" sqref="D19 D12" xr:uid="{020EFA66-A700-4A40-88F6-38DDC9BCE401}">
      <formula1>$D$144:$D$163</formula1>
    </dataValidation>
    <dataValidation operator="lessThanOrEqual" allowBlank="1" showInputMessage="1" showErrorMessage="1" sqref="B122:B127 C128:C129 G20:G21 G101 C103:C121 A131 D103:D129 E103:G126 E127:E128 E129:G129 G127:G128" xr:uid="{D4E27516-9862-459F-A015-53EAAE85FBFD}"/>
    <dataValidation operator="lessThan" allowBlank="1" showInputMessage="1" showErrorMessage="1" sqref="D9 D16" xr:uid="{62C9C8E0-3347-42E4-AF08-1F1071EB4A19}"/>
    <dataValidation type="whole" operator="lessThan" allowBlank="1" showInputMessage="1" showErrorMessage="1" sqref="D17 D10" xr:uid="{82B6A55C-A74E-4570-966A-78217B4AF8E4}">
      <formula1>1000</formula1>
    </dataValidation>
    <dataValidation type="list" allowBlank="1" showInputMessage="1" showErrorMessage="1" sqref="D18 D11" xr:uid="{3B8F3D54-8A49-434C-A9DD-FA4F197E918C}">
      <formula1>$D$135:$D$141</formula1>
    </dataValidation>
    <dataValidation type="list" allowBlank="1" showInputMessage="1" showErrorMessage="1" sqref="D13" xr:uid="{F89CF8E4-F92D-49DB-9714-F1F27FFA1ABE}">
      <formula1>$D$146:$D$159</formula1>
    </dataValidation>
  </dataValidations>
  <pageMargins left="0.7" right="0.7" top="0.75" bottom="0.75" header="0.3" footer="0.3"/>
  <pageSetup paperSize="9" scale="51" fitToHeight="0" orientation="landscape" r:id="rId1"/>
  <rowBreaks count="1" manualBreakCount="1">
    <brk id="9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C8B15-F91C-4DA7-AA19-B28EAC66CC0F}">
  <dimension ref="A1:G44"/>
  <sheetViews>
    <sheetView showGridLines="0" view="pageBreakPreview" zoomScaleNormal="100" zoomScaleSheetLayoutView="100" workbookViewId="0">
      <selection activeCell="B31" activeCellId="6" sqref="F1:G1 E4 E5 E10 D12 B26:G27 B31:G32"/>
    </sheetView>
  </sheetViews>
  <sheetFormatPr defaultColWidth="9.1796875" defaultRowHeight="11.5"/>
  <cols>
    <col min="1" max="1" width="15.7265625" style="147" customWidth="1"/>
    <col min="2" max="2" width="47.1796875" style="147" customWidth="1"/>
    <col min="3" max="4" width="20.7265625" style="150" customWidth="1"/>
    <col min="5" max="5" width="30.7265625" style="150" customWidth="1"/>
    <col min="6" max="6" width="38.453125" style="150" customWidth="1"/>
    <col min="7" max="7" width="30.7265625" style="150" customWidth="1"/>
    <col min="8" max="16384" width="9.1796875" style="147"/>
  </cols>
  <sheetData>
    <row r="1" spans="1:7" ht="58.5" customHeight="1">
      <c r="A1" s="402" t="s">
        <v>300</v>
      </c>
      <c r="B1" s="402"/>
      <c r="C1" s="402"/>
      <c r="D1" s="402"/>
      <c r="E1" s="273" t="s">
        <v>156</v>
      </c>
      <c r="F1" s="381" t="s">
        <v>157</v>
      </c>
      <c r="G1" s="381"/>
    </row>
    <row r="2" spans="1:7" s="13" customFormat="1" ht="24.75" customHeight="1">
      <c r="A2" s="411" t="s">
        <v>260</v>
      </c>
      <c r="B2" s="411"/>
      <c r="C2" s="411"/>
      <c r="D2" s="411"/>
      <c r="E2" s="411"/>
      <c r="F2" s="411"/>
      <c r="G2" s="411"/>
    </row>
    <row r="3" spans="1:7" s="12" customFormat="1" ht="29.25" customHeight="1">
      <c r="A3" s="153" t="s">
        <v>45</v>
      </c>
      <c r="B3" s="154" t="s">
        <v>2</v>
      </c>
      <c r="C3" s="153" t="s">
        <v>3</v>
      </c>
      <c r="D3" s="153"/>
      <c r="E3" s="153" t="s">
        <v>195</v>
      </c>
      <c r="F3" s="153" t="s">
        <v>141</v>
      </c>
      <c r="G3" s="153" t="s">
        <v>140</v>
      </c>
    </row>
    <row r="4" spans="1:7" s="12" customFormat="1" ht="15" customHeight="1">
      <c r="A4" s="29" t="s">
        <v>5</v>
      </c>
      <c r="B4" s="42" t="s">
        <v>132</v>
      </c>
      <c r="C4" s="29" t="s">
        <v>6</v>
      </c>
      <c r="D4" s="42"/>
      <c r="E4" s="96"/>
      <c r="F4" s="160">
        <v>25948</v>
      </c>
      <c r="G4" s="131">
        <f>F4*E4</f>
        <v>0</v>
      </c>
    </row>
    <row r="5" spans="1:7" s="12" customFormat="1" ht="15" customHeight="1">
      <c r="A5" s="29" t="s">
        <v>7</v>
      </c>
      <c r="B5" s="42" t="s">
        <v>133</v>
      </c>
      <c r="C5" s="29" t="s">
        <v>6</v>
      </c>
      <c r="D5" s="42"/>
      <c r="E5" s="96"/>
      <c r="F5" s="160">
        <v>25948</v>
      </c>
      <c r="G5" s="131">
        <f>F5*E5</f>
        <v>0</v>
      </c>
    </row>
    <row r="6" spans="1:7" s="12" customFormat="1" ht="15" customHeight="1">
      <c r="A6" s="121"/>
      <c r="B6" s="122"/>
      <c r="C6" s="123"/>
      <c r="D6" s="122"/>
      <c r="E6" s="122"/>
      <c r="F6" s="124"/>
      <c r="G6" s="125"/>
    </row>
    <row r="7" spans="1:7" s="12" customFormat="1" ht="15" hidden="1" customHeight="1">
      <c r="A7" s="97" t="s">
        <v>1</v>
      </c>
      <c r="B7" s="247" t="s">
        <v>2</v>
      </c>
      <c r="C7" s="248" t="s">
        <v>3</v>
      </c>
      <c r="D7" s="414" t="s">
        <v>137</v>
      </c>
      <c r="E7" s="414"/>
      <c r="F7" s="248" t="s">
        <v>136</v>
      </c>
      <c r="G7" s="95" t="s">
        <v>4</v>
      </c>
    </row>
    <row r="8" spans="1:7" s="18" customFormat="1" ht="15" customHeight="1">
      <c r="A8" s="404" t="s">
        <v>206</v>
      </c>
      <c r="B8" s="404"/>
      <c r="C8" s="404"/>
      <c r="D8" s="404"/>
      <c r="E8" s="404"/>
      <c r="F8" s="404"/>
      <c r="G8" s="404"/>
    </row>
    <row r="9" spans="1:7" s="18" customFormat="1" ht="30" customHeight="1">
      <c r="A9" s="153" t="s">
        <v>45</v>
      </c>
      <c r="B9" s="249" t="s">
        <v>2</v>
      </c>
      <c r="C9" s="153" t="s">
        <v>3</v>
      </c>
      <c r="D9" s="415" t="s">
        <v>182</v>
      </c>
      <c r="E9" s="416"/>
      <c r="F9" s="153" t="s">
        <v>141</v>
      </c>
      <c r="G9" s="153" t="s">
        <v>139</v>
      </c>
    </row>
    <row r="10" spans="1:7" s="12" customFormat="1" ht="26.25" customHeight="1">
      <c r="A10" s="29" t="s">
        <v>8</v>
      </c>
      <c r="B10" s="43" t="s">
        <v>148</v>
      </c>
      <c r="C10" s="412" t="s">
        <v>6</v>
      </c>
      <c r="E10" s="314"/>
      <c r="F10" s="161">
        <v>25948</v>
      </c>
      <c r="G10" s="132">
        <f>(E10+E11+E12)*F10</f>
        <v>1228897.28</v>
      </c>
    </row>
    <row r="11" spans="1:7" s="18" customFormat="1" ht="27.75" customHeight="1">
      <c r="A11" s="29" t="s">
        <v>43</v>
      </c>
      <c r="B11" s="98" t="s">
        <v>183</v>
      </c>
      <c r="C11" s="413"/>
      <c r="D11" s="320">
        <f>1-((SUM('2.Kwal gunningscriteria 2026'!D26:D40)/1000))</f>
        <v>1</v>
      </c>
      <c r="E11" s="45">
        <f>D11*E16</f>
        <v>47.36</v>
      </c>
      <c r="F11" s="46"/>
      <c r="G11" s="44"/>
    </row>
    <row r="12" spans="1:7" s="149" customFormat="1" ht="37.5">
      <c r="A12" s="29" t="s">
        <v>9</v>
      </c>
      <c r="B12" s="98" t="s">
        <v>201</v>
      </c>
      <c r="C12" s="148"/>
      <c r="D12" s="133"/>
      <c r="E12" s="134">
        <f>D12*E20</f>
        <v>0</v>
      </c>
      <c r="F12" s="135"/>
      <c r="G12" s="136"/>
    </row>
    <row r="13" spans="1:7" s="12" customFormat="1" ht="12.5">
      <c r="A13" s="246"/>
      <c r="B13" s="250"/>
      <c r="C13" s="251"/>
      <c r="D13" s="252"/>
      <c r="E13" s="252"/>
      <c r="F13" s="252"/>
      <c r="G13" s="253"/>
    </row>
    <row r="14" spans="1:7" s="48" customFormat="1" ht="15" customHeight="1">
      <c r="A14" s="417" t="s">
        <v>193</v>
      </c>
      <c r="B14" s="418"/>
      <c r="C14" s="418"/>
      <c r="D14" s="418"/>
      <c r="E14" s="418"/>
      <c r="F14" s="418"/>
      <c r="G14" s="419"/>
    </row>
    <row r="15" spans="1:7" s="48" customFormat="1" ht="16.5" customHeight="1">
      <c r="A15" s="153" t="s">
        <v>45</v>
      </c>
      <c r="B15" s="249" t="s">
        <v>2</v>
      </c>
      <c r="C15" s="405" t="s">
        <v>3</v>
      </c>
      <c r="D15" s="405"/>
      <c r="E15" s="155" t="s">
        <v>46</v>
      </c>
      <c r="F15" s="156" t="s">
        <v>162</v>
      </c>
      <c r="G15" s="254"/>
    </row>
    <row r="16" spans="1:7" s="48" customFormat="1" ht="18.75" customHeight="1">
      <c r="A16" s="49" t="s">
        <v>227</v>
      </c>
      <c r="B16" s="47" t="s">
        <v>187</v>
      </c>
      <c r="C16" s="406" t="s">
        <v>194</v>
      </c>
      <c r="D16" s="406"/>
      <c r="E16" s="210">
        <v>47.36</v>
      </c>
      <c r="F16" s="127">
        <v>2026</v>
      </c>
      <c r="G16" s="43"/>
    </row>
    <row r="17" spans="1:7" s="48" customFormat="1" ht="18.75" customHeight="1">
      <c r="A17" s="117"/>
      <c r="B17" s="118"/>
      <c r="C17" s="119"/>
      <c r="D17" s="119"/>
      <c r="E17" s="120"/>
      <c r="F17" s="102"/>
      <c r="G17" s="255"/>
    </row>
    <row r="18" spans="1:7" s="48" customFormat="1" ht="15" customHeight="1">
      <c r="A18" s="404" t="s">
        <v>151</v>
      </c>
      <c r="B18" s="404"/>
      <c r="C18" s="404"/>
      <c r="D18" s="404"/>
      <c r="E18" s="404"/>
      <c r="F18" s="404"/>
      <c r="G18" s="404"/>
    </row>
    <row r="19" spans="1:7" s="48" customFormat="1" ht="23.25" customHeight="1">
      <c r="A19" s="153" t="s">
        <v>45</v>
      </c>
      <c r="B19" s="157" t="s">
        <v>2</v>
      </c>
      <c r="C19" s="405" t="s">
        <v>3</v>
      </c>
      <c r="D19" s="405"/>
      <c r="E19" s="155" t="s">
        <v>46</v>
      </c>
      <c r="F19" s="158" t="s">
        <v>162</v>
      </c>
      <c r="G19" s="158"/>
    </row>
    <row r="20" spans="1:7" s="48" customFormat="1" ht="12.5">
      <c r="A20" s="49" t="s">
        <v>228</v>
      </c>
      <c r="B20" s="47" t="s">
        <v>185</v>
      </c>
      <c r="C20" s="406" t="s">
        <v>194</v>
      </c>
      <c r="D20" s="406"/>
      <c r="E20" s="186">
        <v>5.34</v>
      </c>
      <c r="F20" s="130">
        <v>2026</v>
      </c>
      <c r="G20" s="43"/>
    </row>
    <row r="21" spans="1:7" s="48" customFormat="1" ht="18.75" customHeight="1" thickBot="1">
      <c r="A21" s="256"/>
      <c r="B21" s="257"/>
      <c r="C21" s="258"/>
      <c r="D21" s="258"/>
      <c r="E21" s="259"/>
      <c r="F21" s="260"/>
      <c r="G21" s="261"/>
    </row>
    <row r="22" spans="1:7" ht="42.75" customHeight="1" thickBot="1">
      <c r="A22" s="262"/>
      <c r="B22" s="263"/>
      <c r="C22" s="264"/>
      <c r="D22" s="265"/>
      <c r="E22" s="265"/>
      <c r="F22" s="205" t="s">
        <v>204</v>
      </c>
      <c r="G22" s="266">
        <f>SUM(G4+G5+G10)</f>
        <v>1228897.28</v>
      </c>
    </row>
    <row r="23" spans="1:7">
      <c r="A23" s="262"/>
      <c r="B23" s="263"/>
      <c r="C23" s="264"/>
      <c r="D23" s="265"/>
      <c r="E23" s="265"/>
      <c r="F23" s="267"/>
      <c r="G23" s="268"/>
    </row>
    <row r="24" spans="1:7" s="93" customFormat="1" ht="15" customHeight="1">
      <c r="A24" s="404" t="s">
        <v>203</v>
      </c>
      <c r="B24" s="404"/>
      <c r="C24" s="404"/>
      <c r="D24" s="404"/>
      <c r="E24" s="404"/>
      <c r="F24" s="404"/>
      <c r="G24" s="404"/>
    </row>
    <row r="25" spans="1:7" s="93" customFormat="1" ht="15" customHeight="1">
      <c r="A25" s="153" t="s">
        <v>1</v>
      </c>
      <c r="B25" s="154" t="s">
        <v>10</v>
      </c>
      <c r="C25" s="153" t="s">
        <v>15</v>
      </c>
      <c r="D25" s="153" t="s">
        <v>11</v>
      </c>
      <c r="E25" s="153" t="s">
        <v>12</v>
      </c>
      <c r="F25" s="153" t="s">
        <v>13</v>
      </c>
      <c r="G25" s="153" t="s">
        <v>14</v>
      </c>
    </row>
    <row r="26" spans="1:7" s="93" customFormat="1" ht="15" customHeight="1">
      <c r="A26" s="94" t="s">
        <v>161</v>
      </c>
      <c r="B26" s="99"/>
      <c r="C26" s="100"/>
      <c r="D26" s="101"/>
      <c r="E26" s="101"/>
      <c r="F26" s="101"/>
      <c r="G26" s="101"/>
    </row>
    <row r="27" spans="1:7" s="93" customFormat="1" ht="15" customHeight="1">
      <c r="A27" s="94" t="s">
        <v>134</v>
      </c>
      <c r="B27" s="99"/>
      <c r="C27" s="100"/>
      <c r="D27" s="101"/>
      <c r="E27" s="101"/>
      <c r="F27" s="101"/>
      <c r="G27" s="101"/>
    </row>
    <row r="28" spans="1:7" s="93" customFormat="1" ht="15" customHeight="1">
      <c r="A28" s="269"/>
      <c r="B28" s="114"/>
      <c r="C28" s="115"/>
      <c r="D28" s="116"/>
      <c r="E28" s="116"/>
      <c r="F28" s="116"/>
      <c r="G28" s="270"/>
    </row>
    <row r="29" spans="1:7" s="93" customFormat="1" ht="14.25" customHeight="1">
      <c r="A29" s="404" t="s">
        <v>202</v>
      </c>
      <c r="B29" s="404"/>
      <c r="C29" s="404"/>
      <c r="D29" s="404"/>
      <c r="E29" s="404"/>
      <c r="F29" s="404"/>
      <c r="G29" s="404"/>
    </row>
    <row r="30" spans="1:7" s="93" customFormat="1" ht="14.25" customHeight="1">
      <c r="A30" s="153" t="s">
        <v>1</v>
      </c>
      <c r="B30" s="154" t="s">
        <v>10</v>
      </c>
      <c r="C30" s="153" t="s">
        <v>15</v>
      </c>
      <c r="D30" s="153" t="s">
        <v>11</v>
      </c>
      <c r="E30" s="153" t="s">
        <v>12</v>
      </c>
      <c r="F30" s="153" t="s">
        <v>13</v>
      </c>
      <c r="G30" s="153" t="s">
        <v>14</v>
      </c>
    </row>
    <row r="31" spans="1:7" s="93" customFormat="1" ht="14.25" customHeight="1">
      <c r="A31" s="94" t="s">
        <v>135</v>
      </c>
      <c r="B31" s="99"/>
      <c r="C31" s="100"/>
      <c r="D31" s="101"/>
      <c r="E31" s="101"/>
      <c r="F31" s="101"/>
      <c r="G31" s="101"/>
    </row>
    <row r="32" spans="1:7" s="93" customFormat="1" ht="14.25" customHeight="1">
      <c r="A32" s="94" t="s">
        <v>205</v>
      </c>
      <c r="B32" s="99"/>
      <c r="C32" s="100"/>
      <c r="D32" s="101"/>
      <c r="E32" s="101"/>
      <c r="F32" s="101"/>
      <c r="G32" s="101"/>
    </row>
    <row r="33" spans="1:7">
      <c r="A33" s="262"/>
      <c r="B33" s="263"/>
      <c r="C33" s="264"/>
      <c r="D33" s="265"/>
      <c r="E33" s="265"/>
      <c r="F33" s="267"/>
      <c r="G33" s="268"/>
    </row>
    <row r="34" spans="1:7" ht="14">
      <c r="A34" s="421" t="s">
        <v>16</v>
      </c>
      <c r="B34" s="421"/>
      <c r="C34" s="421"/>
      <c r="D34" s="421"/>
      <c r="E34" s="421"/>
      <c r="F34" s="421"/>
      <c r="G34" s="421"/>
    </row>
    <row r="35" spans="1:7" ht="12.5">
      <c r="A35" s="153" t="s">
        <v>1</v>
      </c>
      <c r="B35" s="409" t="s">
        <v>17</v>
      </c>
      <c r="C35" s="409"/>
      <c r="D35" s="409"/>
      <c r="E35" s="409"/>
      <c r="F35" s="409"/>
      <c r="G35" s="409"/>
    </row>
    <row r="36" spans="1:7" ht="15" customHeight="1">
      <c r="A36" s="111" t="s">
        <v>18</v>
      </c>
      <c r="B36" s="159" t="s">
        <v>115</v>
      </c>
      <c r="C36" s="159"/>
      <c r="D36" s="159"/>
      <c r="E36" s="159"/>
      <c r="F36" s="159"/>
      <c r="G36" s="159"/>
    </row>
    <row r="37" spans="1:7" ht="15" customHeight="1">
      <c r="A37" s="112" t="s">
        <v>143</v>
      </c>
      <c r="B37" s="403" t="s">
        <v>19</v>
      </c>
      <c r="C37" s="403"/>
      <c r="D37" s="403"/>
      <c r="E37" s="403"/>
      <c r="F37" s="403"/>
      <c r="G37" s="403"/>
    </row>
    <row r="38" spans="1:7" ht="30" customHeight="1">
      <c r="A38" s="112" t="s">
        <v>142</v>
      </c>
      <c r="B38" s="410" t="s">
        <v>20</v>
      </c>
      <c r="C38" s="410"/>
      <c r="D38" s="410"/>
      <c r="E38" s="410"/>
      <c r="F38" s="410"/>
      <c r="G38" s="410"/>
    </row>
    <row r="39" spans="1:7" ht="30" customHeight="1">
      <c r="A39" s="113" t="s">
        <v>144</v>
      </c>
      <c r="B39" s="408" t="s">
        <v>207</v>
      </c>
      <c r="C39" s="408"/>
      <c r="D39" s="408"/>
      <c r="E39" s="408"/>
      <c r="F39" s="408"/>
      <c r="G39" s="408"/>
    </row>
    <row r="40" spans="1:7" ht="27" customHeight="1">
      <c r="A40" s="112" t="s">
        <v>145</v>
      </c>
      <c r="B40" s="407" t="s">
        <v>164</v>
      </c>
      <c r="C40" s="407"/>
      <c r="D40" s="407"/>
      <c r="E40" s="407"/>
      <c r="F40" s="407"/>
      <c r="G40" s="407"/>
    </row>
    <row r="41" spans="1:7" ht="29.25" customHeight="1">
      <c r="A41" s="112" t="s">
        <v>186</v>
      </c>
      <c r="B41" s="410" t="s">
        <v>208</v>
      </c>
      <c r="C41" s="410"/>
      <c r="D41" s="410"/>
      <c r="E41" s="410"/>
      <c r="F41" s="410"/>
      <c r="G41" s="410"/>
    </row>
    <row r="42" spans="1:7" ht="17.25" customHeight="1">
      <c r="A42" s="112" t="s">
        <v>146</v>
      </c>
      <c r="B42" s="403" t="s">
        <v>21</v>
      </c>
      <c r="C42" s="403"/>
      <c r="D42" s="403"/>
      <c r="E42" s="403"/>
      <c r="F42" s="403"/>
      <c r="G42" s="403"/>
    </row>
    <row r="43" spans="1:7" ht="17.25" customHeight="1">
      <c r="A43" s="112" t="s">
        <v>150</v>
      </c>
      <c r="B43" s="420" t="s">
        <v>189</v>
      </c>
      <c r="C43" s="420"/>
      <c r="D43" s="420"/>
      <c r="E43" s="420"/>
      <c r="F43" s="420"/>
      <c r="G43" s="420"/>
    </row>
    <row r="44" spans="1:7" ht="17.25" customHeight="1">
      <c r="A44" s="112" t="s">
        <v>158</v>
      </c>
      <c r="B44" s="403" t="s">
        <v>190</v>
      </c>
      <c r="C44" s="403"/>
      <c r="D44" s="403"/>
      <c r="E44" s="403"/>
      <c r="F44" s="403"/>
      <c r="G44" s="403"/>
    </row>
  </sheetData>
  <sheetProtection algorithmName="SHA-512" hashValue="b8QWf4RsRzngGACMWyO34460eUxIf2erQcwR/fwl1zQE8niiq1X7Pf1+Pp+dVPg/b2KsXpU7euvmiokzANDz2Q==" saltValue="edBwcle0q1UoTI9IXgYFtA==" spinCount="100000" sheet="1" objects="1" scenarios="1"/>
  <mergeCells count="25">
    <mergeCell ref="A8:G8"/>
    <mergeCell ref="D9:E9"/>
    <mergeCell ref="A14:G14"/>
    <mergeCell ref="C15:D15"/>
    <mergeCell ref="B44:G44"/>
    <mergeCell ref="B43:G43"/>
    <mergeCell ref="B41:G41"/>
    <mergeCell ref="A24:G24"/>
    <mergeCell ref="A34:G34"/>
    <mergeCell ref="A1:D1"/>
    <mergeCell ref="F1:G1"/>
    <mergeCell ref="B42:G42"/>
    <mergeCell ref="A29:G29"/>
    <mergeCell ref="A18:G18"/>
    <mergeCell ref="C19:D19"/>
    <mergeCell ref="C20:D20"/>
    <mergeCell ref="B40:G40"/>
    <mergeCell ref="B39:G39"/>
    <mergeCell ref="B35:G35"/>
    <mergeCell ref="B37:G37"/>
    <mergeCell ref="B38:G38"/>
    <mergeCell ref="C16:D16"/>
    <mergeCell ref="A2:G2"/>
    <mergeCell ref="C10:C11"/>
    <mergeCell ref="D7:E7"/>
  </mergeCells>
  <phoneticPr fontId="39" type="noConversion"/>
  <dataValidations count="1">
    <dataValidation operator="lessThanOrEqual" allowBlank="1" showInputMessage="1" showErrorMessage="1" sqref="F7:G7 B7:D7 D13:G13 G15 B3:G3 B23:G23 B30:G33 C10 B25:G28 B9:B11 E19:G19 F10:G12 E21 B12:C13 D22:G22 B35:B44 B15:C17 E15:F17 F20:F21 B19:C22 E10 D11:D12" xr:uid="{6067FF79-5216-4086-8D39-3B15F725D054}"/>
  </dataValidations>
  <pageMargins left="0.7" right="0.7" top="0.75" bottom="0.75" header="0.3" footer="0.3"/>
  <pageSetup paperSize="9"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F337C-8D3A-4199-8623-5541FA7EB3A3}">
  <dimension ref="A1:G55"/>
  <sheetViews>
    <sheetView showGridLines="0" view="pageBreakPreview" zoomScaleNormal="100" zoomScaleSheetLayoutView="100" workbookViewId="0">
      <selection activeCell="E10" sqref="E10"/>
    </sheetView>
  </sheetViews>
  <sheetFormatPr defaultColWidth="9.1796875" defaultRowHeight="11.5"/>
  <cols>
    <col min="1" max="1" width="15.7265625" style="147" customWidth="1"/>
    <col min="2" max="2" width="47.1796875" style="147" customWidth="1"/>
    <col min="3" max="4" width="20.7265625" style="150" customWidth="1"/>
    <col min="5" max="5" width="30.7265625" style="150" customWidth="1"/>
    <col min="6" max="6" width="38.453125" style="150" customWidth="1"/>
    <col min="7" max="7" width="30.7265625" style="150" customWidth="1"/>
    <col min="8" max="16384" width="9.1796875" style="147"/>
  </cols>
  <sheetData>
    <row r="1" spans="1:7" ht="58.5" customHeight="1">
      <c r="A1" s="402" t="s">
        <v>301</v>
      </c>
      <c r="B1" s="402"/>
      <c r="C1" s="402"/>
      <c r="D1" s="402"/>
      <c r="E1" s="273" t="s">
        <v>156</v>
      </c>
      <c r="F1" s="381" t="s">
        <v>157</v>
      </c>
      <c r="G1" s="381"/>
    </row>
    <row r="2" spans="1:7" s="13" customFormat="1" ht="24.75" customHeight="1">
      <c r="A2" s="411" t="s">
        <v>224</v>
      </c>
      <c r="B2" s="411"/>
      <c r="C2" s="411"/>
      <c r="D2" s="411"/>
      <c r="E2" s="411"/>
      <c r="F2" s="411"/>
      <c r="G2" s="411"/>
    </row>
    <row r="3" spans="1:7" s="12" customFormat="1" ht="29.25" customHeight="1">
      <c r="A3" s="153" t="s">
        <v>45</v>
      </c>
      <c r="B3" s="154" t="s">
        <v>2</v>
      </c>
      <c r="C3" s="153" t="s">
        <v>3</v>
      </c>
      <c r="D3" s="153"/>
      <c r="E3" s="153" t="s">
        <v>195</v>
      </c>
      <c r="F3" s="153" t="s">
        <v>141</v>
      </c>
      <c r="G3" s="153" t="s">
        <v>140</v>
      </c>
    </row>
    <row r="4" spans="1:7" s="12" customFormat="1" ht="15" customHeight="1">
      <c r="A4" s="29" t="s">
        <v>5</v>
      </c>
      <c r="B4" s="42" t="s">
        <v>132</v>
      </c>
      <c r="C4" s="29" t="s">
        <v>6</v>
      </c>
      <c r="D4" s="42"/>
      <c r="E4" s="317">
        <f>'3. Prijsinvulformulier 2026'!E4</f>
        <v>0</v>
      </c>
      <c r="F4" s="160">
        <v>20686</v>
      </c>
      <c r="G4" s="131">
        <f>F4*E4</f>
        <v>0</v>
      </c>
    </row>
    <row r="5" spans="1:7" s="12" customFormat="1" ht="15" customHeight="1">
      <c r="A5" s="29" t="s">
        <v>7</v>
      </c>
      <c r="B5" s="42" t="s">
        <v>133</v>
      </c>
      <c r="C5" s="29" t="s">
        <v>6</v>
      </c>
      <c r="D5" s="42"/>
      <c r="E5" s="317">
        <f>'3. Prijsinvulformulier 2026'!E5</f>
        <v>0</v>
      </c>
      <c r="F5" s="160">
        <v>20686</v>
      </c>
      <c r="G5" s="131">
        <f>F5*E5</f>
        <v>0</v>
      </c>
    </row>
    <row r="6" spans="1:7" s="12" customFormat="1" ht="15" customHeight="1">
      <c r="A6" s="121"/>
      <c r="B6" s="122"/>
      <c r="C6" s="123"/>
      <c r="D6" s="122"/>
      <c r="E6" s="122"/>
      <c r="F6" s="124"/>
      <c r="G6" s="125"/>
    </row>
    <row r="7" spans="1:7" s="13" customFormat="1" ht="15" customHeight="1">
      <c r="A7" s="422" t="s">
        <v>225</v>
      </c>
      <c r="B7" s="423"/>
      <c r="C7" s="423"/>
      <c r="D7" s="423"/>
      <c r="E7" s="423"/>
      <c r="F7" s="423"/>
      <c r="G7" s="424"/>
    </row>
    <row r="8" spans="1:7" s="12" customFormat="1" ht="32.25" customHeight="1">
      <c r="A8" s="153" t="s">
        <v>45</v>
      </c>
      <c r="B8" s="154" t="s">
        <v>2</v>
      </c>
      <c r="C8" s="153" t="s">
        <v>3</v>
      </c>
      <c r="D8" s="153"/>
      <c r="E8" s="153" t="s">
        <v>226</v>
      </c>
      <c r="F8" s="153" t="s">
        <v>141</v>
      </c>
      <c r="G8" s="153" t="s">
        <v>139</v>
      </c>
    </row>
    <row r="9" spans="1:7" s="12" customFormat="1" ht="15" customHeight="1">
      <c r="A9" s="29" t="s">
        <v>8</v>
      </c>
      <c r="B9" s="42" t="s">
        <v>132</v>
      </c>
      <c r="C9" s="29" t="s">
        <v>6</v>
      </c>
      <c r="D9" s="42"/>
      <c r="E9" s="96"/>
      <c r="F9" s="160">
        <v>5262</v>
      </c>
      <c r="G9" s="131">
        <f>F9*E9</f>
        <v>0</v>
      </c>
    </row>
    <row r="10" spans="1:7" s="12" customFormat="1" ht="15" customHeight="1">
      <c r="A10" s="29" t="s">
        <v>43</v>
      </c>
      <c r="B10" s="42" t="s">
        <v>133</v>
      </c>
      <c r="C10" s="29" t="s">
        <v>6</v>
      </c>
      <c r="D10" s="42"/>
      <c r="E10" s="96"/>
      <c r="F10" s="160">
        <v>5262</v>
      </c>
      <c r="G10" s="131">
        <f>F10*E10</f>
        <v>0</v>
      </c>
    </row>
    <row r="11" spans="1:7" s="12" customFormat="1" ht="15" customHeight="1">
      <c r="A11" s="246"/>
      <c r="C11" s="303"/>
      <c r="D11" s="303"/>
      <c r="E11" s="303"/>
      <c r="F11" s="303"/>
      <c r="G11" s="304"/>
    </row>
    <row r="12" spans="1:7" s="12" customFormat="1" ht="15" hidden="1" customHeight="1">
      <c r="A12" s="97" t="s">
        <v>1</v>
      </c>
      <c r="B12" s="247" t="s">
        <v>2</v>
      </c>
      <c r="C12" s="248" t="s">
        <v>3</v>
      </c>
      <c r="D12" s="414" t="s">
        <v>137</v>
      </c>
      <c r="E12" s="414"/>
      <c r="F12" s="248" t="s">
        <v>136</v>
      </c>
      <c r="G12" s="95" t="s">
        <v>4</v>
      </c>
    </row>
    <row r="13" spans="1:7" s="18" customFormat="1" ht="15" customHeight="1">
      <c r="A13" s="404" t="s">
        <v>116</v>
      </c>
      <c r="B13" s="404"/>
      <c r="C13" s="404"/>
      <c r="D13" s="404"/>
      <c r="E13" s="404"/>
      <c r="F13" s="404"/>
      <c r="G13" s="404"/>
    </row>
    <row r="14" spans="1:7" s="18" customFormat="1" ht="30" customHeight="1">
      <c r="A14" s="153" t="s">
        <v>45</v>
      </c>
      <c r="B14" s="249" t="s">
        <v>2</v>
      </c>
      <c r="C14" s="153" t="s">
        <v>3</v>
      </c>
      <c r="D14" s="415" t="s">
        <v>182</v>
      </c>
      <c r="E14" s="416"/>
      <c r="F14" s="153" t="s">
        <v>141</v>
      </c>
      <c r="G14" s="153" t="s">
        <v>139</v>
      </c>
    </row>
    <row r="15" spans="1:7" s="12" customFormat="1" ht="26.25" customHeight="1">
      <c r="A15" s="29" t="s">
        <v>9</v>
      </c>
      <c r="B15" s="43" t="s">
        <v>148</v>
      </c>
      <c r="C15" s="412" t="s">
        <v>6</v>
      </c>
      <c r="D15" s="324"/>
      <c r="E15" s="322">
        <f>'3. Prijsinvulformulier 2026'!E10</f>
        <v>0</v>
      </c>
      <c r="F15" s="161">
        <v>20686</v>
      </c>
      <c r="G15" s="132">
        <f>(E15+E16+E17)*F15</f>
        <v>1138143.72</v>
      </c>
    </row>
    <row r="16" spans="1:7" s="18" customFormat="1" ht="27.75" customHeight="1">
      <c r="A16" s="29" t="s">
        <v>227</v>
      </c>
      <c r="B16" s="98" t="s">
        <v>183</v>
      </c>
      <c r="C16" s="413"/>
      <c r="D16" s="320">
        <f>1-((SUM('2.Kwal gunningscriteria 2027'!D34:'2.Kwal gunningscriteria 2027'!D48)/1000))</f>
        <v>1</v>
      </c>
      <c r="E16" s="45">
        <f>D16*E26</f>
        <v>55.02</v>
      </c>
      <c r="F16" s="46"/>
      <c r="G16" s="44"/>
    </row>
    <row r="17" spans="1:7" s="149" customFormat="1" ht="37.5">
      <c r="A17" s="29" t="s">
        <v>228</v>
      </c>
      <c r="B17" s="98" t="s">
        <v>229</v>
      </c>
      <c r="C17" s="148"/>
      <c r="D17" s="133"/>
      <c r="E17" s="134">
        <f>D17*E30</f>
        <v>0</v>
      </c>
      <c r="F17" s="135"/>
      <c r="G17" s="136"/>
    </row>
    <row r="18" spans="1:7" s="149" customFormat="1" ht="19.5" customHeight="1">
      <c r="A18" s="425" t="s">
        <v>230</v>
      </c>
      <c r="B18" s="426"/>
      <c r="C18" s="426"/>
      <c r="D18" s="426"/>
      <c r="E18" s="426"/>
      <c r="F18" s="426"/>
      <c r="G18" s="427"/>
    </row>
    <row r="19" spans="1:7" s="18" customFormat="1" ht="30" customHeight="1">
      <c r="A19" s="153" t="s">
        <v>45</v>
      </c>
      <c r="B19" s="249" t="s">
        <v>2</v>
      </c>
      <c r="C19" s="153" t="s">
        <v>3</v>
      </c>
      <c r="D19" s="415" t="s">
        <v>182</v>
      </c>
      <c r="E19" s="416"/>
      <c r="F19" s="153" t="s">
        <v>141</v>
      </c>
      <c r="G19" s="153" t="s">
        <v>139</v>
      </c>
    </row>
    <row r="20" spans="1:7" s="18" customFormat="1" ht="31.5" customHeight="1">
      <c r="A20" s="29" t="s">
        <v>161</v>
      </c>
      <c r="B20" s="47" t="s">
        <v>231</v>
      </c>
      <c r="C20" s="428" t="s">
        <v>6</v>
      </c>
      <c r="D20" s="321"/>
      <c r="E20" s="323"/>
      <c r="F20" s="160">
        <v>5262</v>
      </c>
      <c r="G20" s="132">
        <f>(E20+E21+E22)*F20</f>
        <v>289515.24</v>
      </c>
    </row>
    <row r="21" spans="1:7" s="18" customFormat="1" ht="26.25" customHeight="1">
      <c r="A21" s="29" t="s">
        <v>134</v>
      </c>
      <c r="B21" s="98" t="s">
        <v>232</v>
      </c>
      <c r="C21" s="428"/>
      <c r="D21" s="320">
        <f>1-((SUM('2.Kwal gunningscriteria 2027'!D73:'2.Kwal gunningscriteria 2027'!D87)/1000))</f>
        <v>1</v>
      </c>
      <c r="E21" s="45">
        <f>D21*E26</f>
        <v>55.02</v>
      </c>
      <c r="F21" s="46"/>
      <c r="G21" s="305"/>
    </row>
    <row r="22" spans="1:7" s="149" customFormat="1" ht="37.5">
      <c r="A22" s="29" t="s">
        <v>135</v>
      </c>
      <c r="B22" s="98" t="s">
        <v>233</v>
      </c>
      <c r="C22" s="148"/>
      <c r="D22" s="133"/>
      <c r="E22" s="134">
        <f>D22*E30</f>
        <v>0</v>
      </c>
      <c r="F22" s="135"/>
      <c r="G22" s="136"/>
    </row>
    <row r="23" spans="1:7" s="12" customFormat="1" ht="12.5">
      <c r="A23" s="246"/>
      <c r="B23" s="250"/>
      <c r="C23" s="251"/>
      <c r="D23" s="252"/>
      <c r="E23" s="252"/>
      <c r="F23" s="252"/>
      <c r="G23" s="253"/>
    </row>
    <row r="24" spans="1:7" s="48" customFormat="1" ht="15" customHeight="1">
      <c r="A24" s="417"/>
      <c r="B24" s="418"/>
      <c r="C24" s="418"/>
      <c r="D24" s="418"/>
      <c r="E24" s="418"/>
      <c r="F24" s="418"/>
      <c r="G24" s="419"/>
    </row>
    <row r="25" spans="1:7" s="48" customFormat="1" ht="16.5" customHeight="1">
      <c r="A25" s="153" t="s">
        <v>45</v>
      </c>
      <c r="B25" s="249" t="s">
        <v>2</v>
      </c>
      <c r="C25" s="405" t="s">
        <v>3</v>
      </c>
      <c r="D25" s="405"/>
      <c r="E25" s="155" t="s">
        <v>46</v>
      </c>
      <c r="F25" s="156" t="s">
        <v>162</v>
      </c>
      <c r="G25" s="254"/>
    </row>
    <row r="26" spans="1:7" s="48" customFormat="1" ht="18.75" customHeight="1">
      <c r="A26" s="49" t="s">
        <v>205</v>
      </c>
      <c r="B26" s="47" t="s">
        <v>187</v>
      </c>
      <c r="C26" s="406" t="s">
        <v>194</v>
      </c>
      <c r="D26" s="406"/>
      <c r="E26" s="210">
        <v>55.02</v>
      </c>
      <c r="F26" s="127">
        <v>2027</v>
      </c>
      <c r="G26" s="43"/>
    </row>
    <row r="27" spans="1:7" s="48" customFormat="1" ht="18.75" customHeight="1">
      <c r="A27" s="117"/>
      <c r="B27" s="118"/>
      <c r="C27" s="119"/>
      <c r="D27" s="119"/>
      <c r="E27" s="120"/>
      <c r="F27" s="102"/>
      <c r="G27" s="255"/>
    </row>
    <row r="28" spans="1:7" s="48" customFormat="1" ht="15" customHeight="1">
      <c r="A28" s="404" t="s">
        <v>151</v>
      </c>
      <c r="B28" s="404"/>
      <c r="C28" s="404"/>
      <c r="D28" s="404"/>
      <c r="E28" s="404"/>
      <c r="F28" s="404"/>
      <c r="G28" s="404"/>
    </row>
    <row r="29" spans="1:7" s="48" customFormat="1" ht="23.25" customHeight="1">
      <c r="A29" s="153" t="s">
        <v>45</v>
      </c>
      <c r="B29" s="157" t="s">
        <v>2</v>
      </c>
      <c r="C29" s="405" t="s">
        <v>3</v>
      </c>
      <c r="D29" s="405"/>
      <c r="E29" s="155" t="s">
        <v>46</v>
      </c>
      <c r="F29" s="158" t="s">
        <v>162</v>
      </c>
      <c r="G29" s="158"/>
    </row>
    <row r="30" spans="1:7" s="48" customFormat="1" ht="12.5">
      <c r="A30" s="49" t="s">
        <v>243</v>
      </c>
      <c r="B30" s="47" t="s">
        <v>185</v>
      </c>
      <c r="C30" s="406" t="s">
        <v>194</v>
      </c>
      <c r="D30" s="406"/>
      <c r="E30" s="186">
        <v>12.27</v>
      </c>
      <c r="F30" s="130">
        <v>2027</v>
      </c>
      <c r="G30" s="43"/>
    </row>
    <row r="31" spans="1:7" s="48" customFormat="1" ht="18.75" customHeight="1" thickBot="1">
      <c r="A31" s="256"/>
      <c r="B31" s="257"/>
      <c r="C31" s="258"/>
      <c r="D31" s="258"/>
      <c r="E31" s="259"/>
      <c r="F31" s="260"/>
      <c r="G31" s="261"/>
    </row>
    <row r="32" spans="1:7" ht="42.75" customHeight="1" thickBot="1">
      <c r="A32" s="262"/>
      <c r="B32" s="263"/>
      <c r="C32" s="264"/>
      <c r="D32" s="265"/>
      <c r="E32" s="265"/>
      <c r="F32" s="205" t="s">
        <v>242</v>
      </c>
      <c r="G32" s="266">
        <f>G4+G5+G9+G10+G15+G20</f>
        <v>1427658.96</v>
      </c>
    </row>
    <row r="33" spans="1:7">
      <c r="A33" s="262"/>
      <c r="B33" s="263"/>
      <c r="C33" s="264"/>
      <c r="D33" s="265"/>
      <c r="E33" s="265"/>
      <c r="F33" s="267"/>
      <c r="G33" s="268"/>
    </row>
    <row r="34" spans="1:7" s="93" customFormat="1" ht="15" customHeight="1">
      <c r="A34" s="404" t="s">
        <v>234</v>
      </c>
      <c r="B34" s="404"/>
      <c r="C34" s="404"/>
      <c r="D34" s="404"/>
      <c r="E34" s="404"/>
      <c r="F34" s="404"/>
      <c r="G34" s="404"/>
    </row>
    <row r="35" spans="1:7" s="93" customFormat="1" ht="15" customHeight="1">
      <c r="A35" s="153" t="s">
        <v>1</v>
      </c>
      <c r="B35" s="154" t="s">
        <v>10</v>
      </c>
      <c r="C35" s="153" t="s">
        <v>15</v>
      </c>
      <c r="D35" s="153" t="s">
        <v>11</v>
      </c>
      <c r="E35" s="153" t="s">
        <v>12</v>
      </c>
      <c r="F35" s="153" t="s">
        <v>13</v>
      </c>
      <c r="G35" s="153" t="s">
        <v>14</v>
      </c>
    </row>
    <row r="36" spans="1:7" s="93" customFormat="1" ht="15" customHeight="1">
      <c r="A36" s="94" t="s">
        <v>235</v>
      </c>
      <c r="B36" s="99"/>
      <c r="C36" s="100"/>
      <c r="D36" s="101"/>
      <c r="E36" s="101"/>
      <c r="F36" s="101"/>
      <c r="G36" s="101"/>
    </row>
    <row r="37" spans="1:7" s="93" customFormat="1" ht="15" customHeight="1">
      <c r="A37" s="94" t="s">
        <v>236</v>
      </c>
      <c r="B37" s="99"/>
      <c r="C37" s="100"/>
      <c r="D37" s="101"/>
      <c r="E37" s="101"/>
      <c r="F37" s="101"/>
      <c r="G37" s="101"/>
    </row>
    <row r="38" spans="1:7" s="93" customFormat="1" ht="15" customHeight="1">
      <c r="A38" s="269"/>
      <c r="B38" s="114"/>
      <c r="C38" s="115"/>
      <c r="D38" s="116"/>
      <c r="E38" s="116"/>
      <c r="F38" s="116"/>
      <c r="G38" s="270"/>
    </row>
    <row r="39" spans="1:7" s="93" customFormat="1" ht="14.25" customHeight="1">
      <c r="A39" s="404" t="s">
        <v>237</v>
      </c>
      <c r="B39" s="404"/>
      <c r="C39" s="404"/>
      <c r="D39" s="404"/>
      <c r="E39" s="404"/>
      <c r="F39" s="404"/>
      <c r="G39" s="404"/>
    </row>
    <row r="40" spans="1:7" s="93" customFormat="1" ht="14.25" customHeight="1">
      <c r="A40" s="153" t="s">
        <v>1</v>
      </c>
      <c r="B40" s="154" t="s">
        <v>10</v>
      </c>
      <c r="C40" s="153" t="s">
        <v>15</v>
      </c>
      <c r="D40" s="153" t="s">
        <v>11</v>
      </c>
      <c r="E40" s="153" t="s">
        <v>12</v>
      </c>
      <c r="F40" s="153" t="s">
        <v>13</v>
      </c>
      <c r="G40" s="153" t="s">
        <v>14</v>
      </c>
    </row>
    <row r="41" spans="1:7" s="93" customFormat="1" ht="14.25" customHeight="1">
      <c r="A41" s="94" t="s">
        <v>238</v>
      </c>
      <c r="B41" s="99"/>
      <c r="C41" s="100"/>
      <c r="D41" s="101"/>
      <c r="E41" s="101"/>
      <c r="F41" s="101"/>
      <c r="G41" s="101"/>
    </row>
    <row r="42" spans="1:7" s="93" customFormat="1" ht="14.25" customHeight="1">
      <c r="A42" s="94" t="s">
        <v>239</v>
      </c>
      <c r="B42" s="99"/>
      <c r="C42" s="100"/>
      <c r="D42" s="101"/>
      <c r="E42" s="101"/>
      <c r="F42" s="101"/>
      <c r="G42" s="101"/>
    </row>
    <row r="43" spans="1:7">
      <c r="A43" s="262"/>
      <c r="B43" s="263"/>
      <c r="C43" s="264"/>
      <c r="D43" s="265"/>
      <c r="E43" s="265"/>
      <c r="F43" s="267"/>
      <c r="G43" s="268"/>
    </row>
    <row r="44" spans="1:7" ht="14">
      <c r="A44" s="421" t="s">
        <v>16</v>
      </c>
      <c r="B44" s="421"/>
      <c r="C44" s="421"/>
      <c r="D44" s="421"/>
      <c r="E44" s="421"/>
      <c r="F44" s="421"/>
      <c r="G44" s="421"/>
    </row>
    <row r="45" spans="1:7" ht="12.5">
      <c r="A45" s="153" t="s">
        <v>1</v>
      </c>
      <c r="B45" s="409" t="s">
        <v>17</v>
      </c>
      <c r="C45" s="409"/>
      <c r="D45" s="409"/>
      <c r="E45" s="409"/>
      <c r="F45" s="409"/>
      <c r="G45" s="409"/>
    </row>
    <row r="46" spans="1:7" ht="15" customHeight="1">
      <c r="A46" s="111" t="s">
        <v>18</v>
      </c>
      <c r="B46" s="159" t="s">
        <v>115</v>
      </c>
      <c r="C46" s="159"/>
      <c r="D46" s="159"/>
      <c r="E46" s="159"/>
      <c r="F46" s="159"/>
      <c r="G46" s="159"/>
    </row>
    <row r="47" spans="1:7" ht="15" customHeight="1">
      <c r="A47" s="112" t="s">
        <v>143</v>
      </c>
      <c r="B47" s="403" t="s">
        <v>19</v>
      </c>
      <c r="C47" s="403"/>
      <c r="D47" s="403"/>
      <c r="E47" s="403"/>
      <c r="F47" s="403"/>
      <c r="G47" s="403"/>
    </row>
    <row r="48" spans="1:7" ht="30" customHeight="1">
      <c r="A48" s="112" t="s">
        <v>142</v>
      </c>
      <c r="B48" s="410" t="s">
        <v>20</v>
      </c>
      <c r="C48" s="410"/>
      <c r="D48" s="410"/>
      <c r="E48" s="410"/>
      <c r="F48" s="410"/>
      <c r="G48" s="410"/>
    </row>
    <row r="49" spans="1:7" ht="30" customHeight="1">
      <c r="A49" s="113" t="s">
        <v>144</v>
      </c>
      <c r="B49" s="408" t="s">
        <v>184</v>
      </c>
      <c r="C49" s="408"/>
      <c r="D49" s="408"/>
      <c r="E49" s="408"/>
      <c r="F49" s="408"/>
      <c r="G49" s="408"/>
    </row>
    <row r="50" spans="1:7" ht="27" customHeight="1">
      <c r="A50" s="112" t="s">
        <v>145</v>
      </c>
      <c r="B50" s="407" t="s">
        <v>164</v>
      </c>
      <c r="C50" s="407"/>
      <c r="D50" s="407"/>
      <c r="E50" s="407"/>
      <c r="F50" s="407"/>
      <c r="G50" s="407"/>
    </row>
    <row r="51" spans="1:7" ht="15" customHeight="1">
      <c r="A51" s="113" t="s">
        <v>186</v>
      </c>
      <c r="B51" s="408" t="s">
        <v>240</v>
      </c>
      <c r="C51" s="408"/>
      <c r="D51" s="408"/>
      <c r="E51" s="408"/>
      <c r="F51" s="408"/>
      <c r="G51" s="408"/>
    </row>
    <row r="52" spans="1:7" ht="29.25" customHeight="1">
      <c r="A52" s="112" t="s">
        <v>146</v>
      </c>
      <c r="B52" s="410" t="s">
        <v>165</v>
      </c>
      <c r="C52" s="410"/>
      <c r="D52" s="410"/>
      <c r="E52" s="410"/>
      <c r="F52" s="410"/>
      <c r="G52" s="410"/>
    </row>
    <row r="53" spans="1:7" ht="17.25" customHeight="1">
      <c r="A53" s="112" t="s">
        <v>150</v>
      </c>
      <c r="B53" s="403" t="s">
        <v>21</v>
      </c>
      <c r="C53" s="403"/>
      <c r="D53" s="403"/>
      <c r="E53" s="403"/>
      <c r="F53" s="403"/>
      <c r="G53" s="403"/>
    </row>
    <row r="54" spans="1:7" ht="17.25" customHeight="1">
      <c r="A54" s="112" t="s">
        <v>158</v>
      </c>
      <c r="B54" s="420" t="s">
        <v>189</v>
      </c>
      <c r="C54" s="420"/>
      <c r="D54" s="420"/>
      <c r="E54" s="420"/>
      <c r="F54" s="420"/>
      <c r="G54" s="420"/>
    </row>
    <row r="55" spans="1:7" ht="17.25" customHeight="1">
      <c r="A55" s="112" t="s">
        <v>241</v>
      </c>
      <c r="B55" s="403" t="s">
        <v>190</v>
      </c>
      <c r="C55" s="403"/>
      <c r="D55" s="403"/>
      <c r="E55" s="403"/>
      <c r="F55" s="403"/>
      <c r="G55" s="403"/>
    </row>
  </sheetData>
  <sheetProtection algorithmName="SHA-512" hashValue="l7D+XzTuYM+SgqVetDmsTxz83d4ZHQvgAxWhdPKH+OV2ic1dhiZwjRplIEAWumBE/PWl8RvfLOFjk1sWOkVcog==" saltValue="KTepVUeSSnhnW0cMaXArsg==" spinCount="100000" sheet="1" objects="1" scenarios="1"/>
  <mergeCells count="30">
    <mergeCell ref="B53:G53"/>
    <mergeCell ref="B54:G54"/>
    <mergeCell ref="B55:G55"/>
    <mergeCell ref="B47:G47"/>
    <mergeCell ref="B48:G48"/>
    <mergeCell ref="B49:G49"/>
    <mergeCell ref="B50:G50"/>
    <mergeCell ref="B51:G51"/>
    <mergeCell ref="B52:G52"/>
    <mergeCell ref="A34:G34"/>
    <mergeCell ref="A39:G39"/>
    <mergeCell ref="A44:G44"/>
    <mergeCell ref="B45:G45"/>
    <mergeCell ref="A28:G28"/>
    <mergeCell ref="C29:D29"/>
    <mergeCell ref="C30:D30"/>
    <mergeCell ref="A24:G24"/>
    <mergeCell ref="C25:D25"/>
    <mergeCell ref="C26:D26"/>
    <mergeCell ref="D14:E14"/>
    <mergeCell ref="C15:C16"/>
    <mergeCell ref="A18:G18"/>
    <mergeCell ref="D19:E19"/>
    <mergeCell ref="C20:C21"/>
    <mergeCell ref="A13:G13"/>
    <mergeCell ref="A1:D1"/>
    <mergeCell ref="F1:G1"/>
    <mergeCell ref="A2:G2"/>
    <mergeCell ref="A7:G7"/>
    <mergeCell ref="D12:E12"/>
  </mergeCells>
  <dataValidations count="2">
    <dataValidation type="decimal" operator="lessThanOrEqual" allowBlank="1" showInputMessage="1" showErrorMessage="1" error="Deze invoer voldoet niet aan voorwaarde E" sqref="E20 D20" xr:uid="{5C5E15A2-B391-404F-8F5B-C4D93EF4FD50}">
      <formula1>D15</formula1>
    </dataValidation>
    <dataValidation operator="lessThanOrEqual" allowBlank="1" showInputMessage="1" showErrorMessage="1" sqref="B8:G8 F12:G12 B12:D12 D23:G23 G25 B3:G3 B40:G43 C15 F20:G22 B35:G38 B14:B16 E29:G29 B45:B55 B20:C23 D15:D17 F15:G17 B17:C17 E31 B19 D21 E25:F27 B25:C27 F30:F31 B29:C31 B32:G33" xr:uid="{B9D88B0F-66F3-4223-9EFE-32BC55F85E68}"/>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1">
        <x14:dataValidation type="custom" operator="lessThanOrEqual" allowBlank="1" showInputMessage="1" showErrorMessage="1" xr:uid="{204F3669-C94E-4A76-8913-1C747847F512}">
          <x14:formula1>
            <xm:f>D22&lt;=1-(('2.Kwal gunningscriteria 2027'!D73+'2.Kwal gunningscriteria 2027'!D74)/1000)</xm:f>
          </x14:formula1>
          <xm:sqref>D22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93B002-6512-4797-AA32-7C080E29F4F0}">
  <ds:schemaRefs>
    <ds:schemaRef ds:uri="b77e2b43-37d4-4532-953b-53983e0992e2"/>
    <ds:schemaRef ds:uri="http://schemas.openxmlformats.org/package/2006/metadata/core-properties"/>
    <ds:schemaRef ds:uri="http://schemas.microsoft.com/office/infopath/2007/PartnerControls"/>
    <ds:schemaRef ds:uri="40faa72d-7604-4f4d-a488-93cffb7df14f"/>
    <ds:schemaRef ds:uri="http://schemas.microsoft.com/office/2006/documentManagement/types"/>
    <ds:schemaRef ds:uri="http://purl.org/dc/dcmitype/"/>
    <ds:schemaRef ds:uri="http://schemas.microsoft.com/office/2006/metadata/properties"/>
    <ds:schemaRef ds:uri="http://purl.org/dc/elements/1.1/"/>
    <ds:schemaRef ds:uri="57fb7290-b59d-4e32-9476-5a47a4cb54bb"/>
    <ds:schemaRef ds:uri="http://www.w3.org/XML/1998/namespace"/>
    <ds:schemaRef ds:uri="http://purl.org/dc/terms/"/>
    <ds:schemaRef ds:uri="962d65e8-ec2e-4f08-b510-02888a857b6e"/>
  </ds:schemaRefs>
</ds:datastoreItem>
</file>

<file path=customXml/itemProps2.xml><?xml version="1.0" encoding="utf-8"?>
<ds:datastoreItem xmlns:ds="http://schemas.openxmlformats.org/officeDocument/2006/customXml" ds:itemID="{3B7903A1-E812-4EFE-97F1-1BD4F93EC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371479-C754-48B4-ABCB-005452F74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13</vt:i4>
      </vt:variant>
    </vt:vector>
  </HeadingPairs>
  <TitlesOfParts>
    <vt:vector size="26" baseType="lpstr">
      <vt:lpstr>Voorblad</vt:lpstr>
      <vt:lpstr>1. Invulinstructie</vt:lpstr>
      <vt:lpstr>2.Kwal gunningscriteria 2026</vt:lpstr>
      <vt:lpstr>2.Kwal gunningscriteria 2027</vt:lpstr>
      <vt:lpstr>2.Kwal gunningscriteria 2028</vt:lpstr>
      <vt:lpstr>2.Kwal gunningscriteria 2029</vt:lpstr>
      <vt:lpstr>2.Kwal gunn.criteria 2030-2033</vt:lpstr>
      <vt:lpstr>3. Prijsinvulformulier 2026</vt:lpstr>
      <vt:lpstr>3. Prijsinvulformulier 2027</vt:lpstr>
      <vt:lpstr>3. Prijsinvulformulier 2028</vt:lpstr>
      <vt:lpstr>3. Prijsinvulformulier 2029</vt:lpstr>
      <vt:lpstr>3.Prijsinvulformulier 2030-2033</vt:lpstr>
      <vt:lpstr>4. Fictieve inschrijfprijs</vt:lpstr>
      <vt:lpstr>'1. Invulinstructie'!Afdrukbereik</vt:lpstr>
      <vt:lpstr>'2.Kwal gunn.criteria 2030-2033'!Afdrukbereik</vt:lpstr>
      <vt:lpstr>'2.Kwal gunningscriteria 2026'!Afdrukbereik</vt:lpstr>
      <vt:lpstr>'2.Kwal gunningscriteria 2027'!Afdrukbereik</vt:lpstr>
      <vt:lpstr>'2.Kwal gunningscriteria 2028'!Afdrukbereik</vt:lpstr>
      <vt:lpstr>'2.Kwal gunningscriteria 2029'!Afdrukbereik</vt:lpstr>
      <vt:lpstr>'3. Prijsinvulformulier 2026'!Afdrukbereik</vt:lpstr>
      <vt:lpstr>'3. Prijsinvulformulier 2027'!Afdrukbereik</vt:lpstr>
      <vt:lpstr>'3. Prijsinvulformulier 2028'!Afdrukbereik</vt:lpstr>
      <vt:lpstr>'3. Prijsinvulformulier 2029'!Afdrukbereik</vt:lpstr>
      <vt:lpstr>'3.Prijsinvulformulier 2030-2033'!Afdrukbereik</vt:lpstr>
      <vt:lpstr>'4. Fictieve inschrijfprijs'!Afdrukbereik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Walters B.A. (Bianca)</cp:lastModifiedBy>
  <cp:lastPrinted>2025-07-15T08:57:41Z</cp:lastPrinted>
  <dcterms:created xsi:type="dcterms:W3CDTF">2021-05-06T12:21:12Z</dcterms:created>
  <dcterms:modified xsi:type="dcterms:W3CDTF">2025-09-11T10:10:09Z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