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updateLinks="never" codeName="ThisWorkbook"/>
  <mc:AlternateContent xmlns:mc="http://schemas.openxmlformats.org/markup-compatibility/2006">
    <mc:Choice Requires="x15">
      <x15ac:absPath xmlns:x15ac="http://schemas.microsoft.com/office/spreadsheetml/2010/11/ac" url="https://grindadvies-my.sharepoint.com/personal/stijn_grindadvies_nl/Documents/Documenten/Projectmanagement-Accountmanagement GRIND Advies-RWS/Veiligheid steunpunten-zoutloodsen RWS/Definitieve documenten/"/>
    </mc:Choice>
  </mc:AlternateContent>
  <xr:revisionPtr revIDLastSave="204" documentId="8_{20AD2E8B-D7CC-4CA6-AC44-807FCBBE051F}" xr6:coauthVersionLast="47" xr6:coauthVersionMax="47" xr10:uidLastSave="{AC957B22-BCD3-4490-AFDC-6E3CBD83F38A}"/>
  <bookViews>
    <workbookView xWindow="28680" yWindow="-120" windowWidth="29040" windowHeight="15840"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RI&amp;E'!$B$4:$AI$15</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N30" i="2"/>
  <c r="P30" i="2"/>
  <c r="X30" i="2"/>
  <c r="AB30" i="2"/>
  <c r="AD30" i="2"/>
  <c r="AF30" i="2"/>
  <c r="AG30" i="2"/>
  <c r="L28" i="2"/>
  <c r="N28" i="2"/>
  <c r="P28" i="2"/>
  <c r="L29" i="2"/>
  <c r="N29" i="2"/>
  <c r="P29" i="2"/>
  <c r="L7" i="2"/>
  <c r="L8" i="2"/>
  <c r="L9" i="2"/>
  <c r="L10" i="2"/>
  <c r="L11" i="2"/>
  <c r="L12" i="2"/>
  <c r="L13" i="2"/>
  <c r="L14" i="2"/>
  <c r="L15" i="2"/>
  <c r="L16" i="2"/>
  <c r="L17" i="2"/>
  <c r="L18" i="2"/>
  <c r="L19" i="2"/>
  <c r="L20" i="2"/>
  <c r="L21" i="2"/>
  <c r="L22" i="2"/>
  <c r="L23" i="2"/>
  <c r="L24" i="2"/>
  <c r="L25" i="2"/>
  <c r="L26" i="2"/>
  <c r="L27" i="2"/>
  <c r="L31" i="2"/>
  <c r="N7" i="2"/>
  <c r="N8" i="2"/>
  <c r="N9" i="2"/>
  <c r="N10" i="2"/>
  <c r="N11" i="2"/>
  <c r="N12" i="2"/>
  <c r="N13" i="2"/>
  <c r="N14" i="2"/>
  <c r="N15" i="2"/>
  <c r="N16" i="2"/>
  <c r="N17" i="2"/>
  <c r="N18" i="2"/>
  <c r="N19" i="2"/>
  <c r="N20" i="2"/>
  <c r="N21" i="2"/>
  <c r="N22" i="2"/>
  <c r="N23" i="2"/>
  <c r="N24" i="2"/>
  <c r="N25" i="2"/>
  <c r="N26" i="2"/>
  <c r="N27" i="2"/>
  <c r="N31" i="2"/>
  <c r="P7" i="2"/>
  <c r="P8" i="2"/>
  <c r="P9" i="2"/>
  <c r="P10" i="2"/>
  <c r="P11" i="2"/>
  <c r="P12" i="2"/>
  <c r="P13" i="2"/>
  <c r="P14" i="2"/>
  <c r="P15" i="2"/>
  <c r="P16" i="2"/>
  <c r="P17" i="2"/>
  <c r="P18" i="2"/>
  <c r="P19" i="2"/>
  <c r="P20" i="2"/>
  <c r="P21" i="2"/>
  <c r="P22" i="2"/>
  <c r="P23" i="2"/>
  <c r="P24" i="2"/>
  <c r="P25" i="2"/>
  <c r="P26" i="2"/>
  <c r="P27" i="2"/>
  <c r="P31" i="2"/>
  <c r="R30" i="2" l="1"/>
  <c r="Q30" i="2" s="1"/>
  <c r="AL30" i="2"/>
  <c r="AK30" i="2"/>
  <c r="S30" i="2"/>
  <c r="AM30" i="2"/>
  <c r="R15" i="2"/>
  <c r="S15" i="2" s="1"/>
  <c r="R11" i="2"/>
  <c r="Q11" i="2" s="1"/>
  <c r="R21" i="2"/>
  <c r="Q21" i="2" s="1"/>
  <c r="R17" i="2"/>
  <c r="Q17" i="2" s="1"/>
  <c r="R27" i="2"/>
  <c r="Q27" i="2" s="1"/>
  <c r="R18" i="2"/>
  <c r="Q18" i="2" s="1"/>
  <c r="R26" i="2"/>
  <c r="Q26" i="2" s="1"/>
  <c r="R22" i="2"/>
  <c r="R14" i="2"/>
  <c r="S14" i="2" s="1"/>
  <c r="R10" i="2"/>
  <c r="Q10" i="2" s="1"/>
  <c r="R25" i="2"/>
  <c r="S25" i="2" s="1"/>
  <c r="R13" i="2"/>
  <c r="Q13" i="2" s="1"/>
  <c r="R9" i="2"/>
  <c r="Q9" i="2" s="1"/>
  <c r="Q15" i="2"/>
  <c r="Q22" i="2"/>
  <c r="S22" i="2"/>
  <c r="R23" i="2"/>
  <c r="Q23" i="2" s="1"/>
  <c r="R19" i="2"/>
  <c r="Q19" i="2" s="1"/>
  <c r="R7" i="2"/>
  <c r="Q7" i="2" s="1"/>
  <c r="S27" i="2"/>
  <c r="S17" i="2"/>
  <c r="R29" i="2"/>
  <c r="S29" i="2" s="1"/>
  <c r="R28" i="2"/>
  <c r="S28" i="2" s="1"/>
  <c r="R31" i="2"/>
  <c r="R24" i="2"/>
  <c r="R20" i="2"/>
  <c r="R16" i="2"/>
  <c r="R12" i="2"/>
  <c r="R8" i="2"/>
  <c r="S18" i="2" l="1"/>
  <c r="S11" i="2"/>
  <c r="S21" i="2"/>
  <c r="S13" i="2"/>
  <c r="S23" i="2"/>
  <c r="S9" i="2"/>
  <c r="Q14" i="2"/>
  <c r="Q25" i="2"/>
  <c r="S26" i="2"/>
  <c r="S19" i="2"/>
  <c r="S10" i="2"/>
  <c r="S7" i="2"/>
  <c r="Q29" i="2"/>
  <c r="Q28" i="2"/>
  <c r="Q20" i="2"/>
  <c r="S20" i="2"/>
  <c r="S8" i="2"/>
  <c r="Q8" i="2"/>
  <c r="S12" i="2"/>
  <c r="Q12" i="2"/>
  <c r="S24" i="2"/>
  <c r="Q24" i="2"/>
  <c r="S16" i="2"/>
  <c r="Q16" i="2"/>
  <c r="S31" i="2"/>
  <c r="Q31" i="2"/>
  <c r="X27" i="2" l="1"/>
  <c r="AB27" i="2"/>
  <c r="AD27" i="2"/>
  <c r="AF27" i="2"/>
  <c r="AG27" i="2"/>
  <c r="AG8" i="2"/>
  <c r="AF8" i="2"/>
  <c r="AD8" i="2"/>
  <c r="AB8" i="2"/>
  <c r="X8" i="2"/>
  <c r="AG11" i="2"/>
  <c r="AG12" i="2"/>
  <c r="AG13" i="2"/>
  <c r="AG14" i="2"/>
  <c r="AG15" i="2"/>
  <c r="AG16" i="2"/>
  <c r="AG17" i="2"/>
  <c r="AG18" i="2"/>
  <c r="AG22" i="2"/>
  <c r="AG25" i="2"/>
  <c r="AG26" i="2"/>
  <c r="AG19" i="2"/>
  <c r="AG20" i="2"/>
  <c r="AG24" i="2"/>
  <c r="AG21" i="2"/>
  <c r="AG28" i="2"/>
  <c r="AG29" i="2"/>
  <c r="AG31" i="2"/>
  <c r="AM27" i="2" l="1"/>
  <c r="AL27" i="2"/>
  <c r="AK27" i="2"/>
  <c r="AM8" i="2"/>
  <c r="AL8" i="2"/>
  <c r="AK8" i="2"/>
  <c r="AL18" i="2"/>
  <c r="X12" i="2"/>
  <c r="X13" i="2"/>
  <c r="X14" i="2"/>
  <c r="X15" i="2"/>
  <c r="X16" i="2"/>
  <c r="X17" i="2"/>
  <c r="X18" i="2"/>
  <c r="X22" i="2"/>
  <c r="X25" i="2"/>
  <c r="X26" i="2"/>
  <c r="X19" i="2"/>
  <c r="X20" i="2"/>
  <c r="X24" i="2"/>
  <c r="X21" i="2"/>
  <c r="X28" i="2"/>
  <c r="X29" i="2"/>
  <c r="X31" i="2"/>
  <c r="AB12" i="2"/>
  <c r="AB13" i="2"/>
  <c r="AB14" i="2"/>
  <c r="AB15" i="2"/>
  <c r="AB16" i="2"/>
  <c r="AB17" i="2"/>
  <c r="AB18" i="2"/>
  <c r="AB22" i="2"/>
  <c r="AB25" i="2"/>
  <c r="AB26" i="2"/>
  <c r="AB19" i="2"/>
  <c r="AB20" i="2"/>
  <c r="AB24" i="2"/>
  <c r="AB21" i="2"/>
  <c r="AB28" i="2"/>
  <c r="AB29" i="2"/>
  <c r="AB31" i="2"/>
  <c r="AD12" i="2"/>
  <c r="AD13" i="2"/>
  <c r="AD14" i="2"/>
  <c r="AD15" i="2"/>
  <c r="AD16" i="2"/>
  <c r="AD17" i="2"/>
  <c r="AD18" i="2"/>
  <c r="AD22" i="2"/>
  <c r="AD25" i="2"/>
  <c r="AD26" i="2"/>
  <c r="AD19" i="2"/>
  <c r="AD20" i="2"/>
  <c r="AD24" i="2"/>
  <c r="AD21" i="2"/>
  <c r="AD28" i="2"/>
  <c r="AD29" i="2"/>
  <c r="AD31" i="2"/>
  <c r="AF12" i="2"/>
  <c r="AF13" i="2"/>
  <c r="AF14" i="2"/>
  <c r="AF15" i="2"/>
  <c r="AF16" i="2"/>
  <c r="AF17" i="2"/>
  <c r="AF18" i="2"/>
  <c r="AF22" i="2"/>
  <c r="AF25" i="2"/>
  <c r="AF26" i="2"/>
  <c r="AF19" i="2"/>
  <c r="AF20" i="2"/>
  <c r="AF24" i="2"/>
  <c r="AF21" i="2"/>
  <c r="AF28" i="2"/>
  <c r="AF29" i="2"/>
  <c r="AF31" i="2"/>
  <c r="AM12" i="2" l="1"/>
  <c r="AM15" i="2"/>
  <c r="AL21" i="2"/>
  <c r="AK12" i="2"/>
  <c r="AL12" i="2"/>
  <c r="AK20" i="2"/>
  <c r="AM20" i="2"/>
  <c r="AL20" i="2"/>
  <c r="AK21" i="2"/>
  <c r="AM21" i="2"/>
  <c r="AM29" i="2"/>
  <c r="AK14" i="2"/>
  <c r="AM14" i="2"/>
  <c r="AL14" i="2"/>
  <c r="AK18" i="2"/>
  <c r="AM18" i="2"/>
  <c r="AM17" i="2"/>
  <c r="AK28" i="2"/>
  <c r="AL28" i="2"/>
  <c r="AK24" i="2"/>
  <c r="AK26" i="2" l="1"/>
  <c r="AL26" i="2"/>
  <c r="AM26" i="2"/>
  <c r="AK17" i="2"/>
  <c r="AL17" i="2"/>
  <c r="AK15" i="2"/>
  <c r="AK22" i="2"/>
  <c r="AL15" i="2"/>
  <c r="AK13" i="2"/>
  <c r="AL31" i="2"/>
  <c r="AM31" i="2"/>
  <c r="AK31" i="2"/>
  <c r="AK29" i="2"/>
  <c r="AL29" i="2"/>
  <c r="AL22" i="2"/>
  <c r="AM22" i="2"/>
  <c r="AM24" i="2"/>
  <c r="AL24" i="2"/>
  <c r="AL25" i="2"/>
  <c r="AK25" i="2"/>
  <c r="AM25" i="2"/>
  <c r="AM28" i="2"/>
  <c r="AM13" i="2"/>
  <c r="AL13" i="2"/>
  <c r="AK16" i="2"/>
  <c r="AM16" i="2"/>
  <c r="AL16" i="2"/>
  <c r="AL19" i="2"/>
  <c r="AM19" i="2"/>
  <c r="AK19" i="2"/>
  <c r="X7" i="2" l="1"/>
  <c r="X9"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10" i="2" l="1"/>
  <c r="X23" i="2"/>
  <c r="W60" i="33"/>
  <c r="W61" i="33"/>
  <c r="W62" i="33"/>
  <c r="W63" i="33"/>
  <c r="W59" i="33"/>
  <c r="W49" i="33"/>
  <c r="W50" i="33"/>
  <c r="W51" i="33"/>
  <c r="W52" i="33"/>
  <c r="AF23" i="2"/>
  <c r="AF10" i="2"/>
  <c r="AF9" i="2"/>
  <c r="AD23" i="2"/>
  <c r="AD10" i="2"/>
  <c r="AD9" i="2"/>
  <c r="AB23" i="2"/>
  <c r="AB10" i="2"/>
  <c r="AB9" i="2"/>
  <c r="AF7" i="2"/>
  <c r="AD7" i="2"/>
  <c r="AB7" i="2"/>
  <c r="AH9" i="2" l="1"/>
  <c r="AG9" i="2" s="1"/>
  <c r="AH10" i="2"/>
  <c r="AG10" i="2" s="1"/>
  <c r="AH7" i="2"/>
  <c r="AG7" i="2" s="1"/>
  <c r="AH23" i="2"/>
  <c r="AG23" i="2" s="1"/>
  <c r="AK7" i="2" l="1"/>
  <c r="AK9" i="2"/>
  <c r="AK10" i="2"/>
  <c r="AM23" i="2"/>
  <c r="AM9" i="2"/>
  <c r="AL23" i="2"/>
  <c r="AK23" i="2"/>
  <c r="AL7" i="2"/>
  <c r="AM7" i="2"/>
  <c r="W4" i="33"/>
  <c r="AM10" i="2"/>
  <c r="AL10" i="2"/>
  <c r="AL9" i="2"/>
  <c r="W8" i="33"/>
  <c r="W7" i="33"/>
  <c r="W6" i="33"/>
  <c r="W5" i="33"/>
  <c r="X8" i="33" l="1"/>
  <c r="X7" i="33"/>
  <c r="X6" i="33"/>
  <c r="X5" i="33"/>
  <c r="X4" i="33"/>
  <c r="W40" i="33"/>
  <c r="W41" i="33"/>
  <c r="W36" i="33"/>
  <c r="W3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00000000-0006-0000-0100-000003000000}">
      <text>
        <r>
          <rPr>
            <sz val="10"/>
            <color indexed="81"/>
            <rFont val="Verdana"/>
            <family val="2"/>
            <scheme val="major"/>
          </rPr>
          <t>Denk b.v. aan oplitsing per gebied, per type objecten, per veiligheidsthema (VSE), enz.</t>
        </r>
      </text>
    </comment>
    <comment ref="E7" authorId="0" shapeId="0" xr:uid="{00000000-0006-0000-0100-00000400000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<sst xmlns="http://schemas.openxmlformats.org/spreadsheetml/2006/main" count="674" uniqueCount="403">
  <si>
    <t xml:space="preserve"> </t>
  </si>
  <si>
    <t>Voorblad 
Ontwerp RI&amp;E Veiligheid</t>
  </si>
  <si>
    <t>Project- of contractnaam</t>
  </si>
  <si>
    <t>Gladheidsbestrijding</t>
  </si>
  <si>
    <t>Opgesteld op</t>
  </si>
  <si>
    <t>Clusternaam (voor PPO)</t>
  </si>
  <si>
    <t>Versie</t>
  </si>
  <si>
    <t>Definitief</t>
  </si>
  <si>
    <t>Contractvorm</t>
  </si>
  <si>
    <t>Opgesteld door</t>
  </si>
  <si>
    <t>GRIND Advies B.V.</t>
  </si>
  <si>
    <t>Gecontroleerd door V&amp;G-coördinator</t>
  </si>
  <si>
    <t>Algemene informatie</t>
  </si>
  <si>
    <t>Deze RI&amp;E behandelt de verschillende risico's waar toekomstige inschrijvers van de bijbehorende gladheidscontracten tijdens het uitvoeren van hun werkzaamheden aan kunnen worden blootgesteld. Hierbij wordt specifiek ingegaan op de risico's die kunnen optreden in het kader van gladheidsbestrijding op dit betreffende steunpunt en bijhorende rijkswegen en rijksfietspaden. Het doel van deze RI&amp;E is om een helder inzicht te geven in deze potentiële risico’s en om passende maatregelen voor te stellen die bijdragen aan een veilige werkomgeving voor alle betrokkenen.
Om de risico's in kaart te brengen is op 13-9-2024 het betreffende steunpunt in Babberich aan de Rijksweg A12-8 (6909 DR Babberich) bezocht.</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</si>
  <si>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</si>
  <si>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</si>
  <si>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</si>
  <si>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</si>
  <si>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</si>
  <si>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</si>
  <si>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</si>
  <si>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</si>
  <si>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Ontwerpfase</t>
  </si>
  <si>
    <t xml:space="preserve">Ophalen van risico’s die kunnen optreden bij de uit te voeren werkzaamheden t.b.v. gladheidsbestrijding. Tevens is er een aandachtspuntenlijst opgesteld voor het uitvoeren van een locatiebezoek op het steunpunt. </t>
  </si>
  <si>
    <t>Pepijn van Wiggen (IVK)
Peter Peltzer (IVK)
Ruben de Kock (IVK)
Jos Schouten (HVK)
Jesse Stevens (HVK)
Stijn Wentink (PM)</t>
  </si>
  <si>
    <t>Risicosessie 2</t>
  </si>
  <si>
    <t>Risicosessie 3</t>
  </si>
  <si>
    <t>Risicosessie 4</t>
  </si>
  <si>
    <t xml:space="preserve"> Werkblad
Ontwerp RI&amp;E Veiligheid</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</si>
  <si>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</si>
  <si>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</si>
  <si>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</si>
  <si>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</si>
  <si>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</si>
  <si>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</si>
  <si>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</si>
  <si>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</si>
  <si>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</si>
  <si>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</si>
  <si>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</si>
  <si>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</si>
  <si>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</si>
  <si>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</si>
  <si>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</si>
  <si>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</si>
  <si>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</si>
  <si>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</si>
  <si>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</si>
  <si>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</si>
  <si>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</si>
  <si>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</si>
  <si>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</si>
  <si>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</si>
  <si>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</si>
  <si>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</si>
  <si>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</si>
  <si>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</si>
  <si>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</si>
  <si>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</si>
  <si>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</si>
  <si>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</si>
  <si>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</si>
  <si>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</si>
  <si>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</si>
  <si>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</si>
  <si>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</si>
  <si>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</si>
  <si>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</si>
  <si>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</si>
  <si>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</si>
  <si>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</si>
  <si>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</si>
  <si>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</si>
  <si>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</si>
  <si>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</si>
  <si>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</si>
  <si>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</si>
  <si>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</si>
  <si>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</si>
  <si>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</si>
  <si>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</si>
  <si>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</si>
  <si>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</si>
  <si>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</si>
  <si>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</si>
  <si>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</si>
  <si>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</si>
  <si>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</si>
  <si>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Risicosessie 5-9-2024</t>
  </si>
  <si>
    <t>Arbeidsveiligheid</t>
  </si>
  <si>
    <t>1. Laden voertuigen
2. Aan- en afkoppelen materieel
3. In- en uitrijden</t>
  </si>
  <si>
    <t>Steunpunt</t>
  </si>
  <si>
    <t>Aanrijdgevaar</t>
  </si>
  <si>
    <t xml:space="preserve">Aanrijding door diverse voertuigbewegingen op het steunpunt </t>
  </si>
  <si>
    <t>1. Niet op de hoogte zijn van elkaars bewegingen
2. Elkaar over het hoofd zien
3. Onvoldoende zicht
4. Slechte communicatie
5. Samenloop van stationaire werkzaamheden en voertuigbeweging</t>
  </si>
  <si>
    <t>1. Letsel</t>
  </si>
  <si>
    <t>15 - Zeer ernstig (een dode, acuut of op termijn)</t>
  </si>
  <si>
    <t>6 - Regelmatig (dagelijks)</t>
  </si>
  <si>
    <t>6 - Zeer wel mogelijk</t>
  </si>
  <si>
    <t>ON</t>
  </si>
  <si>
    <t xml:space="preserve">1. Voorlichting en instructie over aanrijding op het steunpunt
2. Aanstellen toezichthouder
3. Toepassen protocol 'zie ik jou, zie jij mij'
4. Voldoende afstand houden 
5. Werkzaamheden (tijdelijk) onderbreken
6. Werkzaamheden met materieelstukken logisch achter elkaar plannen
</t>
  </si>
  <si>
    <t>Achteruitrijden</t>
  </si>
  <si>
    <t>1. Niet op de hoogte zijn van elkaars bewegingen
2. Elkaar over het hoofd zien
3. Onvoldoende zicht</t>
  </si>
  <si>
    <t>3 - Af en toe (wekelijks)</t>
  </si>
  <si>
    <t>1. Voorlichting en instructie over achteruitrijden
2. Akoestische achteruitrijd signaal
3. Achteruitrijd camera
4. Scheiden van verkeersstromen
5. Toepassen protocol 'zie ik jou, zie jij mij'</t>
  </si>
  <si>
    <t>1. Aan- en afkoppelen materieel
2. Verhelpen storing</t>
  </si>
  <si>
    <t>Steunpunt en rijkswegen</t>
  </si>
  <si>
    <t>Beknelling</t>
  </si>
  <si>
    <t>Beknelling van ledematen</t>
  </si>
  <si>
    <t>1. Ongecontroleerde beweging van materieel
2. Storing die handmatig verholpen kan worden
3. Materiaal (strooier en schuiver) van de steunen halen
4. In draaiende delen van de machine komen</t>
  </si>
  <si>
    <t xml:space="preserve">1. Letsel
</t>
  </si>
  <si>
    <t>3 - Belangrijk (letsel en verzuim)</t>
  </si>
  <si>
    <t>3 - Ongewoon maar mogelijk</t>
  </si>
  <si>
    <t xml:space="preserve">1. Alleen bevoegd personeel toestaan om machines of delen daarvan te gebruiken, ook bij storingen
2. Melden van defect materiaal/materieel
3. Voorlichting en onderricht over gebruik van materieel en beknellingsgevaar
</t>
  </si>
  <si>
    <t>Alle werkzaamheden</t>
  </si>
  <si>
    <t>Aanwezigheid van strooizout</t>
  </si>
  <si>
    <t>In contact komen met strooizout</t>
  </si>
  <si>
    <t>1. Persoon begeeft zich dicht achter de strooier
2. Strooier activeren op verkeerde locatie/onjuist moment
3. Met handen in het gezicht/ogen wrijven</t>
  </si>
  <si>
    <t>1 - Gering (letsel zonder verzuim of hinder)</t>
  </si>
  <si>
    <t>1. Toepassen protocol 'zie ik jou, zie jij mij'
2. Dragen van de juiste PBM's</t>
  </si>
  <si>
    <t>Werkzaamheden met dieselmotoren of in de nabijheid daarvan</t>
  </si>
  <si>
    <t>Dieselmotoremissie (DME)</t>
  </si>
  <si>
    <t>Blootstelling aan dieselmotoremissie (DME)</t>
  </si>
  <si>
    <t xml:space="preserve">1. Gebruik van dieselmotoren
2. Onjuiste scheiding van mens en bron
3. Onnodig laten draaien van dieselmotoren
</t>
  </si>
  <si>
    <t>1. Gezondheidsschade</t>
  </si>
  <si>
    <t>1. Zie werkinstructie van de Nederlandse Arbeidsinspectie "Werkinstructie blootstelling aan dieselmotoremissie (DME)"</t>
  </si>
  <si>
    <t>Werkzaamheden te voet</t>
  </si>
  <si>
    <t>Uitglijdgevaar</t>
  </si>
  <si>
    <t xml:space="preserve">Uitglijden </t>
  </si>
  <si>
    <t>1. Glad/bevroren wegdek
2. Profiel onder de zool biedt onvoldoende grip
3. Slechte staat asfalt</t>
  </si>
  <si>
    <t>1. Zorgen voor goed schoeisel
2. Zoutstrooien voor veilige toegang (door eerste medewerker)</t>
  </si>
  <si>
    <t>Val- en struikelgevaar</t>
  </si>
  <si>
    <t>Vallen, stoten en/of struikelen</t>
  </si>
  <si>
    <t>1. Onvoldoende good housekeeping
2. Ongelijke ondergrond
3. Uitstekende delen
4. Los liggende slangen/kabels</t>
  </si>
  <si>
    <t>1. Good housekeeping
2. Voorlichting en onderricht vallen en struikelen.</t>
  </si>
  <si>
    <t>Strooiwerkzaamheden</t>
  </si>
  <si>
    <t>Rijkswegen en -fietspaden</t>
  </si>
  <si>
    <t>Psychosociale arbeidsbelasting</t>
  </si>
  <si>
    <t>Verbale agressie verkeersdeelnemers</t>
  </si>
  <si>
    <t xml:space="preserve">1. Asociaal gedrag verkeersdeelnemers
2. Gebruik van verdovende middelen door weggebruiker
3. Ongeduld van weggebruiker
</t>
  </si>
  <si>
    <t>1. Stress
2. Schade aan mentale gezondheid
3. Letsel
4. Blikschade</t>
  </si>
  <si>
    <t>1. Voorlichting en onderricht m.b.t. (verbale) agressie</t>
  </si>
  <si>
    <t>Werkzaamheden buiten</t>
  </si>
  <si>
    <t>Algemeen</t>
  </si>
  <si>
    <t>Extreme weersomstandigheden</t>
  </si>
  <si>
    <t>Bevriezing/onderkoeling</t>
  </si>
  <si>
    <t xml:space="preserve">1. Kou/Vorst
2. Regen
3. Wind
4. Hagel/Sneeuw
</t>
  </si>
  <si>
    <t>10 - Voortdurend</t>
  </si>
  <si>
    <t>1 - Onwaarschijnlijk maar mogelijk in grensgevallen</t>
  </si>
  <si>
    <t>1. Taakroulatie
2. Verzorgen hittebron (opwarmen)
3. PBM's en kleding afstemmen op het weer</t>
  </si>
  <si>
    <t>Vermoeidheid</t>
  </si>
  <si>
    <t>Onoplettenheid door vermoeidheid</t>
  </si>
  <si>
    <t>1. Nachtwerk
2. Overschrijden arbeidstijdenwet
3. Medewerkers onvoldoende uitgerust tussen diensten</t>
  </si>
  <si>
    <t>1. Letsel
2. Gezondheidsschade
3. Schade</t>
  </si>
  <si>
    <t xml:space="preserve">1. Taakroulatie
2. Voldoende rust tussen diensten
3. Vermoeide medewerker huiswaarts sturen </t>
  </si>
  <si>
    <t>Tilwerkzaamheden</t>
  </si>
  <si>
    <t>Fysieke belasting</t>
  </si>
  <si>
    <t>Medewerker tilt meer dan toegestaan (23kg)</t>
  </si>
  <si>
    <t>1. Handmatig strooien
2. Materieel/materiaal tillen</t>
  </si>
  <si>
    <t>1. Inzetten mechanische hulpmiddelen
2. Last tillen met meerdere personen</t>
  </si>
  <si>
    <t>Aan- en afkoppelen zoutstrooier</t>
  </si>
  <si>
    <t>Bekneld raken onder materieel/materiaal</t>
  </si>
  <si>
    <t>1. Zoutstrooier zakt door de poten
2. Zoutstrooier kantelt</t>
  </si>
  <si>
    <t>1. Letsel
2. Overlijden</t>
  </si>
  <si>
    <t>0,5 - Denkbaar maar onwaarschijnlijk</t>
  </si>
  <si>
    <t>1. Zoutstrooier borgen met borgpin tegen inklappen/omvallen
2. Alleen gebruik maken van arbeidsmiddelen met geldige keuring
3. Niet onder zoutstrooier begeven/afstand houden
4. Voorlichting en onderricht m.b.t. het gebruik van de zoutstrooier</t>
  </si>
  <si>
    <t>Alle werkzaamheden op het steunpunt</t>
  </si>
  <si>
    <t>Uitvoeren van werkzaamheden met meerdere voertuigen tegelijkertijd</t>
  </si>
  <si>
    <t>Samenlooprisico's</t>
  </si>
  <si>
    <t>1. Verschillende verkeersstromen
2. Onvoldoende communicatie
3. Niet op de hoogte van werkzaamheden van anderen
4. Onvoldoende afstemming voorafgaand aan start werkzaamheden</t>
  </si>
  <si>
    <t>1. Letsel
2. Schade</t>
  </si>
  <si>
    <t xml:space="preserve">1. Organiseren start werkinstructie zodat eenieder op de hoogte is van elkaars werkzaamheden
2. Aanstellen toezichthouder
3. Toepassen protocol 'zie ik jou, zie jij mij' 
4. Werkzaamheden (tijdelijk) onderbreken.
5. Werkzaamheden met materieelstukken logisch achter elkaar plannen
</t>
  </si>
  <si>
    <t>Betreden van de zoutstrooier via de ladder en het plateau aan de achterzijde</t>
  </si>
  <si>
    <t>Op de zoutstrooier</t>
  </si>
  <si>
    <t>Valgevaar</t>
  </si>
  <si>
    <t>Vallen van hoogte</t>
  </si>
  <si>
    <t>1. Uit balans raken
2. Verkeerde beweging/handeling maken
3. Geen of onjuiste voorziening om de hoogte veilig te bereiken</t>
  </si>
  <si>
    <t>7 - Ernstig, onomkeerbaar effect (invaliditeit)</t>
  </si>
  <si>
    <t>1. Hanteren 'driepuntsmethode'
2. Niet over leuningwerk hangen tijdens schoonmaak/inspectie</t>
  </si>
  <si>
    <t xml:space="preserve">Arbeidsveiligheid </t>
  </si>
  <si>
    <t xml:space="preserve">Alle nachtwerkzaamheden </t>
  </si>
  <si>
    <t>Werken in de nacht</t>
  </si>
  <si>
    <t>Slecht zicht door duisternis</t>
  </si>
  <si>
    <t>1. Onvoldoende verlichting
2. Slechte weersomstandigheden</t>
  </si>
  <si>
    <t>1. Voldoende verlichting plaatsen op zowel het steunpunt als de strooiwagens</t>
  </si>
  <si>
    <t>Elektrische veiligheid</t>
  </si>
  <si>
    <t>Werkzaamheden met elektriciteit (koppelen zoutstrooiers en sneeuwschuivers aan voertuig)</t>
  </si>
  <si>
    <t>Elektrocutie/Elektrisering</t>
  </si>
  <si>
    <t>Werken met 380V</t>
  </si>
  <si>
    <t xml:space="preserve">1. Lekstroom
2. Kapotte kabels
3. Aan- en afkoppelen van elektrisch (of delen van) materiaal
4. Natte en zoute omgeving
 </t>
  </si>
  <si>
    <t>1. Letsel
2. Brandwonden</t>
  </si>
  <si>
    <t>0,2 - Praktisch onmogelijk</t>
  </si>
  <si>
    <t>1. Spanningsloos werken
2. Alleen bevoegd personeel toestaan om te werken met 380V, ook bij storingen
3. Melden van kapot materieel</t>
  </si>
  <si>
    <t>Externe veiligheid</t>
  </si>
  <si>
    <t xml:space="preserve">1. Vullen van zoutstrooier (nat) bij vulpunt
2. Strooiwerkzaamheden
</t>
  </si>
  <si>
    <t>Aanwezigheid van calciumchloride</t>
  </si>
  <si>
    <t>In contact komen met calciumchloride</t>
  </si>
  <si>
    <t>1. Letsel
2. Gezondheidsschade</t>
  </si>
  <si>
    <t>Zie veiligheidsinformatieblad: Calciumchloride
1. Dragen van beschermende handschoenen en oogbescherming
2. BIJ CONTACT MET DE OGEN: voorzichtig afspoelen met water gedurende een
aantal minuten; contactlenzen verwijderen, indien mogelijk; blijven spoelen
3. Bij aanhoudende oogirritatie: een arts raadplegen</t>
  </si>
  <si>
    <t>Integrale beveiliging</t>
  </si>
  <si>
    <t>Onbevoegden op het terrein</t>
  </si>
  <si>
    <t>1. Aanrijding
2. Schade en/of diefstal</t>
  </si>
  <si>
    <t>1. Afscheiding van het terrein is niet toereikend
2. Afsluiting van het terrein staat open
3. Tijdens werkzaamheden rijden onbevoegden mee naar het steunpunt</t>
  </si>
  <si>
    <t>1. Deugdelijke afscheiding
2. Plaatsen van verkeersborden "verboden voor onbevoegden"
3. Camerabewaking</t>
  </si>
  <si>
    <t>Machineveiligheid</t>
  </si>
  <si>
    <t>Werkzaamheden met hydrauliek (koppelen zoutstrooiers en sneeuwschuivers aan voertuig en vullen van zoutstrooiers met calciumchloride)</t>
  </si>
  <si>
    <t>Bij onderdelen van materieel en materiaal</t>
  </si>
  <si>
    <t>Aanwezigheid van hydrauliek</t>
  </si>
  <si>
    <t>Hydraulische lekkage</t>
  </si>
  <si>
    <t>1. Los schieten van hydrauliekslang
2. Gat in hydrauliek slang
3. Falen van pomp</t>
  </si>
  <si>
    <t>2 - Soms (maandelijks)</t>
  </si>
  <si>
    <t>1. Overdrukbeveiligingen
2. Melden van defect materieel 
3. Voorlichting en ondeerricht over werken met hydraulisch aangedreven materieel</t>
  </si>
  <si>
    <t>Gebruik van de machines</t>
  </si>
  <si>
    <t xml:space="preserve">Staat van materieel </t>
  </si>
  <si>
    <t>Het mogelijk niet up-to-date hebben van de onderhoudsgeschiedenis geeft blootstelling aan onbekende risico's</t>
  </si>
  <si>
    <t>1. Onderhoudsgeschiedenis ontbreekt
2. Onderhoudsgeschiedenis is onvolledig
3. Defecten zijn niet hersteld</t>
  </si>
  <si>
    <t>1. Het materieel met zorg gebruiken
2. Defecten en inconsistenties melden
3. Bij enige twijfel niet verder werken en leidinggevende inschakelen</t>
  </si>
  <si>
    <t>Sociale veiligheid</t>
  </si>
  <si>
    <t>Aanwezigheid van derden</t>
  </si>
  <si>
    <t>Verkeersveiligheid</t>
  </si>
  <si>
    <t>1. Letsel
2. Blikschade</t>
  </si>
  <si>
    <t>Werkzaamheden met vervoersbewegingen</t>
  </si>
  <si>
    <t>Aanrijden van objecten op het steunpunt of rijkswegen</t>
  </si>
  <si>
    <t>1. Slecht zicht door duisternis/ onvoldoende verlichting
2. Neerslag (sneeuw/hagel) bedekt objecten
3. Medewerkers op onverwachte plekken</t>
  </si>
  <si>
    <t>1. Good housekeeping
2. Moeilijk zichtbare objecten (door sneeuw) markeren/zichtbaar maken
3. Hanteren snelheidsbeperking en rekening houden met gladheid.
4. Voorlichting en instructie over objecten op het steunpunt</t>
  </si>
  <si>
    <t>Locatiebezoek 13-9-2024</t>
  </si>
  <si>
    <t>Betreden en verlaten steunpunt</t>
  </si>
  <si>
    <t>In- en uitgangen</t>
  </si>
  <si>
    <t>1. Onoplettenheid
2. Onduidelijkheid over verkeersstromen
3. Verschillende verkeerstromen met de twee in- en uitgangen
4. Onduidelijke welke snelheid gereden mag worden</t>
  </si>
  <si>
    <t>1. Afspraken maken over de verkeerstromen 
2. Voorkomen dat te veel voertuigen gelijktijdig het terrein betreden en verlaten</t>
  </si>
  <si>
    <t>Vullen van 'Firestorm'</t>
  </si>
  <si>
    <t>Verbrandingsgevaar</t>
  </si>
  <si>
    <t>Tijdens het vullen van  'Firestorm' komt vloeistof op een medewerker</t>
  </si>
  <si>
    <t>1. Lekkage bij het vullen</t>
  </si>
  <si>
    <t>1. Dragen van de juiste PBM's.
2. Afstand houden tijdens gebruik</t>
  </si>
  <si>
    <t>Constructieve veiligheid</t>
  </si>
  <si>
    <t>Geweld, intimidatie en het lastigvallen van medewerkers vanaf de naastliggende verzorgingsplaats</t>
  </si>
  <si>
    <t>1. Drukte op verzorgingsplaats
2. Onvoldoende afscherming tussen het steunpunt en de verzorgingsplaats</t>
  </si>
  <si>
    <t xml:space="preserve">1. Intimidatie
2. Letsel
</t>
  </si>
  <si>
    <t xml:space="preserve">1. Alleen werken voorkomen
2. Politie inschakelen bij misdragingen
</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</si>
  <si>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</si>
  <si>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</si>
  <si>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</si>
  <si>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</si>
  <si>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</si>
  <si>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</si>
  <si>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</si>
  <si>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</si>
  <si>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</si>
  <si>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</si>
  <si>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</si>
  <si>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</si>
  <si>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</si>
  <si>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</si>
  <si>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Ingepland</t>
  </si>
  <si>
    <t>In uitvoering</t>
  </si>
  <si>
    <t>Afgerond</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</si>
  <si>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</si>
  <si>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</si>
  <si>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</si>
  <si>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</si>
  <si>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</si>
  <si>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</si>
  <si>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</si>
  <si>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 xml:space="preserve">Het wegnemen van en/of preventief beheersen van risico's voor verkeersdeelnemers op de weg.
</t>
  </si>
  <si>
    <t>Nautische veiligheid</t>
  </si>
  <si>
    <t xml:space="preserve">Het wegnemen van en/of preventief beheersen van risico's voor verkeersdeelnemers op de vaarweg en op zee.
</t>
  </si>
  <si>
    <t>Waterveiligheid</t>
  </si>
  <si>
    <t xml:space="preserve">Het wegnemen van en/of preventief beheersen van risico's van overstromen, wateroverlast en waterschaarste.
</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</si>
  <si>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</si>
  <si>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</si>
  <si>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</si>
  <si>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</si>
  <si>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</si>
  <si>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</si>
  <si>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</si>
  <si>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Brandveiligheid</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</si>
  <si>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</si>
  <si>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</si>
  <si>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</si>
  <si>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</si>
  <si>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</si>
  <si>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</si>
  <si>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</si>
  <si>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</si>
  <si>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</si>
  <si>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</si>
  <si>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</si>
  <si>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</si>
  <si>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</si>
  <si>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</si>
  <si>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</si>
  <si>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</si>
  <si>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</si>
  <si>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</si>
  <si>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</si>
  <si>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</si>
  <si>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</si>
  <si>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</si>
  <si>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</si>
  <si>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</si>
  <si>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</si>
  <si>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</si>
  <si>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</si>
  <si>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</si>
  <si>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</si>
  <si>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</si>
  <si>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</si>
  <si>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</si>
  <si>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</si>
  <si>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</si>
  <si>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</si>
  <si>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</si>
  <si>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</si>
  <si>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</si>
  <si>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</si>
  <si>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</si>
  <si>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</si>
  <si>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</si>
  <si>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</si>
  <si>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</si>
  <si>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</si>
  <si>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</si>
  <si>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</si>
  <si>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</si>
  <si>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</si>
  <si>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</si>
  <si>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</si>
  <si>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</si>
  <si>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</si>
  <si>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</si>
  <si>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</si>
  <si>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</si>
  <si>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</si>
  <si>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</si>
  <si>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</si>
  <si>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</si>
  <si>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</si>
  <si>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</si>
  <si>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</si>
  <si>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</si>
  <si>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</si>
  <si>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</si>
  <si>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</si>
  <si>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</si>
  <si>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</si>
  <si>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</si>
  <si>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</si>
  <si>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</si>
  <si>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</si>
  <si>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</si>
  <si>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</si>
  <si>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</si>
  <si>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</si>
  <si>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</si>
  <si>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</si>
  <si>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</si>
  <si>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</si>
  <si>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</si>
  <si>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</si>
  <si>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</si>
  <si>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</si>
  <si>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</si>
  <si>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</si>
  <si>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</si>
  <si>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</si>
  <si>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</si>
  <si>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</si>
  <si>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</si>
  <si>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</si>
  <si>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</si>
  <si>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</si>
  <si>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</si>
  <si>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</si>
  <si>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</si>
  <si>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</si>
  <si>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</si>
  <si>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1 - Zelden (jaarlijks enkele malen)</t>
  </si>
  <si>
    <t>Waarschijnlijkheid (W)</t>
  </si>
  <si>
    <t>0,1 - Bijna niet denkbaar</t>
  </si>
  <si>
    <t>10 - Te verwachten</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</si>
  <si>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</si>
  <si>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</si>
  <si>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</si>
  <si>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</si>
  <si>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</si>
  <si>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</si>
  <si>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</si>
  <si>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</si>
  <si>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</si>
  <si>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</si>
  <si>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</si>
  <si>
    <t>Ongeval/Aanrijding door onduidelijke verkeerssituatie</t>
  </si>
  <si>
    <t>1. Lekkage
2. Fout bij vullen van zoutstrooier
3. In contact komen met nat strooisel waar calciumchloride in is verwerkt</t>
  </si>
  <si>
    <t>Nabij laadpunt elektrische voertuigen is deel van de bestrating niet aangeheeld</t>
  </si>
  <si>
    <t xml:space="preserve">Slipgevaar </t>
  </si>
  <si>
    <t>Beschadigde wegverharding</t>
  </si>
  <si>
    <t>1. Onvoldoende onderhoud                                 2. Beschadiging na uitvoeren werkzaamheden</t>
  </si>
  <si>
    <t>1. Blikschade</t>
  </si>
  <si>
    <t>1. Met een gematigde snelheid over het terrein rijden                                                        2. Extra aandacht houden wanneer dit punt gepasserd wordt                                                          3. Medewerkers instrueren</t>
  </si>
  <si>
    <t>Coördinatiegebied Gelderland</t>
  </si>
  <si>
    <t>UAV-2012</t>
  </si>
  <si>
    <t>Jan Rients Slippens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</si>
</sst>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General_)"/>
  </numFmts>
  <fonts count="61"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s>
  <fills count="59">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s>
  <borders count="3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07">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38"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14" fontId="58" fillId="0" borderId="0" xfId="0" quotePrefix="1"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35" fillId="0" borderId="0" xfId="0" applyFont="1" applyAlignment="1" applyProtection="1">
      <alignment vertical="top" wrapText="1"/>
      <protection locked="0"/>
    </xf>
    <xf numFmtId="0" fontId="1" fillId="56" borderId="0" xfId="0" applyFont="1" applyFill="1" applyProtection="1">
      <protection locked="0"/>
    </xf>
    <xf numFmtId="0" fontId="35" fillId="0" borderId="32" xfId="0" applyFont="1" applyBorder="1" applyAlignment="1">
      <alignment horizontal="left" vertical="top" wrapText="1"/>
    </xf>
    <xf numFmtId="0" fontId="58" fillId="0" borderId="0" xfId="0" applyFont="1" applyAlignment="1" applyProtection="1">
      <alignment vertical="top" wrapText="1"/>
      <protection locked="0"/>
    </xf>
    <xf numFmtId="0" fontId="47" fillId="0" borderId="0" xfId="0" applyFont="1" applyAlignment="1">
      <alignment horizontal="center" vertical="center" wrapText="1"/>
    </xf>
    <xf numFmtId="0" fontId="35" fillId="0" borderId="0" xfId="0" applyFont="1" applyAlignment="1" applyProtection="1">
      <alignment horizontal="left" vertical="center" wrapText="1"/>
      <protection locked="0"/>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0" fillId="0" borderId="32" xfId="0" applyBorder="1" applyAlignment="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32" xfId="0" applyBorder="1" applyAlignment="1">
      <alignment horizont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2" fillId="48" borderId="35" xfId="141" applyFont="1" applyFill="1" applyBorder="1" applyAlignment="1" applyProtection="1">
      <alignment horizontal="center" vertical="center"/>
    </xf>
    <xf numFmtId="0" fontId="0" fillId="0" borderId="31" xfId="0" applyBorder="1" applyAlignment="1">
      <alignment horizontal="center" vertical="center"/>
    </xf>
    <xf numFmtId="0" fontId="2" fillId="48" borderId="35"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0" fillId="0" borderId="0" xfId="0" applyAlignment="1">
      <alignment horizontal="center" wrapText="1"/>
    </xf>
    <xf numFmtId="0" fontId="51" fillId="52" borderId="26" xfId="141" applyFont="1" applyFill="1" applyBorder="1" applyAlignment="1" applyProtection="1">
      <alignment horizontal="center" vertical="center"/>
    </xf>
    <xf numFmtId="0" fontId="51" fillId="52" borderId="25"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2" xfId="141" applyFont="1" applyFill="1" applyBorder="1" applyAlignment="1" applyProtection="1">
      <alignment horizontal="center" vertic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2" xfId="105" xr:uid="{00000000-0005-0000-0000-000019000000}"/>
    <cellStyle name="Neutre" xfId="130" xr:uid="{00000000-0005-0000-0000-00001A000000}"/>
    <cellStyle name="Normal 2" xfId="104" xr:uid="{00000000-0005-0000-0000-00001B000000}"/>
    <cellStyle name="Procent 2" xfId="89" xr:uid="{00000000-0005-0000-0000-00001C000000}"/>
    <cellStyle name="SAPBEXaggData" xfId="2" xr:uid="{00000000-0005-0000-0000-00001D000000}"/>
    <cellStyle name="SAPBEXaggDataEmph" xfId="3" xr:uid="{00000000-0005-0000-0000-00001E000000}"/>
    <cellStyle name="SAPBEXaggItem" xfId="4" xr:uid="{00000000-0005-0000-0000-00001F000000}"/>
    <cellStyle name="SAPBEXaggItemX" xfId="5" xr:uid="{00000000-0005-0000-0000-000020000000}"/>
    <cellStyle name="SAPBEXchaText" xfId="6" xr:uid="{00000000-0005-0000-0000-000021000000}"/>
    <cellStyle name="SAPBEXexcBad7" xfId="7" xr:uid="{00000000-0005-0000-0000-000022000000}"/>
    <cellStyle name="SAPBEXexcBad8" xfId="8" xr:uid="{00000000-0005-0000-0000-000023000000}"/>
    <cellStyle name="SAPBEXexcBad9" xfId="9" xr:uid="{00000000-0005-0000-0000-000024000000}"/>
    <cellStyle name="SAPBEXexcCritical4" xfId="10" xr:uid="{00000000-0005-0000-0000-000025000000}"/>
    <cellStyle name="SAPBEXexcCritical5" xfId="11" xr:uid="{00000000-0005-0000-0000-000026000000}"/>
    <cellStyle name="SAPBEXexcCritical6" xfId="12" xr:uid="{00000000-0005-0000-0000-000027000000}"/>
    <cellStyle name="SAPBEXexcGood1" xfId="13" xr:uid="{00000000-0005-0000-0000-000028000000}"/>
    <cellStyle name="SAPBEXexcGood2" xfId="14" xr:uid="{00000000-0005-0000-0000-000029000000}"/>
    <cellStyle name="SAPBEXexcGood3" xfId="15" xr:uid="{00000000-0005-0000-0000-00002A000000}"/>
    <cellStyle name="SAPBEXfilterDrill" xfId="16" xr:uid="{00000000-0005-0000-0000-00002B000000}"/>
    <cellStyle name="SAPBEXfilterItem" xfId="17" xr:uid="{00000000-0005-0000-0000-00002C000000}"/>
    <cellStyle name="SAPBEXfilterText" xfId="18" xr:uid="{00000000-0005-0000-0000-00002D000000}"/>
    <cellStyle name="SAPBEXformats" xfId="19" xr:uid="{00000000-0005-0000-0000-00002E000000}"/>
    <cellStyle name="SAPBEXheaderItem" xfId="20" xr:uid="{00000000-0005-0000-0000-00002F000000}"/>
    <cellStyle name="SAPBEXheaderItem 2" xfId="21" xr:uid="{00000000-0005-0000-0000-000030000000}"/>
    <cellStyle name="SAPBEXheaderText" xfId="22" xr:uid="{00000000-0005-0000-0000-000031000000}"/>
    <cellStyle name="SAPBEXheaderText 2" xfId="23" xr:uid="{00000000-0005-0000-0000-000032000000}"/>
    <cellStyle name="SAPBEXHLevel0" xfId="24" xr:uid="{00000000-0005-0000-0000-000033000000}"/>
    <cellStyle name="SAPBEXHLevel0 2" xfId="25" xr:uid="{00000000-0005-0000-0000-000034000000}"/>
    <cellStyle name="SAPBEXHLevel0 2 2" xfId="26" xr:uid="{00000000-0005-0000-0000-000035000000}"/>
    <cellStyle name="SAPBEXHLevel0 3" xfId="27" xr:uid="{00000000-0005-0000-0000-000036000000}"/>
    <cellStyle name="SAPBEXHLevel0 3 2" xfId="28" xr:uid="{00000000-0005-0000-0000-000037000000}"/>
    <cellStyle name="SAPBEXHLevel0X" xfId="29" xr:uid="{00000000-0005-0000-0000-000038000000}"/>
    <cellStyle name="SAPBEXHLevel0X 2" xfId="30" xr:uid="{00000000-0005-0000-0000-000039000000}"/>
    <cellStyle name="SAPBEXHLevel0X 2 2" xfId="31" xr:uid="{00000000-0005-0000-0000-00003A000000}"/>
    <cellStyle name="SAPBEXHLevel0X 3" xfId="32" xr:uid="{00000000-0005-0000-0000-00003B000000}"/>
    <cellStyle name="SAPBEXHLevel0X 3 2" xfId="33" xr:uid="{00000000-0005-0000-0000-00003C000000}"/>
    <cellStyle name="SAPBEXHLevel1" xfId="34" xr:uid="{00000000-0005-0000-0000-00003D000000}"/>
    <cellStyle name="SAPBEXHLevel1 2" xfId="35" xr:uid="{00000000-0005-0000-0000-00003E000000}"/>
    <cellStyle name="SAPBEXHLevel1 2 2" xfId="36" xr:uid="{00000000-0005-0000-0000-00003F000000}"/>
    <cellStyle name="SAPBEXHLevel1 3" xfId="37" xr:uid="{00000000-0005-0000-0000-000040000000}"/>
    <cellStyle name="SAPBEXHLevel1 3 2" xfId="38" xr:uid="{00000000-0005-0000-0000-000041000000}"/>
    <cellStyle name="SAPBEXHLevel1X" xfId="39" xr:uid="{00000000-0005-0000-0000-000042000000}"/>
    <cellStyle name="SAPBEXHLevel1X 2" xfId="40" xr:uid="{00000000-0005-0000-0000-000043000000}"/>
    <cellStyle name="SAPBEXHLevel1X 2 2" xfId="41" xr:uid="{00000000-0005-0000-0000-000044000000}"/>
    <cellStyle name="SAPBEXHLevel1X 3" xfId="42" xr:uid="{00000000-0005-0000-0000-000045000000}"/>
    <cellStyle name="SAPBEXHLevel1X 3 2" xfId="43" xr:uid="{00000000-0005-0000-0000-000046000000}"/>
    <cellStyle name="SAPBEXHLevel2" xfId="44" xr:uid="{00000000-0005-0000-0000-000047000000}"/>
    <cellStyle name="SAPBEXHLevel2 2" xfId="45" xr:uid="{00000000-0005-0000-0000-000048000000}"/>
    <cellStyle name="SAPBEXHLevel2 2 2" xfId="46" xr:uid="{00000000-0005-0000-0000-000049000000}"/>
    <cellStyle name="SAPBEXHLevel2 3" xfId="47" xr:uid="{00000000-0005-0000-0000-00004A000000}"/>
    <cellStyle name="SAPBEXHLevel2 3 2" xfId="48" xr:uid="{00000000-0005-0000-0000-00004B000000}"/>
    <cellStyle name="SAPBEXHLevel2X" xfId="49" xr:uid="{00000000-0005-0000-0000-00004C000000}"/>
    <cellStyle name="SAPBEXHLevel2X 2" xfId="50" xr:uid="{00000000-0005-0000-0000-00004D000000}"/>
    <cellStyle name="SAPBEXHLevel2X 2 2" xfId="51" xr:uid="{00000000-0005-0000-0000-00004E000000}"/>
    <cellStyle name="SAPBEXHLevel2X 3" xfId="52" xr:uid="{00000000-0005-0000-0000-00004F000000}"/>
    <cellStyle name="SAPBEXHLevel2X 3 2" xfId="53" xr:uid="{00000000-0005-0000-0000-000050000000}"/>
    <cellStyle name="SAPBEXHLevel3" xfId="54" xr:uid="{00000000-0005-0000-0000-000051000000}"/>
    <cellStyle name="SAPBEXHLevel3 2" xfId="55" xr:uid="{00000000-0005-0000-0000-000052000000}"/>
    <cellStyle name="SAPBEXHLevel3 2 2" xfId="56" xr:uid="{00000000-0005-0000-0000-000053000000}"/>
    <cellStyle name="SAPBEXHLevel3 3" xfId="57" xr:uid="{00000000-0005-0000-0000-000054000000}"/>
    <cellStyle name="SAPBEXHLevel3 3 2" xfId="58" xr:uid="{00000000-0005-0000-0000-000055000000}"/>
    <cellStyle name="SAPBEXHLevel3X" xfId="59" xr:uid="{00000000-0005-0000-0000-000056000000}"/>
    <cellStyle name="SAPBEXHLevel3X 2" xfId="60" xr:uid="{00000000-0005-0000-0000-000057000000}"/>
    <cellStyle name="SAPBEXHLevel3X 2 2" xfId="61" xr:uid="{00000000-0005-0000-0000-000058000000}"/>
    <cellStyle name="SAPBEXHLevel3X 3" xfId="62" xr:uid="{00000000-0005-0000-0000-000059000000}"/>
    <cellStyle name="SAPBEXHLevel3X 3 2" xfId="63" xr:uid="{00000000-0005-0000-0000-00005A000000}"/>
    <cellStyle name="SAPBEXresData" xfId="64" xr:uid="{00000000-0005-0000-0000-00005B000000}"/>
    <cellStyle name="SAPBEXresDataEmph" xfId="65" xr:uid="{00000000-0005-0000-0000-00005C000000}"/>
    <cellStyle name="SAPBEXresItem" xfId="66" xr:uid="{00000000-0005-0000-0000-00005D000000}"/>
    <cellStyle name="SAPBEXresItemX" xfId="67" xr:uid="{00000000-0005-0000-0000-00005E000000}"/>
    <cellStyle name="SAPBEXstdData" xfId="68" xr:uid="{00000000-0005-0000-0000-00005F000000}"/>
    <cellStyle name="SAPBEXstdDataEmph" xfId="69" xr:uid="{00000000-0005-0000-0000-000060000000}"/>
    <cellStyle name="SAPBEXstdItem" xfId="70" xr:uid="{00000000-0005-0000-0000-000061000000}"/>
    <cellStyle name="SAPBEXstdItemX" xfId="71" xr:uid="{00000000-0005-0000-0000-000062000000}"/>
    <cellStyle name="SAPBEXtitle" xfId="72" xr:uid="{00000000-0005-0000-0000-000063000000}"/>
    <cellStyle name="SAPBEXundefined" xfId="73" xr:uid="{00000000-0005-0000-0000-000064000000}"/>
    <cellStyle name="Satisfaisant" xfId="131" xr:uid="{00000000-0005-0000-0000-000065000000}"/>
    <cellStyle name="Sortie" xfId="132" xr:uid="{00000000-0005-0000-0000-000066000000}"/>
    <cellStyle name="Standaard" xfId="0" builtinId="0"/>
    <cellStyle name="Standaard 10" xfId="85" xr:uid="{00000000-0005-0000-0000-000068000000}"/>
    <cellStyle name="Standaard 11" xfId="86" xr:uid="{00000000-0005-0000-0000-000069000000}"/>
    <cellStyle name="Standaard 12" xfId="87" xr:uid="{00000000-0005-0000-0000-00006A000000}"/>
    <cellStyle name="Standaard 13" xfId="88" xr:uid="{00000000-0005-0000-0000-00006B000000}"/>
    <cellStyle name="Standaard 14" xfId="90" xr:uid="{00000000-0005-0000-0000-00006C000000}"/>
    <cellStyle name="Standaard 15" xfId="91" xr:uid="{00000000-0005-0000-0000-00006D000000}"/>
    <cellStyle name="Standaard 16" xfId="92" xr:uid="{00000000-0005-0000-0000-00006E000000}"/>
    <cellStyle name="Standaard 17" xfId="93" xr:uid="{00000000-0005-0000-0000-00006F000000}"/>
    <cellStyle name="Standaard 18" xfId="94" xr:uid="{00000000-0005-0000-0000-000070000000}"/>
    <cellStyle name="Standaard 19" xfId="95" xr:uid="{00000000-0005-0000-0000-000071000000}"/>
    <cellStyle name="Standaard 2" xfId="74" xr:uid="{00000000-0005-0000-0000-000072000000}"/>
    <cellStyle name="Standaard 2 2" xfId="75" xr:uid="{00000000-0005-0000-0000-000073000000}"/>
    <cellStyle name="Standaard 20" xfId="96" xr:uid="{00000000-0005-0000-0000-000074000000}"/>
    <cellStyle name="Standaard 21" xfId="97" xr:uid="{00000000-0005-0000-0000-000075000000}"/>
    <cellStyle name="Standaard 22" xfId="98" xr:uid="{00000000-0005-0000-0000-000076000000}"/>
    <cellStyle name="Standaard 23" xfId="99" xr:uid="{00000000-0005-0000-0000-000077000000}"/>
    <cellStyle name="Standaard 24" xfId="100" xr:uid="{00000000-0005-0000-0000-000078000000}"/>
    <cellStyle name="Standaard 25" xfId="101" xr:uid="{00000000-0005-0000-0000-000079000000}"/>
    <cellStyle name="Standaard 26" xfId="102" xr:uid="{00000000-0005-0000-0000-00007A000000}"/>
    <cellStyle name="Standaard 27" xfId="103" xr:uid="{00000000-0005-0000-0000-00007B000000}"/>
    <cellStyle name="Standaard 28" xfId="1" xr:uid="{00000000-0005-0000-0000-00007C000000}"/>
    <cellStyle name="Standaard 3" xfId="76" xr:uid="{00000000-0005-0000-0000-00007D000000}"/>
    <cellStyle name="Standaard 3 2" xfId="77" xr:uid="{00000000-0005-0000-0000-00007E000000}"/>
    <cellStyle name="Standaard 4" xfId="78" xr:uid="{00000000-0005-0000-0000-00007F000000}"/>
    <cellStyle name="Standaard 4 2" xfId="79" xr:uid="{00000000-0005-0000-0000-000080000000}"/>
    <cellStyle name="Standaard 5" xfId="80" xr:uid="{00000000-0005-0000-0000-000081000000}"/>
    <cellStyle name="Standaard 6" xfId="81" xr:uid="{00000000-0005-0000-0000-000082000000}"/>
    <cellStyle name="Standaard 7" xfId="82" xr:uid="{00000000-0005-0000-0000-000083000000}"/>
    <cellStyle name="Standaard 8" xfId="83" xr:uid="{00000000-0005-0000-0000-000084000000}"/>
    <cellStyle name="Standaard 9" xfId="84" xr:uid="{00000000-0005-0000-0000-000085000000}"/>
    <cellStyle name="Texte explicatif" xfId="133" xr:uid="{00000000-0005-0000-0000-000086000000}"/>
    <cellStyle name="Titre" xfId="134" xr:uid="{00000000-0005-0000-0000-000087000000}"/>
    <cellStyle name="Titre 1" xfId="135" xr:uid="{00000000-0005-0000-0000-000088000000}"/>
    <cellStyle name="Titre 2" xfId="136" xr:uid="{00000000-0005-0000-0000-000089000000}"/>
    <cellStyle name="Titre 3" xfId="137" xr:uid="{00000000-0005-0000-0000-00008A000000}"/>
    <cellStyle name="Titre 4" xfId="138" xr:uid="{00000000-0005-0000-0000-00008B000000}"/>
    <cellStyle name="Total" xfId="139" xr:uid="{00000000-0005-0000-0000-00008C000000}"/>
    <cellStyle name="Vérification" xfId="140" xr:uid="{00000000-0005-0000-0000-00008D000000}"/>
  </cellStyles>
  <dxfs count="140">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139"/>
      <tableStyleElement type="headerRow" dxfId="138"/>
      <tableStyleElement type="firstColumn" dxfId="137"/>
      <tableStyleElement type="lastColumn" dxfId="136"/>
      <tableStyleElement type="firstRowStripe" dxfId="135"/>
      <tableStyleElement type="secondRowStripe" dxfId="134"/>
      <tableStyleElement type="firstColumnStripe" dxfId="133"/>
      <tableStyleElement type="secondColumnStripe" dxfId="132"/>
    </tableStyle>
    <tableStyle name="Tabelstijl 2" pivot="0" count="3" xr9:uid="{00000000-0011-0000-FFFF-FFFF01000000}">
      <tableStyleElement type="wholeTable" dxfId="131"/>
      <tableStyleElement type="headerRow" dxfId="130"/>
      <tableStyleElement type="secondRowStripe" dxfId="129"/>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8</c:v>
                </c:pt>
                <c:pt idx="3">
                  <c:v>7</c:v>
                </c:pt>
                <c:pt idx="4">
                  <c:v>5</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8</c:v>
                </c:pt>
                <c:pt idx="3">
                  <c:v>7</c:v>
                </c:pt>
                <c:pt idx="4">
                  <c:v>5</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12</c:v>
                </c:pt>
                <c:pt idx="1">
                  <c:v>13</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8</c:v>
                </c:pt>
                <c:pt idx="3">
                  <c:v>7</c:v>
                </c:pt>
                <c:pt idx="4">
                  <c:v>5</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8</c:v>
                </c:pt>
                <c:pt idx="3">
                  <c:v>7</c:v>
                </c:pt>
                <c:pt idx="4">
                  <c:v>5</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12</c:v>
                </c:pt>
                <c:pt idx="1">
                  <c:v>13</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25</c:v>
                </c:pt>
                <c:pt idx="1">
                  <c:v>0</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3</c:v>
                </c:pt>
                <c:pt idx="1">
                  <c:v>11</c:v>
                </c:pt>
                <c:pt idx="2">
                  <c:v>5</c:v>
                </c:pt>
                <c:pt idx="3">
                  <c:v>6</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2193942</xdr:colOff>
      <xdr:row>0</xdr:row>
      <xdr:rowOff>894756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2536917</xdr:colOff>
      <xdr:row>0</xdr:row>
      <xdr:rowOff>97749</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33807" y="93939"/>
          <a:ext cx="1210345" cy="441525"/>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33350"/>
          <a:ext cx="1489089" cy="541905"/>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5849600"/>
          <a:ext cx="1489089" cy="541905"/>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85800" y="133350"/>
          <a:ext cx="1200819" cy="43581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85800" y="11668125"/>
          <a:ext cx="1200819" cy="43581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85800" y="133350"/>
          <a:ext cx="1200819" cy="43581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85800" y="4562475"/>
          <a:ext cx="1200819" cy="43581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85800" y="142875"/>
          <a:ext cx="1200819" cy="43581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902970" y="12020550"/>
          <a:ext cx="1200819" cy="432000"/>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85800" y="142875"/>
          <a:ext cx="1200819" cy="43581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85800" y="142875"/>
          <a:ext cx="1200819" cy="43581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85800" y="3571875"/>
          <a:ext cx="1200819" cy="43581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2085433</xdr:colOff>
      <xdr:row>0</xdr:row>
      <xdr:rowOff>97749</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8141428" y="93939"/>
          <a:ext cx="1202724" cy="441525"/>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517542</xdr:colOff>
      <xdr:row>0</xdr:row>
      <xdr:rowOff>898566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54487</xdr:colOff>
      <xdr:row>0</xdr:row>
      <xdr:rowOff>93939</xdr:rowOff>
    </xdr:from>
    <xdr:to>
      <xdr:col>7</xdr:col>
      <xdr:colOff>1273725</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8106922" y="97749"/>
          <a:ext cx="1219238" cy="437715"/>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647490" y="101559"/>
          <a:ext cx="1203372" cy="433905"/>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437865" y="54360"/>
          <a:ext cx="1431939" cy="53238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85800" y="142875"/>
          <a:ext cx="1200819" cy="43581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85800" y="3771900"/>
          <a:ext cx="1200819" cy="43581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85800" y="142875"/>
          <a:ext cx="1200819" cy="43581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85800" y="10887075"/>
          <a:ext cx="1200819" cy="43581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74370" y="5406390"/>
          <a:ext cx="1200819" cy="433905"/>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85800" y="142875"/>
          <a:ext cx="1200819" cy="43581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85800" y="142875"/>
          <a:ext cx="1200819" cy="43581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85800" y="8345805"/>
          <a:ext cx="1200819" cy="428190"/>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85800" y="11410950"/>
          <a:ext cx="1200819" cy="43581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85800" y="142875"/>
          <a:ext cx="1200819" cy="43581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7" totalsRowShown="0" headerRowDxfId="128" dataDxfId="127">
  <autoFilter ref="B3:F7" xr:uid="{00000000-0009-0000-0100-000006000000}"/>
  <tableColumns count="5">
    <tableColumn id="1" xr3:uid="{00000000-0010-0000-0000-000001000000}" name="Risicosessies" dataDxfId="126"/>
    <tableColumn id="2" xr3:uid="{00000000-0010-0000-0000-000002000000}" name="Datum risicosessie" dataDxfId="125"/>
    <tableColumn id="3" xr3:uid="{00000000-0010-0000-0000-000003000000}" name="Projectfase" dataDxfId="124"/>
    <tableColumn id="4" xr3:uid="{00000000-0010-0000-0000-000004000000}" name="Scope risicosessie" dataDxfId="123"/>
    <tableColumn id="5" xr3:uid="{00000000-0010-0000-0000-000005000000}" name="Aanwezigen risicosessie" dataDxfId="122"/>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31" headerRowDxfId="121" dataDxfId="120" totalsRowDxfId="118" tableBorderDxfId="119" totalsRowBorderDxfId="117">
  <autoFilter ref="B6:AM31" xr:uid="{00000000-0009-0000-0100-000005000000}"/>
  <sortState xmlns:xlrd2="http://schemas.microsoft.com/office/spreadsheetml/2017/richdata2" ref="B7:AM31">
    <sortCondition ref="D6:D31"/>
  </sortState>
  <tableColumns count="38">
    <tableColumn id="1" xr3:uid="{00000000-0010-0000-0100-000001000000}" name="Nr" totalsRowLabel="Totaal" dataDxfId="116" totalsRowDxfId="115"/>
    <tableColumn id="2" xr3:uid="{00000000-0010-0000-0100-000002000000}" name="Bron" dataDxfId="114" totalsRowDxfId="113"/>
    <tableColumn id="3" xr3:uid="{00000000-0010-0000-0100-000003000000}" name="Veiligheidsdomein" dataDxfId="112" totalsRowDxfId="111"/>
    <tableColumn id="4" xr3:uid="{00000000-0010-0000-0100-000004000000}" name="Werkzaamheden / activiteit" dataDxfId="110" totalsRowDxfId="109"/>
    <tableColumn id="5" xr3:uid="{00000000-0010-0000-0100-000005000000}" name="Locatie / specifieke plek" dataDxfId="108" totalsRowDxfId="107"/>
    <tableColumn id="6" xr3:uid="{00000000-0010-0000-0100-000006000000}" name="Gevaar" dataDxfId="106" totalsRowDxfId="105"/>
    <tableColumn id="7" xr3:uid="{00000000-0010-0000-0100-000007000000}" name="Risico / beschrijving" dataDxfId="104" totalsRowDxfId="103"/>
    <tableColumn id="8" xr3:uid="{00000000-0010-0000-0100-000008000000}" name="Mogelijke oorzaken" dataDxfId="102" totalsRowDxfId="101"/>
    <tableColumn id="9" xr3:uid="{00000000-0010-0000-0100-000009000000}" name="Mogelijke effecten" dataDxfId="100" totalsRowDxfId="99"/>
    <tableColumn id="11" xr3:uid="{00000000-0010-0000-0100-00000B000000}" name="E1" dataDxfId="98" totalsRowDxfId="97"/>
    <tableColumn id="32" xr3:uid="{00000000-0010-0000-0100-000020000000}" name="E12" dataDxfId="96">
      <calculatedColumnFormula>IF(Tabel_RIE[[#This Row],[E1]]&gt;0,VLOOKUP(Tabel_RIE[[#This Row],[E1]],Tabel_FK_E[],2,FALSE),"")</calculatedColumnFormula>
    </tableColumn>
    <tableColumn id="12" xr3:uid="{00000000-0010-0000-0100-00000C000000}" name="B1" dataDxfId="95" totalsRowDxfId="94"/>
    <tableColumn id="36" xr3:uid="{00000000-0010-0000-0100-000024000000}" name="B12" dataDxfId="93">
      <calculatedColumnFormula>IF(Tabel_RIE[[#This Row],[B1]]&gt;0,VLOOKUP(Tabel_RIE[[#This Row],[B1]],Tabel_FK_B[],2,FALSE),"")</calculatedColumnFormula>
    </tableColumn>
    <tableColumn id="13" xr3:uid="{00000000-0010-0000-0100-00000D000000}" name="W1" dataDxfId="92" totalsRowDxfId="91"/>
    <tableColumn id="37" xr3:uid="{00000000-0010-0000-0100-000025000000}" name="W12" dataDxfId="90">
      <calculatedColumnFormula>IF(Tabel_RIE[[#This Row],[W1]]&gt;0,VLOOKUP(Tabel_RIE[[#This Row],[W1]],Tabel_FK_W[],2,FALSE),"")</calculatedColumnFormula>
    </tableColumn>
    <tableColumn id="38" xr3:uid="{00000000-0010-0000-0100-000026000000}" name="R11" dataDxfId="89">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88">
      <calculatedColumnFormula>IF(OR(Tabel_RIE[[#This Row],[E12]]="",Tabel_RIE[[#This Row],[B12]]="",Tabel_RIE[[#This Row],[W12]]=""),"",Tabel_RIE[[#This Row],[E12]]*Tabel_RIE[[#This Row],[B12]]*Tabel_RIE[[#This Row],[W12]])</calculatedColumnFormula>
    </tableColumn>
    <tableColumn id="15" xr3:uid="{00000000-0010-0000-0100-00000F000000}" name="Opnemen in Risicodossier?" dataDxfId="87">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86" totalsRowDxfId="85"/>
    <tableColumn id="17" xr3:uid="{00000000-0010-0000-0100-000011000000}" name="Maatregel of contracteis" dataDxfId="84" totalsRowDxfId="83"/>
    <tableColumn id="10" xr3:uid="{00000000-0010-0000-0100-00000A000000}" name="Status (allocatie OG)" dataDxfId="82" totalsRowDxfId="81"/>
    <tableColumn id="19" xr3:uid="{00000000-0010-0000-0100-000013000000}" name="(Invul)datum" dataDxfId="80" totalsRowDxfId="79"/>
    <tableColumn id="20" xr3:uid="{00000000-0010-0000-0100-000014000000}" name="Uitleg arbeidshygiënische strategie" dataDxfId="78" totalsRowDxfId="77">
      <calculatedColumnFormula>$X$1</calculatedColumnFormula>
    </tableColumn>
    <tableColumn id="21" xr3:uid="{00000000-0010-0000-0100-000015000000}" name="Maatregelen" dataDxfId="76" totalsRowDxfId="75"/>
    <tableColumn id="22" xr3:uid="{00000000-0010-0000-0100-000016000000}" name="Actiehouder" dataDxfId="74" totalsRowDxfId="73"/>
    <tableColumn id="23" xr3:uid="{00000000-0010-0000-0100-000017000000}" name="E2" dataDxfId="72" totalsRowDxfId="71"/>
    <tableColumn id="39" xr3:uid="{00000000-0010-0000-0100-000027000000}" name="E3" dataDxfId="70" totalsRowDxfId="69">
      <calculatedColumnFormula>IF(Tabel_RIE[[#This Row],[E2]]&gt;0,VLOOKUP(Tabel_RIE[[#This Row],[E2]],Tabel_FK_E[],2,FALSE),"")</calculatedColumnFormula>
    </tableColumn>
    <tableColumn id="24" xr3:uid="{00000000-0010-0000-0100-000018000000}" name="B2" dataDxfId="68" totalsRowDxfId="67"/>
    <tableColumn id="40" xr3:uid="{00000000-0010-0000-0100-000028000000}" name="B3" dataDxfId="66" totalsRowDxfId="65">
      <calculatedColumnFormula>IF(Tabel_RIE[[#This Row],[B2]]&gt;0,VLOOKUP(Tabel_RIE[[#This Row],[B2]],Tabel_FK_B[],2,FALSE),"")</calculatedColumnFormula>
    </tableColumn>
    <tableColumn id="25" xr3:uid="{00000000-0010-0000-0100-000019000000}" name="W2" dataDxfId="64" totalsRowDxfId="63"/>
    <tableColumn id="41" xr3:uid="{00000000-0010-0000-0100-000029000000}" name="W3" dataDxfId="62" totalsRowDxfId="61">
      <calculatedColumnFormula>IF(Tabel_RIE[[#This Row],[W2]]&gt;0,VLOOKUP(Tabel_RIE[[#This Row],[W2]],Tabel_FK_W[],2,FALSE),"")</calculatedColumnFormula>
    </tableColumn>
    <tableColumn id="42" xr3:uid="{00000000-0010-0000-0100-00002A000000}" name="R21" dataDxfId="60" totalsRowDxfId="59">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xr3:uid="{00000000-0010-0000-0100-00001A000000}" name="R22" dataDxfId="58" totalsRowDxfId="57"/>
    <tableColumn id="27" xr3:uid="{00000000-0010-0000-0100-00001B000000}" name="Restrisico's" dataDxfId="56" totalsRowDxfId="55"/>
    <tableColumn id="28" xr3:uid="{00000000-0010-0000-0100-00001C000000}" name="Revisie + datum" dataDxfId="54" totalsRowDxfId="53"/>
    <tableColumn id="43" xr3:uid="{00000000-0010-0000-0100-00002B000000}" name="R-volledig" dataDxfId="52" totalsRowDxfId="51">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50" totalsRowDxfId="49">
      <calculatedColumnFormula>IF(AND(Tabel_RIE[[#This Row],[R12]]&gt;=70,Tabel_RIE[[#This Row],[R22]]&lt;70),"Ja","Nee")</calculatedColumnFormula>
    </tableColumn>
    <tableColumn id="45" xr3:uid="{00000000-0010-0000-0100-00002D000000}" name="R-actueel" totalsRowFunction="count" dataDxfId="48" totalsRowDxfId="47">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46" dataDxfId="44" headerRowBorderDxfId="45">
  <tableColumns count="2">
    <tableColumn id="1" xr3:uid="{00000000-0010-0000-0200-000001000000}" name="Veiligheidsdomein" headerRowDxfId="43" dataDxfId="42"/>
    <tableColumn id="2" xr3:uid="{00000000-0010-0000-0200-000002000000}" name="Omschrijving" headerRowDxfId="41"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39" dataDxfId="37" headerRowBorderDxfId="38" tableBorderDxfId="36" totalsRowBorderDxfId="35">
  <autoFilter ref="B14:C19" xr:uid="{00000000-0009-0000-0100-000001000000}"/>
  <tableColumns count="2">
    <tableColumn id="1" xr3:uid="{00000000-0010-0000-0300-000001000000}" name="Omschrijving" dataDxfId="34"/>
    <tableColumn id="2" xr3:uid="{00000000-0010-0000-0300-000002000000}" name="Effect (E)"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32" dataDxfId="30" headerRowBorderDxfId="31" tableBorderDxfId="29" totalsRowBorderDxfId="28">
  <autoFilter ref="B21:C27" xr:uid="{00000000-0009-0000-0100-000002000000}"/>
  <tableColumns count="2">
    <tableColumn id="1" xr3:uid="{00000000-0010-0000-0400-000001000000}" name="Omschrijving" dataDxfId="27"/>
    <tableColumn id="2" xr3:uid="{00000000-0010-0000-0400-000002000000}" name="Blootstelling (B)"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25" dataDxfId="23" headerRowBorderDxfId="24" tableBorderDxfId="22" totalsRowBorderDxfId="21">
  <autoFilter ref="B29:C36" xr:uid="{00000000-0009-0000-0100-000003000000}"/>
  <tableColumns count="2">
    <tableColumn id="1" xr3:uid="{00000000-0010-0000-0500-000001000000}" name="Omschrijving" dataDxfId="20"/>
    <tableColumn id="2" xr3:uid="{00000000-0010-0000-0500-000002000000}" name="Waarschijnlijkheid (W)" dataDxfId="1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18" dataDxfId="16" headerRowBorderDxfId="17" tableBorderDxfId="15" totalsRowBorderDxfId="14">
  <autoFilter ref="F7:H12" xr:uid="{00000000-0009-0000-0100-000004000000}"/>
  <tableColumns count="3">
    <tableColumn id="1" xr3:uid="{00000000-0010-0000-0600-000001000000}" name="Risicoscore (R)" dataDxfId="13"/>
    <tableColumn id="2" xr3:uid="{00000000-0010-0000-0600-000002000000}" name="Risico" dataDxfId="12"/>
    <tableColumn id="4" xr3:uid="{00000000-0010-0000-0600-000004000000}" name="Te nemen maatregel" dataDxfId="11"/>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tabSelected="1" zoomScaleNormal="100" zoomScaleSheetLayoutView="100" workbookViewId="0">
      <selection activeCell="F7" sqref="F7"/>
    </sheetView>
  </sheetViews>
  <sheetFormatPr defaultColWidth="9" defaultRowHeight="11.4" x14ac:dyDescent="0.2"/>
  <cols>
    <col min="1" max="1" width="2.59765625" style="95" customWidth="1"/>
    <col min="2" max="3" width="33.59765625" style="92" customWidth="1"/>
    <col min="4" max="4" width="3.59765625" style="92" customWidth="1"/>
    <col min="5" max="6" width="33.59765625" style="92" customWidth="1"/>
    <col min="7" max="7" width="2.59765625" style="95" customWidth="1"/>
    <col min="8" max="13" width="9" style="95"/>
    <col min="14" max="14" width="4.09765625" style="95" customWidth="1"/>
    <col min="15" max="16384" width="9" style="95"/>
  </cols>
  <sheetData>
    <row r="1" spans="1:8" ht="84.75" customHeight="1" x14ac:dyDescent="0.2">
      <c r="A1" s="95" t="s">
        <v>0</v>
      </c>
      <c r="B1" s="157" t="s">
        <v>1</v>
      </c>
      <c r="C1" s="157"/>
      <c r="D1" s="157"/>
      <c r="E1" s="157"/>
      <c r="F1" s="157"/>
      <c r="G1" s="95" t="s">
        <v>0</v>
      </c>
    </row>
    <row r="2" spans="1:8" ht="12" thickBot="1" x14ac:dyDescent="0.25">
      <c r="B2" s="95"/>
      <c r="C2" s="95"/>
      <c r="D2" s="95"/>
      <c r="E2" s="95"/>
      <c r="F2" s="95"/>
    </row>
    <row r="3" spans="1:8" ht="24.9" customHeight="1" x14ac:dyDescent="0.2">
      <c r="B3" s="110" t="s">
        <v>2</v>
      </c>
      <c r="C3" s="97" t="s">
        <v>3</v>
      </c>
      <c r="D3" s="93"/>
      <c r="E3" s="113" t="s">
        <v>4</v>
      </c>
      <c r="F3" s="98">
        <v>45567</v>
      </c>
      <c r="H3" s="107"/>
    </row>
    <row r="4" spans="1:8" ht="24.9" customHeight="1" x14ac:dyDescent="0.2">
      <c r="B4" s="111" t="s">
        <v>5</v>
      </c>
      <c r="C4" s="99" t="s">
        <v>400</v>
      </c>
      <c r="D4" s="93"/>
      <c r="E4" s="114" t="s">
        <v>6</v>
      </c>
      <c r="F4" s="100" t="s">
        <v>7</v>
      </c>
      <c r="H4" s="107"/>
    </row>
    <row r="5" spans="1:8" ht="24.9" customHeight="1" thickBot="1" x14ac:dyDescent="0.25">
      <c r="B5" s="112" t="s">
        <v>8</v>
      </c>
      <c r="C5" s="101" t="s">
        <v>401</v>
      </c>
      <c r="D5" s="93"/>
      <c r="E5" s="115" t="s">
        <v>9</v>
      </c>
      <c r="F5" s="102" t="s">
        <v>10</v>
      </c>
      <c r="H5" s="107"/>
    </row>
    <row r="6" spans="1:8" ht="11.25" customHeight="1" thickBot="1" x14ac:dyDescent="0.25">
      <c r="B6" s="96"/>
      <c r="C6" s="96"/>
      <c r="D6" s="109"/>
      <c r="E6" s="95"/>
      <c r="F6" s="95"/>
    </row>
    <row r="7" spans="1:8" ht="24.9" customHeight="1" thickBot="1" x14ac:dyDescent="0.25">
      <c r="B7" s="96"/>
      <c r="C7" s="96"/>
      <c r="D7" s="109"/>
      <c r="E7" s="116" t="s">
        <v>11</v>
      </c>
      <c r="F7" s="103" t="s">
        <v>402</v>
      </c>
    </row>
    <row r="8" spans="1:8" ht="11.25" customHeight="1" thickBot="1" x14ac:dyDescent="0.25">
      <c r="B8" s="108"/>
      <c r="C8" s="96"/>
      <c r="D8" s="95"/>
      <c r="E8" s="95"/>
      <c r="F8" s="95"/>
    </row>
    <row r="9" spans="1:8" ht="150" customHeight="1" x14ac:dyDescent="0.2">
      <c r="B9" s="117" t="s">
        <v>12</v>
      </c>
      <c r="C9" s="158" t="s">
        <v>13</v>
      </c>
      <c r="D9" s="159"/>
      <c r="E9" s="159"/>
      <c r="F9" s="160"/>
    </row>
    <row r="11" spans="1:8" x14ac:dyDescent="0.2">
      <c r="B11" s="161" t="s">
        <v>14</v>
      </c>
      <c r="C11" s="161"/>
      <c r="D11" s="161"/>
      <c r="E11" s="161"/>
      <c r="F11" s="161"/>
    </row>
    <row r="12" spans="1:8" ht="11.25" customHeight="1" x14ac:dyDescent="0.2">
      <c r="B12" s="104"/>
      <c r="F12" s="105"/>
    </row>
    <row r="22" spans="3:3" x14ac:dyDescent="0.2">
      <c r="C22" s="106"/>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4"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ColWidth="9" defaultRowHeight="11.4" x14ac:dyDescent="0.2"/>
  <cols>
    <col min="1" max="1" width="9" style="1"/>
    <col min="2" max="2" width="32.59765625" style="1" customWidth="1"/>
    <col min="3" max="3" width="48.59765625" style="1" customWidth="1"/>
    <col min="4" max="4" width="25.59765625" style="1" customWidth="1"/>
    <col min="5" max="7" width="9" style="1"/>
    <col min="8" max="8" width="74.09765625" style="1" hidden="1" customWidth="1"/>
    <col min="9" max="16384" width="9" style="1"/>
  </cols>
  <sheetData>
    <row r="1" spans="2:8" ht="11.25" customHeight="1" x14ac:dyDescent="0.2"/>
    <row r="2" spans="2:8" ht="57" customHeight="1" x14ac:dyDescent="0.2"/>
    <row r="3" spans="2:8" ht="28.5" customHeight="1" x14ac:dyDescent="0.45">
      <c r="B3" s="7" t="s">
        <v>321</v>
      </c>
    </row>
    <row r="5" spans="2:8" ht="97.2" x14ac:dyDescent="0.2">
      <c r="B5" s="197" t="s">
        <v>322</v>
      </c>
      <c r="C5" s="197"/>
      <c r="H5" s="38" t="str">
        <f>B5</f>
        <v xml:space="preserve">Selecteer in kolom “BRF” de relevante Basis Risico Factor (BRF)
Als er meerdere BRF’s van toepassing zijn dan selecteer je de optie “meerdere BRF’s”
Definitie van de BRF’s:
</v>
      </c>
    </row>
    <row r="6" spans="2:8" ht="16.2" x14ac:dyDescent="0.2">
      <c r="B6" s="37" t="s">
        <v>323</v>
      </c>
      <c r="C6" s="203" t="s">
        <v>324</v>
      </c>
      <c r="D6" s="202"/>
      <c r="H6" s="38" t="str">
        <f>C6</f>
        <v>Omschrijving</v>
      </c>
    </row>
    <row r="7" spans="2:8" ht="97.2" x14ac:dyDescent="0.2">
      <c r="B7" s="36" t="s">
        <v>325</v>
      </c>
      <c r="C7" s="201" t="s">
        <v>326</v>
      </c>
      <c r="D7" s="202"/>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81" x14ac:dyDescent="0.2">
      <c r="B8" s="36" t="s">
        <v>327</v>
      </c>
      <c r="C8" s="201" t="s">
        <v>328</v>
      </c>
      <c r="D8" s="202"/>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7.2" x14ac:dyDescent="0.2">
      <c r="B9" s="36" t="s">
        <v>329</v>
      </c>
      <c r="C9" s="201" t="s">
        <v>330</v>
      </c>
      <c r="D9" s="202"/>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81" x14ac:dyDescent="0.2">
      <c r="B10" s="36" t="s">
        <v>331</v>
      </c>
      <c r="C10" s="201" t="s">
        <v>332</v>
      </c>
      <c r="D10" s="202"/>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4.8" x14ac:dyDescent="0.2">
      <c r="B11" s="36" t="s">
        <v>333</v>
      </c>
      <c r="C11" s="201" t="s">
        <v>334</v>
      </c>
      <c r="D11" s="202"/>
      <c r="H11" s="38" t="str">
        <f t="shared" si="0"/>
        <v xml:space="preserve">Het verstrekken van de juiste training en instructie aan diegenen die dit daadwerkelijk nodig hebben en de gelegenheid geven om ervaring op te doen.
</v>
      </c>
    </row>
    <row r="12" spans="2:8" ht="64.8" x14ac:dyDescent="0.2">
      <c r="B12" s="36" t="s">
        <v>335</v>
      </c>
      <c r="C12" s="201" t="s">
        <v>336</v>
      </c>
      <c r="D12" s="202"/>
      <c r="H12" s="38" t="str">
        <f t="shared" si="0"/>
        <v xml:space="preserve">De wijze waarop materiaal is ontworpen en componenten zijn samengesteld kunnen operaties moeizaam doen verlopen of oneigenlijk gebruik in de hand werken.
</v>
      </c>
    </row>
    <row r="13" spans="2:8" ht="64.8" x14ac:dyDescent="0.2">
      <c r="B13" s="36" t="s">
        <v>337</v>
      </c>
      <c r="C13" s="201" t="s">
        <v>338</v>
      </c>
      <c r="D13" s="202"/>
      <c r="H13" s="38" t="str">
        <f t="shared" si="0"/>
        <v xml:space="preserve">Kwaliteit, conditie, beschikbaarheid en actualiteit versus verwachte levensduur van materialen, gereedschappen en componenten van installaties.
</v>
      </c>
    </row>
    <row r="14" spans="2:8" ht="64.8" x14ac:dyDescent="0.2">
      <c r="B14" s="36" t="s">
        <v>339</v>
      </c>
      <c r="C14" s="201" t="s">
        <v>340</v>
      </c>
      <c r="D14" s="202"/>
      <c r="H14" s="38" t="str">
        <f t="shared" si="0"/>
        <v xml:space="preserve">De effectiviteit van de onderhoudsstrategie met betrekking tot planning, beschikbaarheid van mensen en middelen en vormen van onderhoud.
</v>
      </c>
    </row>
    <row r="15" spans="2:8" ht="64.8" x14ac:dyDescent="0.2">
      <c r="B15" s="36" t="s">
        <v>341</v>
      </c>
      <c r="C15" s="201" t="s">
        <v>342</v>
      </c>
      <c r="D15" s="202"/>
      <c r="H15" s="38" t="str">
        <f t="shared" si="0"/>
        <v xml:space="preserve">Orde en netheid van de werkomgeving. Hieronder valt ook het beschikbaar zijn van faciliteiten voor het opruimen, schoonmaken en het verwijderen van afval.
</v>
      </c>
    </row>
    <row r="16" spans="2:8" ht="81" x14ac:dyDescent="0.2">
      <c r="B16" s="36" t="s">
        <v>343</v>
      </c>
      <c r="C16" s="201" t="s">
        <v>344</v>
      </c>
      <c r="D16" s="202"/>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64.8" x14ac:dyDescent="0.2">
      <c r="B17" s="36" t="s">
        <v>345</v>
      </c>
      <c r="C17" s="201" t="s">
        <v>346</v>
      </c>
      <c r="D17" s="202"/>
      <c r="H17" s="38" t="str">
        <f t="shared" si="0"/>
        <v xml:space="preserve">Systeemfouten met betrekking tot detectie, waarschuwingsmethoden, herstel, beperking, ontsnapping en evacuatie, evenals het gebruik van beschermingsmiddelen en het voorbereid zijn op noodsituaties.
</v>
      </c>
    </row>
    <row r="18" spans="2:8" ht="16.2" x14ac:dyDescent="0.2">
      <c r="B18" s="38"/>
      <c r="H18" s="38"/>
    </row>
    <row r="19" spans="2:8" ht="16.2" x14ac:dyDescent="0.3">
      <c r="B19" s="45" t="s">
        <v>347</v>
      </c>
    </row>
    <row r="21" spans="2:8" ht="16.2" x14ac:dyDescent="0.2">
      <c r="B21" s="52" t="s">
        <v>301</v>
      </c>
      <c r="C21" s="52" t="s">
        <v>348</v>
      </c>
    </row>
    <row r="22" spans="2:8" ht="16.2" x14ac:dyDescent="0.2">
      <c r="B22" s="53" t="s">
        <v>304</v>
      </c>
      <c r="C22" s="53" t="s">
        <v>335</v>
      </c>
    </row>
    <row r="23" spans="2:8" ht="16.2" x14ac:dyDescent="0.2">
      <c r="B23" s="53" t="s">
        <v>306</v>
      </c>
      <c r="C23" s="53" t="s">
        <v>339</v>
      </c>
    </row>
    <row r="24" spans="2:8" ht="32.4" x14ac:dyDescent="0.2">
      <c r="B24" s="53" t="s">
        <v>349</v>
      </c>
      <c r="C24" s="53" t="s">
        <v>335</v>
      </c>
    </row>
    <row r="25" spans="2:8" ht="32.4" x14ac:dyDescent="0.2">
      <c r="B25" s="53" t="s">
        <v>350</v>
      </c>
      <c r="C25" s="53" t="s">
        <v>351</v>
      </c>
    </row>
    <row r="26" spans="2:8" ht="32.4" x14ac:dyDescent="0.2">
      <c r="B26" s="53" t="s">
        <v>352</v>
      </c>
      <c r="C26" s="53" t="s">
        <v>345</v>
      </c>
    </row>
    <row r="28" spans="2:8" ht="57" customHeight="1" x14ac:dyDescent="0.2"/>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zoomScaleNormal="100" zoomScaleSheetLayoutView="100" workbookViewId="0">
      <selection activeCell="F18" sqref="F18"/>
    </sheetView>
  </sheetViews>
  <sheetFormatPr defaultColWidth="9" defaultRowHeight="11.4" x14ac:dyDescent="0.2"/>
  <cols>
    <col min="1" max="1" width="9" style="1"/>
    <col min="2" max="2" width="57.59765625" style="1" customWidth="1"/>
    <col min="3" max="3" width="30.59765625" style="1" customWidth="1"/>
    <col min="4" max="4" width="18.59765625" style="1" customWidth="1"/>
    <col min="5" max="5" width="4.59765625" style="1" customWidth="1"/>
    <col min="6" max="6" width="18.59765625" style="1" customWidth="1"/>
    <col min="7" max="7" width="14.59765625" style="1" customWidth="1"/>
    <col min="8" max="8" width="57.59765625" style="1" customWidth="1"/>
    <col min="9" max="9" width="7.59765625" style="1" customWidth="1"/>
    <col min="10" max="10" width="4.59765625" style="1" customWidth="1"/>
    <col min="11" max="12" width="105.59765625" style="1" hidden="1" customWidth="1"/>
    <col min="13" max="16384" width="9" style="1"/>
  </cols>
  <sheetData>
    <row r="1" spans="1:12" ht="11.25" customHeight="1" x14ac:dyDescent="0.3">
      <c r="A1" s="2"/>
    </row>
    <row r="2" spans="1:12" ht="57" customHeight="1" x14ac:dyDescent="0.2"/>
    <row r="3" spans="1:12" ht="28.2" x14ac:dyDescent="0.45">
      <c r="B3" s="7" t="s">
        <v>353</v>
      </c>
    </row>
    <row r="4" spans="1:12" ht="11.25" customHeight="1" x14ac:dyDescent="0.45">
      <c r="B4" s="7"/>
    </row>
    <row r="5" spans="1:12" ht="78.75" customHeight="1" x14ac:dyDescent="0.2">
      <c r="B5" s="197" t="s">
        <v>354</v>
      </c>
      <c r="C5" s="197"/>
      <c r="D5" s="205"/>
      <c r="F5" s="204" t="s">
        <v>355</v>
      </c>
      <c r="G5" s="198"/>
      <c r="H5" s="198"/>
      <c r="I5" s="198"/>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6.2" x14ac:dyDescent="0.3">
      <c r="B6" s="206"/>
      <c r="C6" s="206"/>
      <c r="D6" s="206"/>
      <c r="F6" s="39"/>
      <c r="G6" s="46"/>
      <c r="H6" s="46"/>
      <c r="I6" s="46"/>
      <c r="K6" s="8"/>
    </row>
    <row r="7" spans="1:12" ht="16.2" x14ac:dyDescent="0.3">
      <c r="B7" s="206"/>
      <c r="C7" s="206"/>
      <c r="D7" s="206"/>
      <c r="F7" s="31" t="s">
        <v>356</v>
      </c>
      <c r="G7" s="32" t="s">
        <v>300</v>
      </c>
      <c r="H7" s="33" t="s">
        <v>357</v>
      </c>
      <c r="I7" s="46"/>
      <c r="K7" s="8"/>
    </row>
    <row r="8" spans="1:12" ht="16.2" x14ac:dyDescent="0.3">
      <c r="B8" s="206"/>
      <c r="C8" s="206"/>
      <c r="D8" s="206"/>
      <c r="F8" s="141" t="s">
        <v>358</v>
      </c>
      <c r="G8" s="142" t="s">
        <v>359</v>
      </c>
      <c r="H8" s="143" t="s">
        <v>360</v>
      </c>
      <c r="I8" s="46"/>
      <c r="K8" s="8"/>
    </row>
    <row r="9" spans="1:12" ht="16.2" x14ac:dyDescent="0.3">
      <c r="B9" s="206"/>
      <c r="C9" s="206"/>
      <c r="D9" s="206"/>
      <c r="F9" s="144" t="s">
        <v>361</v>
      </c>
      <c r="G9" s="142" t="s">
        <v>362</v>
      </c>
      <c r="H9" s="143" t="s">
        <v>363</v>
      </c>
      <c r="I9" s="46"/>
      <c r="K9" s="8"/>
    </row>
    <row r="10" spans="1:12" ht="16.2" x14ac:dyDescent="0.3">
      <c r="B10" s="206"/>
      <c r="C10" s="206"/>
      <c r="D10" s="206"/>
      <c r="F10" s="145" t="s">
        <v>364</v>
      </c>
      <c r="G10" s="142" t="s">
        <v>365</v>
      </c>
      <c r="H10" s="143" t="s">
        <v>366</v>
      </c>
      <c r="I10" s="46"/>
      <c r="K10" s="8"/>
    </row>
    <row r="11" spans="1:12" ht="16.2" x14ac:dyDescent="0.3">
      <c r="B11" s="206"/>
      <c r="C11" s="206"/>
      <c r="D11" s="206"/>
      <c r="F11" s="146" t="s">
        <v>367</v>
      </c>
      <c r="G11" s="142" t="s">
        <v>368</v>
      </c>
      <c r="H11" s="143" t="s">
        <v>369</v>
      </c>
      <c r="I11" s="46"/>
      <c r="K11" s="8"/>
    </row>
    <row r="12" spans="1:12" ht="16.2" x14ac:dyDescent="0.2">
      <c r="B12" s="206"/>
      <c r="C12" s="206"/>
      <c r="D12" s="206"/>
      <c r="F12" s="26" t="s">
        <v>370</v>
      </c>
      <c r="G12" s="27" t="s">
        <v>371</v>
      </c>
      <c r="H12" s="28" t="s">
        <v>372</v>
      </c>
      <c r="K12" s="38"/>
    </row>
    <row r="13" spans="1:12" x14ac:dyDescent="0.2">
      <c r="I13" s="20"/>
    </row>
    <row r="14" spans="1:12" ht="16.2" x14ac:dyDescent="0.3">
      <c r="B14" s="29" t="s">
        <v>324</v>
      </c>
      <c r="C14" s="30" t="s">
        <v>373</v>
      </c>
      <c r="F14" s="204" t="s">
        <v>374</v>
      </c>
      <c r="G14" s="198"/>
      <c r="H14" s="198"/>
      <c r="I14" s="198"/>
    </row>
    <row r="15" spans="1:12" ht="16.2" x14ac:dyDescent="0.3">
      <c r="B15" s="147" t="s">
        <v>118</v>
      </c>
      <c r="C15" s="148">
        <v>1</v>
      </c>
      <c r="F15" s="206"/>
      <c r="G15" s="206"/>
      <c r="H15" s="206"/>
      <c r="I15" s="206"/>
    </row>
    <row r="16" spans="1:12" ht="16.2" x14ac:dyDescent="0.3">
      <c r="B16" s="147" t="s">
        <v>111</v>
      </c>
      <c r="C16" s="148">
        <v>3</v>
      </c>
      <c r="F16" s="206"/>
      <c r="G16" s="206"/>
      <c r="H16" s="206"/>
      <c r="I16" s="206"/>
    </row>
    <row r="17" spans="2:3" ht="16.2" x14ac:dyDescent="0.3">
      <c r="B17" s="147" t="s">
        <v>177</v>
      </c>
      <c r="C17" s="148">
        <v>7</v>
      </c>
    </row>
    <row r="18" spans="2:3" ht="16.2" x14ac:dyDescent="0.3">
      <c r="B18" s="147" t="s">
        <v>96</v>
      </c>
      <c r="C18" s="148">
        <v>15</v>
      </c>
    </row>
    <row r="19" spans="2:3" ht="16.2" x14ac:dyDescent="0.3">
      <c r="B19" s="21" t="s">
        <v>257</v>
      </c>
      <c r="C19" s="22">
        <v>40</v>
      </c>
    </row>
    <row r="20" spans="2:3" ht="16.2" x14ac:dyDescent="0.3">
      <c r="B20" s="19"/>
      <c r="C20" s="23"/>
    </row>
    <row r="21" spans="2:3" ht="16.2" x14ac:dyDescent="0.3">
      <c r="B21" s="29" t="s">
        <v>324</v>
      </c>
      <c r="C21" s="34" t="s">
        <v>375</v>
      </c>
    </row>
    <row r="22" spans="2:3" ht="16.2" x14ac:dyDescent="0.3">
      <c r="B22" s="149" t="s">
        <v>376</v>
      </c>
      <c r="C22" s="150">
        <v>0.5</v>
      </c>
    </row>
    <row r="23" spans="2:3" ht="16.2" x14ac:dyDescent="0.3">
      <c r="B23" s="149" t="s">
        <v>377</v>
      </c>
      <c r="C23" s="150">
        <v>1</v>
      </c>
    </row>
    <row r="24" spans="2:3" ht="16.2" x14ac:dyDescent="0.3">
      <c r="B24" s="149" t="s">
        <v>210</v>
      </c>
      <c r="C24" s="150">
        <v>2</v>
      </c>
    </row>
    <row r="25" spans="2:3" ht="16.2" x14ac:dyDescent="0.3">
      <c r="B25" s="149" t="s">
        <v>103</v>
      </c>
      <c r="C25" s="150">
        <v>3</v>
      </c>
    </row>
    <row r="26" spans="2:3" ht="16.2" x14ac:dyDescent="0.3">
      <c r="B26" s="149" t="s">
        <v>97</v>
      </c>
      <c r="C26" s="150">
        <v>6</v>
      </c>
    </row>
    <row r="27" spans="2:3" ht="16.2" x14ac:dyDescent="0.3">
      <c r="B27" s="24" t="s">
        <v>147</v>
      </c>
      <c r="C27" s="25">
        <v>10</v>
      </c>
    </row>
    <row r="28" spans="2:3" ht="16.2" x14ac:dyDescent="0.3">
      <c r="B28" s="19"/>
      <c r="C28" s="23"/>
    </row>
    <row r="29" spans="2:3" ht="16.2" x14ac:dyDescent="0.3">
      <c r="B29" s="35" t="s">
        <v>324</v>
      </c>
      <c r="C29" s="34" t="s">
        <v>378</v>
      </c>
    </row>
    <row r="30" spans="2:3" ht="16.2" x14ac:dyDescent="0.3">
      <c r="B30" s="149" t="s">
        <v>379</v>
      </c>
      <c r="C30" s="150">
        <v>0.1</v>
      </c>
    </row>
    <row r="31" spans="2:3" ht="16.2" x14ac:dyDescent="0.3">
      <c r="B31" s="149" t="s">
        <v>191</v>
      </c>
      <c r="C31" s="150">
        <v>0.2</v>
      </c>
    </row>
    <row r="32" spans="2:3" ht="16.2" x14ac:dyDescent="0.3">
      <c r="B32" s="149" t="s">
        <v>164</v>
      </c>
      <c r="C32" s="150">
        <v>0.5</v>
      </c>
    </row>
    <row r="33" spans="2:4" ht="16.2" x14ac:dyDescent="0.3">
      <c r="B33" s="149" t="s">
        <v>148</v>
      </c>
      <c r="C33" s="150">
        <v>1</v>
      </c>
    </row>
    <row r="34" spans="2:4" ht="16.2" x14ac:dyDescent="0.3">
      <c r="B34" s="149" t="s">
        <v>112</v>
      </c>
      <c r="C34" s="150">
        <v>3</v>
      </c>
    </row>
    <row r="35" spans="2:4" ht="16.2" x14ac:dyDescent="0.3">
      <c r="B35" s="149" t="s">
        <v>98</v>
      </c>
      <c r="C35" s="150">
        <v>6</v>
      </c>
    </row>
    <row r="36" spans="2:4" ht="16.2" x14ac:dyDescent="0.3">
      <c r="B36" s="24" t="s">
        <v>380</v>
      </c>
      <c r="C36" s="25">
        <v>10</v>
      </c>
    </row>
    <row r="37" spans="2:4" ht="15" customHeight="1" x14ac:dyDescent="0.2">
      <c r="B37" s="5"/>
      <c r="C37" s="4"/>
    </row>
    <row r="38" spans="2:4" ht="201" customHeight="1" x14ac:dyDescent="0.2">
      <c r="B38" s="197" t="s">
        <v>381</v>
      </c>
      <c r="C38" s="197"/>
      <c r="D38" s="205"/>
    </row>
    <row r="39" spans="2:4" x14ac:dyDescent="0.2">
      <c r="B39" s="5"/>
      <c r="C39" s="4"/>
    </row>
    <row r="40" spans="2:4" ht="57" customHeight="1" x14ac:dyDescent="0.2">
      <c r="C40" s="4"/>
    </row>
    <row r="41" spans="2:4" x14ac:dyDescent="0.2">
      <c r="B41" s="5"/>
      <c r="C41" s="4"/>
    </row>
    <row r="42" spans="2:4" x14ac:dyDescent="0.2">
      <c r="C42" s="4"/>
    </row>
    <row r="45" spans="2:4" x14ac:dyDescent="0.2">
      <c r="C45" s="4"/>
    </row>
    <row r="46" spans="2:4" x14ac:dyDescent="0.2">
      <c r="C46" s="4"/>
    </row>
    <row r="47" spans="2:4" x14ac:dyDescent="0.2">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election activeCell="B5" sqref="B5"/>
    </sheetView>
  </sheetViews>
  <sheetFormatPr defaultColWidth="9" defaultRowHeight="11.4" x14ac:dyDescent="0.2"/>
  <cols>
    <col min="1" max="1" width="9" style="1"/>
    <col min="2" max="2" width="107.19921875" style="1" customWidth="1"/>
    <col min="3" max="16384" width="9" style="1"/>
  </cols>
  <sheetData>
    <row r="1" spans="2:2" ht="11.25" customHeight="1" x14ac:dyDescent="0.2"/>
    <row r="2" spans="2:2" ht="57" customHeight="1" x14ac:dyDescent="0.2"/>
    <row r="3" spans="2:2" ht="28.2" x14ac:dyDescent="0.45">
      <c r="B3" s="7" t="s">
        <v>382</v>
      </c>
    </row>
    <row r="5" spans="2:2" ht="210.6" x14ac:dyDescent="0.2">
      <c r="B5" s="38" t="s">
        <v>383</v>
      </c>
    </row>
    <row r="7" spans="2:2" ht="57" customHeight="1" x14ac:dyDescent="0.2"/>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paperSize="9" scale="7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42</v>
      </c>
    </row>
    <row r="5" spans="2:2" ht="137.25" customHeight="1" x14ac:dyDescent="0.2">
      <c r="B5" s="38" t="s">
        <v>384</v>
      </c>
    </row>
    <row r="6" spans="2:2" ht="113.4" x14ac:dyDescent="0.2">
      <c r="B6" s="38" t="s">
        <v>385</v>
      </c>
    </row>
    <row r="7" spans="2:2" ht="16.2" x14ac:dyDescent="0.2">
      <c r="B7" s="38"/>
    </row>
    <row r="8" spans="2:2" ht="11.25" customHeight="1" x14ac:dyDescent="0.3">
      <c r="B8" s="45"/>
    </row>
    <row r="22" spans="2:2" x14ac:dyDescent="0.2">
      <c r="B22" s="46"/>
    </row>
    <row r="47" ht="57" customHeight="1" x14ac:dyDescent="0.2"/>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386</v>
      </c>
    </row>
    <row r="4" spans="2:2" ht="11.25" customHeight="1" x14ac:dyDescent="0.2"/>
    <row r="5" spans="2:2" ht="409.6" x14ac:dyDescent="0.2">
      <c r="B5" s="38" t="s">
        <v>387</v>
      </c>
    </row>
    <row r="6" spans="2:2" ht="409.5" customHeight="1" x14ac:dyDescent="0.2"/>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388</v>
      </c>
    </row>
    <row r="5" spans="2:2" ht="32.4" x14ac:dyDescent="0.2">
      <c r="B5" s="38" t="s">
        <v>389</v>
      </c>
    </row>
    <row r="6" spans="2:2" ht="97.2" x14ac:dyDescent="0.2">
      <c r="B6" s="38" t="s">
        <v>390</v>
      </c>
    </row>
    <row r="7" spans="2:2" ht="32.4" x14ac:dyDescent="0.2">
      <c r="B7" s="38" t="s">
        <v>391</v>
      </c>
    </row>
    <row r="9" spans="2:2" ht="57" customHeight="1" x14ac:dyDescent="0.2"/>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7"/>
  <sheetViews>
    <sheetView showGridLines="0" topLeftCell="B1" zoomScaleNormal="100" zoomScaleSheetLayoutView="100" workbookViewId="0">
      <selection activeCell="F4" sqref="F4"/>
    </sheetView>
  </sheetViews>
  <sheetFormatPr defaultColWidth="9" defaultRowHeight="11.4" x14ac:dyDescent="0.2"/>
  <cols>
    <col min="1" max="1" width="2.59765625" style="95" customWidth="1"/>
    <col min="2" max="2" width="15.59765625" style="92" customWidth="1"/>
    <col min="3" max="6" width="30.59765625" style="92" customWidth="1"/>
    <col min="7" max="7" width="2.59765625" style="95" customWidth="1"/>
    <col min="8" max="13" width="9" style="95"/>
    <col min="14" max="14" width="4.09765625" style="95" customWidth="1"/>
    <col min="15" max="16384" width="9" style="95"/>
  </cols>
  <sheetData>
    <row r="1" spans="1:7" ht="84.75" customHeight="1" x14ac:dyDescent="0.2">
      <c r="A1" s="95" t="s">
        <v>0</v>
      </c>
      <c r="B1" s="157" t="s">
        <v>15</v>
      </c>
      <c r="C1" s="157"/>
      <c r="D1" s="157"/>
      <c r="E1" s="157"/>
      <c r="F1" s="157"/>
      <c r="G1" s="95" t="s">
        <v>0</v>
      </c>
    </row>
    <row r="2" spans="1:7" x14ac:dyDescent="0.2">
      <c r="B2" s="95"/>
      <c r="C2" s="95"/>
      <c r="D2" s="95"/>
      <c r="E2" s="95"/>
      <c r="F2" s="95"/>
    </row>
    <row r="3" spans="1:7" ht="24.9" customHeight="1" x14ac:dyDescent="0.2">
      <c r="B3" s="96" t="s">
        <v>16</v>
      </c>
      <c r="C3" s="69" t="s">
        <v>17</v>
      </c>
      <c r="D3" s="69" t="s">
        <v>18</v>
      </c>
      <c r="E3" s="69" t="s">
        <v>19</v>
      </c>
      <c r="F3" s="69" t="s">
        <v>20</v>
      </c>
    </row>
    <row r="4" spans="1:7" ht="99.9" customHeight="1" x14ac:dyDescent="0.2">
      <c r="B4" s="40" t="s">
        <v>21</v>
      </c>
      <c r="C4" s="40">
        <v>45540</v>
      </c>
      <c r="D4" s="93" t="s">
        <v>22</v>
      </c>
      <c r="E4" s="93" t="s">
        <v>23</v>
      </c>
      <c r="F4" s="93" t="s">
        <v>24</v>
      </c>
    </row>
    <row r="5" spans="1:7" ht="99.9" customHeight="1" x14ac:dyDescent="0.2">
      <c r="B5" s="40" t="s">
        <v>25</v>
      </c>
      <c r="C5" s="40"/>
      <c r="D5" s="94"/>
      <c r="E5" s="94"/>
      <c r="F5" s="94"/>
    </row>
    <row r="6" spans="1:7" ht="99.9" customHeight="1" x14ac:dyDescent="0.2">
      <c r="B6" s="40" t="s">
        <v>26</v>
      </c>
      <c r="C6" s="40"/>
      <c r="D6" s="94"/>
      <c r="E6" s="94"/>
      <c r="F6" s="94"/>
    </row>
    <row r="7" spans="1:7" ht="99.9" customHeight="1" x14ac:dyDescent="0.2">
      <c r="B7" s="40" t="s">
        <v>27</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AM32"/>
  <sheetViews>
    <sheetView showGridLines="0" zoomScaleNormal="100" zoomScaleSheetLayoutView="80" workbookViewId="0">
      <pane ySplit="6" topLeftCell="A8" activePane="bottomLeft" state="frozen"/>
      <selection pane="bottomLeft" activeCell="AP30" sqref="AP30"/>
    </sheetView>
  </sheetViews>
  <sheetFormatPr defaultColWidth="9" defaultRowHeight="11.4" x14ac:dyDescent="0.2"/>
  <cols>
    <col min="1" max="1" width="2.59765625" style="1" customWidth="1"/>
    <col min="2" max="2" width="6.5" style="56" customWidth="1"/>
    <col min="3" max="3" width="15.5" style="65" customWidth="1"/>
    <col min="4" max="5" width="19.19921875" style="66" customWidth="1"/>
    <col min="6" max="6" width="16.8984375" style="54" customWidth="1"/>
    <col min="7" max="7" width="25.59765625" style="54" customWidth="1"/>
    <col min="8" max="8" width="20.19921875" style="54" customWidth="1"/>
    <col min="9" max="9" width="29.5" style="54" customWidth="1"/>
    <col min="10" max="10" width="25.59765625" style="54" customWidth="1"/>
    <col min="11" max="11" width="12.59765625" style="67" customWidth="1"/>
    <col min="12" max="12" width="4.59765625" style="86" hidden="1" customWidth="1"/>
    <col min="13" max="13" width="12.59765625" style="54" customWidth="1"/>
    <col min="14" max="14" width="4.59765625" style="69" hidden="1" customWidth="1"/>
    <col min="15" max="15" width="12.59765625" style="67" customWidth="1"/>
    <col min="16" max="16" width="4.59765625" style="86" hidden="1" customWidth="1"/>
    <col min="17" max="17" width="16.59765625" style="86" customWidth="1"/>
    <col min="18" max="18" width="4.59765625" style="86" customWidth="1"/>
    <col min="19" max="19" width="14.59765625" style="89" customWidth="1"/>
    <col min="20" max="20" width="23.3984375" style="55" bestFit="1" customWidth="1"/>
    <col min="21" max="21" width="31.8984375" style="56" customWidth="1"/>
    <col min="22" max="22" width="16.59765625" style="56" customWidth="1"/>
    <col min="23" max="23" width="13.59765625" style="56" customWidth="1"/>
    <col min="24" max="24" width="19.69921875" style="91" customWidth="1"/>
    <col min="25" max="25" width="30" style="68" customWidth="1"/>
    <col min="26" max="26" width="13.19921875" style="68" customWidth="1"/>
    <col min="27" max="27" width="12.59765625" style="68" customWidth="1"/>
    <col min="28" max="28" width="4.59765625" style="91" customWidth="1"/>
    <col min="29" max="29" width="12.59765625" style="68" customWidth="1"/>
    <col min="30" max="30" width="4.59765625" style="91" customWidth="1"/>
    <col min="31" max="31" width="12.59765625" style="68" customWidth="1"/>
    <col min="32" max="32" width="4.59765625" style="91" customWidth="1"/>
    <col min="33" max="33" width="16.59765625" style="91" customWidth="1"/>
    <col min="34" max="34" width="4.59765625" style="91" customWidth="1"/>
    <col min="35" max="35" width="24.5" style="68" customWidth="1"/>
    <col min="36" max="36" width="13.59765625" style="68" customWidth="1"/>
    <col min="37" max="37" width="18.8984375" style="1" hidden="1" customWidth="1"/>
    <col min="38" max="38" width="15.8984375" style="1" hidden="1" customWidth="1"/>
    <col min="39" max="39" width="11.09765625" style="1" hidden="1" customWidth="1"/>
    <col min="40" max="16384" width="9" style="57"/>
  </cols>
  <sheetData>
    <row r="1" spans="2:39" s="1" customFormat="1" ht="84.75" customHeight="1" thickBot="1" x14ac:dyDescent="0.25">
      <c r="B1" s="157" t="s">
        <v>28</v>
      </c>
      <c r="C1" s="183"/>
      <c r="D1" s="183"/>
      <c r="E1" s="183"/>
      <c r="F1" s="183"/>
      <c r="G1" s="183"/>
      <c r="H1" s="183"/>
      <c r="I1" s="69"/>
      <c r="J1" s="69"/>
      <c r="K1" s="70"/>
      <c r="L1" s="70"/>
      <c r="M1" s="70"/>
      <c r="N1" s="70"/>
      <c r="O1" s="70"/>
      <c r="P1" s="70"/>
      <c r="Q1" s="162"/>
      <c r="R1" s="70"/>
      <c r="S1" s="175"/>
      <c r="T1" s="71"/>
      <c r="U1" s="3"/>
      <c r="V1" s="3"/>
      <c r="W1" s="3"/>
      <c r="X1" s="72" t="s">
        <v>29</v>
      </c>
      <c r="Y1" s="73"/>
      <c r="Z1" s="73"/>
      <c r="AA1" s="73"/>
      <c r="AB1" s="73"/>
      <c r="AC1" s="73"/>
      <c r="AD1" s="73"/>
      <c r="AE1" s="73"/>
      <c r="AF1" s="73"/>
      <c r="AG1" s="73"/>
      <c r="AH1" s="73"/>
      <c r="AI1" s="73"/>
      <c r="AJ1" s="73"/>
    </row>
    <row r="2" spans="2:39" s="9" customFormat="1" ht="15.75" customHeight="1" thickBot="1" x14ac:dyDescent="0.25">
      <c r="B2" s="70"/>
      <c r="C2" s="70"/>
      <c r="D2" s="70"/>
      <c r="E2" s="70"/>
      <c r="F2" s="70"/>
      <c r="G2" s="70"/>
      <c r="H2" s="70"/>
      <c r="I2" s="70"/>
      <c r="J2" s="70"/>
      <c r="K2" s="70"/>
      <c r="L2" s="70"/>
      <c r="M2" s="70"/>
      <c r="N2" s="70"/>
      <c r="O2" s="70"/>
      <c r="P2" s="70"/>
      <c r="Q2" s="163"/>
      <c r="R2" s="70"/>
      <c r="S2" s="163"/>
      <c r="T2" s="74"/>
      <c r="U2" s="70"/>
      <c r="V2" s="70"/>
      <c r="W2" s="75"/>
      <c r="X2" s="168" t="s">
        <v>30</v>
      </c>
      <c r="Y2" s="169"/>
      <c r="Z2" s="169"/>
      <c r="AA2" s="169"/>
      <c r="AB2" s="169"/>
      <c r="AC2" s="169"/>
      <c r="AD2" s="169"/>
      <c r="AE2" s="169"/>
      <c r="AF2" s="169"/>
      <c r="AG2" s="169"/>
      <c r="AH2" s="169"/>
      <c r="AI2" s="169"/>
      <c r="AJ2" s="170"/>
    </row>
    <row r="3" spans="2:39" s="1" customFormat="1" ht="15" customHeight="1" x14ac:dyDescent="0.2">
      <c r="B3" s="187" t="s">
        <v>31</v>
      </c>
      <c r="C3" s="179" t="s">
        <v>32</v>
      </c>
      <c r="D3" s="179" t="s">
        <v>33</v>
      </c>
      <c r="E3" s="189" t="s">
        <v>34</v>
      </c>
      <c r="F3" s="189" t="s">
        <v>35</v>
      </c>
      <c r="G3" s="189" t="s">
        <v>36</v>
      </c>
      <c r="H3" s="189" t="s">
        <v>37</v>
      </c>
      <c r="I3" s="189" t="s">
        <v>38</v>
      </c>
      <c r="J3" s="189" t="s">
        <v>39</v>
      </c>
      <c r="K3" s="179" t="s">
        <v>40</v>
      </c>
      <c r="L3" s="179"/>
      <c r="M3" s="179"/>
      <c r="N3" s="179"/>
      <c r="O3" s="179"/>
      <c r="P3" s="179"/>
      <c r="Q3" s="179"/>
      <c r="R3" s="179"/>
      <c r="S3" s="190" t="s">
        <v>41</v>
      </c>
      <c r="T3" s="179" t="s">
        <v>42</v>
      </c>
      <c r="U3" s="179" t="s">
        <v>43</v>
      </c>
      <c r="V3" s="179" t="s">
        <v>44</v>
      </c>
      <c r="W3" s="164" t="s">
        <v>45</v>
      </c>
      <c r="X3" s="171" t="s">
        <v>46</v>
      </c>
      <c r="Y3" s="180"/>
      <c r="Z3" s="171" t="s">
        <v>47</v>
      </c>
      <c r="AA3" s="171" t="s">
        <v>40</v>
      </c>
      <c r="AB3" s="171"/>
      <c r="AC3" s="182"/>
      <c r="AD3" s="182"/>
      <c r="AE3" s="182"/>
      <c r="AF3" s="182"/>
      <c r="AG3" s="182"/>
      <c r="AH3" s="182"/>
      <c r="AI3" s="171" t="s">
        <v>48</v>
      </c>
      <c r="AJ3" s="173" t="s">
        <v>49</v>
      </c>
    </row>
    <row r="4" spans="2:39" s="20" customFormat="1" ht="39.9" customHeight="1" x14ac:dyDescent="0.2">
      <c r="B4" s="188"/>
      <c r="C4" s="165"/>
      <c r="D4" s="165"/>
      <c r="E4" s="165"/>
      <c r="F4" s="165"/>
      <c r="G4" s="165"/>
      <c r="H4" s="165"/>
      <c r="I4" s="165"/>
      <c r="J4" s="165"/>
      <c r="K4" s="176" t="s">
        <v>50</v>
      </c>
      <c r="L4" s="177"/>
      <c r="M4" s="176" t="s">
        <v>51</v>
      </c>
      <c r="N4" s="177"/>
      <c r="O4" s="178" t="s">
        <v>52</v>
      </c>
      <c r="P4" s="177"/>
      <c r="Q4" s="176" t="s">
        <v>53</v>
      </c>
      <c r="R4" s="177"/>
      <c r="S4" s="191"/>
      <c r="T4" s="165"/>
      <c r="U4" s="165"/>
      <c r="V4" s="165"/>
      <c r="W4" s="165"/>
      <c r="X4" s="172"/>
      <c r="Y4" s="172"/>
      <c r="Z4" s="181"/>
      <c r="AA4" s="166" t="s">
        <v>50</v>
      </c>
      <c r="AB4" s="167"/>
      <c r="AC4" s="166" t="s">
        <v>51</v>
      </c>
      <c r="AD4" s="167"/>
      <c r="AE4" s="166" t="s">
        <v>52</v>
      </c>
      <c r="AF4" s="167"/>
      <c r="AG4" s="166" t="s">
        <v>53</v>
      </c>
      <c r="AH4" s="167"/>
      <c r="AI4" s="172"/>
      <c r="AJ4" s="174"/>
      <c r="AK4" s="76" t="s">
        <v>54</v>
      </c>
      <c r="AL4" s="133" t="s">
        <v>55</v>
      </c>
      <c r="AM4" s="133" t="s">
        <v>56</v>
      </c>
    </row>
    <row r="5" spans="2:39" s="81" customFormat="1" ht="15.75" customHeight="1" x14ac:dyDescent="0.2">
      <c r="B5" s="77" t="s">
        <v>57</v>
      </c>
      <c r="C5" s="78" t="s">
        <v>58</v>
      </c>
      <c r="D5" s="78" t="s">
        <v>58</v>
      </c>
      <c r="E5" s="78" t="s">
        <v>58</v>
      </c>
      <c r="F5" s="78" t="s">
        <v>58</v>
      </c>
      <c r="G5" s="78" t="s">
        <v>58</v>
      </c>
      <c r="H5" s="78" t="s">
        <v>58</v>
      </c>
      <c r="I5" s="78" t="s">
        <v>58</v>
      </c>
      <c r="J5" s="78" t="s">
        <v>58</v>
      </c>
      <c r="K5" s="78" t="s">
        <v>58</v>
      </c>
      <c r="L5" s="78"/>
      <c r="M5" s="78" t="s">
        <v>58</v>
      </c>
      <c r="N5" s="78"/>
      <c r="O5" s="78" t="s">
        <v>58</v>
      </c>
      <c r="P5" s="78"/>
      <c r="Q5" s="184" t="s">
        <v>58</v>
      </c>
      <c r="R5" s="185"/>
      <c r="S5" s="78" t="s">
        <v>58</v>
      </c>
      <c r="T5" s="78" t="s">
        <v>58</v>
      </c>
      <c r="U5" s="78" t="s">
        <v>58</v>
      </c>
      <c r="V5" s="78" t="s">
        <v>58</v>
      </c>
      <c r="W5" s="78" t="s">
        <v>58</v>
      </c>
      <c r="X5" s="186" t="s">
        <v>58</v>
      </c>
      <c r="Y5" s="186"/>
      <c r="Z5" s="79" t="s">
        <v>58</v>
      </c>
      <c r="AA5" s="79" t="s">
        <v>58</v>
      </c>
      <c r="AB5" s="79"/>
      <c r="AC5" s="79" t="s">
        <v>58</v>
      </c>
      <c r="AD5" s="79"/>
      <c r="AE5" s="79" t="s">
        <v>58</v>
      </c>
      <c r="AF5" s="79"/>
      <c r="AG5" s="184" t="s">
        <v>58</v>
      </c>
      <c r="AH5" s="185"/>
      <c r="AI5" s="79" t="s">
        <v>58</v>
      </c>
      <c r="AJ5" s="80" t="s">
        <v>58</v>
      </c>
    </row>
    <row r="6" spans="2:39" s="84" customFormat="1" ht="11.25" customHeight="1" x14ac:dyDescent="0.2">
      <c r="B6" s="82" t="s">
        <v>31</v>
      </c>
      <c r="C6" s="82" t="s">
        <v>32</v>
      </c>
      <c r="D6" s="82" t="s">
        <v>33</v>
      </c>
      <c r="E6" s="82" t="s">
        <v>59</v>
      </c>
      <c r="F6" s="82" t="s">
        <v>60</v>
      </c>
      <c r="G6" s="82" t="s">
        <v>36</v>
      </c>
      <c r="H6" s="82" t="s">
        <v>61</v>
      </c>
      <c r="I6" s="82" t="s">
        <v>38</v>
      </c>
      <c r="J6" s="82" t="s">
        <v>39</v>
      </c>
      <c r="K6" s="82" t="s">
        <v>62</v>
      </c>
      <c r="L6" s="82" t="s">
        <v>63</v>
      </c>
      <c r="M6" s="82" t="s">
        <v>64</v>
      </c>
      <c r="N6" s="82" t="s">
        <v>65</v>
      </c>
      <c r="O6" s="82" t="s">
        <v>66</v>
      </c>
      <c r="P6" s="82" t="s">
        <v>67</v>
      </c>
      <c r="Q6" s="82" t="s">
        <v>68</v>
      </c>
      <c r="R6" s="82" t="s">
        <v>69</v>
      </c>
      <c r="S6" s="82" t="s">
        <v>70</v>
      </c>
      <c r="T6" s="82" t="s">
        <v>42</v>
      </c>
      <c r="U6" s="82" t="s">
        <v>71</v>
      </c>
      <c r="V6" s="82" t="s">
        <v>72</v>
      </c>
      <c r="W6" s="82" t="s">
        <v>73</v>
      </c>
      <c r="X6" s="82" t="s">
        <v>74</v>
      </c>
      <c r="Y6" s="82" t="s">
        <v>75</v>
      </c>
      <c r="Z6" s="82" t="s">
        <v>47</v>
      </c>
      <c r="AA6" s="82" t="s">
        <v>76</v>
      </c>
      <c r="AB6" s="82" t="s">
        <v>77</v>
      </c>
      <c r="AC6" s="82" t="s">
        <v>78</v>
      </c>
      <c r="AD6" s="82" t="s">
        <v>79</v>
      </c>
      <c r="AE6" s="82" t="s">
        <v>80</v>
      </c>
      <c r="AF6" s="82" t="s">
        <v>81</v>
      </c>
      <c r="AG6" s="82" t="s">
        <v>82</v>
      </c>
      <c r="AH6" s="82" t="s">
        <v>83</v>
      </c>
      <c r="AI6" s="82" t="s">
        <v>48</v>
      </c>
      <c r="AJ6" s="82" t="s">
        <v>84</v>
      </c>
      <c r="AK6" s="83" t="s">
        <v>85</v>
      </c>
      <c r="AL6" s="83" t="s">
        <v>86</v>
      </c>
      <c r="AM6" s="83" t="s">
        <v>87</v>
      </c>
    </row>
    <row r="7" spans="2:39" ht="136.80000000000001" x14ac:dyDescent="0.2">
      <c r="B7" s="118">
        <v>1</v>
      </c>
      <c r="C7" s="58" t="s">
        <v>88</v>
      </c>
      <c r="D7" s="58" t="s">
        <v>89</v>
      </c>
      <c r="E7" s="58" t="s">
        <v>90</v>
      </c>
      <c r="F7" s="58" t="s">
        <v>91</v>
      </c>
      <c r="G7" s="58" t="s">
        <v>92</v>
      </c>
      <c r="H7" s="58" t="s">
        <v>93</v>
      </c>
      <c r="I7" s="58" t="s">
        <v>94</v>
      </c>
      <c r="J7" s="58" t="s">
        <v>95</v>
      </c>
      <c r="K7" s="59" t="s">
        <v>96</v>
      </c>
      <c r="L7" s="85">
        <f>IF(Tabel_RIE[[#This Row],[E1]]&gt;0,VLOOKUP(Tabel_RIE[[#This Row],[E1]],Tabel_FK_E[],2,FALSE),"")</f>
        <v>15</v>
      </c>
      <c r="M7" s="59" t="s">
        <v>97</v>
      </c>
      <c r="N7" s="87">
        <f>IF(Tabel_RIE[[#This Row],[B1]]&gt;0,VLOOKUP(Tabel_RIE[[#This Row],[B1]],Tabel_FK_B[],2,FALSE),"")</f>
        <v>6</v>
      </c>
      <c r="O7" s="59" t="s">
        <v>112</v>
      </c>
      <c r="P7" s="87">
        <f>IF(Tabel_RIE[[#This Row],[W1]]&gt;0,VLOOKUP(Tabel_RIE[[#This Row],[W1]],Tabel_FK_W[],2,FALSE),"")</f>
        <v>3</v>
      </c>
      <c r="Q7"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87">
        <f>IF(OR(Tabel_RIE[[#This Row],[E12]]="",Tabel_RIE[[#This Row],[B12]]="",Tabel_RIE[[#This Row],[W12]]=""),"",Tabel_RIE[[#This Row],[E12]]*Tabel_RIE[[#This Row],[B12]]*Tabel_RIE[[#This Row],[W12]])</f>
        <v>270</v>
      </c>
      <c r="S7" s="69" t="str">
        <f>IF(AND(Tabel_RIE[[#This Row],[E12]]="",Tabel_RIE[[#This Row],[R12]]=""),"",IF(AND(OR(Tabel_RIE[[#This Row],[E12]]="",Tabel_RIE[[#This Row],[E12]]&lt;15),OR(Tabel_RIE[[#This Row],[R12]]="",Tabel_RIE[[#This Row],[R12]]&lt;70)),"n.v.t.",IF(OR(Tabel_RIE[[#This Row],[E12]]&gt;=15,Tabel_RIE[[#This Row],[R12]]&gt;=70),"√","fout")))</f>
        <v>√</v>
      </c>
      <c r="T7" s="60" t="s">
        <v>99</v>
      </c>
      <c r="U7" s="151" t="s">
        <v>100</v>
      </c>
      <c r="V7" s="58"/>
      <c r="W7" s="61"/>
      <c r="X7" s="90" t="str">
        <f t="shared" ref="X7:X31" si="0">$X$1</f>
        <v>Bronaanpak:
Collectieve maatregelen:
Individuele maatregelen:
PBM's:</v>
      </c>
      <c r="Y7" s="58"/>
      <c r="Z7" s="58"/>
      <c r="AA7" s="59"/>
      <c r="AB7" s="85" t="str">
        <f>IF(Tabel_RIE[[#This Row],[E2]]&gt;0,VLOOKUP(Tabel_RIE[[#This Row],[E2]],Tabel_FK_E[],2,FALSE),"")</f>
        <v/>
      </c>
      <c r="AC7" s="59"/>
      <c r="AD7" s="87" t="str">
        <f>IF(Tabel_RIE[[#This Row],[B2]]&gt;0,VLOOKUP(Tabel_RIE[[#This Row],[B2]],Tabel_FK_B[],2,FALSE),"")</f>
        <v/>
      </c>
      <c r="AE7" s="59"/>
      <c r="AF7" s="87" t="str">
        <f>IF(Tabel_RIE[[#This Row],[W2]]&gt;0,VLOOKUP(Tabel_RIE[[#This Row],[W2]],Tabel_FK_W[],2,FALSE),"")</f>
        <v/>
      </c>
      <c r="AG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 s="87" t="str">
        <f>IF(OR(Tabel_RIE[[#This Row],[E3]]="",Tabel_RIE[[#This Row],[B3]]="",Tabel_RIE[[#This Row],[W3]]=""),"",Tabel_RIE[[#This Row],[E3]]*Tabel_RIE[[#This Row],[B3]]*Tabel_RIE[[#This Row],[W3]])</f>
        <v/>
      </c>
      <c r="AI7" s="58"/>
      <c r="AJ7" s="62"/>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270</v>
      </c>
    </row>
    <row r="8" spans="2:39" ht="79.8" x14ac:dyDescent="0.2">
      <c r="B8" s="118">
        <v>2</v>
      </c>
      <c r="C8" s="58" t="s">
        <v>88</v>
      </c>
      <c r="D8" s="119" t="s">
        <v>89</v>
      </c>
      <c r="E8" s="119" t="s">
        <v>90</v>
      </c>
      <c r="F8" s="119" t="s">
        <v>91</v>
      </c>
      <c r="G8" s="119" t="s">
        <v>92</v>
      </c>
      <c r="H8" s="119" t="s">
        <v>101</v>
      </c>
      <c r="I8" s="58" t="s">
        <v>102</v>
      </c>
      <c r="J8" s="119" t="s">
        <v>95</v>
      </c>
      <c r="K8" s="120" t="s">
        <v>96</v>
      </c>
      <c r="L8" s="121">
        <f>IF(Tabel_RIE[[#This Row],[E1]]&gt;0,VLOOKUP(Tabel_RIE[[#This Row],[E1]],Tabel_FK_E[],2,FALSE),"")</f>
        <v>15</v>
      </c>
      <c r="M8" s="120" t="s">
        <v>103</v>
      </c>
      <c r="N8" s="122">
        <f>IF(Tabel_RIE[[#This Row],[B1]]&gt;0,VLOOKUP(Tabel_RIE[[#This Row],[B1]],Tabel_FK_B[],2,FALSE),"")</f>
        <v>3</v>
      </c>
      <c r="O8" s="120" t="s">
        <v>98</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8" s="122">
        <f>IF(OR(Tabel_RIE[[#This Row],[E12]]="",Tabel_RIE[[#This Row],[B12]]="",Tabel_RIE[[#This Row],[W12]]=""),"",Tabel_RIE[[#This Row],[E12]]*Tabel_RIE[[#This Row],[B12]]*Tabel_RIE[[#This Row],[W12]])</f>
        <v>270</v>
      </c>
      <c r="S8" s="124" t="str">
        <f>IF(AND(Tabel_RIE[[#This Row],[E12]]="",Tabel_RIE[[#This Row],[R12]]=""),"",IF(AND(OR(Tabel_RIE[[#This Row],[E12]]="",Tabel_RIE[[#This Row],[E12]]&lt;15),OR(Tabel_RIE[[#This Row],[R12]]="",Tabel_RIE[[#This Row],[R12]]&lt;70)),"n.v.t.",IF(OR(Tabel_RIE[[#This Row],[E12]]&gt;=15,Tabel_RIE[[#This Row],[R12]]&gt;=70),"√","fout")))</f>
        <v>√</v>
      </c>
      <c r="T8" s="125" t="s">
        <v>99</v>
      </c>
      <c r="U8" s="151" t="s">
        <v>104</v>
      </c>
      <c r="V8" s="126"/>
      <c r="W8" s="131"/>
      <c r="X8" s="128" t="str">
        <f t="shared" si="0"/>
        <v>Bronaanpak:
Collectieve maatregelen:
Individuele maatregelen:
PBM's:</v>
      </c>
      <c r="Y8" s="119"/>
      <c r="Z8" s="129"/>
      <c r="AA8" s="125"/>
      <c r="AB8" s="122" t="str">
        <f>IF(Tabel_RIE[[#This Row],[E2]]&gt;0,VLOOKUP(Tabel_RIE[[#This Row],[E2]],Tabel_FK_E[],2,FALSE),"")</f>
        <v/>
      </c>
      <c r="AC8" s="125"/>
      <c r="AD8" s="122" t="str">
        <f>IF(Tabel_RIE[[#This Row],[B2]]&gt;0,VLOOKUP(Tabel_RIE[[#This Row],[B2]],Tabel_FK_B[],2,FALSE),"")</f>
        <v/>
      </c>
      <c r="AE8" s="125"/>
      <c r="AF8" s="122" t="str">
        <f>IF(Tabel_RIE[[#This Row],[W2]]&gt;0,VLOOKUP(Tabel_RIE[[#This Row],[W2]],Tabel_FK_W[],2,FALSE),"")</f>
        <v/>
      </c>
      <c r="AG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 s="122"/>
      <c r="AI8" s="119"/>
      <c r="AJ8" s="127"/>
      <c r="AK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0" t="str">
        <f>IF(AND(Tabel_RIE[[#This Row],[R12]]&gt;=70,Tabel_RIE[[#This Row],[R22]]&lt;70),"Ja","Nee")</f>
        <v>Ja</v>
      </c>
      <c r="AM8" s="130">
        <f>IF(Tabel_RIE[[#This Row],[R22]]&lt;&gt;"",Tabel_RIE[[#This Row],[R22]],Tabel_RIE[[#This Row],[R12]])</f>
        <v>270</v>
      </c>
    </row>
    <row r="9" spans="2:39" ht="100.5" customHeight="1" x14ac:dyDescent="0.2">
      <c r="B9" s="118">
        <v>3</v>
      </c>
      <c r="C9" s="58" t="s">
        <v>88</v>
      </c>
      <c r="D9" s="58" t="s">
        <v>89</v>
      </c>
      <c r="E9" s="58" t="s">
        <v>105</v>
      </c>
      <c r="F9" s="58" t="s">
        <v>106</v>
      </c>
      <c r="G9" s="63" t="s">
        <v>107</v>
      </c>
      <c r="H9" s="63" t="s">
        <v>108</v>
      </c>
      <c r="I9" s="58" t="s">
        <v>109</v>
      </c>
      <c r="J9" s="63" t="s">
        <v>110</v>
      </c>
      <c r="K9" s="59" t="s">
        <v>111</v>
      </c>
      <c r="L9" s="85">
        <f>IF(Tabel_RIE[[#This Row],[E1]]&gt;0,VLOOKUP(Tabel_RIE[[#This Row],[E1]],Tabel_FK_E[],2,FALSE),"")</f>
        <v>3</v>
      </c>
      <c r="M9" s="59" t="s">
        <v>97</v>
      </c>
      <c r="N9" s="87">
        <f>IF(Tabel_RIE[[#This Row],[B1]]&gt;0,VLOOKUP(Tabel_RIE[[#This Row],[B1]],Tabel_FK_B[],2,FALSE),"")</f>
        <v>6</v>
      </c>
      <c r="O9" s="59" t="s">
        <v>112</v>
      </c>
      <c r="P9" s="87">
        <f>IF(Tabel_RIE[[#This Row],[W1]]&gt;0,VLOOKUP(Tabel_RIE[[#This Row],[W1]],Tabel_FK_W[],2,FALSE),"")</f>
        <v>3</v>
      </c>
      <c r="Q9"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9" s="87">
        <f>IF(OR(Tabel_RIE[[#This Row],[E12]]="",Tabel_RIE[[#This Row],[B12]]="",Tabel_RIE[[#This Row],[W12]]=""),"",Tabel_RIE[[#This Row],[E12]]*Tabel_RIE[[#This Row],[B12]]*Tabel_RIE[[#This Row],[W12]])</f>
        <v>54</v>
      </c>
      <c r="S9" s="69" t="str">
        <f>IF(AND(Tabel_RIE[[#This Row],[E12]]="",Tabel_RIE[[#This Row],[R12]]=""),"",IF(AND(OR(Tabel_RIE[[#This Row],[E12]]="",Tabel_RIE[[#This Row],[E12]]&lt;15),OR(Tabel_RIE[[#This Row],[R12]]="",Tabel_RIE[[#This Row],[R12]]&lt;70)),"n.v.t.",IF(OR(Tabel_RIE[[#This Row],[E12]]&gt;=15,Tabel_RIE[[#This Row],[R12]]&gt;=70),"√","fout")))</f>
        <v>n.v.t.</v>
      </c>
      <c r="T9" s="60" t="s">
        <v>99</v>
      </c>
      <c r="U9" s="151" t="s">
        <v>113</v>
      </c>
      <c r="V9" s="58"/>
      <c r="W9" s="61"/>
      <c r="X9" s="90" t="str">
        <f t="shared" si="0"/>
        <v>Bronaanpak:
Collectieve maatregelen:
Individuele maatregelen:
PBM's:</v>
      </c>
      <c r="Y9" s="58"/>
      <c r="Z9" s="58"/>
      <c r="AA9" s="59"/>
      <c r="AB9" s="85" t="str">
        <f>IF(Tabel_RIE[[#This Row],[E2]]&gt;0,VLOOKUP(Tabel_RIE[[#This Row],[E2]],Tabel_FK_E[],2,FALSE),"")</f>
        <v/>
      </c>
      <c r="AC9" s="59"/>
      <c r="AD9" s="87" t="str">
        <f>IF(Tabel_RIE[[#This Row],[B2]]&gt;0,VLOOKUP(Tabel_RIE[[#This Row],[B2]],Tabel_FK_B[],2,FALSE),"")</f>
        <v/>
      </c>
      <c r="AE9" s="59"/>
      <c r="AF9" s="87" t="str">
        <f>IF(Tabel_RIE[[#This Row],[W2]]&gt;0,VLOOKUP(Tabel_RIE[[#This Row],[W2]],Tabel_FK_W[],2,FALSE),"")</f>
        <v/>
      </c>
      <c r="AG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 s="87" t="str">
        <f>IF(OR(Tabel_RIE[[#This Row],[E3]]="",Tabel_RIE[[#This Row],[B3]]="",Tabel_RIE[[#This Row],[W3]]=""),"",Tabel_RIE[[#This Row],[E3]]*Tabel_RIE[[#This Row],[B3]]*Tabel_RIE[[#This Row],[W3]])</f>
        <v/>
      </c>
      <c r="AI9" s="58"/>
      <c r="AJ9" s="62"/>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54</v>
      </c>
    </row>
    <row r="10" spans="2:39" ht="68.400000000000006" x14ac:dyDescent="0.2">
      <c r="B10" s="118">
        <v>4</v>
      </c>
      <c r="C10" s="58" t="s">
        <v>88</v>
      </c>
      <c r="D10" s="58" t="s">
        <v>89</v>
      </c>
      <c r="E10" s="58" t="s">
        <v>114</v>
      </c>
      <c r="F10" s="58" t="s">
        <v>106</v>
      </c>
      <c r="G10" s="63" t="s">
        <v>115</v>
      </c>
      <c r="H10" s="63" t="s">
        <v>116</v>
      </c>
      <c r="I10" s="58" t="s">
        <v>117</v>
      </c>
      <c r="J10" s="63" t="s">
        <v>95</v>
      </c>
      <c r="K10" s="59" t="s">
        <v>118</v>
      </c>
      <c r="L10" s="85">
        <f>IF(Tabel_RIE[[#This Row],[E1]]&gt;0,VLOOKUP(Tabel_RIE[[#This Row],[E1]],Tabel_FK_E[],2,FALSE),"")</f>
        <v>1</v>
      </c>
      <c r="M10" s="59" t="s">
        <v>97</v>
      </c>
      <c r="N10" s="87">
        <f>IF(Tabel_RIE[[#This Row],[B1]]&gt;0,VLOOKUP(Tabel_RIE[[#This Row],[B1]],Tabel_FK_B[],2,FALSE),"")</f>
        <v>6</v>
      </c>
      <c r="O10" s="59" t="s">
        <v>112</v>
      </c>
      <c r="P10" s="87">
        <f>IF(Tabel_RIE[[#This Row],[W1]]&gt;0,VLOOKUP(Tabel_RIE[[#This Row],[W1]],Tabel_FK_W[],2,FALSE),"")</f>
        <v>3</v>
      </c>
      <c r="Q10"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87">
        <f>IF(OR(Tabel_RIE[[#This Row],[E12]]="",Tabel_RIE[[#This Row],[B12]]="",Tabel_RIE[[#This Row],[W12]]=""),"",Tabel_RIE[[#This Row],[E12]]*Tabel_RIE[[#This Row],[B12]]*Tabel_RIE[[#This Row],[W12]])</f>
        <v>18</v>
      </c>
      <c r="S10" s="69" t="str">
        <f>IF(AND(Tabel_RIE[[#This Row],[E12]]="",Tabel_RIE[[#This Row],[R12]]=""),"",IF(AND(OR(Tabel_RIE[[#This Row],[E12]]="",Tabel_RIE[[#This Row],[E12]]&lt;15),OR(Tabel_RIE[[#This Row],[R12]]="",Tabel_RIE[[#This Row],[R12]]&lt;70)),"n.v.t.",IF(OR(Tabel_RIE[[#This Row],[E12]]&gt;=15,Tabel_RIE[[#This Row],[R12]]&gt;=70),"√","fout")))</f>
        <v>n.v.t.</v>
      </c>
      <c r="T10" s="60" t="s">
        <v>99</v>
      </c>
      <c r="U10" s="151" t="s">
        <v>119</v>
      </c>
      <c r="V10" s="58"/>
      <c r="W10" s="61"/>
      <c r="X10" s="90" t="str">
        <f t="shared" si="0"/>
        <v>Bronaanpak:
Collectieve maatregelen:
Individuele maatregelen:
PBM's:</v>
      </c>
      <c r="Y10" s="58"/>
      <c r="Z10" s="58"/>
      <c r="AA10" s="59"/>
      <c r="AB10" s="85" t="str">
        <f>IF(Tabel_RIE[[#This Row],[E2]]&gt;0,VLOOKUP(Tabel_RIE[[#This Row],[E2]],Tabel_FK_E[],2,FALSE),"")</f>
        <v/>
      </c>
      <c r="AC10" s="59"/>
      <c r="AD10" s="87" t="str">
        <f>IF(Tabel_RIE[[#This Row],[B2]]&gt;0,VLOOKUP(Tabel_RIE[[#This Row],[B2]],Tabel_FK_B[],2,FALSE),"")</f>
        <v/>
      </c>
      <c r="AE10" s="59"/>
      <c r="AF10" s="87" t="str">
        <f>IF(Tabel_RIE[[#This Row],[W2]]&gt;0,VLOOKUP(Tabel_RIE[[#This Row],[W2]],Tabel_FK_W[],2,FALSE),"")</f>
        <v/>
      </c>
      <c r="AG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 s="87" t="str">
        <f>IF(OR(Tabel_RIE[[#This Row],[E3]]="",Tabel_RIE[[#This Row],[B3]]="",Tabel_RIE[[#This Row],[W3]]=""),"",Tabel_RIE[[#This Row],[E3]]*Tabel_RIE[[#This Row],[B3]]*Tabel_RIE[[#This Row],[W3]])</f>
        <v/>
      </c>
      <c r="AI10" s="58"/>
      <c r="AJ10" s="62"/>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18</v>
      </c>
    </row>
    <row r="11" spans="2:39" ht="68.400000000000006" x14ac:dyDescent="0.2">
      <c r="B11" s="118">
        <v>5</v>
      </c>
      <c r="C11" s="58" t="s">
        <v>88</v>
      </c>
      <c r="D11" s="119" t="s">
        <v>89</v>
      </c>
      <c r="E11" s="119" t="s">
        <v>120</v>
      </c>
      <c r="F11" s="119" t="s">
        <v>106</v>
      </c>
      <c r="G11" s="58" t="s">
        <v>121</v>
      </c>
      <c r="H11" s="58" t="s">
        <v>122</v>
      </c>
      <c r="I11" s="119" t="s">
        <v>123</v>
      </c>
      <c r="J11" s="132" t="s">
        <v>124</v>
      </c>
      <c r="K11" s="59" t="s">
        <v>96</v>
      </c>
      <c r="L11" s="85">
        <f>IF(Tabel_RIE[[#This Row],[E1]]&gt;0,VLOOKUP(Tabel_RIE[[#This Row],[E1]],Tabel_FK_E[],2,FALSE),"")</f>
        <v>15</v>
      </c>
      <c r="M11" s="59" t="s">
        <v>103</v>
      </c>
      <c r="N11" s="87">
        <f>IF(Tabel_RIE[[#This Row],[B1]]&gt;0,VLOOKUP(Tabel_RIE[[#This Row],[B1]],Tabel_FK_B[],2,FALSE),"")</f>
        <v>3</v>
      </c>
      <c r="O11" s="59" t="s">
        <v>98</v>
      </c>
      <c r="P11" s="87">
        <f>IF(Tabel_RIE[[#This Row],[W1]]&gt;0,VLOOKUP(Tabel_RIE[[#This Row],[W1]],Tabel_FK_W[],2,FALSE),"")</f>
        <v>6</v>
      </c>
      <c r="Q11"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87">
        <f>IF(OR(Tabel_RIE[[#This Row],[E12]]="",Tabel_RIE[[#This Row],[B12]]="",Tabel_RIE[[#This Row],[W12]]=""),"",Tabel_RIE[[#This Row],[E12]]*Tabel_RIE[[#This Row],[B12]]*Tabel_RIE[[#This Row],[W12]])</f>
        <v>270</v>
      </c>
      <c r="S11" s="69" t="str">
        <f>IF(AND(Tabel_RIE[[#This Row],[E12]]="",Tabel_RIE[[#This Row],[R12]]=""),"",IF(AND(OR(Tabel_RIE[[#This Row],[E12]]="",Tabel_RIE[[#This Row],[E12]]&lt;15),OR(Tabel_RIE[[#This Row],[R12]]="",Tabel_RIE[[#This Row],[R12]]&lt;70)),"n.v.t.",IF(OR(Tabel_RIE[[#This Row],[E12]]&gt;=15,Tabel_RIE[[#This Row],[R12]]&gt;=70),"√","fout")))</f>
        <v>√</v>
      </c>
      <c r="T11" s="60" t="s">
        <v>99</v>
      </c>
      <c r="U11" s="151" t="s">
        <v>125</v>
      </c>
      <c r="V11" s="58"/>
      <c r="W11" s="62"/>
      <c r="X11" s="90" t="str">
        <f t="shared" si="0"/>
        <v>Bronaanpak:
Collectieve maatregelen:
Individuele maatregelen:
PBM's:</v>
      </c>
      <c r="Y11" s="58"/>
      <c r="Z11" s="64"/>
      <c r="AA11" s="60"/>
      <c r="AB11" s="87" t="str">
        <f>IF(Tabel_RIE[[#This Row],[E2]]&gt;0,VLOOKUP(Tabel_RIE[[#This Row],[E2]],Tabel_FK_E[],2,FALSE),"")</f>
        <v/>
      </c>
      <c r="AC11" s="60"/>
      <c r="AD11" s="87" t="str">
        <f>IF(Tabel_RIE[[#This Row],[B2]]&gt;0,VLOOKUP(Tabel_RIE[[#This Row],[B2]],Tabel_FK_B[],2,FALSE),"")</f>
        <v/>
      </c>
      <c r="AE11" s="60"/>
      <c r="AF11" s="87" t="str">
        <f>IF(Tabel_RIE[[#This Row],[W2]]&gt;0,VLOOKUP(Tabel_RIE[[#This Row],[W2]],Tabel_FK_W[],2,FALSE),"")</f>
        <v/>
      </c>
      <c r="AG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 s="87"/>
      <c r="AI11" s="58"/>
      <c r="AJ11" s="62"/>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Ja</v>
      </c>
      <c r="AM11" s="9">
        <f>IF(Tabel_RIE[[#This Row],[R22]]&lt;&gt;"",Tabel_RIE[[#This Row],[R22]],Tabel_RIE[[#This Row],[R12]])</f>
        <v>270</v>
      </c>
    </row>
    <row r="12" spans="2:39" ht="45.6" x14ac:dyDescent="0.2">
      <c r="B12" s="118">
        <v>6</v>
      </c>
      <c r="C12" s="58" t="s">
        <v>88</v>
      </c>
      <c r="D12" s="119" t="s">
        <v>89</v>
      </c>
      <c r="E12" s="58" t="s">
        <v>126</v>
      </c>
      <c r="F12" s="119" t="s">
        <v>106</v>
      </c>
      <c r="G12" s="58" t="s">
        <v>127</v>
      </c>
      <c r="H12" s="58" t="s">
        <v>128</v>
      </c>
      <c r="I12" s="58" t="s">
        <v>129</v>
      </c>
      <c r="J12" s="119" t="s">
        <v>95</v>
      </c>
      <c r="K12" s="120" t="s">
        <v>111</v>
      </c>
      <c r="L12" s="121">
        <f>IF(Tabel_RIE[[#This Row],[E1]]&gt;0,VLOOKUP(Tabel_RIE[[#This Row],[E1]],Tabel_FK_E[],2,FALSE),"")</f>
        <v>3</v>
      </c>
      <c r="M12" s="120" t="s">
        <v>97</v>
      </c>
      <c r="N12" s="122">
        <f>IF(Tabel_RIE[[#This Row],[B1]]&gt;0,VLOOKUP(Tabel_RIE[[#This Row],[B1]],Tabel_FK_B[],2,FALSE),"")</f>
        <v>6</v>
      </c>
      <c r="O12" s="120" t="s">
        <v>112</v>
      </c>
      <c r="P12" s="122">
        <f>IF(Tabel_RIE[[#This Row],[W1]]&gt;0,VLOOKUP(Tabel_RIE[[#This Row],[W1]],Tabel_FK_W[],2,FALSE),"")</f>
        <v>3</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2" s="122">
        <f>IF(OR(Tabel_RIE[[#This Row],[E12]]="",Tabel_RIE[[#This Row],[B12]]="",Tabel_RIE[[#This Row],[W12]]=""),"",Tabel_RIE[[#This Row],[E12]]*Tabel_RIE[[#This Row],[B12]]*Tabel_RIE[[#This Row],[W12]])</f>
        <v>54</v>
      </c>
      <c r="S12" s="124" t="str">
        <f>IF(AND(Tabel_RIE[[#This Row],[E12]]="",Tabel_RIE[[#This Row],[R12]]=""),"",IF(AND(OR(Tabel_RIE[[#This Row],[E12]]="",Tabel_RIE[[#This Row],[E12]]&lt;15),OR(Tabel_RIE[[#This Row],[R12]]="",Tabel_RIE[[#This Row],[R12]]&lt;70)),"n.v.t.",IF(OR(Tabel_RIE[[#This Row],[E12]]&gt;=15,Tabel_RIE[[#This Row],[R12]]&gt;=70),"√","fout")))</f>
        <v>n.v.t.</v>
      </c>
      <c r="T12" s="125" t="s">
        <v>99</v>
      </c>
      <c r="U12" s="151" t="s">
        <v>130</v>
      </c>
      <c r="V12" s="126"/>
      <c r="W12" s="127"/>
      <c r="X12" s="128" t="str">
        <f t="shared" si="0"/>
        <v>Bronaanpak:
Collectieve maatregelen:
Individuele maatregelen:
PBM's:</v>
      </c>
      <c r="Y12" s="119"/>
      <c r="Z12" s="129"/>
      <c r="AA12" s="125"/>
      <c r="AB12" s="122" t="str">
        <f>IF(Tabel_RIE[[#This Row],[E2]]&gt;0,VLOOKUP(Tabel_RIE[[#This Row],[E2]],Tabel_FK_E[],2,FALSE),"")</f>
        <v/>
      </c>
      <c r="AC12" s="125"/>
      <c r="AD12" s="122" t="str">
        <f>IF(Tabel_RIE[[#This Row],[B2]]&gt;0,VLOOKUP(Tabel_RIE[[#This Row],[B2]],Tabel_FK_B[],2,FALSE),"")</f>
        <v/>
      </c>
      <c r="AE12" s="125"/>
      <c r="AF12" s="122" t="str">
        <f>IF(Tabel_RIE[[#This Row],[W2]]&gt;0,VLOOKUP(Tabel_RIE[[#This Row],[W2]],Tabel_FK_W[],2,FALSE),"")</f>
        <v/>
      </c>
      <c r="AG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 s="122"/>
      <c r="AI12" s="119"/>
      <c r="AJ12" s="127"/>
      <c r="AK1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30" t="str">
        <f>IF(AND(Tabel_RIE[[#This Row],[R12]]&gt;=70,Tabel_RIE[[#This Row],[R22]]&lt;70),"Ja","Nee")</f>
        <v>Nee</v>
      </c>
      <c r="AM12" s="130">
        <f>IF(Tabel_RIE[[#This Row],[R22]]&lt;&gt;"",Tabel_RIE[[#This Row],[R22]],Tabel_RIE[[#This Row],[R12]])</f>
        <v>54</v>
      </c>
    </row>
    <row r="13" spans="2:39" ht="45.6" x14ac:dyDescent="0.2">
      <c r="B13" s="118">
        <v>7</v>
      </c>
      <c r="C13" s="58" t="s">
        <v>88</v>
      </c>
      <c r="D13" s="119" t="s">
        <v>89</v>
      </c>
      <c r="E13" s="58" t="s">
        <v>114</v>
      </c>
      <c r="F13" s="119" t="s">
        <v>106</v>
      </c>
      <c r="G13" s="58" t="s">
        <v>131</v>
      </c>
      <c r="H13" s="58" t="s">
        <v>132</v>
      </c>
      <c r="I13" s="58" t="s">
        <v>133</v>
      </c>
      <c r="J13" s="119" t="s">
        <v>95</v>
      </c>
      <c r="K13" s="120" t="s">
        <v>111</v>
      </c>
      <c r="L13" s="121">
        <f>IF(Tabel_RIE[[#This Row],[E1]]&gt;0,VLOOKUP(Tabel_RIE[[#This Row],[E1]],Tabel_FK_E[],2,FALSE),"")</f>
        <v>3</v>
      </c>
      <c r="M13" s="120" t="s">
        <v>97</v>
      </c>
      <c r="N13" s="122">
        <f>IF(Tabel_RIE[[#This Row],[B1]]&gt;0,VLOOKUP(Tabel_RIE[[#This Row],[B1]],Tabel_FK_B[],2,FALSE),"")</f>
        <v>6</v>
      </c>
      <c r="O13" s="120" t="s">
        <v>98</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108</v>
      </c>
      <c r="S13" s="124" t="str">
        <f>IF(AND(Tabel_RIE[[#This Row],[E12]]="",Tabel_RIE[[#This Row],[R12]]=""),"",IF(AND(OR(Tabel_RIE[[#This Row],[E12]]="",Tabel_RIE[[#This Row],[E12]]&lt;15),OR(Tabel_RIE[[#This Row],[R12]]="",Tabel_RIE[[#This Row],[R12]]&lt;70)),"n.v.t.",IF(OR(Tabel_RIE[[#This Row],[E12]]&gt;=15,Tabel_RIE[[#This Row],[R12]]&gt;=70),"√","fout")))</f>
        <v>√</v>
      </c>
      <c r="T13" s="125" t="s">
        <v>99</v>
      </c>
      <c r="U13" s="151" t="s">
        <v>134</v>
      </c>
      <c r="V13" s="126"/>
      <c r="W13" s="127"/>
      <c r="X13" s="128" t="str">
        <f t="shared" si="0"/>
        <v>Bronaanpak:
Collectieve maatregelen:
Individuele maatregelen:
PBM's:</v>
      </c>
      <c r="Y13" s="119"/>
      <c r="Z13" s="129"/>
      <c r="AA13" s="125"/>
      <c r="AB13" s="122" t="str">
        <f>IF(Tabel_RIE[[#This Row],[E2]]&gt;0,VLOOKUP(Tabel_RIE[[#This Row],[E2]],Tabel_FK_E[],2,FALSE),"")</f>
        <v/>
      </c>
      <c r="AC13" s="125"/>
      <c r="AD13" s="122" t="str">
        <f>IF(Tabel_RIE[[#This Row],[B2]]&gt;0,VLOOKUP(Tabel_RIE[[#This Row],[B2]],Tabel_FK_B[],2,FALSE),"")</f>
        <v/>
      </c>
      <c r="AE13" s="125"/>
      <c r="AF13" s="122" t="str">
        <f>IF(Tabel_RIE[[#This Row],[W2]]&gt;0,VLOOKUP(Tabel_RIE[[#This Row],[W2]],Tabel_FK_W[],2,FALSE),"")</f>
        <v/>
      </c>
      <c r="AG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 s="122"/>
      <c r="AI13" s="119"/>
      <c r="AJ13" s="127"/>
      <c r="AK1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30" t="str">
        <f>IF(AND(Tabel_RIE[[#This Row],[R12]]&gt;=70,Tabel_RIE[[#This Row],[R22]]&lt;70),"Ja","Nee")</f>
        <v>Ja</v>
      </c>
      <c r="AM13" s="130">
        <f>IF(Tabel_RIE[[#This Row],[R22]]&lt;&gt;"",Tabel_RIE[[#This Row],[R22]],Tabel_RIE[[#This Row],[R12]])</f>
        <v>108</v>
      </c>
    </row>
    <row r="14" spans="2:39" ht="147.75" customHeight="1" x14ac:dyDescent="0.2">
      <c r="B14" s="118">
        <v>8</v>
      </c>
      <c r="C14" s="58" t="s">
        <v>88</v>
      </c>
      <c r="D14" s="119" t="s">
        <v>89</v>
      </c>
      <c r="E14" s="119" t="s">
        <v>135</v>
      </c>
      <c r="F14" s="119" t="s">
        <v>136</v>
      </c>
      <c r="G14" s="58" t="s">
        <v>137</v>
      </c>
      <c r="H14" s="119" t="s">
        <v>138</v>
      </c>
      <c r="I14" s="58" t="s">
        <v>139</v>
      </c>
      <c r="J14" s="58" t="s">
        <v>140</v>
      </c>
      <c r="K14" s="120" t="s">
        <v>111</v>
      </c>
      <c r="L14" s="121">
        <f>IF(Tabel_RIE[[#This Row],[E1]]&gt;0,VLOOKUP(Tabel_RIE[[#This Row],[E1]],Tabel_FK_E[],2,FALSE),"")</f>
        <v>3</v>
      </c>
      <c r="M14" s="120" t="s">
        <v>97</v>
      </c>
      <c r="N14" s="122">
        <f>IF(Tabel_RIE[[#This Row],[B1]]&gt;0,VLOOKUP(Tabel_RIE[[#This Row],[B1]],Tabel_FK_B[],2,FALSE),"")</f>
        <v>6</v>
      </c>
      <c r="O14" s="120" t="s">
        <v>98</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108</v>
      </c>
      <c r="S14" s="124" t="str">
        <f>IF(AND(Tabel_RIE[[#This Row],[E12]]="",Tabel_RIE[[#This Row],[R12]]=""),"",IF(AND(OR(Tabel_RIE[[#This Row],[E12]]="",Tabel_RIE[[#This Row],[E12]]&lt;15),OR(Tabel_RIE[[#This Row],[R12]]="",Tabel_RIE[[#This Row],[R12]]&lt;70)),"n.v.t.",IF(OR(Tabel_RIE[[#This Row],[E12]]&gt;=15,Tabel_RIE[[#This Row],[R12]]&gt;=70),"√","fout")))</f>
        <v>√</v>
      </c>
      <c r="T14" s="125" t="s">
        <v>99</v>
      </c>
      <c r="U14" s="151" t="s">
        <v>141</v>
      </c>
      <c r="V14" s="126"/>
      <c r="W14" s="127"/>
      <c r="X14" s="128" t="str">
        <f t="shared" si="0"/>
        <v>Bronaanpak:
Collectieve maatregelen:
Individuele maatregelen:
PBM's:</v>
      </c>
      <c r="Y14" s="119"/>
      <c r="Z14" s="129"/>
      <c r="AA14" s="125"/>
      <c r="AB14" s="122" t="str">
        <f>IF(Tabel_RIE[[#This Row],[E2]]&gt;0,VLOOKUP(Tabel_RIE[[#This Row],[E2]],Tabel_FK_E[],2,FALSE),"")</f>
        <v/>
      </c>
      <c r="AC14" s="125"/>
      <c r="AD14" s="122" t="str">
        <f>IF(Tabel_RIE[[#This Row],[B2]]&gt;0,VLOOKUP(Tabel_RIE[[#This Row],[B2]],Tabel_FK_B[],2,FALSE),"")</f>
        <v/>
      </c>
      <c r="AE14" s="125"/>
      <c r="AF14" s="122" t="str">
        <f>IF(Tabel_RIE[[#This Row],[W2]]&gt;0,VLOOKUP(Tabel_RIE[[#This Row],[W2]],Tabel_FK_W[],2,FALSE),"")</f>
        <v/>
      </c>
      <c r="AG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 s="122"/>
      <c r="AI14" s="119"/>
      <c r="AJ14" s="127"/>
      <c r="AK1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30" t="str">
        <f>IF(AND(Tabel_RIE[[#This Row],[R12]]&gt;=70,Tabel_RIE[[#This Row],[R22]]&lt;70),"Ja","Nee")</f>
        <v>Ja</v>
      </c>
      <c r="AM14" s="130">
        <f>IF(Tabel_RIE[[#This Row],[R22]]&lt;&gt;"",Tabel_RIE[[#This Row],[R22]],Tabel_RIE[[#This Row],[R12]])</f>
        <v>108</v>
      </c>
    </row>
    <row r="15" spans="2:39" ht="57" x14ac:dyDescent="0.2">
      <c r="B15" s="118">
        <v>9</v>
      </c>
      <c r="C15" s="58" t="s">
        <v>88</v>
      </c>
      <c r="D15" s="119" t="s">
        <v>89</v>
      </c>
      <c r="E15" s="119" t="s">
        <v>142</v>
      </c>
      <c r="F15" s="119" t="s">
        <v>143</v>
      </c>
      <c r="G15" s="58" t="s">
        <v>144</v>
      </c>
      <c r="H15" s="119" t="s">
        <v>145</v>
      </c>
      <c r="I15" s="58" t="s">
        <v>146</v>
      </c>
      <c r="J15" s="119" t="s">
        <v>95</v>
      </c>
      <c r="K15" s="120" t="s">
        <v>111</v>
      </c>
      <c r="L15" s="121">
        <f>IF(Tabel_RIE[[#This Row],[E1]]&gt;0,VLOOKUP(Tabel_RIE[[#This Row],[E1]],Tabel_FK_E[],2,FALSE),"")</f>
        <v>3</v>
      </c>
      <c r="M15" s="120" t="s">
        <v>147</v>
      </c>
      <c r="N15" s="122">
        <f>IF(Tabel_RIE[[#This Row],[B1]]&gt;0,VLOOKUP(Tabel_RIE[[#This Row],[B1]],Tabel_FK_B[],2,FALSE),"")</f>
        <v>10</v>
      </c>
      <c r="O15" s="120" t="s">
        <v>148</v>
      </c>
      <c r="P15" s="122">
        <f>IF(Tabel_RIE[[#This Row],[W1]]&gt;0,VLOOKUP(Tabel_RIE[[#This Row],[W1]],Tabel_FK_W[],2,FALSE),"")</f>
        <v>1</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5" s="122">
        <f>IF(OR(Tabel_RIE[[#This Row],[E12]]="",Tabel_RIE[[#This Row],[B12]]="",Tabel_RIE[[#This Row],[W12]]=""),"",Tabel_RIE[[#This Row],[E12]]*Tabel_RIE[[#This Row],[B12]]*Tabel_RIE[[#This Row],[W12]])</f>
        <v>30</v>
      </c>
      <c r="S15" s="124" t="str">
        <f>IF(AND(Tabel_RIE[[#This Row],[E12]]="",Tabel_RIE[[#This Row],[R12]]=""),"",IF(AND(OR(Tabel_RIE[[#This Row],[E12]]="",Tabel_RIE[[#This Row],[E12]]&lt;15),OR(Tabel_RIE[[#This Row],[R12]]="",Tabel_RIE[[#This Row],[R12]]&lt;70)),"n.v.t.",IF(OR(Tabel_RIE[[#This Row],[E12]]&gt;=15,Tabel_RIE[[#This Row],[R12]]&gt;=70),"√","fout")))</f>
        <v>n.v.t.</v>
      </c>
      <c r="T15" s="125" t="s">
        <v>99</v>
      </c>
      <c r="U15" s="151" t="s">
        <v>149</v>
      </c>
      <c r="V15" s="126"/>
      <c r="W15" s="127"/>
      <c r="X15" s="128" t="str">
        <f t="shared" si="0"/>
        <v>Bronaanpak:
Collectieve maatregelen:
Individuele maatregelen:
PBM's:</v>
      </c>
      <c r="Y15" s="119"/>
      <c r="Z15" s="129"/>
      <c r="AA15" s="125"/>
      <c r="AB15" s="122" t="str">
        <f>IF(Tabel_RIE[[#This Row],[E2]]&gt;0,VLOOKUP(Tabel_RIE[[#This Row],[E2]],Tabel_FK_E[],2,FALSE),"")</f>
        <v/>
      </c>
      <c r="AC15" s="125"/>
      <c r="AD15" s="122" t="str">
        <f>IF(Tabel_RIE[[#This Row],[B2]]&gt;0,VLOOKUP(Tabel_RIE[[#This Row],[B2]],Tabel_FK_B[],2,FALSE),"")</f>
        <v/>
      </c>
      <c r="AE15" s="125"/>
      <c r="AF15" s="122" t="str">
        <f>IF(Tabel_RIE[[#This Row],[W2]]&gt;0,VLOOKUP(Tabel_RIE[[#This Row],[W2]],Tabel_FK_W[],2,FALSE),"")</f>
        <v/>
      </c>
      <c r="AG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 s="122"/>
      <c r="AI15" s="119"/>
      <c r="AJ15" s="127"/>
      <c r="AK1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30" t="str">
        <f>IF(AND(Tabel_RIE[[#This Row],[R12]]&gt;=70,Tabel_RIE[[#This Row],[R22]]&lt;70),"Ja","Nee")</f>
        <v>Nee</v>
      </c>
      <c r="AM15" s="130">
        <f>IF(Tabel_RIE[[#This Row],[R22]]&lt;&gt;"",Tabel_RIE[[#This Row],[R22]],Tabel_RIE[[#This Row],[R12]])</f>
        <v>30</v>
      </c>
    </row>
    <row r="16" spans="2:39" ht="51" customHeight="1" x14ac:dyDescent="0.2">
      <c r="B16" s="118">
        <v>10</v>
      </c>
      <c r="C16" s="58" t="s">
        <v>88</v>
      </c>
      <c r="D16" s="119" t="s">
        <v>89</v>
      </c>
      <c r="E16" s="119" t="s">
        <v>114</v>
      </c>
      <c r="F16" s="119" t="s">
        <v>143</v>
      </c>
      <c r="G16" s="58" t="s">
        <v>150</v>
      </c>
      <c r="H16" s="58" t="s">
        <v>151</v>
      </c>
      <c r="I16" s="58" t="s">
        <v>152</v>
      </c>
      <c r="J16" s="58" t="s">
        <v>153</v>
      </c>
      <c r="K16" s="120" t="s">
        <v>96</v>
      </c>
      <c r="L16" s="121">
        <f>IF(Tabel_RIE[[#This Row],[E1]]&gt;0,VLOOKUP(Tabel_RIE[[#This Row],[E1]],Tabel_FK_E[],2,FALSE),"")</f>
        <v>15</v>
      </c>
      <c r="M16" s="120" t="s">
        <v>103</v>
      </c>
      <c r="N16" s="122">
        <f>IF(Tabel_RIE[[#This Row],[B1]]&gt;0,VLOOKUP(Tabel_RIE[[#This Row],[B1]],Tabel_FK_B[],2,FALSE),"")</f>
        <v>3</v>
      </c>
      <c r="O16" s="120" t="s">
        <v>112</v>
      </c>
      <c r="P16" s="122">
        <f>IF(Tabel_RIE[[#This Row],[W1]]&gt;0,VLOOKUP(Tabel_RIE[[#This Row],[W1]],Tabel_FK_W[],2,FALSE),"")</f>
        <v>3</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135</v>
      </c>
      <c r="S16" s="124" t="str">
        <f>IF(AND(Tabel_RIE[[#This Row],[E12]]="",Tabel_RIE[[#This Row],[R12]]=""),"",IF(AND(OR(Tabel_RIE[[#This Row],[E12]]="",Tabel_RIE[[#This Row],[E12]]&lt;15),OR(Tabel_RIE[[#This Row],[R12]]="",Tabel_RIE[[#This Row],[R12]]&lt;70)),"n.v.t.",IF(OR(Tabel_RIE[[#This Row],[E12]]&gt;=15,Tabel_RIE[[#This Row],[R12]]&gt;=70),"√","fout")))</f>
        <v>√</v>
      </c>
      <c r="T16" s="125" t="s">
        <v>99</v>
      </c>
      <c r="U16" s="151" t="s">
        <v>154</v>
      </c>
      <c r="V16" s="126"/>
      <c r="W16" s="127"/>
      <c r="X16" s="128" t="str">
        <f t="shared" si="0"/>
        <v>Bronaanpak:
Collectieve maatregelen:
Individuele maatregelen:
PBM's:</v>
      </c>
      <c r="Y16" s="119"/>
      <c r="Z16" s="129"/>
      <c r="AA16" s="125"/>
      <c r="AB16" s="122" t="str">
        <f>IF(Tabel_RIE[[#This Row],[E2]]&gt;0,VLOOKUP(Tabel_RIE[[#This Row],[E2]],Tabel_FK_E[],2,FALSE),"")</f>
        <v/>
      </c>
      <c r="AC16" s="125"/>
      <c r="AD16" s="122" t="str">
        <f>IF(Tabel_RIE[[#This Row],[B2]]&gt;0,VLOOKUP(Tabel_RIE[[#This Row],[B2]],Tabel_FK_B[],2,FALSE),"")</f>
        <v/>
      </c>
      <c r="AE16" s="125"/>
      <c r="AF16" s="122" t="str">
        <f>IF(Tabel_RIE[[#This Row],[W2]]&gt;0,VLOOKUP(Tabel_RIE[[#This Row],[W2]],Tabel_FK_W[],2,FALSE),"")</f>
        <v/>
      </c>
      <c r="AG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 s="122"/>
      <c r="AI16" s="119"/>
      <c r="AJ16" s="127"/>
      <c r="AK1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30" t="str">
        <f>IF(AND(Tabel_RIE[[#This Row],[R12]]&gt;=70,Tabel_RIE[[#This Row],[R22]]&lt;70),"Ja","Nee")</f>
        <v>Ja</v>
      </c>
      <c r="AM16" s="130">
        <f>IF(Tabel_RIE[[#This Row],[R22]]&lt;&gt;"",Tabel_RIE[[#This Row],[R22]],Tabel_RIE[[#This Row],[R12]])</f>
        <v>135</v>
      </c>
    </row>
    <row r="17" spans="1:39" ht="40.799999999999997" x14ac:dyDescent="0.2">
      <c r="B17" s="118">
        <v>11</v>
      </c>
      <c r="C17" s="58" t="s">
        <v>88</v>
      </c>
      <c r="D17" s="119" t="s">
        <v>89</v>
      </c>
      <c r="E17" s="119" t="s">
        <v>155</v>
      </c>
      <c r="F17" s="119" t="s">
        <v>143</v>
      </c>
      <c r="G17" s="58" t="s">
        <v>156</v>
      </c>
      <c r="H17" s="58" t="s">
        <v>157</v>
      </c>
      <c r="I17" s="119" t="s">
        <v>158</v>
      </c>
      <c r="J17" s="119" t="s">
        <v>95</v>
      </c>
      <c r="K17" s="120" t="s">
        <v>111</v>
      </c>
      <c r="L17" s="121">
        <f>IF(Tabel_RIE[[#This Row],[E1]]&gt;0,VLOOKUP(Tabel_RIE[[#This Row],[E1]],Tabel_FK_E[],2,FALSE),"")</f>
        <v>3</v>
      </c>
      <c r="M17" s="120" t="s">
        <v>103</v>
      </c>
      <c r="N17" s="122">
        <f>IF(Tabel_RIE[[#This Row],[B1]]&gt;0,VLOOKUP(Tabel_RIE[[#This Row],[B1]],Tabel_FK_B[],2,FALSE),"")</f>
        <v>3</v>
      </c>
      <c r="O17" s="120" t="s">
        <v>112</v>
      </c>
      <c r="P17" s="122">
        <f>IF(Tabel_RIE[[#This Row],[W1]]&gt;0,VLOOKUP(Tabel_RIE[[#This Row],[W1]],Tabel_FK_W[],2,FALSE),"")</f>
        <v>3</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7" s="122">
        <f>IF(OR(Tabel_RIE[[#This Row],[E12]]="",Tabel_RIE[[#This Row],[B12]]="",Tabel_RIE[[#This Row],[W12]]=""),"",Tabel_RIE[[#This Row],[E12]]*Tabel_RIE[[#This Row],[B12]]*Tabel_RIE[[#This Row],[W12]])</f>
        <v>27</v>
      </c>
      <c r="S17" s="124" t="str">
        <f>IF(AND(Tabel_RIE[[#This Row],[E12]]="",Tabel_RIE[[#This Row],[R12]]=""),"",IF(AND(OR(Tabel_RIE[[#This Row],[E12]]="",Tabel_RIE[[#This Row],[E12]]&lt;15),OR(Tabel_RIE[[#This Row],[R12]]="",Tabel_RIE[[#This Row],[R12]]&lt;70)),"n.v.t.",IF(OR(Tabel_RIE[[#This Row],[E12]]&gt;=15,Tabel_RIE[[#This Row],[R12]]&gt;=70),"√","fout")))</f>
        <v>n.v.t.</v>
      </c>
      <c r="T17" s="125" t="s">
        <v>99</v>
      </c>
      <c r="U17" s="151" t="s">
        <v>159</v>
      </c>
      <c r="V17" s="126"/>
      <c r="W17" s="127"/>
      <c r="X17" s="128" t="str">
        <f t="shared" si="0"/>
        <v>Bronaanpak:
Collectieve maatregelen:
Individuele maatregelen:
PBM's:</v>
      </c>
      <c r="Y17" s="119"/>
      <c r="Z17" s="129"/>
      <c r="AA17" s="125"/>
      <c r="AB17" s="122" t="str">
        <f>IF(Tabel_RIE[[#This Row],[E2]]&gt;0,VLOOKUP(Tabel_RIE[[#This Row],[E2]],Tabel_FK_E[],2,FALSE),"")</f>
        <v/>
      </c>
      <c r="AC17" s="125"/>
      <c r="AD17" s="122" t="str">
        <f>IF(Tabel_RIE[[#This Row],[B2]]&gt;0,VLOOKUP(Tabel_RIE[[#This Row],[B2]],Tabel_FK_B[],2,FALSE),"")</f>
        <v/>
      </c>
      <c r="AE17" s="125"/>
      <c r="AF17" s="122" t="str">
        <f>IF(Tabel_RIE[[#This Row],[W2]]&gt;0,VLOOKUP(Tabel_RIE[[#This Row],[W2]],Tabel_FK_W[],2,FALSE),"")</f>
        <v/>
      </c>
      <c r="AG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 s="122"/>
      <c r="AI17" s="119"/>
      <c r="AJ17" s="127"/>
      <c r="AK1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30" t="str">
        <f>IF(AND(Tabel_RIE[[#This Row],[R12]]&gt;=70,Tabel_RIE[[#This Row],[R22]]&lt;70),"Ja","Nee")</f>
        <v>Nee</v>
      </c>
      <c r="AM17" s="130">
        <f>IF(Tabel_RIE[[#This Row],[R22]]&lt;&gt;"",Tabel_RIE[[#This Row],[R22]],Tabel_RIE[[#This Row],[R12]])</f>
        <v>27</v>
      </c>
    </row>
    <row r="18" spans="1:39" ht="91.2" x14ac:dyDescent="0.2">
      <c r="B18" s="118">
        <v>12</v>
      </c>
      <c r="C18" s="58" t="s">
        <v>88</v>
      </c>
      <c r="D18" s="119" t="s">
        <v>89</v>
      </c>
      <c r="E18" s="58" t="s">
        <v>160</v>
      </c>
      <c r="F18" s="119" t="s">
        <v>106</v>
      </c>
      <c r="G18" s="58" t="s">
        <v>107</v>
      </c>
      <c r="H18" s="58" t="s">
        <v>161</v>
      </c>
      <c r="I18" s="119" t="s">
        <v>162</v>
      </c>
      <c r="J18" s="58" t="s">
        <v>163</v>
      </c>
      <c r="K18" s="120" t="s">
        <v>96</v>
      </c>
      <c r="L18" s="121">
        <f>IF(Tabel_RIE[[#This Row],[E1]]&gt;0,VLOOKUP(Tabel_RIE[[#This Row],[E1]],Tabel_FK_E[],2,FALSE),"")</f>
        <v>15</v>
      </c>
      <c r="M18" s="120" t="s">
        <v>97</v>
      </c>
      <c r="N18" s="122">
        <f>IF(Tabel_RIE[[#This Row],[B1]]&gt;0,VLOOKUP(Tabel_RIE[[#This Row],[B1]],Tabel_FK_B[],2,FALSE),"")</f>
        <v>6</v>
      </c>
      <c r="O18" s="120" t="s">
        <v>164</v>
      </c>
      <c r="P18" s="122">
        <f>IF(Tabel_RIE[[#This Row],[W1]]&gt;0,VLOOKUP(Tabel_RIE[[#This Row],[W1]],Tabel_FK_W[],2,FALSE),"")</f>
        <v>0.5</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45</v>
      </c>
      <c r="S18" s="124" t="str">
        <f>IF(AND(Tabel_RIE[[#This Row],[E12]]="",Tabel_RIE[[#This Row],[R12]]=""),"",IF(AND(OR(Tabel_RIE[[#This Row],[E12]]="",Tabel_RIE[[#This Row],[E12]]&lt;15),OR(Tabel_RIE[[#This Row],[R12]]="",Tabel_RIE[[#This Row],[R12]]&lt;70)),"n.v.t.",IF(OR(Tabel_RIE[[#This Row],[E12]]&gt;=15,Tabel_RIE[[#This Row],[R12]]&gt;=70),"√","fout")))</f>
        <v>√</v>
      </c>
      <c r="T18" s="125" t="s">
        <v>99</v>
      </c>
      <c r="U18" s="151" t="s">
        <v>165</v>
      </c>
      <c r="V18" s="126"/>
      <c r="W18" s="127"/>
      <c r="X18" s="128" t="str">
        <f t="shared" si="0"/>
        <v>Bronaanpak:
Collectieve maatregelen:
Individuele maatregelen:
PBM's:</v>
      </c>
      <c r="Y18" s="119"/>
      <c r="Z18" s="129"/>
      <c r="AA18" s="125"/>
      <c r="AB18" s="122" t="str">
        <f>IF(Tabel_RIE[[#This Row],[E2]]&gt;0,VLOOKUP(Tabel_RIE[[#This Row],[E2]],Tabel_FK_E[],2,FALSE),"")</f>
        <v/>
      </c>
      <c r="AC18" s="125"/>
      <c r="AD18" s="122" t="str">
        <f>IF(Tabel_RIE[[#This Row],[B2]]&gt;0,VLOOKUP(Tabel_RIE[[#This Row],[B2]],Tabel_FK_B[],2,FALSE),"")</f>
        <v/>
      </c>
      <c r="AE18" s="125"/>
      <c r="AF18" s="122" t="str">
        <f>IF(Tabel_RIE[[#This Row],[W2]]&gt;0,VLOOKUP(Tabel_RIE[[#This Row],[W2]],Tabel_FK_W[],2,FALSE),"")</f>
        <v/>
      </c>
      <c r="AG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 s="122"/>
      <c r="AI18" s="119"/>
      <c r="AJ18" s="127"/>
      <c r="AK1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30" t="str">
        <f>IF(AND(Tabel_RIE[[#This Row],[R12]]&gt;=70,Tabel_RIE[[#This Row],[R22]]&lt;70),"Ja","Nee")</f>
        <v>Nee</v>
      </c>
      <c r="AM18" s="130">
        <f>IF(Tabel_RIE[[#This Row],[R22]]&lt;&gt;"",Tabel_RIE[[#This Row],[R22]],Tabel_RIE[[#This Row],[R12]])</f>
        <v>45</v>
      </c>
    </row>
    <row r="19" spans="1:39" ht="136.80000000000001" x14ac:dyDescent="0.2">
      <c r="B19" s="118">
        <v>13</v>
      </c>
      <c r="C19" s="58" t="s">
        <v>88</v>
      </c>
      <c r="D19" s="119" t="s">
        <v>89</v>
      </c>
      <c r="E19" s="58" t="s">
        <v>166</v>
      </c>
      <c r="F19" s="58" t="s">
        <v>91</v>
      </c>
      <c r="G19" s="58" t="s">
        <v>167</v>
      </c>
      <c r="H19" s="58" t="s">
        <v>168</v>
      </c>
      <c r="I19" s="58" t="s">
        <v>169</v>
      </c>
      <c r="J19" s="58" t="s">
        <v>170</v>
      </c>
      <c r="K19" s="120" t="s">
        <v>96</v>
      </c>
      <c r="L19" s="121">
        <f>IF(Tabel_RIE[[#This Row],[E1]]&gt;0,VLOOKUP(Tabel_RIE[[#This Row],[E1]],Tabel_FK_E[],2,FALSE),"")</f>
        <v>15</v>
      </c>
      <c r="M19" s="120" t="s">
        <v>97</v>
      </c>
      <c r="N19" s="122">
        <f>IF(Tabel_RIE[[#This Row],[B1]]&gt;0,VLOOKUP(Tabel_RIE[[#This Row],[B1]],Tabel_FK_B[],2,FALSE),"")</f>
        <v>6</v>
      </c>
      <c r="O19" s="120" t="s">
        <v>112</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9" s="122">
        <f>IF(OR(Tabel_RIE[[#This Row],[E12]]="",Tabel_RIE[[#This Row],[B12]]="",Tabel_RIE[[#This Row],[W12]]=""),"",Tabel_RIE[[#This Row],[E12]]*Tabel_RIE[[#This Row],[B12]]*Tabel_RIE[[#This Row],[W12]])</f>
        <v>270</v>
      </c>
      <c r="S19" s="124" t="str">
        <f>IF(AND(Tabel_RIE[[#This Row],[E12]]="",Tabel_RIE[[#This Row],[R12]]=""),"",IF(AND(OR(Tabel_RIE[[#This Row],[E12]]="",Tabel_RIE[[#This Row],[E12]]&lt;15),OR(Tabel_RIE[[#This Row],[R12]]="",Tabel_RIE[[#This Row],[R12]]&lt;70)),"n.v.t.",IF(OR(Tabel_RIE[[#This Row],[E12]]&gt;=15,Tabel_RIE[[#This Row],[R12]]&gt;=70),"√","fout")))</f>
        <v>√</v>
      </c>
      <c r="T19" s="125" t="s">
        <v>99</v>
      </c>
      <c r="U19" s="151" t="s">
        <v>171</v>
      </c>
      <c r="V19" s="126"/>
      <c r="W19" s="127"/>
      <c r="X19" s="128" t="str">
        <f t="shared" si="0"/>
        <v>Bronaanpak:
Collectieve maatregelen:
Individuele maatregelen:
PBM's:</v>
      </c>
      <c r="Y19" s="119"/>
      <c r="Z19" s="129"/>
      <c r="AA19" s="125"/>
      <c r="AB19" s="122" t="str">
        <f>IF(Tabel_RIE[[#This Row],[E2]]&gt;0,VLOOKUP(Tabel_RIE[[#This Row],[E2]],Tabel_FK_E[],2,FALSE),"")</f>
        <v/>
      </c>
      <c r="AC19" s="125"/>
      <c r="AD19" s="122" t="str">
        <f>IF(Tabel_RIE[[#This Row],[B2]]&gt;0,VLOOKUP(Tabel_RIE[[#This Row],[B2]],Tabel_FK_B[],2,FALSE),"")</f>
        <v/>
      </c>
      <c r="AE19" s="125"/>
      <c r="AF19" s="122" t="str">
        <f>IF(Tabel_RIE[[#This Row],[W2]]&gt;0,VLOOKUP(Tabel_RIE[[#This Row],[W2]],Tabel_FK_W[],2,FALSE),"")</f>
        <v/>
      </c>
      <c r="AG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 s="122"/>
      <c r="AI19" s="119"/>
      <c r="AJ19" s="127"/>
      <c r="AK1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30" t="str">
        <f>IF(AND(Tabel_RIE[[#This Row],[R12]]&gt;=70,Tabel_RIE[[#This Row],[R22]]&lt;70),"Ja","Nee")</f>
        <v>Ja</v>
      </c>
      <c r="AM19" s="130">
        <f>IF(Tabel_RIE[[#This Row],[R22]]&lt;&gt;"",Tabel_RIE[[#This Row],[R22]],Tabel_RIE[[#This Row],[R12]])</f>
        <v>270</v>
      </c>
    </row>
    <row r="20" spans="1:39" ht="62.4" customHeight="1" x14ac:dyDescent="0.2">
      <c r="B20" s="118">
        <v>14</v>
      </c>
      <c r="C20" s="58" t="s">
        <v>88</v>
      </c>
      <c r="D20" s="119" t="s">
        <v>89</v>
      </c>
      <c r="E20" s="58" t="s">
        <v>172</v>
      </c>
      <c r="F20" s="58" t="s">
        <v>173</v>
      </c>
      <c r="G20" s="58" t="s">
        <v>174</v>
      </c>
      <c r="H20" s="58" t="s">
        <v>175</v>
      </c>
      <c r="I20" s="58" t="s">
        <v>176</v>
      </c>
      <c r="J20" s="119" t="s">
        <v>95</v>
      </c>
      <c r="K20" s="120" t="s">
        <v>177</v>
      </c>
      <c r="L20" s="121">
        <f>IF(Tabel_RIE[[#This Row],[E1]]&gt;0,VLOOKUP(Tabel_RIE[[#This Row],[E1]],Tabel_FK_E[],2,FALSE),"")</f>
        <v>7</v>
      </c>
      <c r="M20" s="120" t="s">
        <v>97</v>
      </c>
      <c r="N20" s="122">
        <f>IF(Tabel_RIE[[#This Row],[B1]]&gt;0,VLOOKUP(Tabel_RIE[[#This Row],[B1]],Tabel_FK_B[],2,FALSE),"")</f>
        <v>6</v>
      </c>
      <c r="O20" s="120" t="s">
        <v>98</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0" s="122">
        <f>IF(OR(Tabel_RIE[[#This Row],[E12]]="",Tabel_RIE[[#This Row],[B12]]="",Tabel_RIE[[#This Row],[W12]]=""),"",Tabel_RIE[[#This Row],[E12]]*Tabel_RIE[[#This Row],[B12]]*Tabel_RIE[[#This Row],[W12]])</f>
        <v>252</v>
      </c>
      <c r="S20" s="124" t="str">
        <f>IF(AND(Tabel_RIE[[#This Row],[E12]]="",Tabel_RIE[[#This Row],[R12]]=""),"",IF(AND(OR(Tabel_RIE[[#This Row],[E12]]="",Tabel_RIE[[#This Row],[E12]]&lt;15),OR(Tabel_RIE[[#This Row],[R12]]="",Tabel_RIE[[#This Row],[R12]]&lt;70)),"n.v.t.",IF(OR(Tabel_RIE[[#This Row],[E12]]&gt;=15,Tabel_RIE[[#This Row],[R12]]&gt;=70),"√","fout")))</f>
        <v>√</v>
      </c>
      <c r="T20" s="125" t="s">
        <v>99</v>
      </c>
      <c r="U20" s="151" t="s">
        <v>178</v>
      </c>
      <c r="V20" s="126"/>
      <c r="W20" s="127"/>
      <c r="X20" s="128" t="str">
        <f t="shared" si="0"/>
        <v>Bronaanpak:
Collectieve maatregelen:
Individuele maatregelen:
PBM's:</v>
      </c>
      <c r="Y20" s="119"/>
      <c r="Z20" s="129"/>
      <c r="AA20" s="125"/>
      <c r="AB20" s="122" t="str">
        <f>IF(Tabel_RIE[[#This Row],[E2]]&gt;0,VLOOKUP(Tabel_RIE[[#This Row],[E2]],Tabel_FK_E[],2,FALSE),"")</f>
        <v/>
      </c>
      <c r="AC20" s="125"/>
      <c r="AD20" s="122" t="str">
        <f>IF(Tabel_RIE[[#This Row],[B2]]&gt;0,VLOOKUP(Tabel_RIE[[#This Row],[B2]],Tabel_FK_B[],2,FALSE),"")</f>
        <v/>
      </c>
      <c r="AE20" s="125"/>
      <c r="AF20" s="122" t="str">
        <f>IF(Tabel_RIE[[#This Row],[W2]]&gt;0,VLOOKUP(Tabel_RIE[[#This Row],[W2]],Tabel_FK_W[],2,FALSE),"")</f>
        <v/>
      </c>
      <c r="AG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 s="122"/>
      <c r="AI20" s="119"/>
      <c r="AJ20" s="127"/>
      <c r="AK2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30" t="str">
        <f>IF(AND(Tabel_RIE[[#This Row],[R12]]&gt;=70,Tabel_RIE[[#This Row],[R22]]&lt;70),"Ja","Nee")</f>
        <v>Ja</v>
      </c>
      <c r="AM20" s="130">
        <f>IF(Tabel_RIE[[#This Row],[R22]]&lt;&gt;"",Tabel_RIE[[#This Row],[R22]],Tabel_RIE[[#This Row],[R12]])</f>
        <v>252</v>
      </c>
    </row>
    <row r="21" spans="1:39" ht="42" customHeight="1" x14ac:dyDescent="0.2">
      <c r="B21" s="118">
        <v>15</v>
      </c>
      <c r="C21" s="58" t="s">
        <v>88</v>
      </c>
      <c r="D21" s="119" t="s">
        <v>179</v>
      </c>
      <c r="E21" s="119" t="s">
        <v>180</v>
      </c>
      <c r="F21" s="119" t="s">
        <v>114</v>
      </c>
      <c r="G21" s="58" t="s">
        <v>181</v>
      </c>
      <c r="H21" s="119" t="s">
        <v>182</v>
      </c>
      <c r="I21" s="119" t="s">
        <v>183</v>
      </c>
      <c r="J21" s="119" t="s">
        <v>170</v>
      </c>
      <c r="K21" s="120" t="s">
        <v>111</v>
      </c>
      <c r="L21" s="121">
        <f>IF(Tabel_RIE[[#This Row],[E1]]&gt;0,VLOOKUP(Tabel_RIE[[#This Row],[E1]],Tabel_FK_E[],2,FALSE),"")</f>
        <v>3</v>
      </c>
      <c r="M21" s="120" t="s">
        <v>97</v>
      </c>
      <c r="N21" s="122">
        <f>IF(Tabel_RIE[[#This Row],[B1]]&gt;0,VLOOKUP(Tabel_RIE[[#This Row],[B1]],Tabel_FK_B[],2,FALSE),"")</f>
        <v>6</v>
      </c>
      <c r="O21" s="120" t="s">
        <v>98</v>
      </c>
      <c r="P21" s="122">
        <f>IF(Tabel_RIE[[#This Row],[W1]]&gt;0,VLOOKUP(Tabel_RIE[[#This Row],[W1]],Tabel_FK_W[],2,FALSE),"")</f>
        <v>6</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1" s="122">
        <f>IF(OR(Tabel_RIE[[#This Row],[E12]]="",Tabel_RIE[[#This Row],[B12]]="",Tabel_RIE[[#This Row],[W12]]=""),"",Tabel_RIE[[#This Row],[E12]]*Tabel_RIE[[#This Row],[B12]]*Tabel_RIE[[#This Row],[W12]])</f>
        <v>108</v>
      </c>
      <c r="S21" s="124" t="str">
        <f>IF(AND(Tabel_RIE[[#This Row],[E12]]="",Tabel_RIE[[#This Row],[R12]]=""),"",IF(AND(OR(Tabel_RIE[[#This Row],[E12]]="",Tabel_RIE[[#This Row],[E12]]&lt;15),OR(Tabel_RIE[[#This Row],[R12]]="",Tabel_RIE[[#This Row],[R12]]&lt;70)),"n.v.t.",IF(OR(Tabel_RIE[[#This Row],[E12]]&gt;=15,Tabel_RIE[[#This Row],[R12]]&gt;=70),"√","fout")))</f>
        <v>√</v>
      </c>
      <c r="T21" s="125" t="s">
        <v>99</v>
      </c>
      <c r="U21" s="119" t="s">
        <v>184</v>
      </c>
      <c r="V21" s="126"/>
      <c r="W21" s="127"/>
      <c r="X21" s="128" t="str">
        <f t="shared" si="0"/>
        <v>Bronaanpak:
Collectieve maatregelen:
Individuele maatregelen:
PBM's:</v>
      </c>
      <c r="Y21" s="119"/>
      <c r="Z21" s="129"/>
      <c r="AA21" s="125"/>
      <c r="AB21" s="122" t="str">
        <f>IF(Tabel_RIE[[#This Row],[E2]]&gt;0,VLOOKUP(Tabel_RIE[[#This Row],[E2]],Tabel_FK_E[],2,FALSE),"")</f>
        <v/>
      </c>
      <c r="AC21" s="125"/>
      <c r="AD21" s="122" t="str">
        <f>IF(Tabel_RIE[[#This Row],[B2]]&gt;0,VLOOKUP(Tabel_RIE[[#This Row],[B2]],Tabel_FK_B[],2,FALSE),"")</f>
        <v/>
      </c>
      <c r="AE21" s="125"/>
      <c r="AF21" s="122" t="str">
        <f>IF(Tabel_RIE[[#This Row],[W2]]&gt;0,VLOOKUP(Tabel_RIE[[#This Row],[W2]],Tabel_FK_W[],2,FALSE),"")</f>
        <v/>
      </c>
      <c r="AG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 s="122"/>
      <c r="AI21" s="119"/>
      <c r="AJ21" s="127"/>
      <c r="AK2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30" t="str">
        <f>IF(AND(Tabel_RIE[[#This Row],[R12]]&gt;=70,Tabel_RIE[[#This Row],[R22]]&lt;70),"Ja","Nee")</f>
        <v>Ja</v>
      </c>
      <c r="AM21" s="130">
        <f>IF(Tabel_RIE[[#This Row],[R22]]&lt;&gt;"",Tabel_RIE[[#This Row],[R22]],Tabel_RIE[[#This Row],[R12]])</f>
        <v>108</v>
      </c>
    </row>
    <row r="22" spans="1:39" ht="68.400000000000006" x14ac:dyDescent="0.2">
      <c r="B22" s="118">
        <v>16</v>
      </c>
      <c r="C22" s="58" t="s">
        <v>88</v>
      </c>
      <c r="D22" s="119" t="s">
        <v>185</v>
      </c>
      <c r="E22" s="58" t="s">
        <v>186</v>
      </c>
      <c r="F22" s="119" t="s">
        <v>91</v>
      </c>
      <c r="G22" s="58" t="s">
        <v>187</v>
      </c>
      <c r="H22" s="58" t="s">
        <v>188</v>
      </c>
      <c r="I22" s="58" t="s">
        <v>189</v>
      </c>
      <c r="J22" s="58" t="s">
        <v>190</v>
      </c>
      <c r="K22" s="120" t="s">
        <v>177</v>
      </c>
      <c r="L22" s="121">
        <f>IF(Tabel_RIE[[#This Row],[E1]]&gt;0,VLOOKUP(Tabel_RIE[[#This Row],[E1]],Tabel_FK_E[],2,FALSE),"")</f>
        <v>7</v>
      </c>
      <c r="M22" s="120" t="s">
        <v>97</v>
      </c>
      <c r="N22" s="122">
        <f>IF(Tabel_RIE[[#This Row],[B1]]&gt;0,VLOOKUP(Tabel_RIE[[#This Row],[B1]],Tabel_FK_B[],2,FALSE),"")</f>
        <v>6</v>
      </c>
      <c r="O22" s="120" t="s">
        <v>112</v>
      </c>
      <c r="P22" s="122">
        <f>IF(Tabel_RIE[[#This Row],[W1]]&gt;0,VLOOKUP(Tabel_RIE[[#This Row],[W1]],Tabel_FK_W[],2,FALSE),"")</f>
        <v>3</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22">
        <f>IF(OR(Tabel_RIE[[#This Row],[E12]]="",Tabel_RIE[[#This Row],[B12]]="",Tabel_RIE[[#This Row],[W12]]=""),"",Tabel_RIE[[#This Row],[E12]]*Tabel_RIE[[#This Row],[B12]]*Tabel_RIE[[#This Row],[W12]])</f>
        <v>126</v>
      </c>
      <c r="S22" s="124" t="str">
        <f>IF(AND(Tabel_RIE[[#This Row],[E12]]="",Tabel_RIE[[#This Row],[R12]]=""),"",IF(AND(OR(Tabel_RIE[[#This Row],[E12]]="",Tabel_RIE[[#This Row],[E12]]&lt;15),OR(Tabel_RIE[[#This Row],[R12]]="",Tabel_RIE[[#This Row],[R12]]&lt;70)),"n.v.t.",IF(OR(Tabel_RIE[[#This Row],[E12]]&gt;=15,Tabel_RIE[[#This Row],[R12]]&gt;=70),"√","fout")))</f>
        <v>√</v>
      </c>
      <c r="T22" s="125" t="s">
        <v>99</v>
      </c>
      <c r="U22" s="151" t="s">
        <v>192</v>
      </c>
      <c r="V22" s="126"/>
      <c r="W22" s="127"/>
      <c r="X22" s="128" t="str">
        <f t="shared" si="0"/>
        <v>Bronaanpak:
Collectieve maatregelen:
Individuele maatregelen:
PBM's:</v>
      </c>
      <c r="Y22" s="119"/>
      <c r="Z22" s="129"/>
      <c r="AA22" s="125"/>
      <c r="AB22" s="122" t="str">
        <f>IF(Tabel_RIE[[#This Row],[E2]]&gt;0,VLOOKUP(Tabel_RIE[[#This Row],[E2]],Tabel_FK_E[],2,FALSE),"")</f>
        <v/>
      </c>
      <c r="AC22" s="125"/>
      <c r="AD22" s="122" t="str">
        <f>IF(Tabel_RIE[[#This Row],[B2]]&gt;0,VLOOKUP(Tabel_RIE[[#This Row],[B2]],Tabel_FK_B[],2,FALSE),"")</f>
        <v/>
      </c>
      <c r="AE22" s="125"/>
      <c r="AF22" s="122" t="str">
        <f>IF(Tabel_RIE[[#This Row],[W2]]&gt;0,VLOOKUP(Tabel_RIE[[#This Row],[W2]],Tabel_FK_W[],2,FALSE),"")</f>
        <v/>
      </c>
      <c r="AG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 s="122"/>
      <c r="AI22" s="119"/>
      <c r="AJ22" s="127"/>
      <c r="AK2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30" t="str">
        <f>IF(AND(Tabel_RIE[[#This Row],[R12]]&gt;=70,Tabel_RIE[[#This Row],[R22]]&lt;70),"Ja","Nee")</f>
        <v>Ja</v>
      </c>
      <c r="AM22" s="130">
        <f>IF(Tabel_RIE[[#This Row],[R22]]&lt;&gt;"",Tabel_RIE[[#This Row],[R22]],Tabel_RIE[[#This Row],[R12]])</f>
        <v>126</v>
      </c>
    </row>
    <row r="23" spans="1:39" ht="136.80000000000001" x14ac:dyDescent="0.2">
      <c r="B23" s="118">
        <v>17</v>
      </c>
      <c r="C23" s="58" t="s">
        <v>88</v>
      </c>
      <c r="D23" s="58" t="s">
        <v>193</v>
      </c>
      <c r="E23" s="58" t="s">
        <v>194</v>
      </c>
      <c r="F23" s="58" t="s">
        <v>106</v>
      </c>
      <c r="G23" s="63" t="s">
        <v>195</v>
      </c>
      <c r="H23" s="63" t="s">
        <v>196</v>
      </c>
      <c r="I23" s="58" t="s">
        <v>393</v>
      </c>
      <c r="J23" s="63" t="s">
        <v>197</v>
      </c>
      <c r="K23" s="59" t="s">
        <v>111</v>
      </c>
      <c r="L23" s="85">
        <f>IF(Tabel_RIE[[#This Row],[E1]]&gt;0,VLOOKUP(Tabel_RIE[[#This Row],[E1]],Tabel_FK_E[],2,FALSE),"")</f>
        <v>3</v>
      </c>
      <c r="M23" s="59" t="s">
        <v>97</v>
      </c>
      <c r="N23" s="87">
        <f>IF(Tabel_RIE[[#This Row],[B1]]&gt;0,VLOOKUP(Tabel_RIE[[#This Row],[B1]],Tabel_FK_B[],2,FALSE),"")</f>
        <v>6</v>
      </c>
      <c r="O23" s="59" t="s">
        <v>112</v>
      </c>
      <c r="P23" s="87">
        <f>IF(Tabel_RIE[[#This Row],[W1]]&gt;0,VLOOKUP(Tabel_RIE[[#This Row],[W1]],Tabel_FK_W[],2,FALSE),"")</f>
        <v>3</v>
      </c>
      <c r="Q2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3" s="87">
        <f>IF(OR(Tabel_RIE[[#This Row],[E12]]="",Tabel_RIE[[#This Row],[B12]]="",Tabel_RIE[[#This Row],[W12]]=""),"",Tabel_RIE[[#This Row],[E12]]*Tabel_RIE[[#This Row],[B12]]*Tabel_RIE[[#This Row],[W12]])</f>
        <v>54</v>
      </c>
      <c r="S23" s="69" t="str">
        <f>IF(AND(Tabel_RIE[[#This Row],[E12]]="",Tabel_RIE[[#This Row],[R12]]=""),"",IF(AND(OR(Tabel_RIE[[#This Row],[E12]]="",Tabel_RIE[[#This Row],[E12]]&lt;15),OR(Tabel_RIE[[#This Row],[R12]]="",Tabel_RIE[[#This Row],[R12]]&lt;70)),"n.v.t.",IF(OR(Tabel_RIE[[#This Row],[E12]]&gt;=15,Tabel_RIE[[#This Row],[R12]]&gt;=70),"√","fout")))</f>
        <v>n.v.t.</v>
      </c>
      <c r="T23" s="60" t="s">
        <v>99</v>
      </c>
      <c r="U23" s="151" t="s">
        <v>198</v>
      </c>
      <c r="V23" s="58"/>
      <c r="W23" s="61"/>
      <c r="X23" s="90" t="str">
        <f t="shared" si="0"/>
        <v>Bronaanpak:
Collectieve maatregelen:
Individuele maatregelen:
PBM's:</v>
      </c>
      <c r="Y23" s="58"/>
      <c r="Z23" s="58"/>
      <c r="AA23" s="59"/>
      <c r="AB23" s="85" t="str">
        <f>IF(Tabel_RIE[[#This Row],[E2]]&gt;0,VLOOKUP(Tabel_RIE[[#This Row],[E2]],Tabel_FK_E[],2,FALSE),"")</f>
        <v/>
      </c>
      <c r="AC23" s="59"/>
      <c r="AD23" s="87" t="str">
        <f>IF(Tabel_RIE[[#This Row],[B2]]&gt;0,VLOOKUP(Tabel_RIE[[#This Row],[B2]],Tabel_FK_B[],2,FALSE),"")</f>
        <v/>
      </c>
      <c r="AE23" s="59"/>
      <c r="AF23" s="87" t="str">
        <f>IF(Tabel_RIE[[#This Row],[W2]]&gt;0,VLOOKUP(Tabel_RIE[[#This Row],[W2]],Tabel_FK_W[],2,FALSE),"")</f>
        <v/>
      </c>
      <c r="AG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 s="87" t="str">
        <f>IF(OR(Tabel_RIE[[#This Row],[E3]]="",Tabel_RIE[[#This Row],[B3]]="",Tabel_RIE[[#This Row],[W3]]=""),"",Tabel_RIE[[#This Row],[E3]]*Tabel_RIE[[#This Row],[B3]]*Tabel_RIE[[#This Row],[W3]])</f>
        <v/>
      </c>
      <c r="AI23" s="58"/>
      <c r="AJ23" s="62"/>
      <c r="AK2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9" t="str">
        <f>IF(AND(Tabel_RIE[[#This Row],[R12]]&gt;=70,Tabel_RIE[[#This Row],[R22]]&lt;70),"Ja","Nee")</f>
        <v>Nee</v>
      </c>
      <c r="AM23" s="9">
        <f>IF(Tabel_RIE[[#This Row],[R22]]&lt;&gt;"",Tabel_RIE[[#This Row],[R22]],Tabel_RIE[[#This Row],[R12]])</f>
        <v>54</v>
      </c>
    </row>
    <row r="24" spans="1:39" ht="94.5" customHeight="1" x14ac:dyDescent="0.2">
      <c r="B24" s="118">
        <v>18</v>
      </c>
      <c r="C24" s="58" t="s">
        <v>88</v>
      </c>
      <c r="D24" s="119" t="s">
        <v>199</v>
      </c>
      <c r="E24" s="119" t="s">
        <v>143</v>
      </c>
      <c r="F24" s="119" t="s">
        <v>91</v>
      </c>
      <c r="G24" s="58" t="s">
        <v>200</v>
      </c>
      <c r="H24" s="58" t="s">
        <v>201</v>
      </c>
      <c r="I24" s="58" t="s">
        <v>202</v>
      </c>
      <c r="J24" s="58" t="s">
        <v>170</v>
      </c>
      <c r="K24" s="120" t="s">
        <v>177</v>
      </c>
      <c r="L24" s="121">
        <f>IF(Tabel_RIE[[#This Row],[E1]]&gt;0,VLOOKUP(Tabel_RIE[[#This Row],[E1]],Tabel_FK_E[],2,FALSE),"")</f>
        <v>7</v>
      </c>
      <c r="M24" s="120" t="s">
        <v>97</v>
      </c>
      <c r="N24" s="122">
        <f>IF(Tabel_RIE[[#This Row],[B1]]&gt;0,VLOOKUP(Tabel_RIE[[#This Row],[B1]],Tabel_FK_B[],2,FALSE),"")</f>
        <v>6</v>
      </c>
      <c r="O24" s="120" t="s">
        <v>112</v>
      </c>
      <c r="P24" s="122">
        <f>IF(Tabel_RIE[[#This Row],[W1]]&gt;0,VLOOKUP(Tabel_RIE[[#This Row],[W1]],Tabel_FK_W[],2,FALSE),"")</f>
        <v>3</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4" s="122">
        <f>IF(OR(Tabel_RIE[[#This Row],[E12]]="",Tabel_RIE[[#This Row],[B12]]="",Tabel_RIE[[#This Row],[W12]]=""),"",Tabel_RIE[[#This Row],[E12]]*Tabel_RIE[[#This Row],[B12]]*Tabel_RIE[[#This Row],[W12]])</f>
        <v>126</v>
      </c>
      <c r="S24" s="124" t="str">
        <f>IF(AND(Tabel_RIE[[#This Row],[E12]]="",Tabel_RIE[[#This Row],[R12]]=""),"",IF(AND(OR(Tabel_RIE[[#This Row],[E12]]="",Tabel_RIE[[#This Row],[E12]]&lt;15),OR(Tabel_RIE[[#This Row],[R12]]="",Tabel_RIE[[#This Row],[R12]]&lt;70)),"n.v.t.",IF(OR(Tabel_RIE[[#This Row],[E12]]&gt;=15,Tabel_RIE[[#This Row],[R12]]&gt;=70),"√","fout")))</f>
        <v>√</v>
      </c>
      <c r="T24" s="125" t="s">
        <v>99</v>
      </c>
      <c r="U24" s="151" t="s">
        <v>203</v>
      </c>
      <c r="V24" s="126"/>
      <c r="W24" s="127"/>
      <c r="X24" s="128" t="str">
        <f t="shared" si="0"/>
        <v>Bronaanpak:
Collectieve maatregelen:
Individuele maatregelen:
PBM's:</v>
      </c>
      <c r="Y24" s="119"/>
      <c r="Z24" s="129"/>
      <c r="AA24" s="125"/>
      <c r="AB24" s="122" t="str">
        <f>IF(Tabel_RIE[[#This Row],[E2]]&gt;0,VLOOKUP(Tabel_RIE[[#This Row],[E2]],Tabel_FK_E[],2,FALSE),"")</f>
        <v/>
      </c>
      <c r="AC24" s="125"/>
      <c r="AD24" s="122" t="str">
        <f>IF(Tabel_RIE[[#This Row],[B2]]&gt;0,VLOOKUP(Tabel_RIE[[#This Row],[B2]],Tabel_FK_B[],2,FALSE),"")</f>
        <v/>
      </c>
      <c r="AE24" s="125"/>
      <c r="AF24" s="122" t="str">
        <f>IF(Tabel_RIE[[#This Row],[W2]]&gt;0,VLOOKUP(Tabel_RIE[[#This Row],[W2]],Tabel_FK_W[],2,FALSE),"")</f>
        <v/>
      </c>
      <c r="AG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 s="122"/>
      <c r="AI24" s="119"/>
      <c r="AJ24" s="127"/>
      <c r="AK2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30" t="str">
        <f>IF(AND(Tabel_RIE[[#This Row],[R12]]&gt;=70,Tabel_RIE[[#This Row],[R22]]&lt;70),"Ja","Nee")</f>
        <v>Ja</v>
      </c>
      <c r="AM24" s="130">
        <f>IF(Tabel_RIE[[#This Row],[R22]]&lt;&gt;"",Tabel_RIE[[#This Row],[R22]],Tabel_RIE[[#This Row],[R12]])</f>
        <v>126</v>
      </c>
    </row>
    <row r="25" spans="1:39" s="152" customFormat="1" ht="79.8" x14ac:dyDescent="0.2">
      <c r="A25" s="1"/>
      <c r="B25" s="118">
        <v>19</v>
      </c>
      <c r="C25" s="58" t="s">
        <v>88</v>
      </c>
      <c r="D25" s="119" t="s">
        <v>204</v>
      </c>
      <c r="E25" s="58" t="s">
        <v>205</v>
      </c>
      <c r="F25" s="119" t="s">
        <v>206</v>
      </c>
      <c r="G25" s="58" t="s">
        <v>207</v>
      </c>
      <c r="H25" s="119" t="s">
        <v>208</v>
      </c>
      <c r="I25" s="119" t="s">
        <v>209</v>
      </c>
      <c r="J25" s="119" t="s">
        <v>95</v>
      </c>
      <c r="K25" s="120" t="s">
        <v>111</v>
      </c>
      <c r="L25" s="121">
        <f>IF(Tabel_RIE[[#This Row],[E1]]&gt;0,VLOOKUP(Tabel_RIE[[#This Row],[E1]],Tabel_FK_E[],2,FALSE),"")</f>
        <v>3</v>
      </c>
      <c r="M25" s="120" t="s">
        <v>210</v>
      </c>
      <c r="N25" s="122">
        <f>IF(Tabel_RIE[[#This Row],[B1]]&gt;0,VLOOKUP(Tabel_RIE[[#This Row],[B1]],Tabel_FK_B[],2,FALSE),"")</f>
        <v>2</v>
      </c>
      <c r="O25" s="120" t="s">
        <v>164</v>
      </c>
      <c r="P25" s="122">
        <f>IF(Tabel_RIE[[#This Row],[W1]]&gt;0,VLOOKUP(Tabel_RIE[[#This Row],[W1]],Tabel_FK_W[],2,FALSE),"")</f>
        <v>0.5</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5" s="122">
        <f>IF(OR(Tabel_RIE[[#This Row],[E12]]="",Tabel_RIE[[#This Row],[B12]]="",Tabel_RIE[[#This Row],[W12]]=""),"",Tabel_RIE[[#This Row],[E12]]*Tabel_RIE[[#This Row],[B12]]*Tabel_RIE[[#This Row],[W12]])</f>
        <v>3</v>
      </c>
      <c r="S25" s="124" t="str">
        <f>IF(AND(Tabel_RIE[[#This Row],[E12]]="",Tabel_RIE[[#This Row],[R12]]=""),"",IF(AND(OR(Tabel_RIE[[#This Row],[E12]]="",Tabel_RIE[[#This Row],[E12]]&lt;15),OR(Tabel_RIE[[#This Row],[R12]]="",Tabel_RIE[[#This Row],[R12]]&lt;70)),"n.v.t.",IF(OR(Tabel_RIE[[#This Row],[E12]]&gt;=15,Tabel_RIE[[#This Row],[R12]]&gt;=70),"√","fout")))</f>
        <v>n.v.t.</v>
      </c>
      <c r="T25" s="125" t="s">
        <v>99</v>
      </c>
      <c r="U25" s="151" t="s">
        <v>211</v>
      </c>
      <c r="V25" s="126"/>
      <c r="W25" s="127"/>
      <c r="X25" s="128" t="str">
        <f t="shared" si="0"/>
        <v>Bronaanpak:
Collectieve maatregelen:
Individuele maatregelen:
PBM's:</v>
      </c>
      <c r="Y25" s="119"/>
      <c r="Z25" s="129"/>
      <c r="AA25" s="125"/>
      <c r="AB25" s="122" t="str">
        <f>IF(Tabel_RIE[[#This Row],[E2]]&gt;0,VLOOKUP(Tabel_RIE[[#This Row],[E2]],Tabel_FK_E[],2,FALSE),"")</f>
        <v/>
      </c>
      <c r="AC25" s="125"/>
      <c r="AD25" s="122" t="str">
        <f>IF(Tabel_RIE[[#This Row],[B2]]&gt;0,VLOOKUP(Tabel_RIE[[#This Row],[B2]],Tabel_FK_B[],2,FALSE),"")</f>
        <v/>
      </c>
      <c r="AE25" s="125"/>
      <c r="AF25" s="122" t="str">
        <f>IF(Tabel_RIE[[#This Row],[W2]]&gt;0,VLOOKUP(Tabel_RIE[[#This Row],[W2]],Tabel_FK_W[],2,FALSE),"")</f>
        <v/>
      </c>
      <c r="AG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 s="122"/>
      <c r="AI25" s="119"/>
      <c r="AJ25" s="127"/>
      <c r="AK2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30" t="str">
        <f>IF(AND(Tabel_RIE[[#This Row],[R12]]&gt;=70,Tabel_RIE[[#This Row],[R22]]&lt;70),"Ja","Nee")</f>
        <v>Nee</v>
      </c>
      <c r="AM25" s="130">
        <f>IF(Tabel_RIE[[#This Row],[R22]]&lt;&gt;"",Tabel_RIE[[#This Row],[R22]],Tabel_RIE[[#This Row],[R12]])</f>
        <v>3</v>
      </c>
    </row>
    <row r="26" spans="1:39" ht="76.5" customHeight="1" x14ac:dyDescent="0.2">
      <c r="B26" s="118">
        <v>20</v>
      </c>
      <c r="C26" s="58" t="s">
        <v>88</v>
      </c>
      <c r="D26" s="119" t="s">
        <v>204</v>
      </c>
      <c r="E26" s="119" t="s">
        <v>212</v>
      </c>
      <c r="F26" s="119" t="s">
        <v>143</v>
      </c>
      <c r="G26" s="58" t="s">
        <v>213</v>
      </c>
      <c r="H26" s="119" t="s">
        <v>214</v>
      </c>
      <c r="I26" s="153" t="s">
        <v>215</v>
      </c>
      <c r="J26" s="58" t="s">
        <v>95</v>
      </c>
      <c r="K26" s="120" t="s">
        <v>177</v>
      </c>
      <c r="L26" s="121">
        <f>IF(Tabel_RIE[[#This Row],[E1]]&gt;0,VLOOKUP(Tabel_RIE[[#This Row],[E1]],Tabel_FK_E[],2,FALSE),"")</f>
        <v>7</v>
      </c>
      <c r="M26" s="120" t="s">
        <v>97</v>
      </c>
      <c r="N26" s="122">
        <f>IF(Tabel_RIE[[#This Row],[B1]]&gt;0,VLOOKUP(Tabel_RIE[[#This Row],[B1]],Tabel_FK_B[],2,FALSE),"")</f>
        <v>6</v>
      </c>
      <c r="O26" s="120" t="s">
        <v>112</v>
      </c>
      <c r="P26" s="122">
        <f>IF(Tabel_RIE[[#This Row],[W1]]&gt;0,VLOOKUP(Tabel_RIE[[#This Row],[W1]],Tabel_FK_W[],2,FALSE),"")</f>
        <v>3</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22">
        <f>IF(OR(Tabel_RIE[[#This Row],[E12]]="",Tabel_RIE[[#This Row],[B12]]="",Tabel_RIE[[#This Row],[W12]]=""),"",Tabel_RIE[[#This Row],[E12]]*Tabel_RIE[[#This Row],[B12]]*Tabel_RIE[[#This Row],[W12]])</f>
        <v>126</v>
      </c>
      <c r="S26" s="124" t="str">
        <f>IF(AND(Tabel_RIE[[#This Row],[E12]]="",Tabel_RIE[[#This Row],[R12]]=""),"",IF(AND(OR(Tabel_RIE[[#This Row],[E12]]="",Tabel_RIE[[#This Row],[E12]]&lt;15),OR(Tabel_RIE[[#This Row],[R12]]="",Tabel_RIE[[#This Row],[R12]]&lt;70)),"n.v.t.",IF(OR(Tabel_RIE[[#This Row],[E12]]&gt;=15,Tabel_RIE[[#This Row],[R12]]&gt;=70),"√","fout")))</f>
        <v>√</v>
      </c>
      <c r="T26" s="125" t="s">
        <v>99</v>
      </c>
      <c r="U26" s="154" t="s">
        <v>216</v>
      </c>
      <c r="V26" s="126"/>
      <c r="W26" s="127"/>
      <c r="X26" s="128" t="str">
        <f t="shared" si="0"/>
        <v>Bronaanpak:
Collectieve maatregelen:
Individuele maatregelen:
PBM's:</v>
      </c>
      <c r="Y26" s="119"/>
      <c r="Z26" s="129"/>
      <c r="AA26" s="125"/>
      <c r="AB26" s="122" t="str">
        <f>IF(Tabel_RIE[[#This Row],[E2]]&gt;0,VLOOKUP(Tabel_RIE[[#This Row],[E2]],Tabel_FK_E[],2,FALSE),"")</f>
        <v/>
      </c>
      <c r="AC26" s="125"/>
      <c r="AD26" s="122" t="str">
        <f>IF(Tabel_RIE[[#This Row],[B2]]&gt;0,VLOOKUP(Tabel_RIE[[#This Row],[B2]],Tabel_FK_B[],2,FALSE),"")</f>
        <v/>
      </c>
      <c r="AE26" s="125"/>
      <c r="AF26" s="122" t="str">
        <f>IF(Tabel_RIE[[#This Row],[W2]]&gt;0,VLOOKUP(Tabel_RIE[[#This Row],[W2]],Tabel_FK_W[],2,FALSE),"")</f>
        <v/>
      </c>
      <c r="AG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 s="122"/>
      <c r="AI26" s="119"/>
      <c r="AJ26" s="127"/>
      <c r="AK2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30" t="str">
        <f>IF(AND(Tabel_RIE[[#This Row],[R12]]&gt;=70,Tabel_RIE[[#This Row],[R22]]&lt;70),"Ja","Nee")</f>
        <v>Ja</v>
      </c>
      <c r="AM26" s="130">
        <f>IF(Tabel_RIE[[#This Row],[R22]]&lt;&gt;"",Tabel_RIE[[#This Row],[R22]],Tabel_RIE[[#This Row],[R12]])</f>
        <v>126</v>
      </c>
    </row>
    <row r="27" spans="1:39" ht="79.8" x14ac:dyDescent="0.2">
      <c r="B27" s="118">
        <v>21</v>
      </c>
      <c r="C27" s="58" t="s">
        <v>88</v>
      </c>
      <c r="D27" s="58" t="s">
        <v>219</v>
      </c>
      <c r="E27" s="58" t="s">
        <v>221</v>
      </c>
      <c r="F27" s="58" t="s">
        <v>106</v>
      </c>
      <c r="G27" s="58" t="s">
        <v>92</v>
      </c>
      <c r="H27" s="58" t="s">
        <v>222</v>
      </c>
      <c r="I27" s="58" t="s">
        <v>223</v>
      </c>
      <c r="J27" s="58" t="s">
        <v>220</v>
      </c>
      <c r="K27" s="120" t="s">
        <v>177</v>
      </c>
      <c r="L27" s="121">
        <f>IF(Tabel_RIE[[#This Row],[E1]]&gt;0,VLOOKUP(Tabel_RIE[[#This Row],[E1]],Tabel_FK_E[],2,FALSE),"")</f>
        <v>7</v>
      </c>
      <c r="M27" s="120" t="s">
        <v>97</v>
      </c>
      <c r="N27" s="122">
        <f>IF(Tabel_RIE[[#This Row],[B1]]&gt;0,VLOOKUP(Tabel_RIE[[#This Row],[B1]],Tabel_FK_B[],2,FALSE),"")</f>
        <v>6</v>
      </c>
      <c r="O27" s="120" t="s">
        <v>112</v>
      </c>
      <c r="P27" s="122">
        <f>IF(Tabel_RIE[[#This Row],[W1]]&gt;0,VLOOKUP(Tabel_RIE[[#This Row],[W1]],Tabel_FK_W[],2,FALSE),"")</f>
        <v>3</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7" s="122">
        <f>IF(OR(Tabel_RIE[[#This Row],[E12]]="",Tabel_RIE[[#This Row],[B12]]="",Tabel_RIE[[#This Row],[W12]]=""),"",Tabel_RIE[[#This Row],[E12]]*Tabel_RIE[[#This Row],[B12]]*Tabel_RIE[[#This Row],[W12]])</f>
        <v>126</v>
      </c>
      <c r="S27" s="124" t="str">
        <f>IF(AND(Tabel_RIE[[#This Row],[E12]]="",Tabel_RIE[[#This Row],[R12]]=""),"",IF(AND(OR(Tabel_RIE[[#This Row],[E12]]="",Tabel_RIE[[#This Row],[E12]]&lt;15),OR(Tabel_RIE[[#This Row],[R12]]="",Tabel_RIE[[#This Row],[R12]]&lt;70)),"n.v.t.",IF(OR(Tabel_RIE[[#This Row],[E12]]&gt;=15,Tabel_RIE[[#This Row],[R12]]&gt;=70),"√","fout")))</f>
        <v>√</v>
      </c>
      <c r="T27" s="125" t="s">
        <v>99</v>
      </c>
      <c r="U27" s="151" t="s">
        <v>224</v>
      </c>
      <c r="V27" s="126"/>
      <c r="W27" s="131"/>
      <c r="X27" s="128" t="str">
        <f t="shared" si="0"/>
        <v>Bronaanpak:
Collectieve maatregelen:
Individuele maatregelen:
PBM's:</v>
      </c>
      <c r="Y27" s="119"/>
      <c r="Z27" s="129"/>
      <c r="AA27" s="125"/>
      <c r="AB27" s="122" t="str">
        <f>IF(Tabel_RIE[[#This Row],[E2]]&gt;0,VLOOKUP(Tabel_RIE[[#This Row],[E2]],Tabel_FK_E[],2,FALSE),"")</f>
        <v/>
      </c>
      <c r="AC27" s="125"/>
      <c r="AD27" s="122" t="str">
        <f>IF(Tabel_RIE[[#This Row],[B2]]&gt;0,VLOOKUP(Tabel_RIE[[#This Row],[B2]],Tabel_FK_B[],2,FALSE),"")</f>
        <v/>
      </c>
      <c r="AE27" s="125"/>
      <c r="AF27" s="122" t="str">
        <f>IF(Tabel_RIE[[#This Row],[W2]]&gt;0,VLOOKUP(Tabel_RIE[[#This Row],[W2]],Tabel_FK_W[],2,FALSE),"")</f>
        <v/>
      </c>
      <c r="AG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 s="122"/>
      <c r="AI27" s="119"/>
      <c r="AJ27" s="127"/>
      <c r="AK2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30" t="str">
        <f>IF(AND(Tabel_RIE[[#This Row],[R12]]&gt;=70,Tabel_RIE[[#This Row],[R22]]&lt;70),"Ja","Nee")</f>
        <v>Ja</v>
      </c>
      <c r="AM27" s="130">
        <f>IF(Tabel_RIE[[#This Row],[R22]]&lt;&gt;"",Tabel_RIE[[#This Row],[R22]],Tabel_RIE[[#This Row],[R12]])</f>
        <v>126</v>
      </c>
    </row>
    <row r="28" spans="1:39" ht="79.8" x14ac:dyDescent="0.2">
      <c r="B28" s="118">
        <v>22</v>
      </c>
      <c r="C28" s="58" t="s">
        <v>225</v>
      </c>
      <c r="D28" s="119" t="s">
        <v>89</v>
      </c>
      <c r="E28" s="119" t="s">
        <v>226</v>
      </c>
      <c r="F28" s="58" t="s">
        <v>227</v>
      </c>
      <c r="G28" s="58" t="s">
        <v>92</v>
      </c>
      <c r="H28" s="153" t="s">
        <v>392</v>
      </c>
      <c r="I28" s="119" t="s">
        <v>228</v>
      </c>
      <c r="J28" s="58" t="s">
        <v>170</v>
      </c>
      <c r="K28" s="120" t="s">
        <v>111</v>
      </c>
      <c r="L28" s="121">
        <f>IF(Tabel_RIE[[#This Row],[E1]]&gt;0,VLOOKUP(Tabel_RIE[[#This Row],[E1]],Tabel_FK_E[],2,FALSE),"")</f>
        <v>3</v>
      </c>
      <c r="M28" s="120" t="s">
        <v>97</v>
      </c>
      <c r="N28" s="122">
        <f>IF(Tabel_RIE[[#This Row],[B1]]&gt;0,VLOOKUP(Tabel_RIE[[#This Row],[B1]],Tabel_FK_B[],2,FALSE),"")</f>
        <v>6</v>
      </c>
      <c r="O28" s="120" t="s">
        <v>112</v>
      </c>
      <c r="P28" s="122">
        <f>IF(Tabel_RIE[[#This Row],[W1]]&gt;0,VLOOKUP(Tabel_RIE[[#This Row],[W1]],Tabel_FK_W[],2,FALSE),"")</f>
        <v>3</v>
      </c>
      <c r="Q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8" s="122">
        <f>IF(OR(Tabel_RIE[[#This Row],[E12]]="",Tabel_RIE[[#This Row],[B12]]="",Tabel_RIE[[#This Row],[W12]]=""),"",Tabel_RIE[[#This Row],[E12]]*Tabel_RIE[[#This Row],[B12]]*Tabel_RIE[[#This Row],[W12]])</f>
        <v>54</v>
      </c>
      <c r="S28" s="124" t="str">
        <f>IF(AND(Tabel_RIE[[#This Row],[E12]]="",Tabel_RIE[[#This Row],[R12]]=""),"",IF(AND(OR(Tabel_RIE[[#This Row],[E12]]="",Tabel_RIE[[#This Row],[E12]]&lt;15),OR(Tabel_RIE[[#This Row],[R12]]="",Tabel_RIE[[#This Row],[R12]]&lt;70)),"n.v.t.",IF(OR(Tabel_RIE[[#This Row],[E12]]&gt;=15,Tabel_RIE[[#This Row],[R12]]&gt;=70),"√","fout")))</f>
        <v>n.v.t.</v>
      </c>
      <c r="T28" s="125" t="s">
        <v>99</v>
      </c>
      <c r="U28" s="58" t="s">
        <v>229</v>
      </c>
      <c r="V28" s="126"/>
      <c r="W28" s="127"/>
      <c r="X28" s="128" t="str">
        <f t="shared" si="0"/>
        <v>Bronaanpak:
Collectieve maatregelen:
Individuele maatregelen:
PBM's:</v>
      </c>
      <c r="Y28" s="119"/>
      <c r="Z28" s="129"/>
      <c r="AA28" s="125"/>
      <c r="AB28" s="122" t="str">
        <f>IF(Tabel_RIE[[#This Row],[E2]]&gt;0,VLOOKUP(Tabel_RIE[[#This Row],[E2]],Tabel_FK_E[],2,FALSE),"")</f>
        <v/>
      </c>
      <c r="AC28" s="125"/>
      <c r="AD28" s="122" t="str">
        <f>IF(Tabel_RIE[[#This Row],[B2]]&gt;0,VLOOKUP(Tabel_RIE[[#This Row],[B2]],Tabel_FK_B[],2,FALSE),"")</f>
        <v/>
      </c>
      <c r="AE28" s="125"/>
      <c r="AF28" s="122" t="str">
        <f>IF(Tabel_RIE[[#This Row],[W2]]&gt;0,VLOOKUP(Tabel_RIE[[#This Row],[W2]],Tabel_FK_W[],2,FALSE),"")</f>
        <v/>
      </c>
      <c r="AG2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 s="122"/>
      <c r="AI28" s="119"/>
      <c r="AJ28" s="127"/>
      <c r="AK2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130" t="str">
        <f>IF(AND(Tabel_RIE[[#This Row],[R12]]&gt;=70,Tabel_RIE[[#This Row],[R22]]&lt;70),"Ja","Nee")</f>
        <v>Nee</v>
      </c>
      <c r="AM28" s="130">
        <f>IF(Tabel_RIE[[#This Row],[R22]]&lt;&gt;"",Tabel_RIE[[#This Row],[R22]],Tabel_RIE[[#This Row],[R12]])</f>
        <v>54</v>
      </c>
    </row>
    <row r="29" spans="1:39" ht="42" customHeight="1" x14ac:dyDescent="0.2">
      <c r="B29" s="118">
        <v>23</v>
      </c>
      <c r="C29" s="58" t="s">
        <v>225</v>
      </c>
      <c r="D29" s="119" t="s">
        <v>89</v>
      </c>
      <c r="E29" s="119" t="s">
        <v>230</v>
      </c>
      <c r="F29" s="119" t="s">
        <v>91</v>
      </c>
      <c r="G29" s="119" t="s">
        <v>231</v>
      </c>
      <c r="H29" s="119" t="s">
        <v>232</v>
      </c>
      <c r="I29" s="58" t="s">
        <v>233</v>
      </c>
      <c r="J29" s="58" t="s">
        <v>110</v>
      </c>
      <c r="K29" s="120" t="s">
        <v>111</v>
      </c>
      <c r="L29" s="121">
        <f>IF(Tabel_RIE[[#This Row],[E1]]&gt;0,VLOOKUP(Tabel_RIE[[#This Row],[E1]],Tabel_FK_E[],2,FALSE),"")</f>
        <v>3</v>
      </c>
      <c r="M29" s="120" t="s">
        <v>97</v>
      </c>
      <c r="N29" s="122">
        <f>IF(Tabel_RIE[[#This Row],[B1]]&gt;0,VLOOKUP(Tabel_RIE[[#This Row],[B1]],Tabel_FK_B[],2,FALSE),"")</f>
        <v>6</v>
      </c>
      <c r="O29" s="120" t="s">
        <v>148</v>
      </c>
      <c r="P29" s="122">
        <f>IF(Tabel_RIE[[#This Row],[W1]]&gt;0,VLOOKUP(Tabel_RIE[[#This Row],[W1]],Tabel_FK_W[],2,FALSE),"")</f>
        <v>1</v>
      </c>
      <c r="Q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9" s="122">
        <f>IF(OR(Tabel_RIE[[#This Row],[E12]]="",Tabel_RIE[[#This Row],[B12]]="",Tabel_RIE[[#This Row],[W12]]=""),"",Tabel_RIE[[#This Row],[E12]]*Tabel_RIE[[#This Row],[B12]]*Tabel_RIE[[#This Row],[W12]])</f>
        <v>18</v>
      </c>
      <c r="S29" s="124" t="str">
        <f>IF(AND(Tabel_RIE[[#This Row],[E12]]="",Tabel_RIE[[#This Row],[R12]]=""),"",IF(AND(OR(Tabel_RIE[[#This Row],[E12]]="",Tabel_RIE[[#This Row],[E12]]&lt;15),OR(Tabel_RIE[[#This Row],[R12]]="",Tabel_RIE[[#This Row],[R12]]&lt;70)),"n.v.t.",IF(OR(Tabel_RIE[[#This Row],[E12]]&gt;=15,Tabel_RIE[[#This Row],[R12]]&gt;=70),"√","fout")))</f>
        <v>n.v.t.</v>
      </c>
      <c r="T29" s="125" t="s">
        <v>99</v>
      </c>
      <c r="U29" s="119" t="s">
        <v>234</v>
      </c>
      <c r="V29" s="126"/>
      <c r="W29" s="127"/>
      <c r="X29" s="128" t="str">
        <f t="shared" si="0"/>
        <v>Bronaanpak:
Collectieve maatregelen:
Individuele maatregelen:
PBM's:</v>
      </c>
      <c r="Y29" s="119"/>
      <c r="Z29" s="129"/>
      <c r="AA29" s="125"/>
      <c r="AB29" s="122" t="str">
        <f>IF(Tabel_RIE[[#This Row],[E2]]&gt;0,VLOOKUP(Tabel_RIE[[#This Row],[E2]],Tabel_FK_E[],2,FALSE),"")</f>
        <v/>
      </c>
      <c r="AC29" s="125"/>
      <c r="AD29" s="122" t="str">
        <f>IF(Tabel_RIE[[#This Row],[B2]]&gt;0,VLOOKUP(Tabel_RIE[[#This Row],[B2]],Tabel_FK_B[],2,FALSE),"")</f>
        <v/>
      </c>
      <c r="AE29" s="125"/>
      <c r="AF29" s="122" t="str">
        <f>IF(Tabel_RIE[[#This Row],[W2]]&gt;0,VLOOKUP(Tabel_RIE[[#This Row],[W2]],Tabel_FK_W[],2,FALSE),"")</f>
        <v/>
      </c>
      <c r="AG2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 s="122"/>
      <c r="AI29" s="119"/>
      <c r="AJ29" s="127"/>
      <c r="AK2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30" t="str">
        <f>IF(AND(Tabel_RIE[[#This Row],[R12]]&gt;=70,Tabel_RIE[[#This Row],[R22]]&lt;70),"Ja","Nee")</f>
        <v>Nee</v>
      </c>
      <c r="AM29" s="130">
        <f>IF(Tabel_RIE[[#This Row],[R22]]&lt;&gt;"",Tabel_RIE[[#This Row],[R22]],Tabel_RIE[[#This Row],[R12]])</f>
        <v>18</v>
      </c>
    </row>
    <row r="30" spans="1:39" ht="57" x14ac:dyDescent="0.2">
      <c r="B30" s="118">
        <v>24</v>
      </c>
      <c r="C30" s="58" t="s">
        <v>225</v>
      </c>
      <c r="D30" s="58" t="s">
        <v>89</v>
      </c>
      <c r="E30" s="58" t="s">
        <v>114</v>
      </c>
      <c r="F30" s="58" t="s">
        <v>394</v>
      </c>
      <c r="G30" s="58" t="s">
        <v>395</v>
      </c>
      <c r="H30" s="58" t="s">
        <v>396</v>
      </c>
      <c r="I30" s="58" t="s">
        <v>397</v>
      </c>
      <c r="J30" s="58" t="s">
        <v>398</v>
      </c>
      <c r="K30" s="59" t="s">
        <v>118</v>
      </c>
      <c r="L30" s="85">
        <f>IF(Tabel_RIE[[#This Row],[E1]]&gt;0,VLOOKUP(Tabel_RIE[[#This Row],[E1]],Tabel_FK_E[],2,FALSE),"")</f>
        <v>1</v>
      </c>
      <c r="M30" s="59" t="s">
        <v>377</v>
      </c>
      <c r="N30" s="87">
        <f>IF(Tabel_RIE[[#This Row],[B1]]&gt;0,VLOOKUP(Tabel_RIE[[#This Row],[B1]],Tabel_FK_B[],2,FALSE),"")</f>
        <v>1</v>
      </c>
      <c r="O30" s="59" t="s">
        <v>112</v>
      </c>
      <c r="P30" s="87">
        <f>IF(Tabel_RIE[[#This Row],[W1]]&gt;0,VLOOKUP(Tabel_RIE[[#This Row],[W1]],Tabel_FK_W[],2,FALSE),"")</f>
        <v>3</v>
      </c>
      <c r="Q30" s="15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0" s="87">
        <f>IF(OR(Tabel_RIE[[#This Row],[E12]]="",Tabel_RIE[[#This Row],[B12]]="",Tabel_RIE[[#This Row],[W12]]=""),"",Tabel_RIE[[#This Row],[E12]]*Tabel_RIE[[#This Row],[B12]]*Tabel_RIE[[#This Row],[W12]])</f>
        <v>3</v>
      </c>
      <c r="S30" s="69" t="str">
        <f>IF(AND(Tabel_RIE[[#This Row],[E12]]="",Tabel_RIE[[#This Row],[R12]]=""),"",IF(AND(OR(Tabel_RIE[[#This Row],[E12]]="",Tabel_RIE[[#This Row],[E12]]&lt;15),OR(Tabel_RIE[[#This Row],[R12]]="",Tabel_RIE[[#This Row],[R12]]&lt;70)),"n.v.t.",IF(OR(Tabel_RIE[[#This Row],[E12]]&gt;=15,Tabel_RIE[[#This Row],[R12]]&gt;=70),"√","fout")))</f>
        <v>n.v.t.</v>
      </c>
      <c r="T30" s="60" t="s">
        <v>99</v>
      </c>
      <c r="U30" s="156" t="s">
        <v>399</v>
      </c>
      <c r="V30" s="156"/>
      <c r="W30" s="62"/>
      <c r="X30" s="90" t="str">
        <f>$X$1</f>
        <v>Bronaanpak:
Collectieve maatregelen:
Individuele maatregelen:
PBM's:</v>
      </c>
      <c r="Y30" s="58"/>
      <c r="Z30" s="64"/>
      <c r="AA30" s="60"/>
      <c r="AB30" s="87" t="str">
        <f>IF(Tabel_RIE[[#This Row],[E2]]&gt;0,VLOOKUP(Tabel_RIE[[#This Row],[E2]],Tabel_FK_E[],2,FALSE),"")</f>
        <v/>
      </c>
      <c r="AC30" s="60"/>
      <c r="AD30" s="87" t="str">
        <f>IF(Tabel_RIE[[#This Row],[B2]]&gt;0,VLOOKUP(Tabel_RIE[[#This Row],[B2]],Tabel_FK_B[],2,FALSE),"")</f>
        <v/>
      </c>
      <c r="AE30" s="60"/>
      <c r="AF30" s="87" t="str">
        <f>IF(Tabel_RIE[[#This Row],[W2]]&gt;0,VLOOKUP(Tabel_RIE[[#This Row],[W2]],Tabel_FK_W[],2,FALSE),"")</f>
        <v/>
      </c>
      <c r="AG30"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 s="87"/>
      <c r="AI30" s="58"/>
      <c r="AJ30" s="62"/>
      <c r="AK3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9" t="str">
        <f>IF(AND(Tabel_RIE[[#This Row],[R12]]&gt;=70,Tabel_RIE[[#This Row],[R22]]&lt;70),"Ja","Nee")</f>
        <v>Nee</v>
      </c>
      <c r="AM30" s="9">
        <f>IF(Tabel_RIE[[#This Row],[R22]]&lt;&gt;"",Tabel_RIE[[#This Row],[R22]],Tabel_RIE[[#This Row],[R12]])</f>
        <v>3</v>
      </c>
    </row>
    <row r="31" spans="1:39" ht="57" x14ac:dyDescent="0.2">
      <c r="B31" s="118">
        <v>25</v>
      </c>
      <c r="C31" s="58" t="s">
        <v>225</v>
      </c>
      <c r="D31" s="58" t="s">
        <v>217</v>
      </c>
      <c r="E31" s="58" t="s">
        <v>143</v>
      </c>
      <c r="F31" s="58" t="s">
        <v>91</v>
      </c>
      <c r="G31" s="119" t="s">
        <v>218</v>
      </c>
      <c r="H31" s="63" t="s">
        <v>236</v>
      </c>
      <c r="I31" s="58" t="s">
        <v>237</v>
      </c>
      <c r="J31" s="58" t="s">
        <v>238</v>
      </c>
      <c r="K31" s="120" t="s">
        <v>118</v>
      </c>
      <c r="L31" s="121">
        <f>IF(Tabel_RIE[[#This Row],[E1]]&gt;0,VLOOKUP(Tabel_RIE[[#This Row],[E1]],Tabel_FK_E[],2,FALSE),"")</f>
        <v>1</v>
      </c>
      <c r="M31" s="120" t="s">
        <v>147</v>
      </c>
      <c r="N31" s="122">
        <f>IF(Tabel_RIE[[#This Row],[B1]]&gt;0,VLOOKUP(Tabel_RIE[[#This Row],[B1]],Tabel_FK_B[],2,FALSE),"")</f>
        <v>10</v>
      </c>
      <c r="O31" s="120" t="s">
        <v>164</v>
      </c>
      <c r="P31" s="122">
        <f>IF(Tabel_RIE[[#This Row],[W1]]&gt;0,VLOOKUP(Tabel_RIE[[#This Row],[W1]],Tabel_FK_W[],2,FALSE),"")</f>
        <v>0.5</v>
      </c>
      <c r="Q3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1" s="122">
        <f>IF(OR(Tabel_RIE[[#This Row],[E12]]="",Tabel_RIE[[#This Row],[B12]]="",Tabel_RIE[[#This Row],[W12]]=""),"",Tabel_RIE[[#This Row],[E12]]*Tabel_RIE[[#This Row],[B12]]*Tabel_RIE[[#This Row],[W12]])</f>
        <v>5</v>
      </c>
      <c r="S31" s="124" t="str">
        <f>IF(AND(Tabel_RIE[[#This Row],[E12]]="",Tabel_RIE[[#This Row],[R12]]=""),"",IF(AND(OR(Tabel_RIE[[#This Row],[E12]]="",Tabel_RIE[[#This Row],[E12]]&lt;15),OR(Tabel_RIE[[#This Row],[R12]]="",Tabel_RIE[[#This Row],[R12]]&lt;70)),"n.v.t.",IF(OR(Tabel_RIE[[#This Row],[E12]]&gt;=15,Tabel_RIE[[#This Row],[R12]]&gt;=70),"√","fout")))</f>
        <v>n.v.t.</v>
      </c>
      <c r="T31" s="125" t="s">
        <v>99</v>
      </c>
      <c r="U31" s="58" t="s">
        <v>239</v>
      </c>
      <c r="V31" s="126"/>
      <c r="W31" s="127"/>
      <c r="X31" s="128" t="str">
        <f t="shared" si="0"/>
        <v>Bronaanpak:
Collectieve maatregelen:
Individuele maatregelen:
PBM's:</v>
      </c>
      <c r="Y31" s="119"/>
      <c r="Z31" s="129"/>
      <c r="AA31" s="125"/>
      <c r="AB31" s="122" t="str">
        <f>IF(Tabel_RIE[[#This Row],[E2]]&gt;0,VLOOKUP(Tabel_RIE[[#This Row],[E2]],Tabel_FK_E[],2,FALSE),"")</f>
        <v/>
      </c>
      <c r="AC31" s="125"/>
      <c r="AD31" s="122" t="str">
        <f>IF(Tabel_RIE[[#This Row],[B2]]&gt;0,VLOOKUP(Tabel_RIE[[#This Row],[B2]],Tabel_FK_B[],2,FALSE),"")</f>
        <v/>
      </c>
      <c r="AE31" s="125"/>
      <c r="AF31" s="122" t="str">
        <f>IF(Tabel_RIE[[#This Row],[W2]]&gt;0,VLOOKUP(Tabel_RIE[[#This Row],[W2]],Tabel_FK_W[],2,FALSE),"")</f>
        <v/>
      </c>
      <c r="AG3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 s="122"/>
      <c r="AI31" s="119"/>
      <c r="AJ31" s="127"/>
      <c r="AK3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31" s="130" t="str">
        <f>IF(AND(Tabel_RIE[[#This Row],[R12]]&gt;=70,Tabel_RIE[[#This Row],[R22]]&lt;70),"Ja","Nee")</f>
        <v>Nee</v>
      </c>
      <c r="AM31" s="130">
        <f>IF(Tabel_RIE[[#This Row],[R22]]&lt;&gt;"",Tabel_RIE[[#This Row],[R22]],Tabel_RIE[[#This Row],[R12]])</f>
        <v>5</v>
      </c>
    </row>
    <row r="32" spans="1:39" x14ac:dyDescent="0.2">
      <c r="B32" s="118"/>
      <c r="C32" s="58"/>
      <c r="D32" s="58"/>
      <c r="E32" s="58"/>
      <c r="F32" s="58"/>
      <c r="G32" s="119"/>
      <c r="H32" s="63"/>
      <c r="I32" s="58"/>
      <c r="J32" s="58"/>
      <c r="K32" s="120"/>
      <c r="L32" s="121"/>
      <c r="M32" s="120"/>
      <c r="N32" s="122"/>
      <c r="O32" s="120"/>
      <c r="P32" s="122"/>
      <c r="Q32" s="123"/>
      <c r="R32" s="122"/>
      <c r="S32" s="124"/>
      <c r="T32" s="125"/>
      <c r="U32" s="58"/>
      <c r="V32" s="126"/>
      <c r="W32" s="127"/>
      <c r="X32" s="128"/>
      <c r="Y32" s="119"/>
      <c r="Z32" s="129"/>
      <c r="AA32" s="125"/>
      <c r="AB32" s="122"/>
      <c r="AC32" s="125"/>
      <c r="AD32" s="122"/>
      <c r="AE32" s="125"/>
      <c r="AF32" s="122"/>
      <c r="AG32" s="88"/>
      <c r="AH32" s="122"/>
      <c r="AI32" s="119"/>
      <c r="AJ32" s="127"/>
      <c r="AK32" s="130"/>
      <c r="AL32" s="130"/>
      <c r="AM32" s="130"/>
    </row>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phoneticPr fontId="32" type="noConversion"/>
  <conditionalFormatting sqref="R7:R32">
    <cfRule type="containsBlanks" priority="2" stopIfTrue="1">
      <formula>LEN(TRIM(R7))=0</formula>
    </cfRule>
    <cfRule type="expression" dxfId="10" priority="3">
      <formula>R7&lt;20</formula>
    </cfRule>
    <cfRule type="expression" dxfId="9" priority="5">
      <formula>AND(R7&gt;=20,R7&lt;70)</formula>
    </cfRule>
    <cfRule type="expression" dxfId="8" priority="6">
      <formula>AND(R7&gt;=70,R7&lt;200)</formula>
    </cfRule>
    <cfRule type="expression" dxfId="7" priority="7">
      <formula>AND(R7&gt;=200,R7&lt;400)</formula>
    </cfRule>
    <cfRule type="expression" dxfId="6" priority="8">
      <formula>R7&gt;=400</formula>
    </cfRule>
  </conditionalFormatting>
  <conditionalFormatting sqref="S7:S32">
    <cfRule type="containsText" dxfId="5" priority="1" operator="containsText" text="√">
      <formula>NOT(ISERROR(SEARCH("√",S7)))</formula>
    </cfRule>
  </conditionalFormatting>
  <conditionalFormatting sqref="AH7:AH32">
    <cfRule type="containsBlanks" priority="236" stopIfTrue="1">
      <formula>LEN(TRIM(AH7))=0</formula>
    </cfRule>
    <cfRule type="expression" dxfId="4" priority="237">
      <formula>AH7&lt;20</formula>
    </cfRule>
    <cfRule type="expression" dxfId="3" priority="238">
      <formula>AND(AH7&gt;=20,AH7&lt;70)</formula>
    </cfRule>
    <cfRule type="expression" dxfId="2" priority="239">
      <formula>AND(AH7&gt;=70,AH7&lt;200)</formula>
    </cfRule>
    <cfRule type="expression" dxfId="1" priority="2539">
      <formula>AND(AH7&gt;=200,AH7&lt;400)</formula>
    </cfRule>
    <cfRule type="expression" dxfId="0" priority="2540">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D8"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AA7:AA32 K7:K32" xr:uid="{00000000-0002-0000-0200-000017000000}">
      <formula1>FK_E</formula1>
    </dataValidation>
    <dataValidation type="list" allowBlank="1" showInputMessage="1" showErrorMessage="1" sqref="AC7:AC32 M7:M32" xr:uid="{00000000-0002-0000-0200-000018000000}">
      <formula1>FK_B</formula1>
    </dataValidation>
    <dataValidation type="list" allowBlank="1" showInputMessage="1" showErrorMessage="1" sqref="AE7:AE32 O7:O32" xr:uid="{00000000-0002-0000-0200-000019000000}">
      <formula1>FK_W</formula1>
    </dataValidation>
    <dataValidation type="list" allowBlank="1" showInputMessage="1" showErrorMessage="1" sqref="V7:V32" xr:uid="{00000000-0002-0000-0200-00001A000000}">
      <formula1>"nog niets gepland,Ingepland,In uitvoering,Afgerond"</formula1>
    </dataValidation>
    <dataValidation type="list" allowBlank="1" showInputMessage="1" showErrorMessage="1" sqref="T7:T32" xr:uid="{00000000-0002-0000-0200-00001B000000}">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4"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D23:D24 D9:D10 D26 D12:D15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4" x14ac:dyDescent="0.2"/>
  <cols>
    <col min="1" max="1" width="2.59765625" customWidth="1"/>
    <col min="17" max="17" width="2.59765625" customWidth="1"/>
    <col min="21" max="21" width="9" customWidth="1"/>
    <col min="22" max="22" width="43.09765625" style="1" bestFit="1" customWidth="1"/>
    <col min="23" max="23" width="12" style="1" bestFit="1" customWidth="1"/>
    <col min="24" max="24" width="19.69921875" style="1" bestFit="1" customWidth="1"/>
  </cols>
  <sheetData>
    <row r="1" spans="2:24" ht="84.75" customHeight="1" x14ac:dyDescent="0.2">
      <c r="B1" s="157" t="s">
        <v>240</v>
      </c>
      <c r="C1" s="192"/>
      <c r="D1" s="192"/>
      <c r="E1" s="192"/>
      <c r="F1" s="192"/>
      <c r="G1" s="192"/>
      <c r="H1" s="192"/>
      <c r="I1" s="192"/>
      <c r="J1" s="192"/>
      <c r="K1" s="192"/>
      <c r="L1" s="192"/>
      <c r="M1" s="192"/>
      <c r="N1" s="192"/>
      <c r="O1" s="192"/>
      <c r="P1" s="192"/>
    </row>
    <row r="2" spans="2:24" x14ac:dyDescent="0.2">
      <c r="B2" s="1"/>
      <c r="C2" s="3"/>
      <c r="D2" s="9"/>
      <c r="E2" s="10"/>
    </row>
    <row r="3" spans="2:24" x14ac:dyDescent="0.2">
      <c r="V3" s="134"/>
      <c r="W3" s="134" t="s">
        <v>241</v>
      </c>
      <c r="X3" s="134" t="s">
        <v>242</v>
      </c>
    </row>
    <row r="4" spans="2:24" x14ac:dyDescent="0.2">
      <c r="V4" s="135" t="s">
        <v>243</v>
      </c>
      <c r="W4" s="136">
        <f>COUNTIF(Tabel_RIE[R12],"&gt;=400")</f>
        <v>0</v>
      </c>
      <c r="X4" s="136">
        <f>COUNTIF(Tabel_RIE[R-actueel],"&gt;=400")</f>
        <v>0</v>
      </c>
    </row>
    <row r="5" spans="2:24" x14ac:dyDescent="0.2">
      <c r="V5" s="135" t="s">
        <v>244</v>
      </c>
      <c r="W5" s="136">
        <f>COUNTIFS(Tabel_RIE[R12],"&gt;=200",Tabel_RIE[R12],"&lt;400")</f>
        <v>5</v>
      </c>
      <c r="X5" s="136">
        <f>COUNTIFS(Tabel_RIE[R-actueel],"&gt;=200",Tabel_RIE[R-actueel],"&lt;400")</f>
        <v>5</v>
      </c>
    </row>
    <row r="6" spans="2:24" x14ac:dyDescent="0.2">
      <c r="V6" s="135" t="s">
        <v>245</v>
      </c>
      <c r="W6" s="136">
        <f>COUNTIFS(Tabel_RIE[R12],"&gt;=70",Tabel_RIE[R12],"&lt;200")</f>
        <v>8</v>
      </c>
      <c r="X6" s="136">
        <f>COUNTIFS(Tabel_RIE[R-actueel],"&gt;=70",Tabel_RIE[R-actueel],"&lt;200")</f>
        <v>8</v>
      </c>
    </row>
    <row r="7" spans="2:24" x14ac:dyDescent="0.2">
      <c r="V7" s="135" t="s">
        <v>246</v>
      </c>
      <c r="W7" s="136">
        <f>COUNTIFS(Tabel_RIE[R12],"&gt;=20",Tabel_RIE[R12],"&lt;70")</f>
        <v>7</v>
      </c>
      <c r="X7" s="136">
        <f>COUNTIFS(Tabel_RIE[R-actueel],"&gt;=20",Tabel_RIE[R-actueel],"&lt;70")</f>
        <v>7</v>
      </c>
    </row>
    <row r="8" spans="2:24" x14ac:dyDescent="0.2">
      <c r="V8" s="135" t="s">
        <v>247</v>
      </c>
      <c r="W8" s="136">
        <f>COUNTIF(Tabel_RIE[R12],"&lt;20")</f>
        <v>5</v>
      </c>
      <c r="X8" s="136">
        <f>COUNTIF(Tabel_RIE[R-actueel],"&lt;20")</f>
        <v>5</v>
      </c>
    </row>
    <row r="34" spans="22:23" x14ac:dyDescent="0.2">
      <c r="V34" s="134"/>
      <c r="W34" s="137" t="s">
        <v>248</v>
      </c>
    </row>
    <row r="35" spans="22:23" x14ac:dyDescent="0.2">
      <c r="V35" s="138" t="s">
        <v>249</v>
      </c>
      <c r="W35" s="139">
        <f>COUNTIF(Tabel_RIE[R-volledig],"Ja")</f>
        <v>25</v>
      </c>
    </row>
    <row r="36" spans="22:23" x14ac:dyDescent="0.2">
      <c r="V36" s="138" t="s">
        <v>250</v>
      </c>
      <c r="W36" s="139">
        <f>COUNTIF(Tabel_RIE[R-volledig],"Nee")</f>
        <v>0</v>
      </c>
    </row>
    <row r="39" spans="22:23" x14ac:dyDescent="0.2">
      <c r="V39" s="134"/>
      <c r="W39" s="137" t="s">
        <v>248</v>
      </c>
    </row>
    <row r="40" spans="22:23" x14ac:dyDescent="0.2">
      <c r="V40" s="138" t="s">
        <v>251</v>
      </c>
      <c r="W40" s="139">
        <f>COUNTIF(Tabel_RIE[Reductie],"Ja")</f>
        <v>12</v>
      </c>
    </row>
    <row r="41" spans="22:23" x14ac:dyDescent="0.2">
      <c r="V41" s="138" t="s">
        <v>252</v>
      </c>
      <c r="W41" s="139">
        <f>COUNTIF(Tabel_RIE[Reductie],"Nee")</f>
        <v>13</v>
      </c>
    </row>
    <row r="48" spans="22:23" x14ac:dyDescent="0.2">
      <c r="V48" s="134"/>
      <c r="W48" s="137" t="s">
        <v>248</v>
      </c>
    </row>
    <row r="49" spans="22:23" x14ac:dyDescent="0.2">
      <c r="V49" s="138" t="s">
        <v>253</v>
      </c>
      <c r="W49" s="140" t="e">
        <f>COUNTIF(#REF!,V49)</f>
        <v>#REF!</v>
      </c>
    </row>
    <row r="50" spans="22:23" x14ac:dyDescent="0.2">
      <c r="V50" s="138" t="s">
        <v>254</v>
      </c>
      <c r="W50" s="140" t="e">
        <f>COUNTIF(#REF!,V50)</f>
        <v>#REF!</v>
      </c>
    </row>
    <row r="51" spans="22:23" x14ac:dyDescent="0.2">
      <c r="V51" s="138" t="s">
        <v>255</v>
      </c>
      <c r="W51" s="140" t="e">
        <f>COUNTIF(#REF!,V51)</f>
        <v>#REF!</v>
      </c>
    </row>
    <row r="52" spans="22:23" x14ac:dyDescent="0.2">
      <c r="V52" s="138" t="s">
        <v>256</v>
      </c>
      <c r="W52" s="140" t="e">
        <f>COUNTIF(#REF!,V52)</f>
        <v>#REF!</v>
      </c>
    </row>
    <row r="58" spans="22:23" x14ac:dyDescent="0.2">
      <c r="V58" s="134"/>
      <c r="W58" s="137" t="s">
        <v>248</v>
      </c>
    </row>
    <row r="59" spans="22:23" x14ac:dyDescent="0.2">
      <c r="V59" s="138" t="s">
        <v>118</v>
      </c>
      <c r="W59" s="140">
        <f>COUNTIF(Tabel_RIE[E1],V59)</f>
        <v>3</v>
      </c>
    </row>
    <row r="60" spans="22:23" x14ac:dyDescent="0.2">
      <c r="V60" s="138" t="s">
        <v>111</v>
      </c>
      <c r="W60" s="140">
        <f>COUNTIF(Tabel_RIE[E1],V60)</f>
        <v>11</v>
      </c>
    </row>
    <row r="61" spans="22:23" x14ac:dyDescent="0.2">
      <c r="V61" s="138" t="s">
        <v>177</v>
      </c>
      <c r="W61" s="140">
        <f>COUNTIF(Tabel_RIE[E1],V61)</f>
        <v>5</v>
      </c>
    </row>
    <row r="62" spans="22:23" x14ac:dyDescent="0.2">
      <c r="V62" s="138" t="s">
        <v>96</v>
      </c>
      <c r="W62" s="140">
        <f>COUNTIF(Tabel_RIE[E1],V62)</f>
        <v>6</v>
      </c>
    </row>
    <row r="63" spans="22:23" x14ac:dyDescent="0.2">
      <c r="V63" s="138" t="s">
        <v>257</v>
      </c>
      <c r="W63" s="140">
        <f>COUNTIF(Tabel_RIE[E1],V63)</f>
        <v>0</v>
      </c>
    </row>
  </sheetData>
  <mergeCells count="1">
    <mergeCell ref="B1:P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258</v>
      </c>
    </row>
    <row r="5" spans="2:2" s="45" customFormat="1" ht="178.2" x14ac:dyDescent="0.3">
      <c r="B5" s="38" t="s">
        <v>259</v>
      </c>
    </row>
    <row r="6" spans="2:2" s="45" customFormat="1" ht="11.25" customHeight="1" x14ac:dyDescent="0.3">
      <c r="B6" s="38"/>
    </row>
    <row r="7" spans="2:2" s="45" customFormat="1" ht="57" customHeight="1" x14ac:dyDescent="0.3"/>
    <row r="8" spans="2:2" s="45" customFormat="1" ht="16.2" x14ac:dyDescent="0.3"/>
    <row r="9" spans="2:2" s="45" customFormat="1" ht="16.2" x14ac:dyDescent="0.3"/>
    <row r="10" spans="2:2" s="45" customFormat="1" ht="16.2" x14ac:dyDescent="0.3"/>
    <row r="11" spans="2:2" s="45" customFormat="1" ht="16.2" x14ac:dyDescent="0.3"/>
    <row r="12" spans="2:2" s="45" customFormat="1" ht="16.2" x14ac:dyDescent="0.3"/>
    <row r="13" spans="2:2" s="45" customFormat="1" ht="16.2" x14ac:dyDescent="0.3"/>
    <row r="14" spans="2:2" s="45" customFormat="1" ht="16.2" x14ac:dyDescent="0.3"/>
    <row r="15" spans="2:2" s="45" customFormat="1" ht="16.2" x14ac:dyDescent="0.3"/>
    <row r="16" spans="2:2" s="45" customFormat="1" ht="16.2" x14ac:dyDescent="0.3"/>
    <row r="17" s="45" customFormat="1" ht="16.2" x14ac:dyDescent="0.3"/>
    <row r="18" s="45" customFormat="1" ht="16.2" x14ac:dyDescent="0.3"/>
    <row r="19" s="45" customFormat="1" ht="16.2" x14ac:dyDescent="0.3"/>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C15" sqref="C15"/>
    </sheetView>
  </sheetViews>
  <sheetFormatPr defaultColWidth="9" defaultRowHeight="11.4" x14ac:dyDescent="0.2"/>
  <cols>
    <col min="1" max="1" width="9" style="1"/>
    <col min="2" max="2" width="27.59765625" style="1" customWidth="1"/>
    <col min="3" max="3" width="78.59765625" style="1" customWidth="1"/>
    <col min="4" max="7" width="9" style="1"/>
    <col min="8" max="8" width="105.59765625" style="1" hidden="1" customWidth="1"/>
    <col min="9" max="16384" width="9" style="1"/>
  </cols>
  <sheetData>
    <row r="2" spans="2:8" ht="57" customHeight="1" x14ac:dyDescent="0.2"/>
    <row r="3" spans="2:8" ht="28.2" x14ac:dyDescent="0.45">
      <c r="B3" s="7" t="s">
        <v>33</v>
      </c>
    </row>
    <row r="5" spans="2:8" ht="32.4" x14ac:dyDescent="0.2">
      <c r="B5" s="193" t="s">
        <v>260</v>
      </c>
      <c r="C5" s="194"/>
      <c r="H5" s="41" t="str">
        <f t="shared" ref="H5:H7" si="0">B5</f>
        <v xml:space="preserve">Kies in kolom “Veiligheidsdomein” uit het keuzemenu de relevante veiligheidsdomein die betrekking heeft op het risico. </v>
      </c>
    </row>
    <row r="6" spans="2:8" ht="16.2" x14ac:dyDescent="0.2">
      <c r="B6" s="41"/>
      <c r="C6" s="42"/>
      <c r="H6" s="41"/>
    </row>
    <row r="7" spans="2:8" ht="16.2" x14ac:dyDescent="0.2">
      <c r="B7" s="195" t="s">
        <v>261</v>
      </c>
      <c r="C7" s="196"/>
      <c r="H7" s="41" t="str">
        <f t="shared" si="0"/>
        <v>Definities veiligheidsdomeinen</v>
      </c>
    </row>
    <row r="8" spans="2:8" ht="11.25" customHeight="1" x14ac:dyDescent="0.2">
      <c r="B8" s="43"/>
      <c r="C8" s="44"/>
      <c r="H8" s="41"/>
    </row>
    <row r="9" spans="2:8" ht="32.4" x14ac:dyDescent="0.2">
      <c r="B9" s="193" t="s">
        <v>262</v>
      </c>
      <c r="C9" s="194"/>
      <c r="H9" s="41" t="str">
        <f>B9</f>
        <v>NB Onderstaande veiligheidsdomeinen zijn van toepassing gedurende alle levensfasen van een object (kunstwerk, (vaar)wegvak, machine, installatie, etc.)</v>
      </c>
    </row>
    <row r="11" spans="2:8" ht="64.8" x14ac:dyDescent="0.2">
      <c r="B11" s="43" t="s">
        <v>89</v>
      </c>
      <c r="C11" s="41" t="s">
        <v>263</v>
      </c>
    </row>
    <row r="12" spans="2:8" ht="48.6" x14ac:dyDescent="0.2">
      <c r="B12" s="43" t="s">
        <v>219</v>
      </c>
      <c r="C12" s="41" t="s">
        <v>264</v>
      </c>
    </row>
    <row r="13" spans="2:8" ht="48.6" x14ac:dyDescent="0.2">
      <c r="B13" s="43" t="s">
        <v>265</v>
      </c>
      <c r="C13" s="41" t="s">
        <v>266</v>
      </c>
    </row>
    <row r="14" spans="2:8" ht="48.6" x14ac:dyDescent="0.2">
      <c r="B14" s="43" t="s">
        <v>267</v>
      </c>
      <c r="C14" s="41" t="s">
        <v>268</v>
      </c>
    </row>
    <row r="15" spans="2:8" ht="64.8" x14ac:dyDescent="0.2">
      <c r="B15" s="43" t="s">
        <v>193</v>
      </c>
      <c r="C15" s="41" t="s">
        <v>269</v>
      </c>
    </row>
    <row r="16" spans="2:8" ht="30" customHeight="1" x14ac:dyDescent="0.2">
      <c r="B16" s="43" t="s">
        <v>204</v>
      </c>
      <c r="C16" s="41" t="s">
        <v>270</v>
      </c>
    </row>
    <row r="17" spans="2:3" ht="48.6" x14ac:dyDescent="0.2">
      <c r="B17" s="43" t="s">
        <v>185</v>
      </c>
      <c r="C17" s="41" t="s">
        <v>271</v>
      </c>
    </row>
    <row r="18" spans="2:3" ht="48.6" x14ac:dyDescent="0.2">
      <c r="B18" s="43" t="s">
        <v>272</v>
      </c>
      <c r="C18" s="41" t="s">
        <v>273</v>
      </c>
    </row>
    <row r="19" spans="2:3" ht="48.6" x14ac:dyDescent="0.2">
      <c r="B19" s="43" t="s">
        <v>235</v>
      </c>
      <c r="C19" s="41" t="s">
        <v>274</v>
      </c>
    </row>
    <row r="20" spans="2:3" ht="81" x14ac:dyDescent="0.2">
      <c r="B20" s="43" t="s">
        <v>217</v>
      </c>
      <c r="C20" s="41" t="s">
        <v>275</v>
      </c>
    </row>
    <row r="21" spans="2:3" ht="16.2" x14ac:dyDescent="0.2">
      <c r="B21" s="43" t="s">
        <v>276</v>
      </c>
      <c r="C21" s="41" t="s">
        <v>277</v>
      </c>
    </row>
    <row r="22" spans="2:3" ht="81" x14ac:dyDescent="0.2">
      <c r="B22" s="43" t="s">
        <v>199</v>
      </c>
      <c r="C22" s="41" t="s">
        <v>278</v>
      </c>
    </row>
    <row r="23" spans="2:3" ht="57" customHeight="1" x14ac:dyDescent="0.2"/>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Q12" sqref="Q12"/>
    </sheetView>
  </sheetViews>
  <sheetFormatPr defaultColWidth="9" defaultRowHeight="11.4" x14ac:dyDescent="0.2"/>
  <cols>
    <col min="1" max="1" width="9" style="1"/>
    <col min="2" max="2" width="40.59765625" style="1" customWidth="1"/>
    <col min="3" max="3" width="65.59765625" style="1" customWidth="1"/>
    <col min="4" max="7" width="9" style="1"/>
    <col min="8" max="8" width="105.59765625" style="1" hidden="1" customWidth="1"/>
    <col min="9" max="16384" width="9" style="1"/>
  </cols>
  <sheetData>
    <row r="2" spans="2:9" ht="57" customHeight="1" x14ac:dyDescent="0.2"/>
    <row r="3" spans="2:9" ht="28.2" x14ac:dyDescent="0.45">
      <c r="B3" s="7" t="s">
        <v>59</v>
      </c>
    </row>
    <row r="5" spans="2:9" ht="111.75" customHeight="1" x14ac:dyDescent="0.2">
      <c r="B5" s="197" t="s">
        <v>279</v>
      </c>
      <c r="C5" s="198"/>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x14ac:dyDescent="0.2">
      <c r="B6" s="38"/>
      <c r="C6" s="46"/>
      <c r="H6" s="38"/>
      <c r="I6" s="46"/>
    </row>
    <row r="7" spans="2:9" ht="16.2" x14ac:dyDescent="0.3">
      <c r="B7" s="15" t="s">
        <v>280</v>
      </c>
    </row>
    <row r="8" spans="2:9" ht="32.4" x14ac:dyDescent="0.3">
      <c r="B8" s="14" t="s">
        <v>281</v>
      </c>
    </row>
    <row r="9" spans="2:9" ht="32.4" x14ac:dyDescent="0.3">
      <c r="B9" s="14" t="s">
        <v>282</v>
      </c>
    </row>
    <row r="10" spans="2:9" ht="32.4" x14ac:dyDescent="0.3">
      <c r="B10" s="14" t="s">
        <v>283</v>
      </c>
    </row>
    <row r="11" spans="2:9" ht="32.4" x14ac:dyDescent="0.3">
      <c r="B11" s="14" t="s">
        <v>284</v>
      </c>
    </row>
    <row r="12" spans="2:9" ht="32.4" x14ac:dyDescent="0.3">
      <c r="B12" s="14" t="s">
        <v>285</v>
      </c>
    </row>
    <row r="13" spans="2:9" ht="11.25" customHeight="1" x14ac:dyDescent="0.2"/>
    <row r="14" spans="2:9" ht="57" customHeight="1" x14ac:dyDescent="0.2"/>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ColWidth="9" defaultRowHeight="11.4" x14ac:dyDescent="0.2"/>
  <cols>
    <col min="1" max="1" width="9" style="1"/>
    <col min="2" max="3" width="40.59765625" style="1" customWidth="1"/>
    <col min="4" max="4" width="15.59765625" style="1" customWidth="1"/>
    <col min="5" max="7" width="9" style="1"/>
    <col min="8" max="8" width="105.59765625" style="1" hidden="1" customWidth="1"/>
    <col min="9" max="16384" width="9" style="1"/>
  </cols>
  <sheetData>
    <row r="2" spans="2:8" ht="57" customHeight="1" x14ac:dyDescent="0.2"/>
    <row r="3" spans="2:8" ht="28.2" x14ac:dyDescent="0.45">
      <c r="B3" s="7" t="s">
        <v>60</v>
      </c>
    </row>
    <row r="5" spans="2:8" ht="308.25" customHeight="1" x14ac:dyDescent="0.3">
      <c r="B5" s="197" t="s">
        <v>286</v>
      </c>
      <c r="C5" s="198"/>
      <c r="D5" s="198"/>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6.2" x14ac:dyDescent="0.3">
      <c r="B6" s="38"/>
      <c r="C6" s="46"/>
      <c r="D6" s="46"/>
      <c r="H6" s="8"/>
    </row>
    <row r="7" spans="2:8" ht="16.2" x14ac:dyDescent="0.2">
      <c r="B7" s="17" t="s">
        <v>280</v>
      </c>
      <c r="C7" s="17" t="s">
        <v>60</v>
      </c>
    </row>
    <row r="8" spans="2:8" ht="32.4" x14ac:dyDescent="0.2">
      <c r="B8" s="36" t="s">
        <v>281</v>
      </c>
      <c r="C8" s="36" t="s">
        <v>287</v>
      </c>
    </row>
    <row r="9" spans="2:8" ht="32.4" x14ac:dyDescent="0.2">
      <c r="B9" s="36" t="s">
        <v>282</v>
      </c>
      <c r="C9" s="36" t="s">
        <v>288</v>
      </c>
    </row>
    <row r="10" spans="2:8" ht="32.4" x14ac:dyDescent="0.2">
      <c r="B10" s="36" t="s">
        <v>283</v>
      </c>
      <c r="C10" s="36" t="s">
        <v>289</v>
      </c>
    </row>
    <row r="11" spans="2:8" ht="32.4" x14ac:dyDescent="0.2">
      <c r="B11" s="36" t="s">
        <v>284</v>
      </c>
      <c r="C11" s="36" t="s">
        <v>290</v>
      </c>
    </row>
    <row r="12" spans="2:8" ht="32.4" x14ac:dyDescent="0.2">
      <c r="B12" s="36" t="s">
        <v>285</v>
      </c>
      <c r="C12" s="36" t="s">
        <v>291</v>
      </c>
    </row>
    <row r="13" spans="2:8" ht="11.25" customHeight="1" x14ac:dyDescent="0.2"/>
    <row r="14" spans="2:8" ht="57" customHeight="1" x14ac:dyDescent="0.2"/>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ColWidth="9" defaultRowHeight="11.4" x14ac:dyDescent="0.2"/>
  <cols>
    <col min="1" max="1" width="9" style="1"/>
    <col min="2" max="2" width="18.09765625" style="46" customWidth="1"/>
    <col min="3" max="7" width="18.09765625" style="1" customWidth="1"/>
    <col min="8" max="11" width="9" style="1"/>
    <col min="12" max="12" width="107.59765625" style="1" hidden="1" customWidth="1"/>
    <col min="13" max="16384" width="9" style="1"/>
  </cols>
  <sheetData>
    <row r="1" spans="2:17" x14ac:dyDescent="0.2">
      <c r="B1" s="12"/>
      <c r="C1"/>
      <c r="D1"/>
      <c r="E1"/>
      <c r="F1"/>
      <c r="G1"/>
    </row>
    <row r="2" spans="2:17" ht="45.75" customHeight="1" x14ac:dyDescent="0.2">
      <c r="B2" s="12"/>
      <c r="C2"/>
      <c r="D2"/>
      <c r="E2"/>
      <c r="F2"/>
      <c r="G2"/>
    </row>
    <row r="3" spans="2:17" ht="28.2" x14ac:dyDescent="0.45">
      <c r="B3" s="6" t="s">
        <v>292</v>
      </c>
      <c r="C3"/>
      <c r="D3"/>
      <c r="E3"/>
      <c r="F3"/>
      <c r="G3"/>
    </row>
    <row r="4" spans="2:17" ht="11.25" customHeight="1" x14ac:dyDescent="0.45">
      <c r="B4" s="6"/>
      <c r="C4"/>
      <c r="D4"/>
      <c r="E4"/>
      <c r="F4"/>
      <c r="G4"/>
    </row>
    <row r="5" spans="2:17" ht="162" x14ac:dyDescent="0.2">
      <c r="B5" s="199" t="s">
        <v>293</v>
      </c>
      <c r="C5" s="199"/>
      <c r="D5" s="199"/>
      <c r="E5" s="199"/>
      <c r="F5" s="199"/>
      <c r="G5" s="199"/>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x14ac:dyDescent="0.45">
      <c r="B6" s="11"/>
      <c r="C6"/>
      <c r="D6"/>
      <c r="E6"/>
      <c r="F6"/>
      <c r="G6"/>
    </row>
    <row r="7" spans="2:17" ht="45" customHeight="1" x14ac:dyDescent="0.2">
      <c r="B7" s="199" t="s">
        <v>294</v>
      </c>
      <c r="C7" s="199"/>
      <c r="D7" s="199"/>
      <c r="E7" s="199"/>
      <c r="F7" s="199"/>
      <c r="G7" s="199"/>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x14ac:dyDescent="0.2">
      <c r="B8" s="199" t="s">
        <v>295</v>
      </c>
      <c r="C8" s="199"/>
      <c r="D8" s="199"/>
      <c r="E8" s="199"/>
      <c r="F8" s="199"/>
      <c r="G8" s="199"/>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x14ac:dyDescent="0.2">
      <c r="B9" s="200" t="s">
        <v>296</v>
      </c>
      <c r="C9" s="200"/>
      <c r="D9" s="200"/>
      <c r="E9" s="200"/>
      <c r="F9" s="200"/>
      <c r="G9" s="200"/>
      <c r="L9" s="50" t="str">
        <f t="shared" si="0"/>
        <v>* Bron: Wat maakt gevaar tot risico?, Het begrip ‘risico’ verklaard, Wim van Alphen, 2016, Dick Oosthuizen en Gerben Feslinga</v>
      </c>
      <c r="M9" s="51"/>
      <c r="N9" s="51"/>
      <c r="O9" s="51"/>
      <c r="P9" s="51"/>
      <c r="Q9" s="51"/>
    </row>
    <row r="10" spans="2:17" ht="11.25" customHeight="1" x14ac:dyDescent="0.2">
      <c r="B10" s="12"/>
      <c r="C10"/>
      <c r="D10"/>
      <c r="E10"/>
      <c r="F10"/>
      <c r="G10"/>
    </row>
    <row r="11" spans="2:17" ht="45" customHeight="1" x14ac:dyDescent="0.2">
      <c r="B11" s="199" t="s">
        <v>297</v>
      </c>
      <c r="C11" s="199"/>
      <c r="D11" s="199"/>
      <c r="E11" s="199"/>
      <c r="F11" s="199"/>
      <c r="G11" s="199"/>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x14ac:dyDescent="0.2">
      <c r="B12" s="199" t="s">
        <v>298</v>
      </c>
      <c r="C12" s="199"/>
      <c r="D12" s="199"/>
      <c r="E12" s="199"/>
      <c r="F12" s="199"/>
      <c r="G12" s="199"/>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x14ac:dyDescent="0.2">
      <c r="B13" s="13"/>
      <c r="C13" s="12"/>
      <c r="D13" s="12"/>
      <c r="E13" s="12"/>
      <c r="F13" s="12"/>
      <c r="G13" s="12"/>
      <c r="L13" s="38"/>
      <c r="M13" s="46"/>
      <c r="N13" s="46"/>
      <c r="O13" s="46"/>
      <c r="P13" s="46"/>
      <c r="Q13" s="46"/>
    </row>
    <row r="14" spans="2:17" ht="25.2" x14ac:dyDescent="0.2">
      <c r="B14" s="18" t="s">
        <v>280</v>
      </c>
      <c r="C14" s="18" t="s">
        <v>299</v>
      </c>
      <c r="D14" s="18" t="s">
        <v>36</v>
      </c>
      <c r="E14" s="18" t="s">
        <v>300</v>
      </c>
      <c r="F14" s="18" t="s">
        <v>301</v>
      </c>
      <c r="G14" s="18" t="s">
        <v>50</v>
      </c>
    </row>
    <row r="15" spans="2:17" ht="63" x14ac:dyDescent="0.2">
      <c r="B15" s="16" t="s">
        <v>281</v>
      </c>
      <c r="C15" s="16" t="s">
        <v>287</v>
      </c>
      <c r="D15" s="16" t="s">
        <v>302</v>
      </c>
      <c r="E15" s="16" t="s">
        <v>303</v>
      </c>
      <c r="F15" s="16" t="s">
        <v>304</v>
      </c>
      <c r="G15" s="16" t="s">
        <v>305</v>
      </c>
    </row>
    <row r="16" spans="2:17" ht="50.4" x14ac:dyDescent="0.2">
      <c r="B16" s="16" t="s">
        <v>282</v>
      </c>
      <c r="C16" s="16" t="s">
        <v>288</v>
      </c>
      <c r="D16" s="16" t="s">
        <v>306</v>
      </c>
      <c r="E16" s="16" t="s">
        <v>307</v>
      </c>
      <c r="F16" s="16" t="s">
        <v>308</v>
      </c>
      <c r="G16" s="16" t="s">
        <v>309</v>
      </c>
    </row>
    <row r="17" spans="2:7" ht="63" x14ac:dyDescent="0.2">
      <c r="B17" s="16" t="s">
        <v>283</v>
      </c>
      <c r="C17" s="16" t="s">
        <v>289</v>
      </c>
      <c r="D17" s="16" t="s">
        <v>310</v>
      </c>
      <c r="E17" s="16" t="s">
        <v>311</v>
      </c>
      <c r="F17" s="16" t="s">
        <v>312</v>
      </c>
      <c r="G17" s="16" t="s">
        <v>313</v>
      </c>
    </row>
    <row r="18" spans="2:7" ht="50.4" x14ac:dyDescent="0.2">
      <c r="B18" s="16" t="s">
        <v>284</v>
      </c>
      <c r="C18" s="16" t="s">
        <v>290</v>
      </c>
      <c r="D18" s="16" t="s">
        <v>314</v>
      </c>
      <c r="E18" s="16" t="s">
        <v>315</v>
      </c>
      <c r="F18" s="16" t="s">
        <v>316</v>
      </c>
      <c r="G18" s="16" t="s">
        <v>309</v>
      </c>
    </row>
    <row r="19" spans="2:7" ht="50.4" x14ac:dyDescent="0.2">
      <c r="B19" s="16" t="s">
        <v>317</v>
      </c>
      <c r="C19" s="16" t="s">
        <v>291</v>
      </c>
      <c r="D19" s="16" t="s">
        <v>318</v>
      </c>
      <c r="E19" s="16" t="s">
        <v>319</v>
      </c>
      <c r="F19" s="16" t="s">
        <v>320</v>
      </c>
      <c r="G19" s="16" t="s">
        <v>305</v>
      </c>
    </row>
    <row r="21" spans="2:7" ht="57" customHeight="1" x14ac:dyDescent="0.2"/>
    <row r="22" spans="2:7" ht="16.2" x14ac:dyDescent="0.3">
      <c r="B22" s="8"/>
    </row>
    <row r="23" spans="2:7" ht="16.2" x14ac:dyDescent="0.3">
      <c r="B23" s="8"/>
    </row>
    <row r="24" spans="2:7" ht="16.2" x14ac:dyDescent="0.3">
      <c r="B24" s="8"/>
    </row>
    <row r="25" spans="2:7" ht="16.2" x14ac:dyDescent="0.3">
      <c r="B25" s="8"/>
    </row>
    <row r="26" spans="2:7" ht="16.2" x14ac:dyDescent="0.3">
      <c r="B26" s="8"/>
    </row>
    <row r="27" spans="2:7" ht="16.2" x14ac:dyDescent="0.3">
      <c r="B27" s="8"/>
    </row>
    <row r="28" spans="2:7" ht="16.2" x14ac:dyDescent="0.3">
      <c r="B28" s="8"/>
    </row>
    <row r="29" spans="2:7" ht="16.2" x14ac:dyDescent="0.3">
      <c r="B29" s="8"/>
    </row>
    <row r="30" spans="2:7" ht="16.2" x14ac:dyDescent="0.3">
      <c r="B30" s="8"/>
    </row>
    <row r="31" spans="2:7" ht="16.2" x14ac:dyDescent="0.3">
      <c r="B31" s="8"/>
    </row>
    <row r="32" spans="2:7" ht="16.2" x14ac:dyDescent="0.3">
      <c r="B32" s="8"/>
    </row>
    <row r="33" spans="2:2" ht="16.2" x14ac:dyDescent="0.3">
      <c r="B33" s="8"/>
    </row>
    <row r="34" spans="2:2" ht="16.2" x14ac:dyDescent="0.3">
      <c r="B34" s="8"/>
    </row>
    <row r="35" spans="2:2" x14ac:dyDescent="0.2">
      <c r="B35" s="1"/>
    </row>
    <row r="36" spans="2:2" ht="16.2" x14ac:dyDescent="0.3">
      <c r="B36" s="8"/>
    </row>
    <row r="37" spans="2:2" ht="16.2" x14ac:dyDescent="0.3">
      <c r="B37" s="8"/>
    </row>
    <row r="38" spans="2:2" ht="16.2" x14ac:dyDescent="0.3">
      <c r="B38" s="8"/>
    </row>
    <row r="39" spans="2:2" ht="16.2" x14ac:dyDescent="0.3">
      <c r="B39" s="8"/>
    </row>
    <row r="40" spans="2:2" ht="16.2" x14ac:dyDescent="0.3">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2554bf-a99f-47c3-a558-7046420a3042">
      <Terms xmlns="http://schemas.microsoft.com/office/infopath/2007/PartnerControls"/>
    </lcf76f155ced4ddcb4097134ff3c332f>
    <TaxCatchAll xmlns="3335faf6-0ef3-46ad-881d-ba8ec76b81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785E1B59FA2D40AF476A3E4B8415F4" ma:contentTypeVersion="12" ma:contentTypeDescription="Een nieuw document maken." ma:contentTypeScope="" ma:versionID="cc22e45968eeb8a1f56ddefcd79611de">
  <xsd:schema xmlns:xsd="http://www.w3.org/2001/XMLSchema" xmlns:xs="http://www.w3.org/2001/XMLSchema" xmlns:p="http://schemas.microsoft.com/office/2006/metadata/properties" xmlns:ns2="822554bf-a99f-47c3-a558-7046420a3042" xmlns:ns3="3335faf6-0ef3-46ad-881d-ba8ec76b8157" targetNamespace="http://schemas.microsoft.com/office/2006/metadata/properties" ma:root="true" ma:fieldsID="869b6d0620c6111db33009157d4ae789" ns2:_="" ns3:_="">
    <xsd:import namespace="822554bf-a99f-47c3-a558-7046420a3042"/>
    <xsd:import namespace="3335faf6-0ef3-46ad-881d-ba8ec76b81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554bf-a99f-47c3-a558-7046420a3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28918-5c9f-4b9e-a137-98cc0438ef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35faf6-0ef3-46ad-881d-ba8ec76b81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0365e-73b4-429d-9c47-f72f737adc07}" ma:internalName="TaxCatchAll" ma:showField="CatchAllData" ma:web="3335faf6-0ef3-46ad-881d-ba8ec76b8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8684E-A263-47C6-B09C-FDA1E5B8AD4C}">
  <ds:schemaRefs>
    <ds:schemaRef ds:uri="http://schemas.microsoft.com/office/2006/metadata/properties"/>
    <ds:schemaRef ds:uri="http://schemas.microsoft.com/office/infopath/2007/PartnerControls"/>
    <ds:schemaRef ds:uri="822554bf-a99f-47c3-a558-7046420a3042"/>
    <ds:schemaRef ds:uri="3335faf6-0ef3-46ad-881d-ba8ec76b8157"/>
  </ds:schemaRefs>
</ds:datastoreItem>
</file>

<file path=customXml/itemProps2.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3.xml><?xml version="1.0" encoding="utf-8"?>
<ds:datastoreItem xmlns:ds="http://schemas.openxmlformats.org/officeDocument/2006/customXml" ds:itemID="{A914BFDC-AFE1-48E6-BB0D-9C76DAD43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554bf-a99f-47c3-a558-7046420a3042"/>
    <ds:schemaRef ds:uri="3335faf6-0ef3-46ad-881d-ba8ec76b8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Stijn Wentink</cp:lastModifiedBy>
  <cp:revision/>
  <cp:lastPrinted>2024-10-02T10:57:05Z</cp:lastPrinted>
  <dcterms:created xsi:type="dcterms:W3CDTF">2014-08-20T20:28:49Z</dcterms:created>
  <dcterms:modified xsi:type="dcterms:W3CDTF">2024-10-03T10:07:08Z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0x0101006A785E1B59FA2D40AF476A3E4B8415F4</vt:lpwstr>
  </property>
  <property fmtid="{D5CDD505-2E9C-101B-9397-08002B2CF9AE}" pid="3" name="BExAnalyzer_OldName">
    <vt:lpwstr>Sjabloon Ontwerp RI&amp;E Veiligheid 2.1.1.xlsx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MediaServiceImageTags">
    <vt:lpwstr/>
  </property>
</Properties>
</file>