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Ir. Lely Lyceum/Schoonmaak 2024/4. Leidraad/"/>
    </mc:Choice>
  </mc:AlternateContent>
  <xr:revisionPtr revIDLastSave="15" documentId="13_ncr:1_{3185D703-3E90-4DB1-8267-92203FF07561}" xr6:coauthVersionLast="47" xr6:coauthVersionMax="47" xr10:uidLastSave="{92C73AE2-B532-43B6-AE32-6D24D410ED51}"/>
  <bookViews>
    <workbookView xWindow="-120" yWindow="-120" windowWidth="29040" windowHeight="15720" tabRatio="786" firstSheet="3" activeTab="11" xr2:uid="{00000000-000D-0000-FFFF-FFFF00000000}"/>
  </bookViews>
  <sheets>
    <sheet name="Overnamegegevens" sheetId="30" r:id="rId1"/>
    <sheet name="Opleverstaat dagelijks" sheetId="21" r:id="rId2"/>
    <sheet name="Werkprogramma periodiek" sheetId="27" r:id="rId3"/>
    <sheet name="Werkprogramma dieptereiniging" sheetId="31" r:id="rId4"/>
    <sheet name="Tariefsopbouw" sheetId="2" r:id="rId5"/>
    <sheet name="Prestatiefactoren" sheetId="11" r:id="rId6"/>
    <sheet name="Ruimtestaat" sheetId="13" r:id="rId7"/>
    <sheet name="Vloeronderhoud" sheetId="25" r:id="rId8"/>
    <sheet name="Glasbewassing" sheetId="29" r:id="rId9"/>
    <sheet name="Extra werkzaamheden" sheetId="26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  <externalReference r:id="rId16"/>
  </externalReferences>
  <definedNames>
    <definedName name="_1F" localSheetId="9" hidden="1">[1]Psychiatrie!#REF!</definedName>
    <definedName name="_1F" localSheetId="7" hidden="1">[1]Psychiatrie!#REF!</definedName>
    <definedName name="_1F" localSheetId="3" hidden="1">[2]Psychiatrie!#REF!</definedName>
    <definedName name="_1F" hidden="1">[1]Psychiatrie!#REF!</definedName>
    <definedName name="_2_0_F" localSheetId="9" hidden="1">[1]Psychiatrie!#REF!</definedName>
    <definedName name="_2_0_F" localSheetId="7" hidden="1">[1]Psychiatrie!#REF!</definedName>
    <definedName name="_2_0_F" localSheetId="3" hidden="1">[2]Psychiatrie!#REF!</definedName>
    <definedName name="_2_0_F" hidden="1">[1]Psychiatrie!#REF!</definedName>
    <definedName name="_Dist_Bin" localSheetId="9" hidden="1">#REF!</definedName>
    <definedName name="_Dist_Bin" localSheetId="7" hidden="1">#REF!</definedName>
    <definedName name="_Dist_Bin" localSheetId="3" hidden="1">#REF!</definedName>
    <definedName name="_Dist_Bin" hidden="1">#REF!</definedName>
    <definedName name="_Dist_Values" localSheetId="9" hidden="1">#REF!</definedName>
    <definedName name="_Dist_Values" localSheetId="7" hidden="1">#REF!</definedName>
    <definedName name="_Dist_Values" hidden="1">#REF!</definedName>
    <definedName name="_Fill" localSheetId="9" hidden="1">'[3]#REF'!#REF!</definedName>
    <definedName name="_Fill" localSheetId="7" hidden="1">'[3]#REF'!#REF!</definedName>
    <definedName name="_Fill" localSheetId="3" hidden="1">'[4]#REF'!#REF!</definedName>
    <definedName name="_Fill" hidden="1">'[3]#REF'!#REF!</definedName>
    <definedName name="_xlnm._FilterDatabase" localSheetId="6" hidden="1">'Ruimtestaat'!$B$4:$S$455</definedName>
    <definedName name="_xlnm._FilterDatabase" localSheetId="11" hidden="1">Totalisatie!#REF!</definedName>
    <definedName name="_Key1" localSheetId="9" hidden="1">'[3]#REF'!#REF!</definedName>
    <definedName name="_Key1" localSheetId="7" hidden="1">'[3]#REF'!#REF!</definedName>
    <definedName name="_Key1" localSheetId="3" hidden="1">'[4]#REF'!#REF!</definedName>
    <definedName name="_Key1" hidden="1">'[3]#REF'!#REF!</definedName>
    <definedName name="_Order1" hidden="1">255</definedName>
    <definedName name="_Sort" localSheetId="9" hidden="1">#REF!</definedName>
    <definedName name="_Sort" localSheetId="7" hidden="1">#REF!</definedName>
    <definedName name="_Sort" localSheetId="3" hidden="1">#REF!</definedName>
    <definedName name="_Sort" hidden="1">#REF!</definedName>
    <definedName name="_Table1_In1" localSheetId="9" hidden="1">#REF!</definedName>
    <definedName name="_Table1_In1" localSheetId="7" hidden="1">#REF!</definedName>
    <definedName name="_Table1_In1" hidden="1">#REF!</definedName>
    <definedName name="_Table1_Out" localSheetId="9" hidden="1">#REF!</definedName>
    <definedName name="_Table1_Out" localSheetId="7" hidden="1">#REF!</definedName>
    <definedName name="_Table1_Out" hidden="1">#REF!</definedName>
    <definedName name="_Toc233614100" localSheetId="10">'Regie en afroep'!#REF!</definedName>
    <definedName name="_Toc256089721" localSheetId="10">'Regie en afroep'!#REF!</definedName>
    <definedName name="AccessDatabase" hidden="1">"C:\data\excel\BASISWP.mdb"</definedName>
    <definedName name="_xlnm.Print_Area" localSheetId="9">'Extra werkzaamheden'!$A$1:$J$16</definedName>
    <definedName name="_xlnm.Print_Area" localSheetId="1">'Opleverstaat dagelijks'!#REF!</definedName>
    <definedName name="_xlnm.Print_Area" localSheetId="5">Prestatiefactoren!$A$1:$F$52</definedName>
    <definedName name="_xlnm.Print_Area" localSheetId="10">'Regie en afroep'!$A$1:$I$82</definedName>
    <definedName name="_xlnm.Print_Area" localSheetId="6">'Ruimtestaat'!$A$1:$AG$455</definedName>
    <definedName name="_xlnm.Print_Area" localSheetId="4">Tariefsopbouw!$A$1:$Q$42</definedName>
    <definedName name="_xlnm.Print_Area" localSheetId="11">Totalisatie!$A$1:$H$24</definedName>
    <definedName name="_xlnm.Print_Area" localSheetId="7">Vloeronderhoud!$A$1:$J$34</definedName>
    <definedName name="_xlnm.Print_Area" localSheetId="3">'Werkprogramma dieptereiniging'!$A$1:$B$35</definedName>
    <definedName name="_xlnm.Print_Titles" localSheetId="6">'Ruimtestaat'!$A:$H,'Ruimtestaat'!$2:$4</definedName>
    <definedName name="arbeidsprestatie" localSheetId="9">Prestatiefactoren!#REF!</definedName>
    <definedName name="arbeidsprestatie" localSheetId="7">Prestatiefactoren!#REF!</definedName>
    <definedName name="arbeidsprestatie">Prestatiefactoren!#REF!</definedName>
    <definedName name="freq" localSheetId="9">'Opleverstaat dagelijks'!#REF!</definedName>
    <definedName name="freq" localSheetId="7">'Opleverstaat dagelijks'!#REF!</definedName>
    <definedName name="freq">'Opleverstaat dagelijks'!#REF!</definedName>
    <definedName name="Glas" hidden="1">[2]Psychiatrie!#REF!</definedName>
    <definedName name="OLE_LINK9" localSheetId="10">'Regie en afroep'!#REF!</definedName>
    <definedName name="programma">#REF!</definedName>
    <definedName name="R_Code" localSheetId="9">Prestatiefactoren!#REF!</definedName>
    <definedName name="R_Code" localSheetId="7">Prestatiefactoren!#REF!</definedName>
    <definedName name="R_Code">Prestatiefactoren!#REF!</definedName>
    <definedName name="Vl_Code" localSheetId="9">Prestatiefactoren!#REF!</definedName>
    <definedName name="Vl_Code" localSheetId="7">Prestatiefactoren!#REF!</definedName>
    <definedName name="Vl_Code">Prestatiefactoren!#REF!</definedName>
    <definedName name="vloer" localSheetId="9">'Opleverstaat dagelijks'!#REF!</definedName>
    <definedName name="vloer" localSheetId="7">'Opleverstaat dagelijks'!#REF!</definedName>
    <definedName name="vloer">'Opleverstaat dagelijks'!#REF!</definedName>
    <definedName name="wk" localSheetId="9">'Opleverstaat dagelijks'!#REF!</definedName>
    <definedName name="wk" localSheetId="7">'Opleverstaat dagelijks'!#REF!</definedName>
    <definedName name="wk">'Opleverstaat dagelijks'!#REF!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6" l="1"/>
  <c r="G14" i="26" l="1"/>
  <c r="H14" i="26" s="1"/>
  <c r="G13" i="26"/>
  <c r="H13" i="26" s="1"/>
  <c r="C9" i="26"/>
  <c r="D14" i="26"/>
  <c r="G31" i="29"/>
  <c r="H31" i="29" s="1"/>
  <c r="B31" i="29"/>
  <c r="G32" i="29"/>
  <c r="H32" i="29" s="1"/>
  <c r="B32" i="29"/>
  <c r="G28" i="29"/>
  <c r="H28" i="29" s="1"/>
  <c r="B28" i="29"/>
  <c r="G29" i="29"/>
  <c r="H29" i="29" s="1"/>
  <c r="B29" i="29"/>
  <c r="G30" i="29"/>
  <c r="H30" i="29" s="1"/>
  <c r="B30" i="29"/>
  <c r="H15" i="26" l="1"/>
  <c r="E14" i="19"/>
  <c r="B28" i="25"/>
  <c r="B29" i="25"/>
  <c r="B30" i="25"/>
  <c r="B31" i="25"/>
  <c r="B32" i="25"/>
  <c r="B33" i="25"/>
  <c r="D33" i="25"/>
  <c r="F33" i="25"/>
  <c r="H33" i="25" s="1"/>
  <c r="D29" i="25"/>
  <c r="F29" i="25"/>
  <c r="H29" i="25" s="1"/>
  <c r="D30" i="25"/>
  <c r="F30" i="25"/>
  <c r="H30" i="25" s="1"/>
  <c r="D31" i="25"/>
  <c r="F31" i="25"/>
  <c r="H31" i="25" s="1"/>
  <c r="D23" i="25"/>
  <c r="D24" i="25"/>
  <c r="D25" i="25"/>
  <c r="D26" i="25"/>
  <c r="D27" i="25"/>
  <c r="D28" i="25"/>
  <c r="B23" i="25"/>
  <c r="B24" i="25"/>
  <c r="B25" i="25"/>
  <c r="B26" i="25"/>
  <c r="B27" i="25"/>
  <c r="F23" i="25"/>
  <c r="H23" i="25" s="1"/>
  <c r="F24" i="25"/>
  <c r="H24" i="25" s="1"/>
  <c r="F25" i="25"/>
  <c r="H25" i="25" s="1"/>
  <c r="F26" i="25"/>
  <c r="H26" i="25" s="1"/>
  <c r="F27" i="25"/>
  <c r="H27" i="25" s="1"/>
  <c r="F28" i="25"/>
  <c r="H28" i="25" s="1"/>
  <c r="B14" i="19"/>
  <c r="C8" i="19"/>
  <c r="B8" i="19"/>
  <c r="Z455" i="13"/>
  <c r="AA455" i="13" s="1"/>
  <c r="Z264" i="13"/>
  <c r="AA264" i="13" s="1"/>
  <c r="Z265" i="13"/>
  <c r="AB265" i="13" s="1"/>
  <c r="Z266" i="13"/>
  <c r="Z267" i="13"/>
  <c r="Z268" i="13"/>
  <c r="Z269" i="13"/>
  <c r="AA269" i="13" s="1"/>
  <c r="Z270" i="13"/>
  <c r="AB270" i="13" s="1"/>
  <c r="Z271" i="13"/>
  <c r="AB271" i="13" s="1"/>
  <c r="AC271" i="13" s="1"/>
  <c r="Z272" i="13"/>
  <c r="AB272" i="13" s="1"/>
  <c r="Z273" i="13"/>
  <c r="AB273" i="13" s="1"/>
  <c r="Z274" i="13"/>
  <c r="Z275" i="13"/>
  <c r="AA275" i="13" s="1"/>
  <c r="Z276" i="13"/>
  <c r="AB276" i="13" s="1"/>
  <c r="Z277" i="13"/>
  <c r="AA277" i="13" s="1"/>
  <c r="Z278" i="13"/>
  <c r="Z279" i="13"/>
  <c r="Z280" i="13"/>
  <c r="AA280" i="13" s="1"/>
  <c r="Z281" i="13"/>
  <c r="AB281" i="13" s="1"/>
  <c r="Z282" i="13"/>
  <c r="AB282" i="13" s="1"/>
  <c r="AC282" i="13" s="1"/>
  <c r="AD282" i="13" s="1"/>
  <c r="Z283" i="13"/>
  <c r="AB283" i="13" s="1"/>
  <c r="Z284" i="13"/>
  <c r="AB284" i="13" s="1"/>
  <c r="AC284" i="13" s="1"/>
  <c r="AD284" i="13" s="1"/>
  <c r="Z285" i="13"/>
  <c r="Z286" i="13"/>
  <c r="AB286" i="13" s="1"/>
  <c r="Z287" i="13"/>
  <c r="AA287" i="13" s="1"/>
  <c r="Z288" i="13"/>
  <c r="AB288" i="13" s="1"/>
  <c r="Z289" i="13"/>
  <c r="AB289" i="13" s="1"/>
  <c r="Z290" i="13"/>
  <c r="Z291" i="13"/>
  <c r="Z292" i="13"/>
  <c r="AA292" i="13" s="1"/>
  <c r="Z293" i="13"/>
  <c r="AA293" i="13" s="1"/>
  <c r="Z294" i="13"/>
  <c r="AA294" i="13" s="1"/>
  <c r="Z295" i="13"/>
  <c r="AB295" i="13" s="1"/>
  <c r="AC295" i="13" s="1"/>
  <c r="Z296" i="13"/>
  <c r="Z297" i="13"/>
  <c r="Z298" i="13"/>
  <c r="AA298" i="13" s="1"/>
  <c r="Z299" i="13"/>
  <c r="AA299" i="13" s="1"/>
  <c r="Z300" i="13"/>
  <c r="AB300" i="13" s="1"/>
  <c r="Z301" i="13"/>
  <c r="AA301" i="13" s="1"/>
  <c r="Z302" i="13"/>
  <c r="Z303" i="13"/>
  <c r="AA303" i="13" s="1"/>
  <c r="Z304" i="13"/>
  <c r="AA304" i="13" s="1"/>
  <c r="Z305" i="13"/>
  <c r="AA305" i="13" s="1"/>
  <c r="Z306" i="13"/>
  <c r="AB306" i="13" s="1"/>
  <c r="AC306" i="13" s="1"/>
  <c r="AD306" i="13" s="1"/>
  <c r="Z307" i="13"/>
  <c r="AB307" i="13" s="1"/>
  <c r="AC307" i="13" s="1"/>
  <c r="Z308" i="13"/>
  <c r="Z309" i="13"/>
  <c r="Z310" i="13"/>
  <c r="AA310" i="13" s="1"/>
  <c r="Z311" i="13"/>
  <c r="AA311" i="13" s="1"/>
  <c r="Z312" i="13"/>
  <c r="AB312" i="13" s="1"/>
  <c r="Z313" i="13"/>
  <c r="Z314" i="13"/>
  <c r="Z315" i="13"/>
  <c r="AA315" i="13" s="1"/>
  <c r="Z316" i="13"/>
  <c r="AA316" i="13" s="1"/>
  <c r="Z317" i="13"/>
  <c r="AB317" i="13" s="1"/>
  <c r="Z318" i="13"/>
  <c r="AA318" i="13" s="1"/>
  <c r="Z319" i="13"/>
  <c r="Z320" i="13"/>
  <c r="AB320" i="13" s="1"/>
  <c r="AC320" i="13" s="1"/>
  <c r="AD320" i="13" s="1"/>
  <c r="Z321" i="13"/>
  <c r="AB321" i="13" s="1"/>
  <c r="Z322" i="13"/>
  <c r="AA322" i="13" s="1"/>
  <c r="Z323" i="13"/>
  <c r="AA323" i="13" s="1"/>
  <c r="Z324" i="13"/>
  <c r="AB324" i="13" s="1"/>
  <c r="AC324" i="13" s="1"/>
  <c r="AD324" i="13" s="1"/>
  <c r="Z325" i="13"/>
  <c r="AB325" i="13" s="1"/>
  <c r="AC325" i="13" s="1"/>
  <c r="AD325" i="13" s="1"/>
  <c r="Z326" i="13"/>
  <c r="Z327" i="13"/>
  <c r="Z328" i="13"/>
  <c r="AA328" i="13" s="1"/>
  <c r="Z329" i="13"/>
  <c r="AA329" i="13" s="1"/>
  <c r="Z330" i="13"/>
  <c r="AA330" i="13" s="1"/>
  <c r="Z331" i="13"/>
  <c r="AB331" i="13" s="1"/>
  <c r="AC331" i="13" s="1"/>
  <c r="Z332" i="13"/>
  <c r="Z333" i="13"/>
  <c r="Z334" i="13"/>
  <c r="AB334" i="13" s="1"/>
  <c r="Z335" i="13"/>
  <c r="AA335" i="13" s="1"/>
  <c r="Z336" i="13"/>
  <c r="Z337" i="13"/>
  <c r="AB337" i="13" s="1"/>
  <c r="AC337" i="13" s="1"/>
  <c r="AD337" i="13" s="1"/>
  <c r="Z338" i="13"/>
  <c r="AB338" i="13" s="1"/>
  <c r="Z339" i="13"/>
  <c r="AA339" i="13" s="1"/>
  <c r="Z340" i="13"/>
  <c r="AA340" i="13" s="1"/>
  <c r="Z341" i="13"/>
  <c r="AA341" i="13" s="1"/>
  <c r="Z342" i="13"/>
  <c r="Z343" i="13"/>
  <c r="AB343" i="13" s="1"/>
  <c r="Z344" i="13"/>
  <c r="AB344" i="13" s="1"/>
  <c r="AC344" i="13" s="1"/>
  <c r="AD344" i="13" s="1"/>
  <c r="Z345" i="13"/>
  <c r="AB345" i="13" s="1"/>
  <c r="AC345" i="13" s="1"/>
  <c r="Z346" i="13"/>
  <c r="AA346" i="13" s="1"/>
  <c r="Z347" i="13"/>
  <c r="AB347" i="13" s="1"/>
  <c r="AC347" i="13" s="1"/>
  <c r="AD347" i="13" s="1"/>
  <c r="Z348" i="13"/>
  <c r="AB348" i="13" s="1"/>
  <c r="AC348" i="13" s="1"/>
  <c r="AD348" i="13" s="1"/>
  <c r="Z349" i="13"/>
  <c r="AA349" i="13" s="1"/>
  <c r="Z350" i="13"/>
  <c r="AB350" i="13" s="1"/>
  <c r="Z351" i="13"/>
  <c r="AA351" i="13" s="1"/>
  <c r="Z352" i="13"/>
  <c r="Z353" i="13"/>
  <c r="AB353" i="13" s="1"/>
  <c r="AC353" i="13" s="1"/>
  <c r="AD353" i="13" s="1"/>
  <c r="Z354" i="13"/>
  <c r="AA354" i="13" s="1"/>
  <c r="Z355" i="13"/>
  <c r="AA355" i="13" s="1"/>
  <c r="Z356" i="13"/>
  <c r="AA356" i="13" s="1"/>
  <c r="Z357" i="13"/>
  <c r="AB357" i="13" s="1"/>
  <c r="Z358" i="13"/>
  <c r="AB358" i="13" s="1"/>
  <c r="AC358" i="13" s="1"/>
  <c r="Z359" i="13"/>
  <c r="AA359" i="13" s="1"/>
  <c r="Z360" i="13"/>
  <c r="AA360" i="13" s="1"/>
  <c r="Z361" i="13"/>
  <c r="AA361" i="13" s="1"/>
  <c r="Z362" i="13"/>
  <c r="Z363" i="13"/>
  <c r="AB363" i="13" s="1"/>
  <c r="AC363" i="13" s="1"/>
  <c r="AD363" i="13" s="1"/>
  <c r="Z364" i="13"/>
  <c r="AA364" i="13" s="1"/>
  <c r="Z365" i="13"/>
  <c r="AB365" i="13" s="1"/>
  <c r="AC365" i="13" s="1"/>
  <c r="AD365" i="13" s="1"/>
  <c r="Z366" i="13"/>
  <c r="AA366" i="13" s="1"/>
  <c r="Z367" i="13"/>
  <c r="AB367" i="13" s="1"/>
  <c r="Z368" i="13"/>
  <c r="AA368" i="13" s="1"/>
  <c r="Z369" i="13"/>
  <c r="AA369" i="13" s="1"/>
  <c r="Z370" i="13"/>
  <c r="AA370" i="13" s="1"/>
  <c r="Z371" i="13"/>
  <c r="AA371" i="13" s="1"/>
  <c r="Z372" i="13"/>
  <c r="AB372" i="13" s="1"/>
  <c r="AC372" i="13" s="1"/>
  <c r="AD372" i="13" s="1"/>
  <c r="Z373" i="13"/>
  <c r="AA373" i="13" s="1"/>
  <c r="Z374" i="13"/>
  <c r="AA374" i="13" s="1"/>
  <c r="Z375" i="13"/>
  <c r="AA375" i="13" s="1"/>
  <c r="Z376" i="13"/>
  <c r="AA376" i="13" s="1"/>
  <c r="Z377" i="13"/>
  <c r="Z378" i="13"/>
  <c r="AA378" i="13" s="1"/>
  <c r="Z379" i="13"/>
  <c r="AB379" i="13" s="1"/>
  <c r="Z380" i="13"/>
  <c r="AA380" i="13" s="1"/>
  <c r="Z381" i="13"/>
  <c r="AA381" i="13" s="1"/>
  <c r="Z382" i="13"/>
  <c r="AA382" i="13" s="1"/>
  <c r="Z383" i="13"/>
  <c r="AA383" i="13" s="1"/>
  <c r="Z384" i="13"/>
  <c r="AB384" i="13" s="1"/>
  <c r="Z385" i="13"/>
  <c r="AB385" i="13" s="1"/>
  <c r="AC385" i="13" s="1"/>
  <c r="AD385" i="13" s="1"/>
  <c r="Z386" i="13"/>
  <c r="AB386" i="13" s="1"/>
  <c r="Z387" i="13"/>
  <c r="AB387" i="13" s="1"/>
  <c r="AC387" i="13" s="1"/>
  <c r="AD387" i="13" s="1"/>
  <c r="Z388" i="13"/>
  <c r="AA388" i="13" s="1"/>
  <c r="Z389" i="13"/>
  <c r="AA389" i="13" s="1"/>
  <c r="Z390" i="13"/>
  <c r="AB390" i="13" s="1"/>
  <c r="AC390" i="13" s="1"/>
  <c r="AD390" i="13" s="1"/>
  <c r="Z391" i="13"/>
  <c r="AB391" i="13" s="1"/>
  <c r="AC391" i="13" s="1"/>
  <c r="AD391" i="13" s="1"/>
  <c r="Z392" i="13"/>
  <c r="AB392" i="13" s="1"/>
  <c r="Z393" i="13"/>
  <c r="AB393" i="13" s="1"/>
  <c r="AC393" i="13" s="1"/>
  <c r="Z394" i="13"/>
  <c r="AA394" i="13" s="1"/>
  <c r="Z395" i="13"/>
  <c r="AA395" i="13" s="1"/>
  <c r="Z396" i="13"/>
  <c r="AA396" i="13" s="1"/>
  <c r="Z397" i="13"/>
  <c r="AB397" i="13" s="1"/>
  <c r="AC397" i="13" s="1"/>
  <c r="AD397" i="13" s="1"/>
  <c r="Z398" i="13"/>
  <c r="AA398" i="13" s="1"/>
  <c r="Z399" i="13"/>
  <c r="AB399" i="13" s="1"/>
  <c r="AC399" i="13" s="1"/>
  <c r="AD399" i="13" s="1"/>
  <c r="Z400" i="13"/>
  <c r="AB400" i="13" s="1"/>
  <c r="AC400" i="13" s="1"/>
  <c r="AD400" i="13" s="1"/>
  <c r="Z401" i="13"/>
  <c r="AA401" i="13" s="1"/>
  <c r="Z402" i="13"/>
  <c r="AA402" i="13" s="1"/>
  <c r="Z403" i="13"/>
  <c r="AA403" i="13" s="1"/>
  <c r="Z404" i="13"/>
  <c r="AB404" i="13" s="1"/>
  <c r="AC404" i="13" s="1"/>
  <c r="Z405" i="13"/>
  <c r="AA405" i="13" s="1"/>
  <c r="Z406" i="13"/>
  <c r="AA406" i="13" s="1"/>
  <c r="Z407" i="13"/>
  <c r="AB407" i="13" s="1"/>
  <c r="Z408" i="13"/>
  <c r="AA408" i="13" s="1"/>
  <c r="Z409" i="13"/>
  <c r="AB409" i="13" s="1"/>
  <c r="AC409" i="13" s="1"/>
  <c r="AD409" i="13" s="1"/>
  <c r="Z410" i="13"/>
  <c r="AB410" i="13" s="1"/>
  <c r="AC410" i="13" s="1"/>
  <c r="AD410" i="13" s="1"/>
  <c r="Z411" i="13"/>
  <c r="AA411" i="13" s="1"/>
  <c r="Z412" i="13"/>
  <c r="AA412" i="13" s="1"/>
  <c r="Z413" i="13"/>
  <c r="AA413" i="13" s="1"/>
  <c r="Z414" i="13"/>
  <c r="AA414" i="13" s="1"/>
  <c r="Z415" i="13"/>
  <c r="AB415" i="13" s="1"/>
  <c r="AC415" i="13" s="1"/>
  <c r="AD415" i="13" s="1"/>
  <c r="Z416" i="13"/>
  <c r="AA416" i="13" s="1"/>
  <c r="Z417" i="13"/>
  <c r="AB417" i="13" s="1"/>
  <c r="AC417" i="13" s="1"/>
  <c r="AD417" i="13" s="1"/>
  <c r="Z418" i="13"/>
  <c r="AB418" i="13" s="1"/>
  <c r="AC418" i="13" s="1"/>
  <c r="Z419" i="13"/>
  <c r="AA419" i="13" s="1"/>
  <c r="Z420" i="13"/>
  <c r="AA420" i="13" s="1"/>
  <c r="Z421" i="13"/>
  <c r="AA421" i="13" s="1"/>
  <c r="Z422" i="13"/>
  <c r="AA422" i="13" s="1"/>
  <c r="Z423" i="13"/>
  <c r="AA423" i="13" s="1"/>
  <c r="Z424" i="13"/>
  <c r="AB424" i="13" s="1"/>
  <c r="AC424" i="13" s="1"/>
  <c r="AD424" i="13" s="1"/>
  <c r="Z425" i="13"/>
  <c r="AA425" i="13" s="1"/>
  <c r="Z426" i="13"/>
  <c r="AA426" i="13" s="1"/>
  <c r="Z427" i="13"/>
  <c r="AB427" i="13" s="1"/>
  <c r="AC427" i="13" s="1"/>
  <c r="AD427" i="13" s="1"/>
  <c r="Z428" i="13"/>
  <c r="AA428" i="13" s="1"/>
  <c r="Z429" i="13"/>
  <c r="AB429" i="13" s="1"/>
  <c r="Z430" i="13"/>
  <c r="AB430" i="13" s="1"/>
  <c r="AC430" i="13" s="1"/>
  <c r="AD430" i="13" s="1"/>
  <c r="Z431" i="13"/>
  <c r="AA431" i="13" s="1"/>
  <c r="Z432" i="13"/>
  <c r="AA432" i="13" s="1"/>
  <c r="Z433" i="13"/>
  <c r="AA433" i="13" s="1"/>
  <c r="Z434" i="13"/>
  <c r="AA434" i="13" s="1"/>
  <c r="Z435" i="13"/>
  <c r="AB435" i="13" s="1"/>
  <c r="AC435" i="13" s="1"/>
  <c r="AD435" i="13" s="1"/>
  <c r="Z436" i="13"/>
  <c r="Z437" i="13"/>
  <c r="AB437" i="13" s="1"/>
  <c r="AC437" i="13" s="1"/>
  <c r="AD437" i="13" s="1"/>
  <c r="Z438" i="13"/>
  <c r="AA438" i="13" s="1"/>
  <c r="Z439" i="13"/>
  <c r="AB439" i="13" s="1"/>
  <c r="Z440" i="13"/>
  <c r="AB440" i="13" s="1"/>
  <c r="AC440" i="13" s="1"/>
  <c r="AD440" i="13" s="1"/>
  <c r="Z441" i="13"/>
  <c r="AB441" i="13" s="1"/>
  <c r="AC441" i="13" s="1"/>
  <c r="AD441" i="13" s="1"/>
  <c r="Z442" i="13"/>
  <c r="AA442" i="13" s="1"/>
  <c r="Z443" i="13"/>
  <c r="AB443" i="13" s="1"/>
  <c r="AC443" i="13" s="1"/>
  <c r="AD443" i="13" s="1"/>
  <c r="Z444" i="13"/>
  <c r="Z445" i="13"/>
  <c r="AB445" i="13" s="1"/>
  <c r="AC445" i="13" s="1"/>
  <c r="AD445" i="13" s="1"/>
  <c r="Z446" i="13"/>
  <c r="AA446" i="13" s="1"/>
  <c r="Z447" i="13"/>
  <c r="Z448" i="13"/>
  <c r="AA448" i="13" s="1"/>
  <c r="Z449" i="13"/>
  <c r="AA449" i="13" s="1"/>
  <c r="Z450" i="13"/>
  <c r="AA450" i="13" s="1"/>
  <c r="Z451" i="13"/>
  <c r="AA451" i="13" s="1"/>
  <c r="Z452" i="13"/>
  <c r="AA452" i="13" s="1"/>
  <c r="Z453" i="13"/>
  <c r="AA453" i="13" s="1"/>
  <c r="Z454" i="13"/>
  <c r="AA454" i="13" s="1"/>
  <c r="AB413" i="13" l="1"/>
  <c r="AC413" i="13" s="1"/>
  <c r="AD413" i="13" s="1"/>
  <c r="AA284" i="13"/>
  <c r="AB455" i="13"/>
  <c r="AC455" i="13" s="1"/>
  <c r="AD455" i="13" s="1"/>
  <c r="AB446" i="13"/>
  <c r="AC446" i="13" s="1"/>
  <c r="AD446" i="13" s="1"/>
  <c r="AB294" i="13"/>
  <c r="AC294" i="13" s="1"/>
  <c r="AD294" i="13" s="1"/>
  <c r="AA407" i="13"/>
  <c r="AA384" i="13"/>
  <c r="AB303" i="13"/>
  <c r="AC303" i="13" s="1"/>
  <c r="AD303" i="13" s="1"/>
  <c r="AB453" i="13"/>
  <c r="AC453" i="13" s="1"/>
  <c r="AD453" i="13" s="1"/>
  <c r="AA347" i="13"/>
  <c r="AB425" i="13"/>
  <c r="AC425" i="13" s="1"/>
  <c r="AD425" i="13" s="1"/>
  <c r="AB369" i="13"/>
  <c r="AC369" i="13" s="1"/>
  <c r="AD369" i="13" s="1"/>
  <c r="AB408" i="13"/>
  <c r="AC408" i="13" s="1"/>
  <c r="AD408" i="13" s="1"/>
  <c r="AB298" i="13"/>
  <c r="AC298" i="13" s="1"/>
  <c r="AD298" i="13" s="1"/>
  <c r="AA443" i="13"/>
  <c r="AA390" i="13"/>
  <c r="AB328" i="13"/>
  <c r="AC328" i="13" s="1"/>
  <c r="AD328" i="13" s="1"/>
  <c r="AA306" i="13"/>
  <c r="AB438" i="13"/>
  <c r="AC438" i="13" s="1"/>
  <c r="AD438" i="13" s="1"/>
  <c r="AA400" i="13"/>
  <c r="AB275" i="13"/>
  <c r="AC275" i="13" s="1"/>
  <c r="AD275" i="13" s="1"/>
  <c r="AB395" i="13"/>
  <c r="AC395" i="13" s="1"/>
  <c r="AB422" i="13"/>
  <c r="AC422" i="13" s="1"/>
  <c r="AD422" i="13" s="1"/>
  <c r="AB364" i="13"/>
  <c r="AC364" i="13" s="1"/>
  <c r="AD364" i="13" s="1"/>
  <c r="AA343" i="13"/>
  <c r="AA430" i="13"/>
  <c r="AB421" i="13"/>
  <c r="AC421" i="13" s="1"/>
  <c r="AD421" i="13" s="1"/>
  <c r="AA372" i="13"/>
  <c r="AB396" i="13"/>
  <c r="AC396" i="13" s="1"/>
  <c r="AD396" i="13" s="1"/>
  <c r="AB356" i="13"/>
  <c r="AC356" i="13" s="1"/>
  <c r="AD356" i="13" s="1"/>
  <c r="AB310" i="13"/>
  <c r="AC310" i="13" s="1"/>
  <c r="AD310" i="13" s="1"/>
  <c r="AB403" i="13"/>
  <c r="AC403" i="13" s="1"/>
  <c r="AD403" i="13" s="1"/>
  <c r="AA379" i="13"/>
  <c r="AB394" i="13"/>
  <c r="AC394" i="13" s="1"/>
  <c r="AB376" i="13"/>
  <c r="AC376" i="13" s="1"/>
  <c r="AD376" i="13" s="1"/>
  <c r="AA353" i="13"/>
  <c r="AA307" i="13"/>
  <c r="AB299" i="13"/>
  <c r="AC299" i="13" s="1"/>
  <c r="AD299" i="13" s="1"/>
  <c r="AB280" i="13"/>
  <c r="AC280" i="13" s="1"/>
  <c r="AD280" i="13" s="1"/>
  <c r="AA271" i="13"/>
  <c r="AA399" i="13"/>
  <c r="AB368" i="13"/>
  <c r="AC368" i="13" s="1"/>
  <c r="AA344" i="13"/>
  <c r="AB287" i="13"/>
  <c r="AC287" i="13" s="1"/>
  <c r="AD287" i="13" s="1"/>
  <c r="AB269" i="13"/>
  <c r="AC269" i="13" s="1"/>
  <c r="AD269" i="13" s="1"/>
  <c r="AB419" i="13"/>
  <c r="AC419" i="13" s="1"/>
  <c r="AA391" i="13"/>
  <c r="AB373" i="13"/>
  <c r="AC373" i="13" s="1"/>
  <c r="AD373" i="13" s="1"/>
  <c r="AA312" i="13"/>
  <c r="AB277" i="13"/>
  <c r="AC277" i="13" s="1"/>
  <c r="AD277" i="13" s="1"/>
  <c r="AA435" i="13"/>
  <c r="AB412" i="13"/>
  <c r="AC412" i="13" s="1"/>
  <c r="AD412" i="13" s="1"/>
  <c r="AB450" i="13"/>
  <c r="AC450" i="13" s="1"/>
  <c r="AD450" i="13" s="1"/>
  <c r="AA418" i="13"/>
  <c r="AA367" i="13"/>
  <c r="AA348" i="13"/>
  <c r="AA331" i="13"/>
  <c r="AB434" i="13"/>
  <c r="AC434" i="13" s="1"/>
  <c r="AD434" i="13" s="1"/>
  <c r="AA427" i="13"/>
  <c r="AA404" i="13"/>
  <c r="AA387" i="13"/>
  <c r="AB293" i="13"/>
  <c r="AC293" i="13" s="1"/>
  <c r="AD293" i="13" s="1"/>
  <c r="AA439" i="13"/>
  <c r="AB416" i="13"/>
  <c r="AC416" i="13" s="1"/>
  <c r="AD416" i="13" s="1"/>
  <c r="AB380" i="13"/>
  <c r="AC380" i="13" s="1"/>
  <c r="AD380" i="13" s="1"/>
  <c r="AA357" i="13"/>
  <c r="AB351" i="13"/>
  <c r="AC351" i="13" s="1"/>
  <c r="AD351" i="13" s="1"/>
  <c r="AA338" i="13"/>
  <c r="AA286" i="13"/>
  <c r="AB449" i="13"/>
  <c r="AC449" i="13" s="1"/>
  <c r="AD449" i="13" s="1"/>
  <c r="AB360" i="13"/>
  <c r="AC360" i="13" s="1"/>
  <c r="AB311" i="13"/>
  <c r="AC311" i="13" s="1"/>
  <c r="AD311" i="13" s="1"/>
  <c r="AB383" i="13"/>
  <c r="AC383" i="13" s="1"/>
  <c r="AA325" i="13"/>
  <c r="AA317" i="13"/>
  <c r="AB301" i="13"/>
  <c r="AC301" i="13" s="1"/>
  <c r="AD301" i="13" s="1"/>
  <c r="AA295" i="13"/>
  <c r="AA289" i="13"/>
  <c r="AA283" i="13"/>
  <c r="AA300" i="13"/>
  <c r="AA288" i="13"/>
  <c r="AA282" i="13"/>
  <c r="AA441" i="13"/>
  <c r="AA429" i="13"/>
  <c r="AA417" i="13"/>
  <c r="AA393" i="13"/>
  <c r="AB381" i="13"/>
  <c r="AC381" i="13" s="1"/>
  <c r="AD381" i="13" s="1"/>
  <c r="AA365" i="13"/>
  <c r="AB359" i="13"/>
  <c r="AC359" i="13" s="1"/>
  <c r="AD359" i="13" s="1"/>
  <c r="AB316" i="13"/>
  <c r="AC316" i="13" s="1"/>
  <c r="AD316" i="13" s="1"/>
  <c r="AB305" i="13"/>
  <c r="AC305" i="13" s="1"/>
  <c r="AD305" i="13" s="1"/>
  <c r="AB405" i="13"/>
  <c r="AC405" i="13" s="1"/>
  <c r="AD405" i="13" s="1"/>
  <c r="AA440" i="13"/>
  <c r="AA392" i="13"/>
  <c r="AB375" i="13"/>
  <c r="AC375" i="13" s="1"/>
  <c r="AD375" i="13" s="1"/>
  <c r="AA358" i="13"/>
  <c r="AB322" i="13"/>
  <c r="AC322" i="13" s="1"/>
  <c r="AD322" i="13" s="1"/>
  <c r="AB315" i="13"/>
  <c r="AC315" i="13" s="1"/>
  <c r="AD315" i="13" s="1"/>
  <c r="AB304" i="13"/>
  <c r="AC304" i="13" s="1"/>
  <c r="AD304" i="13" s="1"/>
  <c r="AA273" i="13"/>
  <c r="AB451" i="13"/>
  <c r="AC451" i="13" s="1"/>
  <c r="AD451" i="13" s="1"/>
  <c r="AB448" i="13"/>
  <c r="AC448" i="13" s="1"/>
  <c r="AD448" i="13" s="1"/>
  <c r="AB402" i="13"/>
  <c r="AC402" i="13" s="1"/>
  <c r="AD402" i="13" s="1"/>
  <c r="AB389" i="13"/>
  <c r="AC389" i="13" s="1"/>
  <c r="AD389" i="13" s="1"/>
  <c r="AB349" i="13"/>
  <c r="AC349" i="13" s="1"/>
  <c r="AB341" i="13"/>
  <c r="AC341" i="13" s="1"/>
  <c r="AD341" i="13" s="1"/>
  <c r="AB335" i="13"/>
  <c r="AC335" i="13" s="1"/>
  <c r="AD335" i="13" s="1"/>
  <c r="AB329" i="13"/>
  <c r="AC329" i="13" s="1"/>
  <c r="AD329" i="13" s="1"/>
  <c r="AB323" i="13"/>
  <c r="AC323" i="13" s="1"/>
  <c r="AD323" i="13" s="1"/>
  <c r="AA415" i="13"/>
  <c r="AA410" i="13"/>
  <c r="AB406" i="13"/>
  <c r="AC406" i="13" s="1"/>
  <c r="AD406" i="13" s="1"/>
  <c r="AA385" i="13"/>
  <c r="AB361" i="13"/>
  <c r="AC361" i="13" s="1"/>
  <c r="AD361" i="13" s="1"/>
  <c r="AA345" i="13"/>
  <c r="AB264" i="13"/>
  <c r="AC264" i="13" s="1"/>
  <c r="AD264" i="13" s="1"/>
  <c r="AB452" i="13"/>
  <c r="AC452" i="13" s="1"/>
  <c r="AD452" i="13" s="1"/>
  <c r="AB378" i="13"/>
  <c r="AC378" i="13" s="1"/>
  <c r="AD378" i="13" s="1"/>
  <c r="AB355" i="13"/>
  <c r="AC355" i="13" s="1"/>
  <c r="AD355" i="13" s="1"/>
  <c r="AA320" i="13"/>
  <c r="AA272" i="13"/>
  <c r="AA445" i="13"/>
  <c r="AA386" i="13"/>
  <c r="AB382" i="13"/>
  <c r="AC382" i="13" s="1"/>
  <c r="AD382" i="13" s="1"/>
  <c r="AB371" i="13"/>
  <c r="AC371" i="13" s="1"/>
  <c r="AA363" i="13"/>
  <c r="AA337" i="13"/>
  <c r="AB330" i="13"/>
  <c r="AC330" i="13" s="1"/>
  <c r="AD330" i="13" s="1"/>
  <c r="AB454" i="13"/>
  <c r="AC454" i="13" s="1"/>
  <c r="AD454" i="13" s="1"/>
  <c r="AA437" i="13"/>
  <c r="AB432" i="13"/>
  <c r="AC432" i="13" s="1"/>
  <c r="AD432" i="13" s="1"/>
  <c r="AB428" i="13"/>
  <c r="AC428" i="13" s="1"/>
  <c r="AD428" i="13" s="1"/>
  <c r="AB411" i="13"/>
  <c r="AC411" i="13" s="1"/>
  <c r="AD411" i="13" s="1"/>
  <c r="AB374" i="13"/>
  <c r="AC374" i="13" s="1"/>
  <c r="AD374" i="13" s="1"/>
  <c r="AB354" i="13"/>
  <c r="AC354" i="13" s="1"/>
  <c r="AD354" i="13" s="1"/>
  <c r="AB292" i="13"/>
  <c r="AC292" i="13" s="1"/>
  <c r="AD292" i="13" s="1"/>
  <c r="AA276" i="13"/>
  <c r="AA397" i="13"/>
  <c r="AB370" i="13"/>
  <c r="AC370" i="13" s="1"/>
  <c r="AD370" i="13" s="1"/>
  <c r="AB366" i="13"/>
  <c r="AC366" i="13" s="1"/>
  <c r="AD366" i="13" s="1"/>
  <c r="AB318" i="13"/>
  <c r="AC318" i="13" s="1"/>
  <c r="AD318" i="13" s="1"/>
  <c r="AA281" i="13"/>
  <c r="AA265" i="13"/>
  <c r="AA436" i="13"/>
  <c r="AB436" i="13"/>
  <c r="AC439" i="13"/>
  <c r="AD439" i="13" s="1"/>
  <c r="AC429" i="13"/>
  <c r="AD404" i="13"/>
  <c r="AB431" i="13"/>
  <c r="AC386" i="13"/>
  <c r="AD386" i="13" s="1"/>
  <c r="AC379" i="13"/>
  <c r="AA314" i="13"/>
  <c r="AB314" i="13"/>
  <c r="AC281" i="13"/>
  <c r="AD281" i="13" s="1"/>
  <c r="AA327" i="13"/>
  <c r="AB327" i="13"/>
  <c r="AA447" i="13"/>
  <c r="AB447" i="13"/>
  <c r="AA444" i="13"/>
  <c r="AB444" i="13"/>
  <c r="AA336" i="13"/>
  <c r="AB336" i="13"/>
  <c r="AA290" i="13"/>
  <c r="AB290" i="13"/>
  <c r="AC350" i="13"/>
  <c r="AD350" i="13" s="1"/>
  <c r="AC270" i="13"/>
  <c r="AD270" i="13" s="1"/>
  <c r="AB333" i="13"/>
  <c r="AA333" i="13"/>
  <c r="AA308" i="13"/>
  <c r="AB308" i="13"/>
  <c r="AB442" i="13"/>
  <c r="AA377" i="13"/>
  <c r="AB377" i="13"/>
  <c r="AA350" i="13"/>
  <c r="AA342" i="13"/>
  <c r="AB342" i="13"/>
  <c r="AB296" i="13"/>
  <c r="AA296" i="13"/>
  <c r="AA270" i="13"/>
  <c r="AA326" i="13"/>
  <c r="AB326" i="13"/>
  <c r="AD307" i="13"/>
  <c r="AA362" i="13"/>
  <c r="AB362" i="13"/>
  <c r="AC288" i="13"/>
  <c r="AA279" i="13"/>
  <c r="AB279" i="13"/>
  <c r="AA332" i="13"/>
  <c r="AB332" i="13"/>
  <c r="AC286" i="13"/>
  <c r="AD286" i="13" s="1"/>
  <c r="AC338" i="13"/>
  <c r="AC312" i="13"/>
  <c r="AC272" i="13"/>
  <c r="AC367" i="13"/>
  <c r="AB433" i="13"/>
  <c r="AB426" i="13"/>
  <c r="AA424" i="13"/>
  <c r="AB398" i="13"/>
  <c r="AB346" i="13"/>
  <c r="AC343" i="13"/>
  <c r="AB340" i="13"/>
  <c r="AA334" i="13"/>
  <c r="AA321" i="13"/>
  <c r="AB297" i="13"/>
  <c r="AA297" i="13"/>
  <c r="AC273" i="13"/>
  <c r="AC407" i="13"/>
  <c r="AC357" i="13"/>
  <c r="AC334" i="13"/>
  <c r="AD334" i="13" s="1"/>
  <c r="AC321" i="13"/>
  <c r="AA278" i="13"/>
  <c r="AB278" i="13"/>
  <c r="AA268" i="13"/>
  <c r="AB268" i="13"/>
  <c r="AA267" i="13"/>
  <c r="AB267" i="13"/>
  <c r="AB313" i="13"/>
  <c r="AA313" i="13"/>
  <c r="AC392" i="13"/>
  <c r="AD418" i="13"/>
  <c r="AD331" i="13"/>
  <c r="AB285" i="13"/>
  <c r="AA285" i="13"/>
  <c r="AD393" i="13"/>
  <c r="AC384" i="13"/>
  <c r="AD345" i="13"/>
  <c r="AC317" i="13"/>
  <c r="AD317" i="13" s="1"/>
  <c r="AD358" i="13"/>
  <c r="AA266" i="13"/>
  <c r="AB266" i="13"/>
  <c r="AA319" i="13"/>
  <c r="AB319" i="13"/>
  <c r="AC289" i="13"/>
  <c r="AD289" i="13" s="1"/>
  <c r="AC265" i="13"/>
  <c r="AD265" i="13" s="1"/>
  <c r="AA352" i="13"/>
  <c r="AB352" i="13"/>
  <c r="AB423" i="13"/>
  <c r="AB420" i="13"/>
  <c r="AB414" i="13"/>
  <c r="AB401" i="13"/>
  <c r="AA409" i="13"/>
  <c r="AB388" i="13"/>
  <c r="AB339" i="13"/>
  <c r="AA324" i="13"/>
  <c r="AB309" i="13"/>
  <c r="AA309" i="13"/>
  <c r="AD295" i="13"/>
  <c r="AA291" i="13"/>
  <c r="AB291" i="13"/>
  <c r="AA274" i="13"/>
  <c r="AB274" i="13"/>
  <c r="AD271" i="13"/>
  <c r="AC300" i="13"/>
  <c r="AA302" i="13"/>
  <c r="AB302" i="13"/>
  <c r="AC276" i="13"/>
  <c r="AC283" i="13"/>
  <c r="AD273" i="13" l="1"/>
  <c r="AC401" i="13"/>
  <c r="AD401" i="13" s="1"/>
  <c r="AC285" i="13"/>
  <c r="AD272" i="13"/>
  <c r="AD395" i="13"/>
  <c r="AC278" i="13"/>
  <c r="AC444" i="13"/>
  <c r="AD444" i="13" s="1"/>
  <c r="AC313" i="13"/>
  <c r="AC377" i="13"/>
  <c r="AD377" i="13" s="1"/>
  <c r="AC346" i="13"/>
  <c r="AD368" i="13"/>
  <c r="AC420" i="13"/>
  <c r="AD394" i="13"/>
  <c r="AD357" i="13"/>
  <c r="AC398" i="13"/>
  <c r="AD398" i="13" s="1"/>
  <c r="AD349" i="13"/>
  <c r="AD419" i="13"/>
  <c r="AC447" i="13"/>
  <c r="AD447" i="13" s="1"/>
  <c r="AD300" i="13"/>
  <c r="AC423" i="13"/>
  <c r="AD423" i="13" s="1"/>
  <c r="AC266" i="13"/>
  <c r="AC267" i="13"/>
  <c r="AD360" i="13"/>
  <c r="AC326" i="13"/>
  <c r="AC279" i="13"/>
  <c r="AD429" i="13"/>
  <c r="AC352" i="13"/>
  <c r="AD352" i="13" s="1"/>
  <c r="AC297" i="13"/>
  <c r="AC327" i="13"/>
  <c r="AC339" i="13"/>
  <c r="AD371" i="13"/>
  <c r="AD283" i="13"/>
  <c r="AC414" i="13"/>
  <c r="AD414" i="13" s="1"/>
  <c r="AC314" i="13"/>
  <c r="AD312" i="13"/>
  <c r="AC442" i="13"/>
  <c r="AD442" i="13" s="1"/>
  <c r="AD379" i="13"/>
  <c r="AC309" i="13"/>
  <c r="AD321" i="13"/>
  <c r="AC426" i="13"/>
  <c r="AD426" i="13" s="1"/>
  <c r="AD338" i="13"/>
  <c r="AC290" i="13"/>
  <c r="AC433" i="13"/>
  <c r="AD433" i="13" s="1"/>
  <c r="AC362" i="13"/>
  <c r="AD362" i="13" s="1"/>
  <c r="AC308" i="13"/>
  <c r="AD276" i="13"/>
  <c r="AD288" i="13"/>
  <c r="AD384" i="13"/>
  <c r="AD383" i="13"/>
  <c r="AD407" i="13"/>
  <c r="AC296" i="13"/>
  <c r="AC431" i="13"/>
  <c r="AC302" i="13"/>
  <c r="AC274" i="13"/>
  <c r="AC319" i="13"/>
  <c r="AD392" i="13"/>
  <c r="AC340" i="13"/>
  <c r="AD367" i="13"/>
  <c r="AC342" i="13"/>
  <c r="AC333" i="13"/>
  <c r="AC336" i="13"/>
  <c r="AC388" i="13"/>
  <c r="AD388" i="13" s="1"/>
  <c r="AC268" i="13"/>
  <c r="AD343" i="13"/>
  <c r="AC291" i="13"/>
  <c r="AC332" i="13"/>
  <c r="AC436" i="13"/>
  <c r="AD436" i="13" s="1"/>
  <c r="AD342" i="13" l="1"/>
  <c r="AD302" i="13"/>
  <c r="AD290" i="13"/>
  <c r="AD420" i="13"/>
  <c r="AD339" i="13"/>
  <c r="AD266" i="13"/>
  <c r="AD332" i="13"/>
  <c r="AD296" i="13"/>
  <c r="AD308" i="13"/>
  <c r="AD327" i="13"/>
  <c r="AD279" i="13"/>
  <c r="AD291" i="13"/>
  <c r="AD314" i="13"/>
  <c r="AD278" i="13"/>
  <c r="AD268" i="13"/>
  <c r="AD267" i="13"/>
  <c r="AD313" i="13"/>
  <c r="AD285" i="13"/>
  <c r="AD340" i="13"/>
  <c r="AD431" i="13"/>
  <c r="AD336" i="13"/>
  <c r="AD319" i="13"/>
  <c r="AD346" i="13"/>
  <c r="AD309" i="13"/>
  <c r="AD326" i="13"/>
  <c r="AD333" i="13"/>
  <c r="AD274" i="13"/>
  <c r="AD297" i="13"/>
  <c r="K455" i="13" l="1"/>
  <c r="K454" i="13"/>
  <c r="K453" i="13"/>
  <c r="K452" i="13"/>
  <c r="K451" i="13"/>
  <c r="K450" i="13"/>
  <c r="K449" i="13"/>
  <c r="K448" i="13"/>
  <c r="K447" i="13"/>
  <c r="K446" i="13"/>
  <c r="K445" i="13"/>
  <c r="K444" i="13"/>
  <c r="K443" i="13"/>
  <c r="K442" i="13"/>
  <c r="K441" i="13"/>
  <c r="K440" i="13"/>
  <c r="K439" i="13"/>
  <c r="K438" i="13"/>
  <c r="K437" i="13"/>
  <c r="K436" i="13"/>
  <c r="K435" i="13"/>
  <c r="K434" i="13"/>
  <c r="K433" i="13"/>
  <c r="K432" i="13"/>
  <c r="K431" i="13"/>
  <c r="K430" i="13"/>
  <c r="K429" i="13"/>
  <c r="K428" i="13"/>
  <c r="K427" i="13"/>
  <c r="K426" i="13"/>
  <c r="K425" i="13"/>
  <c r="K424" i="13"/>
  <c r="K423" i="13"/>
  <c r="K422" i="13"/>
  <c r="K421" i="13"/>
  <c r="K420" i="13"/>
  <c r="K419" i="13"/>
  <c r="K418" i="13"/>
  <c r="K417" i="13"/>
  <c r="K416" i="13"/>
  <c r="K415" i="13"/>
  <c r="K414" i="13"/>
  <c r="K413" i="13"/>
  <c r="K412" i="13"/>
  <c r="K411" i="13"/>
  <c r="K410" i="13"/>
  <c r="K409" i="13"/>
  <c r="K408" i="13"/>
  <c r="K407" i="13"/>
  <c r="K406" i="13"/>
  <c r="K405" i="13"/>
  <c r="K404" i="13"/>
  <c r="K403" i="13"/>
  <c r="K402" i="13"/>
  <c r="K401" i="13"/>
  <c r="K400" i="13"/>
  <c r="K399" i="13"/>
  <c r="K398" i="13"/>
  <c r="K397" i="13"/>
  <c r="K396" i="13"/>
  <c r="K395" i="13"/>
  <c r="K394" i="13"/>
  <c r="K393" i="13"/>
  <c r="K392" i="13"/>
  <c r="K391" i="13"/>
  <c r="K390" i="13"/>
  <c r="K389" i="13"/>
  <c r="K388" i="13"/>
  <c r="K387" i="13"/>
  <c r="K386" i="13"/>
  <c r="K385" i="13"/>
  <c r="K384" i="13"/>
  <c r="K383" i="13"/>
  <c r="K382" i="13"/>
  <c r="K381" i="13"/>
  <c r="K380" i="13"/>
  <c r="K379" i="13"/>
  <c r="K378" i="13"/>
  <c r="K377" i="13"/>
  <c r="K376" i="13"/>
  <c r="K375" i="13"/>
  <c r="K374" i="13"/>
  <c r="K373" i="13"/>
  <c r="K372" i="13"/>
  <c r="K371" i="13"/>
  <c r="K370" i="13"/>
  <c r="K369" i="13"/>
  <c r="K368" i="13"/>
  <c r="K367" i="13"/>
  <c r="K366" i="13"/>
  <c r="K365" i="13"/>
  <c r="K364" i="13"/>
  <c r="K363" i="13"/>
  <c r="K362" i="13"/>
  <c r="K361" i="13"/>
  <c r="K360" i="13"/>
  <c r="K359" i="13"/>
  <c r="K358" i="13"/>
  <c r="K357" i="13"/>
  <c r="K356" i="13"/>
  <c r="K355" i="13"/>
  <c r="K354" i="13"/>
  <c r="K353" i="13"/>
  <c r="K352" i="13"/>
  <c r="K351" i="13"/>
  <c r="K350" i="13"/>
  <c r="K349" i="13"/>
  <c r="K348" i="13"/>
  <c r="K347" i="13"/>
  <c r="K346" i="13"/>
  <c r="K345" i="13"/>
  <c r="K344" i="13"/>
  <c r="K343" i="13"/>
  <c r="K342" i="13"/>
  <c r="K341" i="13"/>
  <c r="K340" i="13"/>
  <c r="K339" i="13"/>
  <c r="K338" i="13"/>
  <c r="K337" i="13"/>
  <c r="K336" i="13"/>
  <c r="K335" i="13"/>
  <c r="K334" i="13"/>
  <c r="K333" i="13"/>
  <c r="K332" i="13"/>
  <c r="K331" i="13"/>
  <c r="K330" i="13"/>
  <c r="K329" i="13"/>
  <c r="K328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4" i="13"/>
  <c r="K313" i="13"/>
  <c r="K312" i="13"/>
  <c r="K311" i="13"/>
  <c r="K310" i="13"/>
  <c r="K309" i="13"/>
  <c r="K308" i="13"/>
  <c r="K307" i="13"/>
  <c r="K306" i="13"/>
  <c r="K305" i="13"/>
  <c r="K304" i="13"/>
  <c r="K303" i="13"/>
  <c r="K302" i="13"/>
  <c r="K301" i="13"/>
  <c r="K300" i="13"/>
  <c r="K299" i="13"/>
  <c r="K298" i="13"/>
  <c r="K297" i="13"/>
  <c r="K296" i="13"/>
  <c r="K295" i="13"/>
  <c r="K294" i="13"/>
  <c r="K293" i="13"/>
  <c r="K292" i="13"/>
  <c r="K291" i="13"/>
  <c r="K290" i="13"/>
  <c r="K289" i="13"/>
  <c r="K288" i="13"/>
  <c r="K287" i="13"/>
  <c r="K286" i="13"/>
  <c r="K285" i="13"/>
  <c r="K284" i="13"/>
  <c r="K283" i="13"/>
  <c r="K282" i="13"/>
  <c r="K281" i="13"/>
  <c r="K280" i="13"/>
  <c r="K279" i="13"/>
  <c r="K278" i="13"/>
  <c r="K277" i="13"/>
  <c r="K276" i="13"/>
  <c r="K275" i="13"/>
  <c r="K274" i="13"/>
  <c r="K273" i="13"/>
  <c r="K272" i="13"/>
  <c r="K271" i="13"/>
  <c r="K270" i="13"/>
  <c r="K269" i="13"/>
  <c r="K268" i="13"/>
  <c r="K267" i="13"/>
  <c r="K266" i="13"/>
  <c r="K265" i="13"/>
  <c r="K264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P264" i="13"/>
  <c r="P265" i="13"/>
  <c r="P266" i="13"/>
  <c r="P267" i="13"/>
  <c r="P268" i="13"/>
  <c r="P269" i="13"/>
  <c r="P270" i="13"/>
  <c r="P271" i="13"/>
  <c r="P272" i="13"/>
  <c r="P273" i="13"/>
  <c r="P274" i="13"/>
  <c r="P275" i="13"/>
  <c r="P276" i="13"/>
  <c r="P277" i="13"/>
  <c r="P278" i="13"/>
  <c r="P279" i="13"/>
  <c r="P280" i="13"/>
  <c r="P281" i="13"/>
  <c r="P282" i="13"/>
  <c r="P283" i="13"/>
  <c r="P284" i="13"/>
  <c r="P285" i="13"/>
  <c r="P286" i="13"/>
  <c r="P287" i="13"/>
  <c r="P288" i="13"/>
  <c r="P289" i="13"/>
  <c r="P290" i="13"/>
  <c r="P291" i="13"/>
  <c r="P292" i="13"/>
  <c r="P293" i="13"/>
  <c r="P294" i="13"/>
  <c r="P295" i="13"/>
  <c r="P296" i="13"/>
  <c r="P297" i="13"/>
  <c r="P298" i="13"/>
  <c r="P299" i="13"/>
  <c r="P300" i="13"/>
  <c r="P301" i="13"/>
  <c r="P302" i="13"/>
  <c r="P303" i="13"/>
  <c r="P304" i="13"/>
  <c r="P305" i="13"/>
  <c r="P306" i="13"/>
  <c r="P307" i="13"/>
  <c r="P308" i="13"/>
  <c r="P309" i="13"/>
  <c r="P310" i="13"/>
  <c r="P311" i="13"/>
  <c r="P312" i="13"/>
  <c r="P313" i="13"/>
  <c r="P314" i="13"/>
  <c r="P315" i="13"/>
  <c r="P316" i="13"/>
  <c r="P317" i="13"/>
  <c r="P318" i="13"/>
  <c r="P319" i="13"/>
  <c r="P320" i="13"/>
  <c r="P321" i="13"/>
  <c r="P322" i="13"/>
  <c r="P323" i="13"/>
  <c r="P324" i="13"/>
  <c r="P325" i="13"/>
  <c r="P326" i="13"/>
  <c r="P327" i="13"/>
  <c r="P328" i="13"/>
  <c r="P329" i="13"/>
  <c r="P330" i="13"/>
  <c r="P331" i="13"/>
  <c r="P332" i="13"/>
  <c r="P333" i="13"/>
  <c r="P334" i="13"/>
  <c r="P335" i="13"/>
  <c r="P336" i="13"/>
  <c r="P337" i="13"/>
  <c r="P338" i="13"/>
  <c r="P339" i="13"/>
  <c r="P340" i="13"/>
  <c r="P341" i="13"/>
  <c r="P342" i="13"/>
  <c r="P343" i="13"/>
  <c r="P344" i="13"/>
  <c r="P345" i="13"/>
  <c r="P346" i="13"/>
  <c r="P347" i="13"/>
  <c r="P348" i="13"/>
  <c r="P349" i="13"/>
  <c r="P350" i="13"/>
  <c r="P351" i="13"/>
  <c r="P352" i="13"/>
  <c r="P353" i="13"/>
  <c r="P354" i="13"/>
  <c r="P355" i="13"/>
  <c r="P356" i="13"/>
  <c r="P357" i="13"/>
  <c r="P358" i="13"/>
  <c r="P359" i="13"/>
  <c r="P360" i="13"/>
  <c r="P361" i="13"/>
  <c r="P362" i="13"/>
  <c r="P363" i="13"/>
  <c r="P364" i="13"/>
  <c r="P365" i="13"/>
  <c r="P366" i="13"/>
  <c r="P367" i="13"/>
  <c r="P368" i="13"/>
  <c r="P369" i="13"/>
  <c r="P370" i="13"/>
  <c r="P371" i="13"/>
  <c r="P372" i="13"/>
  <c r="P373" i="13"/>
  <c r="P374" i="13"/>
  <c r="P375" i="13"/>
  <c r="P376" i="13"/>
  <c r="P377" i="13"/>
  <c r="P378" i="13"/>
  <c r="P379" i="13"/>
  <c r="P380" i="13"/>
  <c r="P381" i="13"/>
  <c r="P382" i="13"/>
  <c r="P383" i="13"/>
  <c r="P384" i="13"/>
  <c r="P385" i="13"/>
  <c r="P386" i="13"/>
  <c r="P387" i="13"/>
  <c r="P388" i="13"/>
  <c r="P389" i="13"/>
  <c r="P390" i="13"/>
  <c r="P391" i="13"/>
  <c r="P392" i="13"/>
  <c r="P393" i="13"/>
  <c r="P394" i="13"/>
  <c r="P395" i="13"/>
  <c r="P396" i="13"/>
  <c r="P397" i="13"/>
  <c r="P398" i="13"/>
  <c r="P399" i="13"/>
  <c r="P400" i="13"/>
  <c r="P401" i="13"/>
  <c r="P402" i="13"/>
  <c r="P403" i="13"/>
  <c r="P404" i="13"/>
  <c r="P405" i="13"/>
  <c r="P406" i="13"/>
  <c r="P407" i="13"/>
  <c r="P408" i="13"/>
  <c r="P409" i="13"/>
  <c r="P410" i="13"/>
  <c r="P411" i="13"/>
  <c r="P412" i="13"/>
  <c r="P413" i="13"/>
  <c r="P414" i="13"/>
  <c r="P415" i="13"/>
  <c r="P416" i="13"/>
  <c r="P417" i="13"/>
  <c r="P418" i="13"/>
  <c r="P419" i="13"/>
  <c r="P420" i="13"/>
  <c r="P421" i="13"/>
  <c r="P422" i="13"/>
  <c r="P423" i="13"/>
  <c r="P424" i="13"/>
  <c r="P425" i="13"/>
  <c r="P426" i="13"/>
  <c r="P427" i="13"/>
  <c r="P428" i="13"/>
  <c r="P429" i="13"/>
  <c r="P430" i="13"/>
  <c r="P431" i="13"/>
  <c r="P432" i="13"/>
  <c r="P433" i="13"/>
  <c r="P434" i="13"/>
  <c r="P435" i="13"/>
  <c r="P436" i="13"/>
  <c r="P437" i="13"/>
  <c r="P438" i="13"/>
  <c r="P439" i="13"/>
  <c r="P440" i="13"/>
  <c r="P441" i="13"/>
  <c r="P442" i="13"/>
  <c r="P443" i="13"/>
  <c r="P444" i="13"/>
  <c r="P445" i="13"/>
  <c r="P446" i="13"/>
  <c r="P447" i="13"/>
  <c r="P448" i="13"/>
  <c r="P449" i="13"/>
  <c r="P450" i="13"/>
  <c r="P451" i="13"/>
  <c r="P452" i="13"/>
  <c r="P453" i="13"/>
  <c r="P454" i="13"/>
  <c r="P455" i="13"/>
  <c r="T264" i="13"/>
  <c r="T265" i="13"/>
  <c r="T266" i="13"/>
  <c r="T267" i="13"/>
  <c r="T268" i="13"/>
  <c r="T269" i="13"/>
  <c r="T270" i="13"/>
  <c r="T271" i="13"/>
  <c r="T272" i="13"/>
  <c r="T273" i="13"/>
  <c r="T274" i="13"/>
  <c r="T275" i="13"/>
  <c r="T276" i="13"/>
  <c r="T277" i="13"/>
  <c r="T278" i="13"/>
  <c r="T279" i="13"/>
  <c r="T280" i="13"/>
  <c r="T281" i="13"/>
  <c r="T282" i="13"/>
  <c r="T283" i="13"/>
  <c r="T284" i="13"/>
  <c r="T285" i="13"/>
  <c r="T286" i="13"/>
  <c r="T287" i="13"/>
  <c r="T288" i="13"/>
  <c r="T289" i="13"/>
  <c r="T290" i="13"/>
  <c r="T291" i="13"/>
  <c r="T292" i="13"/>
  <c r="T293" i="13"/>
  <c r="T294" i="13"/>
  <c r="T295" i="13"/>
  <c r="T296" i="13"/>
  <c r="T297" i="13"/>
  <c r="T298" i="13"/>
  <c r="T299" i="13"/>
  <c r="T300" i="13"/>
  <c r="T301" i="13"/>
  <c r="T302" i="13"/>
  <c r="T303" i="13"/>
  <c r="T304" i="13"/>
  <c r="T305" i="13"/>
  <c r="T306" i="13"/>
  <c r="T307" i="13"/>
  <c r="T308" i="13"/>
  <c r="T309" i="13"/>
  <c r="T310" i="13"/>
  <c r="T311" i="13"/>
  <c r="T312" i="13"/>
  <c r="T313" i="13"/>
  <c r="T314" i="13"/>
  <c r="T315" i="13"/>
  <c r="T316" i="13"/>
  <c r="T317" i="13"/>
  <c r="T318" i="13"/>
  <c r="T319" i="13"/>
  <c r="T320" i="13"/>
  <c r="T321" i="13"/>
  <c r="T322" i="13"/>
  <c r="T323" i="13"/>
  <c r="T324" i="13"/>
  <c r="T325" i="13"/>
  <c r="T326" i="13"/>
  <c r="T327" i="13"/>
  <c r="T328" i="13"/>
  <c r="T329" i="13"/>
  <c r="T330" i="13"/>
  <c r="T331" i="13"/>
  <c r="T332" i="13"/>
  <c r="T333" i="13"/>
  <c r="T334" i="13"/>
  <c r="T335" i="13"/>
  <c r="T336" i="13"/>
  <c r="T337" i="13"/>
  <c r="T338" i="13"/>
  <c r="T339" i="13"/>
  <c r="T340" i="13"/>
  <c r="T341" i="13"/>
  <c r="T342" i="13"/>
  <c r="T343" i="13"/>
  <c r="T344" i="13"/>
  <c r="T345" i="13"/>
  <c r="T346" i="13"/>
  <c r="T347" i="13"/>
  <c r="T348" i="13"/>
  <c r="T349" i="13"/>
  <c r="T350" i="13"/>
  <c r="T351" i="13"/>
  <c r="T352" i="13"/>
  <c r="T353" i="13"/>
  <c r="T354" i="13"/>
  <c r="T355" i="13"/>
  <c r="T356" i="13"/>
  <c r="T357" i="13"/>
  <c r="T358" i="13"/>
  <c r="T359" i="13"/>
  <c r="T360" i="13"/>
  <c r="T361" i="13"/>
  <c r="T362" i="13"/>
  <c r="T363" i="13"/>
  <c r="T364" i="13"/>
  <c r="T365" i="13"/>
  <c r="T366" i="13"/>
  <c r="T367" i="13"/>
  <c r="T368" i="13"/>
  <c r="T369" i="13"/>
  <c r="T370" i="13"/>
  <c r="T371" i="13"/>
  <c r="T372" i="13"/>
  <c r="T373" i="13"/>
  <c r="T374" i="13"/>
  <c r="T375" i="13"/>
  <c r="T376" i="13"/>
  <c r="T377" i="13"/>
  <c r="T378" i="13"/>
  <c r="T379" i="13"/>
  <c r="T380" i="13"/>
  <c r="T381" i="13"/>
  <c r="T382" i="13"/>
  <c r="T383" i="13"/>
  <c r="T384" i="13"/>
  <c r="T385" i="13"/>
  <c r="T386" i="13"/>
  <c r="T387" i="13"/>
  <c r="T388" i="13"/>
  <c r="T389" i="13"/>
  <c r="T390" i="13"/>
  <c r="T391" i="13"/>
  <c r="T392" i="13"/>
  <c r="T393" i="13"/>
  <c r="T394" i="13"/>
  <c r="T395" i="13"/>
  <c r="T396" i="13"/>
  <c r="T397" i="13"/>
  <c r="T398" i="13"/>
  <c r="T399" i="13"/>
  <c r="T400" i="13"/>
  <c r="T401" i="13"/>
  <c r="T402" i="13"/>
  <c r="T403" i="13"/>
  <c r="T404" i="13"/>
  <c r="T405" i="13"/>
  <c r="T406" i="13"/>
  <c r="T407" i="13"/>
  <c r="T408" i="13"/>
  <c r="T409" i="13"/>
  <c r="T410" i="13"/>
  <c r="T411" i="13"/>
  <c r="T412" i="13"/>
  <c r="T413" i="13"/>
  <c r="T414" i="13"/>
  <c r="T415" i="13"/>
  <c r="T416" i="13"/>
  <c r="T417" i="13"/>
  <c r="T418" i="13"/>
  <c r="T419" i="13"/>
  <c r="T420" i="13"/>
  <c r="T421" i="13"/>
  <c r="T422" i="13"/>
  <c r="T423" i="13"/>
  <c r="T424" i="13"/>
  <c r="T425" i="13"/>
  <c r="T426" i="13"/>
  <c r="T427" i="13"/>
  <c r="T428" i="13"/>
  <c r="T429" i="13"/>
  <c r="T430" i="13"/>
  <c r="T431" i="13"/>
  <c r="T432" i="13"/>
  <c r="T433" i="13"/>
  <c r="T434" i="13"/>
  <c r="T435" i="13"/>
  <c r="T436" i="13"/>
  <c r="T437" i="13"/>
  <c r="T438" i="13"/>
  <c r="T439" i="13"/>
  <c r="T440" i="13"/>
  <c r="T441" i="13"/>
  <c r="T442" i="13"/>
  <c r="T443" i="13"/>
  <c r="T444" i="13"/>
  <c r="T445" i="13"/>
  <c r="T446" i="13"/>
  <c r="T447" i="13"/>
  <c r="T448" i="13"/>
  <c r="T449" i="13"/>
  <c r="T450" i="13"/>
  <c r="T451" i="13"/>
  <c r="T452" i="13"/>
  <c r="T453" i="13"/>
  <c r="T454" i="13"/>
  <c r="T455" i="13"/>
  <c r="V417" i="13" l="1"/>
  <c r="AE417" i="13" s="1"/>
  <c r="U417" i="13"/>
  <c r="W417" i="13" s="1"/>
  <c r="U321" i="13"/>
  <c r="W321" i="13" s="1"/>
  <c r="V321" i="13"/>
  <c r="AE321" i="13" s="1"/>
  <c r="V440" i="13"/>
  <c r="AE440" i="13" s="1"/>
  <c r="U440" i="13"/>
  <c r="W440" i="13" s="1"/>
  <c r="U428" i="13"/>
  <c r="W428" i="13" s="1"/>
  <c r="V428" i="13"/>
  <c r="AE428" i="13" s="1"/>
  <c r="U416" i="13"/>
  <c r="W416" i="13" s="1"/>
  <c r="V416" i="13"/>
  <c r="AE416" i="13" s="1"/>
  <c r="U404" i="13"/>
  <c r="W404" i="13" s="1"/>
  <c r="V404" i="13"/>
  <c r="AE404" i="13" s="1"/>
  <c r="U392" i="13"/>
  <c r="W392" i="13" s="1"/>
  <c r="V392" i="13"/>
  <c r="AE392" i="13" s="1"/>
  <c r="V380" i="13"/>
  <c r="AE380" i="13" s="1"/>
  <c r="U380" i="13"/>
  <c r="W380" i="13" s="1"/>
  <c r="V368" i="13"/>
  <c r="AE368" i="13" s="1"/>
  <c r="U368" i="13"/>
  <c r="W368" i="13" s="1"/>
  <c r="V356" i="13"/>
  <c r="AE356" i="13" s="1"/>
  <c r="U356" i="13"/>
  <c r="W356" i="13" s="1"/>
  <c r="U344" i="13"/>
  <c r="W344" i="13" s="1"/>
  <c r="V344" i="13"/>
  <c r="AE344" i="13" s="1"/>
  <c r="V332" i="13"/>
  <c r="AE332" i="13" s="1"/>
  <c r="U332" i="13"/>
  <c r="W332" i="13" s="1"/>
  <c r="U320" i="13"/>
  <c r="W320" i="13" s="1"/>
  <c r="V320" i="13"/>
  <c r="AE320" i="13" s="1"/>
  <c r="V308" i="13"/>
  <c r="AE308" i="13" s="1"/>
  <c r="U308" i="13"/>
  <c r="W308" i="13" s="1"/>
  <c r="U296" i="13"/>
  <c r="W296" i="13" s="1"/>
  <c r="V296" i="13"/>
  <c r="AE296" i="13" s="1"/>
  <c r="V284" i="13"/>
  <c r="AE284" i="13" s="1"/>
  <c r="U284" i="13"/>
  <c r="W284" i="13" s="1"/>
  <c r="U272" i="13"/>
  <c r="W272" i="13" s="1"/>
  <c r="V272" i="13"/>
  <c r="AE272" i="13" s="1"/>
  <c r="U405" i="13"/>
  <c r="W405" i="13" s="1"/>
  <c r="V405" i="13"/>
  <c r="AE405" i="13" s="1"/>
  <c r="V309" i="13"/>
  <c r="AE309" i="13" s="1"/>
  <c r="U309" i="13"/>
  <c r="W309" i="13" s="1"/>
  <c r="U451" i="13"/>
  <c r="W451" i="13" s="1"/>
  <c r="V451" i="13"/>
  <c r="AE451" i="13" s="1"/>
  <c r="U427" i="13"/>
  <c r="W427" i="13" s="1"/>
  <c r="V427" i="13"/>
  <c r="AE427" i="13" s="1"/>
  <c r="V415" i="13"/>
  <c r="AE415" i="13" s="1"/>
  <c r="U415" i="13"/>
  <c r="W415" i="13" s="1"/>
  <c r="U403" i="13"/>
  <c r="W403" i="13" s="1"/>
  <c r="V403" i="13"/>
  <c r="AE403" i="13" s="1"/>
  <c r="U391" i="13"/>
  <c r="W391" i="13" s="1"/>
  <c r="V391" i="13"/>
  <c r="AE391" i="13" s="1"/>
  <c r="V379" i="13"/>
  <c r="AE379" i="13" s="1"/>
  <c r="U379" i="13"/>
  <c r="W379" i="13" s="1"/>
  <c r="V367" i="13"/>
  <c r="AE367" i="13" s="1"/>
  <c r="U367" i="13"/>
  <c r="W367" i="13" s="1"/>
  <c r="U355" i="13"/>
  <c r="W355" i="13" s="1"/>
  <c r="V355" i="13"/>
  <c r="AE355" i="13" s="1"/>
  <c r="V343" i="13"/>
  <c r="AE343" i="13" s="1"/>
  <c r="U343" i="13"/>
  <c r="W343" i="13" s="1"/>
  <c r="U331" i="13"/>
  <c r="W331" i="13" s="1"/>
  <c r="V331" i="13"/>
  <c r="AE331" i="13" s="1"/>
  <c r="V319" i="13"/>
  <c r="AE319" i="13" s="1"/>
  <c r="U319" i="13"/>
  <c r="W319" i="13" s="1"/>
  <c r="U307" i="13"/>
  <c r="W307" i="13" s="1"/>
  <c r="V307" i="13"/>
  <c r="AE307" i="13" s="1"/>
  <c r="V295" i="13"/>
  <c r="AE295" i="13" s="1"/>
  <c r="U295" i="13"/>
  <c r="W295" i="13" s="1"/>
  <c r="V283" i="13"/>
  <c r="AE283" i="13" s="1"/>
  <c r="U283" i="13"/>
  <c r="W283" i="13" s="1"/>
  <c r="V271" i="13"/>
  <c r="AE271" i="13" s="1"/>
  <c r="U271" i="13"/>
  <c r="W271" i="13" s="1"/>
  <c r="V453" i="13"/>
  <c r="AE453" i="13" s="1"/>
  <c r="U453" i="13"/>
  <c r="W453" i="13" s="1"/>
  <c r="U333" i="13"/>
  <c r="W333" i="13" s="1"/>
  <c r="V333" i="13"/>
  <c r="AE333" i="13" s="1"/>
  <c r="U439" i="13"/>
  <c r="W439" i="13" s="1"/>
  <c r="V439" i="13"/>
  <c r="AE439" i="13" s="1"/>
  <c r="V450" i="13"/>
  <c r="AE450" i="13" s="1"/>
  <c r="U450" i="13"/>
  <c r="W450" i="13" s="1"/>
  <c r="U438" i="13"/>
  <c r="W438" i="13" s="1"/>
  <c r="V438" i="13"/>
  <c r="AE438" i="13" s="1"/>
  <c r="V426" i="13"/>
  <c r="AE426" i="13" s="1"/>
  <c r="U426" i="13"/>
  <c r="W426" i="13" s="1"/>
  <c r="U414" i="13"/>
  <c r="W414" i="13" s="1"/>
  <c r="V414" i="13"/>
  <c r="AE414" i="13" s="1"/>
  <c r="U402" i="13"/>
  <c r="W402" i="13" s="1"/>
  <c r="V402" i="13"/>
  <c r="AE402" i="13" s="1"/>
  <c r="U390" i="13"/>
  <c r="W390" i="13" s="1"/>
  <c r="V390" i="13"/>
  <c r="AE390" i="13" s="1"/>
  <c r="V378" i="13"/>
  <c r="AE378" i="13" s="1"/>
  <c r="U378" i="13"/>
  <c r="W378" i="13" s="1"/>
  <c r="U366" i="13"/>
  <c r="W366" i="13" s="1"/>
  <c r="V366" i="13"/>
  <c r="AE366" i="13" s="1"/>
  <c r="V354" i="13"/>
  <c r="AE354" i="13" s="1"/>
  <c r="U354" i="13"/>
  <c r="W354" i="13" s="1"/>
  <c r="V342" i="13"/>
  <c r="AE342" i="13" s="1"/>
  <c r="U342" i="13"/>
  <c r="W342" i="13" s="1"/>
  <c r="V330" i="13"/>
  <c r="AE330" i="13" s="1"/>
  <c r="U330" i="13"/>
  <c r="W330" i="13" s="1"/>
  <c r="V318" i="13"/>
  <c r="AE318" i="13" s="1"/>
  <c r="U318" i="13"/>
  <c r="W318" i="13" s="1"/>
  <c r="V306" i="13"/>
  <c r="AE306" i="13" s="1"/>
  <c r="U306" i="13"/>
  <c r="W306" i="13" s="1"/>
  <c r="V294" i="13"/>
  <c r="AE294" i="13" s="1"/>
  <c r="U294" i="13"/>
  <c r="W294" i="13" s="1"/>
  <c r="V282" i="13"/>
  <c r="AE282" i="13" s="1"/>
  <c r="U282" i="13"/>
  <c r="W282" i="13" s="1"/>
  <c r="V270" i="13"/>
  <c r="AE270" i="13" s="1"/>
  <c r="U270" i="13"/>
  <c r="W270" i="13" s="1"/>
  <c r="U357" i="13"/>
  <c r="W357" i="13" s="1"/>
  <c r="V357" i="13"/>
  <c r="AE357" i="13" s="1"/>
  <c r="V437" i="13"/>
  <c r="AE437" i="13" s="1"/>
  <c r="U437" i="13"/>
  <c r="W437" i="13" s="1"/>
  <c r="V425" i="13"/>
  <c r="AE425" i="13" s="1"/>
  <c r="U425" i="13"/>
  <c r="W425" i="13" s="1"/>
  <c r="U413" i="13"/>
  <c r="W413" i="13" s="1"/>
  <c r="V413" i="13"/>
  <c r="AE413" i="13" s="1"/>
  <c r="U401" i="13"/>
  <c r="W401" i="13" s="1"/>
  <c r="V401" i="13"/>
  <c r="AE401" i="13" s="1"/>
  <c r="U389" i="13"/>
  <c r="W389" i="13" s="1"/>
  <c r="V389" i="13"/>
  <c r="AE389" i="13" s="1"/>
  <c r="U377" i="13"/>
  <c r="W377" i="13" s="1"/>
  <c r="V377" i="13"/>
  <c r="AE377" i="13" s="1"/>
  <c r="U365" i="13"/>
  <c r="W365" i="13" s="1"/>
  <c r="V365" i="13"/>
  <c r="AE365" i="13" s="1"/>
  <c r="V353" i="13"/>
  <c r="AE353" i="13" s="1"/>
  <c r="U353" i="13"/>
  <c r="W353" i="13" s="1"/>
  <c r="U341" i="13"/>
  <c r="W341" i="13" s="1"/>
  <c r="V341" i="13"/>
  <c r="AE341" i="13" s="1"/>
  <c r="U329" i="13"/>
  <c r="W329" i="13" s="1"/>
  <c r="V329" i="13"/>
  <c r="AE329" i="13" s="1"/>
  <c r="U317" i="13"/>
  <c r="W317" i="13" s="1"/>
  <c r="V317" i="13"/>
  <c r="AE317" i="13" s="1"/>
  <c r="U305" i="13"/>
  <c r="W305" i="13" s="1"/>
  <c r="V305" i="13"/>
  <c r="AE305" i="13" s="1"/>
  <c r="U293" i="13"/>
  <c r="W293" i="13" s="1"/>
  <c r="V293" i="13"/>
  <c r="AE293" i="13" s="1"/>
  <c r="V281" i="13"/>
  <c r="AE281" i="13" s="1"/>
  <c r="U281" i="13"/>
  <c r="W281" i="13" s="1"/>
  <c r="U269" i="13"/>
  <c r="W269" i="13" s="1"/>
  <c r="V269" i="13"/>
  <c r="AE269" i="13" s="1"/>
  <c r="V429" i="13"/>
  <c r="AE429" i="13" s="1"/>
  <c r="U429" i="13"/>
  <c r="W429" i="13" s="1"/>
  <c r="U297" i="13"/>
  <c r="W297" i="13" s="1"/>
  <c r="V297" i="13"/>
  <c r="AE297" i="13" s="1"/>
  <c r="V452" i="13"/>
  <c r="AE452" i="13" s="1"/>
  <c r="U452" i="13"/>
  <c r="W452" i="13" s="1"/>
  <c r="V448" i="13"/>
  <c r="AE448" i="13" s="1"/>
  <c r="U448" i="13"/>
  <c r="W448" i="13" s="1"/>
  <c r="U436" i="13"/>
  <c r="W436" i="13" s="1"/>
  <c r="V436" i="13"/>
  <c r="AE436" i="13" s="1"/>
  <c r="V424" i="13"/>
  <c r="AE424" i="13" s="1"/>
  <c r="U424" i="13"/>
  <c r="W424" i="13" s="1"/>
  <c r="V412" i="13"/>
  <c r="AE412" i="13" s="1"/>
  <c r="U412" i="13"/>
  <c r="W412" i="13" s="1"/>
  <c r="U400" i="13"/>
  <c r="W400" i="13" s="1"/>
  <c r="V400" i="13"/>
  <c r="AE400" i="13" s="1"/>
  <c r="U388" i="13"/>
  <c r="W388" i="13" s="1"/>
  <c r="V388" i="13"/>
  <c r="AE388" i="13" s="1"/>
  <c r="U376" i="13"/>
  <c r="W376" i="13" s="1"/>
  <c r="V376" i="13"/>
  <c r="AE376" i="13" s="1"/>
  <c r="U364" i="13"/>
  <c r="W364" i="13" s="1"/>
  <c r="V364" i="13"/>
  <c r="AE364" i="13" s="1"/>
  <c r="U352" i="13"/>
  <c r="W352" i="13" s="1"/>
  <c r="V352" i="13"/>
  <c r="AE352" i="13" s="1"/>
  <c r="U340" i="13"/>
  <c r="W340" i="13" s="1"/>
  <c r="V340" i="13"/>
  <c r="AE340" i="13" s="1"/>
  <c r="V328" i="13"/>
  <c r="AE328" i="13" s="1"/>
  <c r="U328" i="13"/>
  <c r="W328" i="13" s="1"/>
  <c r="U316" i="13"/>
  <c r="W316" i="13" s="1"/>
  <c r="V316" i="13"/>
  <c r="AE316" i="13" s="1"/>
  <c r="U304" i="13"/>
  <c r="W304" i="13" s="1"/>
  <c r="V304" i="13"/>
  <c r="AE304" i="13" s="1"/>
  <c r="U292" i="13"/>
  <c r="W292" i="13" s="1"/>
  <c r="V292" i="13"/>
  <c r="AE292" i="13" s="1"/>
  <c r="U280" i="13"/>
  <c r="W280" i="13" s="1"/>
  <c r="V280" i="13"/>
  <c r="AE280" i="13" s="1"/>
  <c r="U268" i="13"/>
  <c r="W268" i="13" s="1"/>
  <c r="V268" i="13"/>
  <c r="AE268" i="13" s="1"/>
  <c r="V393" i="13"/>
  <c r="AE393" i="13" s="1"/>
  <c r="U393" i="13"/>
  <c r="W393" i="13" s="1"/>
  <c r="V449" i="13"/>
  <c r="AE449" i="13" s="1"/>
  <c r="U449" i="13"/>
  <c r="W449" i="13" s="1"/>
  <c r="U447" i="13"/>
  <c r="W447" i="13" s="1"/>
  <c r="V447" i="13"/>
  <c r="AE447" i="13" s="1"/>
  <c r="U435" i="13"/>
  <c r="W435" i="13" s="1"/>
  <c r="V435" i="13"/>
  <c r="AE435" i="13" s="1"/>
  <c r="U423" i="13"/>
  <c r="W423" i="13" s="1"/>
  <c r="V423" i="13"/>
  <c r="AE423" i="13" s="1"/>
  <c r="V411" i="13"/>
  <c r="AE411" i="13" s="1"/>
  <c r="U411" i="13"/>
  <c r="W411" i="13" s="1"/>
  <c r="U399" i="13"/>
  <c r="W399" i="13" s="1"/>
  <c r="V399" i="13"/>
  <c r="AE399" i="13" s="1"/>
  <c r="V387" i="13"/>
  <c r="AE387" i="13" s="1"/>
  <c r="U387" i="13"/>
  <c r="W387" i="13" s="1"/>
  <c r="U375" i="13"/>
  <c r="W375" i="13" s="1"/>
  <c r="V375" i="13"/>
  <c r="AE375" i="13" s="1"/>
  <c r="U363" i="13"/>
  <c r="W363" i="13" s="1"/>
  <c r="V363" i="13"/>
  <c r="AE363" i="13" s="1"/>
  <c r="U351" i="13"/>
  <c r="W351" i="13" s="1"/>
  <c r="V351" i="13"/>
  <c r="AE351" i="13" s="1"/>
  <c r="U339" i="13"/>
  <c r="W339" i="13" s="1"/>
  <c r="V339" i="13"/>
  <c r="AE339" i="13" s="1"/>
  <c r="U327" i="13"/>
  <c r="W327" i="13" s="1"/>
  <c r="V327" i="13"/>
  <c r="AE327" i="13" s="1"/>
  <c r="U315" i="13"/>
  <c r="W315" i="13" s="1"/>
  <c r="V315" i="13"/>
  <c r="AE315" i="13" s="1"/>
  <c r="U303" i="13"/>
  <c r="W303" i="13" s="1"/>
  <c r="V303" i="13"/>
  <c r="AE303" i="13" s="1"/>
  <c r="U291" i="13"/>
  <c r="W291" i="13" s="1"/>
  <c r="V291" i="13"/>
  <c r="AE291" i="13" s="1"/>
  <c r="U279" i="13"/>
  <c r="W279" i="13" s="1"/>
  <c r="V279" i="13"/>
  <c r="AE279" i="13" s="1"/>
  <c r="U267" i="13"/>
  <c r="W267" i="13" s="1"/>
  <c r="V267" i="13"/>
  <c r="AE267" i="13" s="1"/>
  <c r="V441" i="13"/>
  <c r="AE441" i="13" s="1"/>
  <c r="U441" i="13"/>
  <c r="W441" i="13" s="1"/>
  <c r="U285" i="13"/>
  <c r="W285" i="13" s="1"/>
  <c r="V285" i="13"/>
  <c r="AE285" i="13" s="1"/>
  <c r="U446" i="13"/>
  <c r="W446" i="13" s="1"/>
  <c r="V446" i="13"/>
  <c r="AE446" i="13" s="1"/>
  <c r="U434" i="13"/>
  <c r="W434" i="13" s="1"/>
  <c r="V434" i="13"/>
  <c r="AE434" i="13" s="1"/>
  <c r="U422" i="13"/>
  <c r="W422" i="13" s="1"/>
  <c r="V422" i="13"/>
  <c r="AE422" i="13" s="1"/>
  <c r="U410" i="13"/>
  <c r="W410" i="13" s="1"/>
  <c r="V410" i="13"/>
  <c r="AE410" i="13" s="1"/>
  <c r="U398" i="13"/>
  <c r="W398" i="13" s="1"/>
  <c r="V398" i="13"/>
  <c r="AE398" i="13" s="1"/>
  <c r="U386" i="13"/>
  <c r="W386" i="13" s="1"/>
  <c r="V386" i="13"/>
  <c r="AE386" i="13" s="1"/>
  <c r="U374" i="13"/>
  <c r="W374" i="13" s="1"/>
  <c r="V374" i="13"/>
  <c r="AE374" i="13" s="1"/>
  <c r="U362" i="13"/>
  <c r="W362" i="13" s="1"/>
  <c r="V362" i="13"/>
  <c r="AE362" i="13" s="1"/>
  <c r="U350" i="13"/>
  <c r="W350" i="13" s="1"/>
  <c r="V350" i="13"/>
  <c r="AE350" i="13" s="1"/>
  <c r="U338" i="13"/>
  <c r="W338" i="13" s="1"/>
  <c r="V338" i="13"/>
  <c r="AE338" i="13" s="1"/>
  <c r="U326" i="13"/>
  <c r="W326" i="13" s="1"/>
  <c r="V326" i="13"/>
  <c r="AE326" i="13" s="1"/>
  <c r="U314" i="13"/>
  <c r="W314" i="13" s="1"/>
  <c r="V314" i="13"/>
  <c r="AE314" i="13" s="1"/>
  <c r="U302" i="13"/>
  <c r="W302" i="13" s="1"/>
  <c r="V302" i="13"/>
  <c r="AE302" i="13" s="1"/>
  <c r="U290" i="13"/>
  <c r="W290" i="13" s="1"/>
  <c r="V290" i="13"/>
  <c r="AE290" i="13" s="1"/>
  <c r="U278" i="13"/>
  <c r="W278" i="13" s="1"/>
  <c r="V278" i="13"/>
  <c r="AE278" i="13" s="1"/>
  <c r="U266" i="13"/>
  <c r="W266" i="13" s="1"/>
  <c r="V266" i="13"/>
  <c r="AE266" i="13" s="1"/>
  <c r="U273" i="13"/>
  <c r="W273" i="13" s="1"/>
  <c r="V273" i="13"/>
  <c r="AE273" i="13" s="1"/>
  <c r="V445" i="13"/>
  <c r="AE445" i="13" s="1"/>
  <c r="U445" i="13"/>
  <c r="W445" i="13" s="1"/>
  <c r="U433" i="13"/>
  <c r="W433" i="13" s="1"/>
  <c r="V433" i="13"/>
  <c r="AE433" i="13" s="1"/>
  <c r="U421" i="13"/>
  <c r="W421" i="13" s="1"/>
  <c r="V421" i="13"/>
  <c r="AE421" i="13" s="1"/>
  <c r="V409" i="13"/>
  <c r="AE409" i="13" s="1"/>
  <c r="U409" i="13"/>
  <c r="W409" i="13" s="1"/>
  <c r="U397" i="13"/>
  <c r="W397" i="13" s="1"/>
  <c r="V397" i="13"/>
  <c r="AE397" i="13" s="1"/>
  <c r="U385" i="13"/>
  <c r="W385" i="13" s="1"/>
  <c r="V385" i="13"/>
  <c r="AE385" i="13" s="1"/>
  <c r="U373" i="13"/>
  <c r="W373" i="13" s="1"/>
  <c r="V373" i="13"/>
  <c r="AE373" i="13" s="1"/>
  <c r="U361" i="13"/>
  <c r="W361" i="13" s="1"/>
  <c r="V361" i="13"/>
  <c r="AE361" i="13" s="1"/>
  <c r="U349" i="13"/>
  <c r="W349" i="13" s="1"/>
  <c r="V349" i="13"/>
  <c r="AE349" i="13" s="1"/>
  <c r="U337" i="13"/>
  <c r="W337" i="13" s="1"/>
  <c r="V337" i="13"/>
  <c r="AE337" i="13" s="1"/>
  <c r="U325" i="13"/>
  <c r="W325" i="13" s="1"/>
  <c r="V325" i="13"/>
  <c r="AE325" i="13" s="1"/>
  <c r="U313" i="13"/>
  <c r="W313" i="13" s="1"/>
  <c r="V313" i="13"/>
  <c r="AE313" i="13" s="1"/>
  <c r="U301" i="13"/>
  <c r="W301" i="13" s="1"/>
  <c r="V301" i="13"/>
  <c r="AE301" i="13" s="1"/>
  <c r="U289" i="13"/>
  <c r="W289" i="13" s="1"/>
  <c r="V289" i="13"/>
  <c r="AE289" i="13" s="1"/>
  <c r="U277" i="13"/>
  <c r="W277" i="13" s="1"/>
  <c r="V277" i="13"/>
  <c r="AE277" i="13" s="1"/>
  <c r="U265" i="13"/>
  <c r="W265" i="13" s="1"/>
  <c r="V265" i="13"/>
  <c r="AE265" i="13" s="1"/>
  <c r="U369" i="13"/>
  <c r="W369" i="13" s="1"/>
  <c r="V369" i="13"/>
  <c r="AE369" i="13" s="1"/>
  <c r="U444" i="13"/>
  <c r="W444" i="13" s="1"/>
  <c r="V444" i="13"/>
  <c r="AE444" i="13" s="1"/>
  <c r="U432" i="13"/>
  <c r="W432" i="13" s="1"/>
  <c r="V432" i="13"/>
  <c r="AE432" i="13" s="1"/>
  <c r="V420" i="13"/>
  <c r="AE420" i="13" s="1"/>
  <c r="U420" i="13"/>
  <c r="W420" i="13" s="1"/>
  <c r="U408" i="13"/>
  <c r="W408" i="13" s="1"/>
  <c r="V408" i="13"/>
  <c r="AE408" i="13" s="1"/>
  <c r="U396" i="13"/>
  <c r="W396" i="13" s="1"/>
  <c r="V396" i="13"/>
  <c r="AE396" i="13" s="1"/>
  <c r="V384" i="13"/>
  <c r="AE384" i="13" s="1"/>
  <c r="U384" i="13"/>
  <c r="W384" i="13" s="1"/>
  <c r="V372" i="13"/>
  <c r="AE372" i="13" s="1"/>
  <c r="U372" i="13"/>
  <c r="W372" i="13" s="1"/>
  <c r="U360" i="13"/>
  <c r="W360" i="13" s="1"/>
  <c r="V360" i="13"/>
  <c r="AE360" i="13" s="1"/>
  <c r="V348" i="13"/>
  <c r="AE348" i="13" s="1"/>
  <c r="U348" i="13"/>
  <c r="W348" i="13" s="1"/>
  <c r="U336" i="13"/>
  <c r="W336" i="13" s="1"/>
  <c r="V336" i="13"/>
  <c r="AE336" i="13" s="1"/>
  <c r="V324" i="13"/>
  <c r="AE324" i="13" s="1"/>
  <c r="U324" i="13"/>
  <c r="W324" i="13" s="1"/>
  <c r="U312" i="13"/>
  <c r="W312" i="13" s="1"/>
  <c r="V312" i="13"/>
  <c r="AE312" i="13" s="1"/>
  <c r="V300" i="13"/>
  <c r="AE300" i="13" s="1"/>
  <c r="U300" i="13"/>
  <c r="W300" i="13" s="1"/>
  <c r="V288" i="13"/>
  <c r="AE288" i="13" s="1"/>
  <c r="U288" i="13"/>
  <c r="W288" i="13" s="1"/>
  <c r="V276" i="13"/>
  <c r="AE276" i="13" s="1"/>
  <c r="U276" i="13"/>
  <c r="W276" i="13" s="1"/>
  <c r="V264" i="13"/>
  <c r="AE264" i="13" s="1"/>
  <c r="U264" i="13"/>
  <c r="W264" i="13" s="1"/>
  <c r="U381" i="13"/>
  <c r="W381" i="13" s="1"/>
  <c r="V381" i="13"/>
  <c r="AE381" i="13" s="1"/>
  <c r="U455" i="13"/>
  <c r="W455" i="13" s="1"/>
  <c r="V455" i="13"/>
  <c r="AE455" i="13" s="1"/>
  <c r="V443" i="13"/>
  <c r="AE443" i="13" s="1"/>
  <c r="U443" i="13"/>
  <c r="W443" i="13" s="1"/>
  <c r="U431" i="13"/>
  <c r="W431" i="13" s="1"/>
  <c r="V431" i="13"/>
  <c r="AE431" i="13" s="1"/>
  <c r="U419" i="13"/>
  <c r="W419" i="13" s="1"/>
  <c r="V419" i="13"/>
  <c r="AE419" i="13" s="1"/>
  <c r="U407" i="13"/>
  <c r="W407" i="13" s="1"/>
  <c r="V407" i="13"/>
  <c r="AE407" i="13" s="1"/>
  <c r="U395" i="13"/>
  <c r="W395" i="13" s="1"/>
  <c r="V395" i="13"/>
  <c r="AE395" i="13" s="1"/>
  <c r="V383" i="13"/>
  <c r="AE383" i="13" s="1"/>
  <c r="U383" i="13"/>
  <c r="W383" i="13" s="1"/>
  <c r="U371" i="13"/>
  <c r="W371" i="13" s="1"/>
  <c r="V371" i="13"/>
  <c r="AE371" i="13" s="1"/>
  <c r="V359" i="13"/>
  <c r="AE359" i="13" s="1"/>
  <c r="U359" i="13"/>
  <c r="W359" i="13" s="1"/>
  <c r="V347" i="13"/>
  <c r="AE347" i="13" s="1"/>
  <c r="U347" i="13"/>
  <c r="W347" i="13" s="1"/>
  <c r="U335" i="13"/>
  <c r="W335" i="13" s="1"/>
  <c r="V335" i="13"/>
  <c r="AE335" i="13" s="1"/>
  <c r="U323" i="13"/>
  <c r="W323" i="13" s="1"/>
  <c r="V323" i="13"/>
  <c r="AE323" i="13" s="1"/>
  <c r="U311" i="13"/>
  <c r="W311" i="13" s="1"/>
  <c r="V311" i="13"/>
  <c r="AE311" i="13" s="1"/>
  <c r="U299" i="13"/>
  <c r="W299" i="13" s="1"/>
  <c r="V299" i="13"/>
  <c r="AE299" i="13" s="1"/>
  <c r="U287" i="13"/>
  <c r="W287" i="13" s="1"/>
  <c r="V287" i="13"/>
  <c r="AE287" i="13" s="1"/>
  <c r="U275" i="13"/>
  <c r="W275" i="13" s="1"/>
  <c r="V275" i="13"/>
  <c r="AE275" i="13" s="1"/>
  <c r="U345" i="13"/>
  <c r="W345" i="13" s="1"/>
  <c r="V345" i="13"/>
  <c r="AE345" i="13" s="1"/>
  <c r="U454" i="13"/>
  <c r="W454" i="13" s="1"/>
  <c r="V454" i="13"/>
  <c r="AE454" i="13" s="1"/>
  <c r="V442" i="13"/>
  <c r="AE442" i="13" s="1"/>
  <c r="U442" i="13"/>
  <c r="W442" i="13" s="1"/>
  <c r="V430" i="13"/>
  <c r="AE430" i="13" s="1"/>
  <c r="U430" i="13"/>
  <c r="W430" i="13" s="1"/>
  <c r="U418" i="13"/>
  <c r="W418" i="13" s="1"/>
  <c r="V418" i="13"/>
  <c r="AE418" i="13" s="1"/>
  <c r="U406" i="13"/>
  <c r="W406" i="13" s="1"/>
  <c r="V406" i="13"/>
  <c r="AE406" i="13" s="1"/>
  <c r="U394" i="13"/>
  <c r="W394" i="13" s="1"/>
  <c r="V394" i="13"/>
  <c r="AE394" i="13" s="1"/>
  <c r="U382" i="13"/>
  <c r="W382" i="13" s="1"/>
  <c r="V382" i="13"/>
  <c r="AE382" i="13" s="1"/>
  <c r="U370" i="13"/>
  <c r="W370" i="13" s="1"/>
  <c r="V370" i="13"/>
  <c r="AE370" i="13" s="1"/>
  <c r="V358" i="13"/>
  <c r="AE358" i="13" s="1"/>
  <c r="U358" i="13"/>
  <c r="W358" i="13" s="1"/>
  <c r="U346" i="13"/>
  <c r="W346" i="13" s="1"/>
  <c r="V346" i="13"/>
  <c r="AE346" i="13" s="1"/>
  <c r="U334" i="13"/>
  <c r="W334" i="13" s="1"/>
  <c r="V334" i="13"/>
  <c r="AE334" i="13" s="1"/>
  <c r="V322" i="13"/>
  <c r="AE322" i="13" s="1"/>
  <c r="U322" i="13"/>
  <c r="W322" i="13" s="1"/>
  <c r="U310" i="13"/>
  <c r="W310" i="13" s="1"/>
  <c r="V310" i="13"/>
  <c r="AE310" i="13" s="1"/>
  <c r="U298" i="13"/>
  <c r="W298" i="13" s="1"/>
  <c r="V298" i="13"/>
  <c r="AE298" i="13" s="1"/>
  <c r="U286" i="13"/>
  <c r="W286" i="13" s="1"/>
  <c r="V286" i="13"/>
  <c r="AE286" i="13" s="1"/>
  <c r="V274" i="13"/>
  <c r="AE274" i="13" s="1"/>
  <c r="U274" i="13"/>
  <c r="W274" i="13" s="1"/>
  <c r="F21" i="25"/>
  <c r="D32" i="25"/>
  <c r="D22" i="25"/>
  <c r="D21" i="25"/>
  <c r="E18" i="25"/>
  <c r="F18" i="25" s="1"/>
  <c r="G18" i="25" s="1"/>
  <c r="H18" i="25" s="1"/>
  <c r="I18" i="25" s="1"/>
  <c r="X370" i="13" l="1"/>
  <c r="AG370" i="13" s="1"/>
  <c r="AF370" i="13"/>
  <c r="X274" i="13"/>
  <c r="AG274" i="13" s="1"/>
  <c r="AF274" i="13"/>
  <c r="X288" i="13"/>
  <c r="AG288" i="13" s="1"/>
  <c r="AF288" i="13"/>
  <c r="AF387" i="13"/>
  <c r="X387" i="13"/>
  <c r="AG387" i="13" s="1"/>
  <c r="X330" i="13"/>
  <c r="AG330" i="13" s="1"/>
  <c r="AF330" i="13"/>
  <c r="X332" i="13"/>
  <c r="AG332" i="13" s="1"/>
  <c r="AF332" i="13"/>
  <c r="X346" i="13"/>
  <c r="AG346" i="13" s="1"/>
  <c r="AF346" i="13"/>
  <c r="X287" i="13"/>
  <c r="AG287" i="13" s="1"/>
  <c r="AF287" i="13"/>
  <c r="X432" i="13"/>
  <c r="AG432" i="13" s="1"/>
  <c r="AF432" i="13"/>
  <c r="AF373" i="13"/>
  <c r="X373" i="13"/>
  <c r="AG373" i="13" s="1"/>
  <c r="X314" i="13"/>
  <c r="AG314" i="13" s="1"/>
  <c r="AF314" i="13"/>
  <c r="AF386" i="13"/>
  <c r="X386" i="13"/>
  <c r="AG386" i="13" s="1"/>
  <c r="X285" i="13"/>
  <c r="AG285" i="13" s="1"/>
  <c r="AF285" i="13"/>
  <c r="X315" i="13"/>
  <c r="AG315" i="13" s="1"/>
  <c r="AF315" i="13"/>
  <c r="X316" i="13"/>
  <c r="AG316" i="13" s="1"/>
  <c r="AF316" i="13"/>
  <c r="AF388" i="13"/>
  <c r="X388" i="13"/>
  <c r="AG388" i="13" s="1"/>
  <c r="X305" i="13"/>
  <c r="AG305" i="13" s="1"/>
  <c r="AF305" i="13"/>
  <c r="AF377" i="13"/>
  <c r="X377" i="13"/>
  <c r="AG377" i="13" s="1"/>
  <c r="X357" i="13"/>
  <c r="AG357" i="13" s="1"/>
  <c r="AF357" i="13"/>
  <c r="AF402" i="13"/>
  <c r="X402" i="13"/>
  <c r="AG402" i="13" s="1"/>
  <c r="X333" i="13"/>
  <c r="AG333" i="13" s="1"/>
  <c r="AF333" i="13"/>
  <c r="X391" i="13"/>
  <c r="AG391" i="13" s="1"/>
  <c r="AF391" i="13"/>
  <c r="X405" i="13"/>
  <c r="AG405" i="13" s="1"/>
  <c r="AF405" i="13"/>
  <c r="X404" i="13"/>
  <c r="AG404" i="13" s="1"/>
  <c r="AF404" i="13"/>
  <c r="X322" i="13"/>
  <c r="AG322" i="13" s="1"/>
  <c r="AF322" i="13"/>
  <c r="X359" i="13"/>
  <c r="AG359" i="13" s="1"/>
  <c r="AF359" i="13"/>
  <c r="AF445" i="13"/>
  <c r="X445" i="13"/>
  <c r="AG445" i="13" s="1"/>
  <c r="AF452" i="13"/>
  <c r="X452" i="13"/>
  <c r="AG452" i="13" s="1"/>
  <c r="X319" i="13"/>
  <c r="AG319" i="13" s="1"/>
  <c r="AF319" i="13"/>
  <c r="X418" i="13"/>
  <c r="AG418" i="13" s="1"/>
  <c r="AF418" i="13"/>
  <c r="X431" i="13"/>
  <c r="AG431" i="13" s="1"/>
  <c r="AF431" i="13"/>
  <c r="X360" i="13"/>
  <c r="AG360" i="13" s="1"/>
  <c r="AF360" i="13"/>
  <c r="X301" i="13"/>
  <c r="AG301" i="13" s="1"/>
  <c r="AF301" i="13"/>
  <c r="X358" i="13"/>
  <c r="AG358" i="13" s="1"/>
  <c r="AF358" i="13"/>
  <c r="X430" i="13"/>
  <c r="AG430" i="13" s="1"/>
  <c r="AF430" i="13"/>
  <c r="AF443" i="13"/>
  <c r="X443" i="13"/>
  <c r="AG443" i="13" s="1"/>
  <c r="X300" i="13"/>
  <c r="AG300" i="13" s="1"/>
  <c r="AF300" i="13"/>
  <c r="X372" i="13"/>
  <c r="AG372" i="13" s="1"/>
  <c r="AF372" i="13"/>
  <c r="AF441" i="13"/>
  <c r="X441" i="13"/>
  <c r="AG441" i="13" s="1"/>
  <c r="X393" i="13"/>
  <c r="AG393" i="13" s="1"/>
  <c r="AF393" i="13"/>
  <c r="X328" i="13"/>
  <c r="AG328" i="13" s="1"/>
  <c r="AF328" i="13"/>
  <c r="X270" i="13"/>
  <c r="AG270" i="13" s="1"/>
  <c r="AF270" i="13"/>
  <c r="X342" i="13"/>
  <c r="AG342" i="13" s="1"/>
  <c r="AF342" i="13"/>
  <c r="AF453" i="13"/>
  <c r="X453" i="13"/>
  <c r="AG453" i="13" s="1"/>
  <c r="X298" i="13"/>
  <c r="AG298" i="13" s="1"/>
  <c r="AF298" i="13"/>
  <c r="X311" i="13"/>
  <c r="AG311" i="13" s="1"/>
  <c r="AF311" i="13"/>
  <c r="AF449" i="13"/>
  <c r="X449" i="13"/>
  <c r="AG449" i="13" s="1"/>
  <c r="X286" i="13"/>
  <c r="AG286" i="13" s="1"/>
  <c r="AF286" i="13"/>
  <c r="X299" i="13"/>
  <c r="AG299" i="13" s="1"/>
  <c r="AF299" i="13"/>
  <c r="X371" i="13"/>
  <c r="AG371" i="13" s="1"/>
  <c r="AF371" i="13"/>
  <c r="AF444" i="13"/>
  <c r="X444" i="13"/>
  <c r="AG444" i="13" s="1"/>
  <c r="X313" i="13"/>
  <c r="AG313" i="13" s="1"/>
  <c r="AF313" i="13"/>
  <c r="AF385" i="13"/>
  <c r="X385" i="13"/>
  <c r="AG385" i="13" s="1"/>
  <c r="X273" i="13"/>
  <c r="AG273" i="13" s="1"/>
  <c r="AF273" i="13"/>
  <c r="X326" i="13"/>
  <c r="AG326" i="13" s="1"/>
  <c r="AF326" i="13"/>
  <c r="AF398" i="13"/>
  <c r="X398" i="13"/>
  <c r="AG398" i="13" s="1"/>
  <c r="X327" i="13"/>
  <c r="AG327" i="13" s="1"/>
  <c r="AF327" i="13"/>
  <c r="AF399" i="13"/>
  <c r="X399" i="13"/>
  <c r="AG399" i="13" s="1"/>
  <c r="AF400" i="13"/>
  <c r="X400" i="13"/>
  <c r="AG400" i="13" s="1"/>
  <c r="X297" i="13"/>
  <c r="AG297" i="13" s="1"/>
  <c r="AF297" i="13"/>
  <c r="X317" i="13"/>
  <c r="AG317" i="13" s="1"/>
  <c r="AF317" i="13"/>
  <c r="AF389" i="13"/>
  <c r="X389" i="13"/>
  <c r="AG389" i="13" s="1"/>
  <c r="AF414" i="13"/>
  <c r="X414" i="13"/>
  <c r="AG414" i="13" s="1"/>
  <c r="X331" i="13"/>
  <c r="AG331" i="13" s="1"/>
  <c r="AF331" i="13"/>
  <c r="X403" i="13"/>
  <c r="AG403" i="13" s="1"/>
  <c r="AF403" i="13"/>
  <c r="X272" i="13"/>
  <c r="AG272" i="13" s="1"/>
  <c r="AF272" i="13"/>
  <c r="X344" i="13"/>
  <c r="AG344" i="13" s="1"/>
  <c r="AF344" i="13"/>
  <c r="X416" i="13"/>
  <c r="AG416" i="13" s="1"/>
  <c r="AF416" i="13"/>
  <c r="X383" i="13"/>
  <c r="AG383" i="13" s="1"/>
  <c r="AF383" i="13"/>
  <c r="X384" i="13"/>
  <c r="AG384" i="13" s="1"/>
  <c r="AF384" i="13"/>
  <c r="AF411" i="13"/>
  <c r="X411" i="13"/>
  <c r="AG411" i="13" s="1"/>
  <c r="AF412" i="13"/>
  <c r="X412" i="13"/>
  <c r="AG412" i="13" s="1"/>
  <c r="X429" i="13"/>
  <c r="AG429" i="13" s="1"/>
  <c r="AF429" i="13"/>
  <c r="X282" i="13"/>
  <c r="AG282" i="13" s="1"/>
  <c r="AF282" i="13"/>
  <c r="AF354" i="13"/>
  <c r="X354" i="13"/>
  <c r="AG354" i="13" s="1"/>
  <c r="AF426" i="13"/>
  <c r="X426" i="13"/>
  <c r="AG426" i="13" s="1"/>
  <c r="X271" i="13"/>
  <c r="AG271" i="13" s="1"/>
  <c r="AF271" i="13"/>
  <c r="X343" i="13"/>
  <c r="AG343" i="13" s="1"/>
  <c r="AF343" i="13"/>
  <c r="X415" i="13"/>
  <c r="AG415" i="13" s="1"/>
  <c r="AF415" i="13"/>
  <c r="X284" i="13"/>
  <c r="AG284" i="13" s="1"/>
  <c r="AF284" i="13"/>
  <c r="X356" i="13"/>
  <c r="AG356" i="13" s="1"/>
  <c r="AF356" i="13"/>
  <c r="X312" i="13"/>
  <c r="AG312" i="13" s="1"/>
  <c r="AF312" i="13"/>
  <c r="AF397" i="13"/>
  <c r="X397" i="13"/>
  <c r="AG397" i="13" s="1"/>
  <c r="X266" i="13"/>
  <c r="AG266" i="13" s="1"/>
  <c r="AF266" i="13"/>
  <c r="X338" i="13"/>
  <c r="AG338" i="13" s="1"/>
  <c r="AF338" i="13"/>
  <c r="AF410" i="13"/>
  <c r="X410" i="13"/>
  <c r="AG410" i="13" s="1"/>
  <c r="X267" i="13"/>
  <c r="AG267" i="13" s="1"/>
  <c r="AF267" i="13"/>
  <c r="X339" i="13"/>
  <c r="AG339" i="13" s="1"/>
  <c r="AF339" i="13"/>
  <c r="X268" i="13"/>
  <c r="AG268" i="13" s="1"/>
  <c r="AF268" i="13"/>
  <c r="X340" i="13"/>
  <c r="AG340" i="13" s="1"/>
  <c r="AF340" i="13"/>
  <c r="X329" i="13"/>
  <c r="AG329" i="13" s="1"/>
  <c r="AF329" i="13"/>
  <c r="AF401" i="13"/>
  <c r="X401" i="13"/>
  <c r="AG401" i="13" s="1"/>
  <c r="X428" i="13"/>
  <c r="AG428" i="13" s="1"/>
  <c r="AF428" i="13"/>
  <c r="X369" i="13"/>
  <c r="AG369" i="13" s="1"/>
  <c r="AF369" i="13"/>
  <c r="X324" i="13"/>
  <c r="AG324" i="13" s="1"/>
  <c r="AF324" i="13"/>
  <c r="AF409" i="13"/>
  <c r="X409" i="13"/>
  <c r="AG409" i="13" s="1"/>
  <c r="AF424" i="13"/>
  <c r="X424" i="13"/>
  <c r="AG424" i="13" s="1"/>
  <c r="X294" i="13"/>
  <c r="AG294" i="13" s="1"/>
  <c r="AF294" i="13"/>
  <c r="X283" i="13"/>
  <c r="AG283" i="13" s="1"/>
  <c r="AF283" i="13"/>
  <c r="X368" i="13"/>
  <c r="AG368" i="13" s="1"/>
  <c r="AF368" i="13"/>
  <c r="AF440" i="13"/>
  <c r="X440" i="13"/>
  <c r="AG440" i="13" s="1"/>
  <c r="X455" i="13"/>
  <c r="AG455" i="13" s="1"/>
  <c r="AF455" i="13"/>
  <c r="X325" i="13"/>
  <c r="AG325" i="13" s="1"/>
  <c r="AF325" i="13"/>
  <c r="X310" i="13"/>
  <c r="AG310" i="13" s="1"/>
  <c r="AF310" i="13"/>
  <c r="X382" i="13"/>
  <c r="AG382" i="13" s="1"/>
  <c r="AF382" i="13"/>
  <c r="AF454" i="13"/>
  <c r="X454" i="13"/>
  <c r="AG454" i="13" s="1"/>
  <c r="X323" i="13"/>
  <c r="AG323" i="13" s="1"/>
  <c r="AF323" i="13"/>
  <c r="X395" i="13"/>
  <c r="AG395" i="13" s="1"/>
  <c r="AF395" i="13"/>
  <c r="X381" i="13"/>
  <c r="AG381" i="13" s="1"/>
  <c r="AF381" i="13"/>
  <c r="X396" i="13"/>
  <c r="AG396" i="13" s="1"/>
  <c r="AF396" i="13"/>
  <c r="X265" i="13"/>
  <c r="AG265" i="13" s="1"/>
  <c r="AF265" i="13"/>
  <c r="X337" i="13"/>
  <c r="AG337" i="13" s="1"/>
  <c r="AF337" i="13"/>
  <c r="X278" i="13"/>
  <c r="AG278" i="13" s="1"/>
  <c r="AF278" i="13"/>
  <c r="AF350" i="13"/>
  <c r="X350" i="13"/>
  <c r="AG350" i="13" s="1"/>
  <c r="AF422" i="13"/>
  <c r="X422" i="13"/>
  <c r="AG422" i="13" s="1"/>
  <c r="X279" i="13"/>
  <c r="AG279" i="13" s="1"/>
  <c r="AF279" i="13"/>
  <c r="AF351" i="13"/>
  <c r="X351" i="13"/>
  <c r="AG351" i="13" s="1"/>
  <c r="AF423" i="13"/>
  <c r="X423" i="13"/>
  <c r="AG423" i="13" s="1"/>
  <c r="X280" i="13"/>
  <c r="AG280" i="13" s="1"/>
  <c r="AF280" i="13"/>
  <c r="AF352" i="13"/>
  <c r="X352" i="13"/>
  <c r="AG352" i="13" s="1"/>
  <c r="X269" i="13"/>
  <c r="AG269" i="13" s="1"/>
  <c r="AF269" i="13"/>
  <c r="X341" i="13"/>
  <c r="AG341" i="13" s="1"/>
  <c r="AF341" i="13"/>
  <c r="AF413" i="13"/>
  <c r="X413" i="13"/>
  <c r="AG413" i="13" s="1"/>
  <c r="AF366" i="13"/>
  <c r="X366" i="13"/>
  <c r="AG366" i="13" s="1"/>
  <c r="AF438" i="13"/>
  <c r="X438" i="13"/>
  <c r="AG438" i="13" s="1"/>
  <c r="X355" i="13"/>
  <c r="AG355" i="13" s="1"/>
  <c r="AF355" i="13"/>
  <c r="X427" i="13"/>
  <c r="AG427" i="13" s="1"/>
  <c r="AF427" i="13"/>
  <c r="X296" i="13"/>
  <c r="AG296" i="13" s="1"/>
  <c r="AF296" i="13"/>
  <c r="X264" i="13"/>
  <c r="AG264" i="13" s="1"/>
  <c r="AF264" i="13"/>
  <c r="X281" i="13"/>
  <c r="AG281" i="13" s="1"/>
  <c r="AF281" i="13"/>
  <c r="AF353" i="13"/>
  <c r="X353" i="13"/>
  <c r="AG353" i="13" s="1"/>
  <c r="AF425" i="13"/>
  <c r="X425" i="13"/>
  <c r="AG425" i="13" s="1"/>
  <c r="X306" i="13"/>
  <c r="AG306" i="13" s="1"/>
  <c r="AF306" i="13"/>
  <c r="AF378" i="13"/>
  <c r="X378" i="13"/>
  <c r="AG378" i="13" s="1"/>
  <c r="AF450" i="13"/>
  <c r="X450" i="13"/>
  <c r="AG450" i="13" s="1"/>
  <c r="X295" i="13"/>
  <c r="AG295" i="13" s="1"/>
  <c r="AF295" i="13"/>
  <c r="X367" i="13"/>
  <c r="AG367" i="13" s="1"/>
  <c r="AF367" i="13"/>
  <c r="X308" i="13"/>
  <c r="AG308" i="13" s="1"/>
  <c r="AF308" i="13"/>
  <c r="X380" i="13"/>
  <c r="AG380" i="13" s="1"/>
  <c r="AF380" i="13"/>
  <c r="AF442" i="13"/>
  <c r="X442" i="13"/>
  <c r="AG442" i="13" s="1"/>
  <c r="X345" i="13"/>
  <c r="AG345" i="13" s="1"/>
  <c r="AF345" i="13"/>
  <c r="X407" i="13"/>
  <c r="AG407" i="13" s="1"/>
  <c r="AF407" i="13"/>
  <c r="X336" i="13"/>
  <c r="AG336" i="13" s="1"/>
  <c r="AF336" i="13"/>
  <c r="X277" i="13"/>
  <c r="AG277" i="13" s="1"/>
  <c r="AF277" i="13"/>
  <c r="AF421" i="13"/>
  <c r="X421" i="13"/>
  <c r="AG421" i="13" s="1"/>
  <c r="X290" i="13"/>
  <c r="AG290" i="13" s="1"/>
  <c r="AF290" i="13"/>
  <c r="AF362" i="13"/>
  <c r="X362" i="13"/>
  <c r="AG362" i="13" s="1"/>
  <c r="AF434" i="13"/>
  <c r="X434" i="13"/>
  <c r="AG434" i="13" s="1"/>
  <c r="X291" i="13"/>
  <c r="AG291" i="13" s="1"/>
  <c r="AF291" i="13"/>
  <c r="AF363" i="13"/>
  <c r="X363" i="13"/>
  <c r="AG363" i="13" s="1"/>
  <c r="AF435" i="13"/>
  <c r="X435" i="13"/>
  <c r="AG435" i="13" s="1"/>
  <c r="X292" i="13"/>
  <c r="AG292" i="13" s="1"/>
  <c r="AF292" i="13"/>
  <c r="AF364" i="13"/>
  <c r="X364" i="13"/>
  <c r="AG364" i="13" s="1"/>
  <c r="AF436" i="13"/>
  <c r="X436" i="13"/>
  <c r="AG436" i="13" s="1"/>
  <c r="AF451" i="13"/>
  <c r="X451" i="13"/>
  <c r="AG451" i="13" s="1"/>
  <c r="X321" i="13"/>
  <c r="AG321" i="13" s="1"/>
  <c r="AF321" i="13"/>
  <c r="X394" i="13"/>
  <c r="AG394" i="13" s="1"/>
  <c r="AF394" i="13"/>
  <c r="X335" i="13"/>
  <c r="AG335" i="13" s="1"/>
  <c r="AF335" i="13"/>
  <c r="X408" i="13"/>
  <c r="AG408" i="13" s="1"/>
  <c r="AF408" i="13"/>
  <c r="X349" i="13"/>
  <c r="AG349" i="13" s="1"/>
  <c r="AF349" i="13"/>
  <c r="X347" i="13"/>
  <c r="AG347" i="13" s="1"/>
  <c r="AF347" i="13"/>
  <c r="X276" i="13"/>
  <c r="AG276" i="13" s="1"/>
  <c r="AF276" i="13"/>
  <c r="X348" i="13"/>
  <c r="AG348" i="13" s="1"/>
  <c r="AF348" i="13"/>
  <c r="X420" i="13"/>
  <c r="AG420" i="13" s="1"/>
  <c r="AF420" i="13"/>
  <c r="AF448" i="13"/>
  <c r="X448" i="13"/>
  <c r="AG448" i="13" s="1"/>
  <c r="AF437" i="13"/>
  <c r="X437" i="13"/>
  <c r="AG437" i="13" s="1"/>
  <c r="X318" i="13"/>
  <c r="AG318" i="13" s="1"/>
  <c r="AF318" i="13"/>
  <c r="X379" i="13"/>
  <c r="AG379" i="13" s="1"/>
  <c r="AF379" i="13"/>
  <c r="X309" i="13"/>
  <c r="AG309" i="13" s="1"/>
  <c r="AF309" i="13"/>
  <c r="X417" i="13"/>
  <c r="AG417" i="13" s="1"/>
  <c r="AF417" i="13"/>
  <c r="X334" i="13"/>
  <c r="AG334" i="13" s="1"/>
  <c r="AF334" i="13"/>
  <c r="X406" i="13"/>
  <c r="AG406" i="13" s="1"/>
  <c r="AF406" i="13"/>
  <c r="X275" i="13"/>
  <c r="AG275" i="13" s="1"/>
  <c r="AF275" i="13"/>
  <c r="X419" i="13"/>
  <c r="AG419" i="13" s="1"/>
  <c r="AF419" i="13"/>
  <c r="X289" i="13"/>
  <c r="AG289" i="13" s="1"/>
  <c r="AF289" i="13"/>
  <c r="AF361" i="13"/>
  <c r="X361" i="13"/>
  <c r="AG361" i="13" s="1"/>
  <c r="AF433" i="13"/>
  <c r="X433" i="13"/>
  <c r="AG433" i="13" s="1"/>
  <c r="X302" i="13"/>
  <c r="AG302" i="13" s="1"/>
  <c r="AF302" i="13"/>
  <c r="AF374" i="13"/>
  <c r="X374" i="13"/>
  <c r="AG374" i="13" s="1"/>
  <c r="AF446" i="13"/>
  <c r="X446" i="13"/>
  <c r="AG446" i="13" s="1"/>
  <c r="X303" i="13"/>
  <c r="AG303" i="13" s="1"/>
  <c r="AF303" i="13"/>
  <c r="AF375" i="13"/>
  <c r="X375" i="13"/>
  <c r="AG375" i="13" s="1"/>
  <c r="AF447" i="13"/>
  <c r="X447" i="13"/>
  <c r="AG447" i="13" s="1"/>
  <c r="X304" i="13"/>
  <c r="AG304" i="13" s="1"/>
  <c r="AF304" i="13"/>
  <c r="AF376" i="13"/>
  <c r="X376" i="13"/>
  <c r="AG376" i="13" s="1"/>
  <c r="X293" i="13"/>
  <c r="AG293" i="13" s="1"/>
  <c r="AF293" i="13"/>
  <c r="AF365" i="13"/>
  <c r="X365" i="13"/>
  <c r="AG365" i="13" s="1"/>
  <c r="AF390" i="13"/>
  <c r="X390" i="13"/>
  <c r="AG390" i="13" s="1"/>
  <c r="AF439" i="13"/>
  <c r="X439" i="13"/>
  <c r="AG439" i="13" s="1"/>
  <c r="X307" i="13"/>
  <c r="AG307" i="13" s="1"/>
  <c r="AF307" i="13"/>
  <c r="X320" i="13"/>
  <c r="AG320" i="13" s="1"/>
  <c r="AF320" i="13"/>
  <c r="X392" i="13"/>
  <c r="AG392" i="13" s="1"/>
  <c r="AF392" i="13"/>
  <c r="P5" i="13"/>
  <c r="P6" i="13"/>
  <c r="P7" i="13"/>
  <c r="P8" i="13"/>
  <c r="P9" i="13"/>
  <c r="P10" i="13"/>
  <c r="P11" i="13"/>
  <c r="P12" i="13"/>
  <c r="P13" i="13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60" i="13"/>
  <c r="P61" i="13"/>
  <c r="P62" i="13"/>
  <c r="P63" i="13"/>
  <c r="P64" i="13"/>
  <c r="P65" i="13"/>
  <c r="P66" i="13"/>
  <c r="P67" i="13"/>
  <c r="P68" i="13"/>
  <c r="P69" i="13"/>
  <c r="P70" i="13"/>
  <c r="P71" i="13"/>
  <c r="P72" i="13"/>
  <c r="P73" i="13"/>
  <c r="P74" i="13"/>
  <c r="P75" i="13"/>
  <c r="P76" i="13"/>
  <c r="P77" i="13"/>
  <c r="P78" i="13"/>
  <c r="P79" i="13"/>
  <c r="P80" i="13"/>
  <c r="P81" i="13"/>
  <c r="P82" i="13"/>
  <c r="P83" i="13"/>
  <c r="P84" i="13"/>
  <c r="P85" i="13"/>
  <c r="P86" i="13"/>
  <c r="P87" i="13"/>
  <c r="P88" i="13"/>
  <c r="P89" i="13"/>
  <c r="P90" i="13"/>
  <c r="P91" i="13"/>
  <c r="P92" i="13"/>
  <c r="P93" i="13"/>
  <c r="P94" i="13"/>
  <c r="P95" i="13"/>
  <c r="P96" i="13"/>
  <c r="P97" i="13"/>
  <c r="P98" i="13"/>
  <c r="P99" i="13"/>
  <c r="P100" i="13"/>
  <c r="P101" i="13"/>
  <c r="P102" i="13"/>
  <c r="P103" i="13"/>
  <c r="P104" i="13"/>
  <c r="P105" i="13"/>
  <c r="P106" i="13"/>
  <c r="P107" i="13"/>
  <c r="P108" i="13"/>
  <c r="P109" i="13"/>
  <c r="P110" i="13"/>
  <c r="P111" i="13"/>
  <c r="P112" i="13"/>
  <c r="P113" i="13"/>
  <c r="P114" i="13"/>
  <c r="P115" i="13"/>
  <c r="P116" i="13"/>
  <c r="P117" i="13"/>
  <c r="P118" i="13"/>
  <c r="P119" i="13"/>
  <c r="P120" i="13"/>
  <c r="P121" i="13"/>
  <c r="P122" i="13"/>
  <c r="P123" i="13"/>
  <c r="P124" i="13"/>
  <c r="P125" i="13"/>
  <c r="P126" i="13"/>
  <c r="P127" i="13"/>
  <c r="P128" i="13"/>
  <c r="P129" i="13"/>
  <c r="P130" i="13"/>
  <c r="P131" i="13"/>
  <c r="P132" i="13"/>
  <c r="P133" i="13"/>
  <c r="P134" i="13"/>
  <c r="P135" i="13"/>
  <c r="P136" i="13"/>
  <c r="P137" i="13"/>
  <c r="P138" i="13"/>
  <c r="P139" i="13"/>
  <c r="P140" i="13"/>
  <c r="P141" i="13"/>
  <c r="P142" i="13"/>
  <c r="P143" i="13"/>
  <c r="P144" i="13"/>
  <c r="P145" i="13"/>
  <c r="P146" i="13"/>
  <c r="P147" i="13"/>
  <c r="P148" i="13"/>
  <c r="P149" i="13"/>
  <c r="P150" i="13"/>
  <c r="P151" i="13"/>
  <c r="P152" i="13"/>
  <c r="P153" i="13"/>
  <c r="P154" i="13"/>
  <c r="P155" i="13"/>
  <c r="P156" i="13"/>
  <c r="P157" i="13"/>
  <c r="P158" i="13"/>
  <c r="P159" i="13"/>
  <c r="P160" i="13"/>
  <c r="P161" i="13"/>
  <c r="P162" i="13"/>
  <c r="P163" i="13"/>
  <c r="P164" i="13"/>
  <c r="P165" i="13"/>
  <c r="P166" i="13"/>
  <c r="P167" i="13"/>
  <c r="P168" i="13"/>
  <c r="P169" i="13"/>
  <c r="P170" i="13"/>
  <c r="P171" i="13"/>
  <c r="P172" i="13"/>
  <c r="P173" i="13"/>
  <c r="P174" i="13"/>
  <c r="P175" i="13"/>
  <c r="P176" i="13"/>
  <c r="P177" i="13"/>
  <c r="P178" i="13"/>
  <c r="P179" i="13"/>
  <c r="P180" i="13"/>
  <c r="P181" i="13"/>
  <c r="P182" i="13"/>
  <c r="P183" i="13"/>
  <c r="P184" i="13"/>
  <c r="P185" i="13"/>
  <c r="P186" i="13"/>
  <c r="P187" i="13"/>
  <c r="P188" i="13"/>
  <c r="P189" i="13"/>
  <c r="P190" i="13"/>
  <c r="P191" i="13"/>
  <c r="P192" i="13"/>
  <c r="P193" i="13"/>
  <c r="P194" i="13"/>
  <c r="P195" i="13"/>
  <c r="P196" i="13"/>
  <c r="P197" i="13"/>
  <c r="P198" i="13"/>
  <c r="P199" i="13"/>
  <c r="P200" i="13"/>
  <c r="G27" i="29" l="1"/>
  <c r="H27" i="29" s="1"/>
  <c r="G26" i="29"/>
  <c r="H26" i="29" s="1"/>
  <c r="G25" i="29"/>
  <c r="H25" i="29" s="1"/>
  <c r="G24" i="29"/>
  <c r="H24" i="29" s="1"/>
  <c r="G23" i="29"/>
  <c r="E13" i="19" l="1"/>
  <c r="G33" i="29"/>
  <c r="E15" i="19" s="1"/>
  <c r="H23" i="29"/>
  <c r="H33" i="29" s="1"/>
  <c r="I32" i="2" l="1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39" i="2" s="1"/>
  <c r="K33" i="2"/>
  <c r="K35" i="2" s="1"/>
  <c r="K37" i="2" s="1"/>
  <c r="M29" i="2"/>
  <c r="E39" i="2"/>
  <c r="E40" i="2"/>
  <c r="Q24" i="2"/>
  <c r="Q26" i="2" s="1"/>
  <c r="O26" i="2"/>
  <c r="K39" i="2" l="1"/>
  <c r="I41" i="2"/>
  <c r="E17" i="29"/>
  <c r="F17" i="29" s="1"/>
  <c r="E18" i="29"/>
  <c r="F18" i="29" s="1"/>
  <c r="E13" i="29"/>
  <c r="F13" i="29" s="1"/>
  <c r="E15" i="29"/>
  <c r="F15" i="29" s="1"/>
  <c r="E19" i="29"/>
  <c r="F19" i="29" s="1"/>
  <c r="E9" i="29"/>
  <c r="F9" i="29" s="1"/>
  <c r="E20" i="29"/>
  <c r="F20" i="29" s="1"/>
  <c r="E10" i="29"/>
  <c r="F10" i="29" s="1"/>
  <c r="E11" i="29"/>
  <c r="F11" i="29" s="1"/>
  <c r="E12" i="29"/>
  <c r="F12" i="29" s="1"/>
  <c r="E14" i="29"/>
  <c r="F14" i="29" s="1"/>
  <c r="E16" i="29"/>
  <c r="F16" i="29" s="1"/>
  <c r="E18" i="24"/>
  <c r="F18" i="24" s="1"/>
  <c r="E30" i="24"/>
  <c r="F30" i="24" s="1"/>
  <c r="E19" i="24"/>
  <c r="F19" i="24" s="1"/>
  <c r="E31" i="24"/>
  <c r="F31" i="24" s="1"/>
  <c r="E20" i="24"/>
  <c r="F20" i="24" s="1"/>
  <c r="E32" i="24"/>
  <c r="F32" i="24" s="1"/>
  <c r="E9" i="25"/>
  <c r="F9" i="25" s="1"/>
  <c r="E9" i="24"/>
  <c r="F9" i="24" s="1"/>
  <c r="E21" i="24"/>
  <c r="F21" i="24" s="1"/>
  <c r="E33" i="24"/>
  <c r="F33" i="24" s="1"/>
  <c r="E10" i="25"/>
  <c r="F10" i="25" s="1"/>
  <c r="E11" i="25"/>
  <c r="F11" i="25" s="1"/>
  <c r="E11" i="24"/>
  <c r="F11" i="24" s="1"/>
  <c r="E23" i="24"/>
  <c r="F23" i="24" s="1"/>
  <c r="E35" i="24"/>
  <c r="F35" i="24" s="1"/>
  <c r="E12" i="25"/>
  <c r="F12" i="25" s="1"/>
  <c r="E12" i="24"/>
  <c r="F12" i="24" s="1"/>
  <c r="E36" i="24"/>
  <c r="F36" i="24" s="1"/>
  <c r="E13" i="25"/>
  <c r="F13" i="25" s="1"/>
  <c r="E13" i="24"/>
  <c r="F13" i="24" s="1"/>
  <c r="E37" i="24"/>
  <c r="F37" i="24" s="1"/>
  <c r="E14" i="24"/>
  <c r="F14" i="24" s="1"/>
  <c r="E38" i="24"/>
  <c r="F38" i="24" s="1"/>
  <c r="E15" i="25"/>
  <c r="F15" i="25" s="1"/>
  <c r="E15" i="24"/>
  <c r="F15" i="24" s="1"/>
  <c r="E27" i="24"/>
  <c r="F27" i="24" s="1"/>
  <c r="E39" i="24"/>
  <c r="F39" i="24" s="1"/>
  <c r="E16" i="25"/>
  <c r="F16" i="25" s="1"/>
  <c r="E16" i="24"/>
  <c r="F16" i="24" s="1"/>
  <c r="E40" i="24"/>
  <c r="F40" i="24" s="1"/>
  <c r="E17" i="25"/>
  <c r="F17" i="25" s="1"/>
  <c r="E17" i="24"/>
  <c r="F17" i="24" s="1"/>
  <c r="E29" i="24"/>
  <c r="F29" i="24" s="1"/>
  <c r="F9" i="26"/>
  <c r="E10" i="24"/>
  <c r="F10" i="24" s="1"/>
  <c r="E22" i="24"/>
  <c r="F22" i="24" s="1"/>
  <c r="E34" i="24"/>
  <c r="F34" i="24" s="1"/>
  <c r="E24" i="24"/>
  <c r="F24" i="24" s="1"/>
  <c r="E25" i="24"/>
  <c r="F25" i="24" s="1"/>
  <c r="E14" i="25"/>
  <c r="F14" i="25" s="1"/>
  <c r="E26" i="24"/>
  <c r="F26" i="24" s="1"/>
  <c r="E28" i="24"/>
  <c r="F28" i="24" s="1"/>
  <c r="I40" i="2"/>
  <c r="K40" i="2" s="1"/>
  <c r="K41" i="2"/>
  <c r="O29" i="2"/>
  <c r="M33" i="2"/>
  <c r="M35" i="2" s="1"/>
  <c r="M37" i="2" s="1"/>
  <c r="I38" i="2"/>
  <c r="K38" i="2" s="1"/>
  <c r="E38" i="2"/>
  <c r="G29" i="24" l="1"/>
  <c r="G37" i="24"/>
  <c r="G21" i="24"/>
  <c r="G36" i="24"/>
  <c r="G32" i="24"/>
  <c r="G16" i="24"/>
  <c r="G20" i="24"/>
  <c r="G39" i="24"/>
  <c r="G35" i="24"/>
  <c r="G19" i="24"/>
  <c r="G17" i="24"/>
  <c r="G26" i="24"/>
  <c r="G12" i="24"/>
  <c r="G24" i="24"/>
  <c r="G22" i="24"/>
  <c r="G11" i="24"/>
  <c r="G13" i="24"/>
  <c r="G28" i="24"/>
  <c r="G40" i="24"/>
  <c r="G25" i="24"/>
  <c r="G31" i="24"/>
  <c r="G30" i="24"/>
  <c r="G15" i="24"/>
  <c r="G9" i="24"/>
  <c r="G34" i="24"/>
  <c r="G27" i="24"/>
  <c r="G23" i="24"/>
  <c r="G10" i="24"/>
  <c r="G18" i="24"/>
  <c r="M41" i="2"/>
  <c r="G18" i="29"/>
  <c r="G19" i="29"/>
  <c r="G9" i="29"/>
  <c r="G20" i="29"/>
  <c r="G13" i="29"/>
  <c r="G15" i="29"/>
  <c r="G10" i="29"/>
  <c r="G11" i="29"/>
  <c r="G12" i="29"/>
  <c r="G14" i="29"/>
  <c r="G16" i="29"/>
  <c r="G17" i="29"/>
  <c r="G13" i="25"/>
  <c r="G14" i="25"/>
  <c r="G15" i="25"/>
  <c r="G16" i="25"/>
  <c r="G17" i="25"/>
  <c r="G10" i="25"/>
  <c r="G11" i="25"/>
  <c r="G9" i="25"/>
  <c r="G12" i="25"/>
  <c r="G38" i="24"/>
  <c r="G9" i="26"/>
  <c r="G14" i="24"/>
  <c r="G33" i="24"/>
  <c r="Q29" i="2"/>
  <c r="Q33" i="2" s="1"/>
  <c r="Q35" i="2" s="1"/>
  <c r="O33" i="2"/>
  <c r="O35" i="2" s="1"/>
  <c r="O37" i="2" s="1"/>
  <c r="H40" i="24" s="1"/>
  <c r="M39" i="2"/>
  <c r="M38" i="2"/>
  <c r="M40" i="2"/>
  <c r="O41" i="2" l="1"/>
  <c r="H19" i="29"/>
  <c r="H9" i="29"/>
  <c r="H20" i="29"/>
  <c r="H10" i="29"/>
  <c r="H16" i="29"/>
  <c r="H17" i="29"/>
  <c r="H11" i="29"/>
  <c r="H12" i="29"/>
  <c r="H13" i="29"/>
  <c r="H14" i="29"/>
  <c r="H15" i="29"/>
  <c r="H18" i="29"/>
  <c r="H10" i="25"/>
  <c r="H11" i="25"/>
  <c r="H12" i="25"/>
  <c r="H13" i="25"/>
  <c r="H14" i="25"/>
  <c r="H15" i="25"/>
  <c r="H17" i="25"/>
  <c r="H9" i="25"/>
  <c r="H16" i="25"/>
  <c r="H30" i="24"/>
  <c r="H23" i="24"/>
  <c r="H33" i="24"/>
  <c r="H27" i="24"/>
  <c r="H28" i="24"/>
  <c r="H9" i="26"/>
  <c r="H35" i="24"/>
  <c r="H39" i="24"/>
  <c r="H10" i="24"/>
  <c r="H17" i="24"/>
  <c r="H9" i="24"/>
  <c r="H21" i="24"/>
  <c r="H25" i="24"/>
  <c r="H12" i="24"/>
  <c r="H14" i="24"/>
  <c r="H34" i="24"/>
  <c r="H13" i="24"/>
  <c r="H19" i="24"/>
  <c r="H15" i="24"/>
  <c r="H29" i="24"/>
  <c r="H18" i="24"/>
  <c r="H31" i="24"/>
  <c r="H36" i="24"/>
  <c r="H16" i="24"/>
  <c r="H11" i="24"/>
  <c r="H37" i="24"/>
  <c r="H20" i="24"/>
  <c r="O38" i="2"/>
  <c r="H38" i="24"/>
  <c r="H32" i="24"/>
  <c r="O39" i="2"/>
  <c r="H22" i="24"/>
  <c r="H26" i="24"/>
  <c r="H24" i="24"/>
  <c r="O40" i="2"/>
  <c r="Q37" i="2"/>
  <c r="I34" i="24" l="1"/>
  <c r="I27" i="24"/>
  <c r="I21" i="24"/>
  <c r="I26" i="24"/>
  <c r="I31" i="24"/>
  <c r="I17" i="24"/>
  <c r="I22" i="24"/>
  <c r="I18" i="24"/>
  <c r="I10" i="24"/>
  <c r="I29" i="24"/>
  <c r="I39" i="24"/>
  <c r="I15" i="24"/>
  <c r="I35" i="24"/>
  <c r="I16" i="24"/>
  <c r="I24" i="24"/>
  <c r="I36" i="24"/>
  <c r="I9" i="24"/>
  <c r="I32" i="24"/>
  <c r="I19" i="24"/>
  <c r="I9" i="26"/>
  <c r="I38" i="24"/>
  <c r="I13" i="24"/>
  <c r="I28" i="24"/>
  <c r="I20" i="24"/>
  <c r="I14" i="24"/>
  <c r="I33" i="24"/>
  <c r="I37" i="24"/>
  <c r="I12" i="24"/>
  <c r="I23" i="24"/>
  <c r="Q41" i="2"/>
  <c r="I9" i="29"/>
  <c r="I20" i="29"/>
  <c r="I10" i="29"/>
  <c r="I11" i="29"/>
  <c r="I17" i="29"/>
  <c r="I18" i="29"/>
  <c r="I12" i="29"/>
  <c r="I13" i="29"/>
  <c r="I14" i="29"/>
  <c r="I15" i="29"/>
  <c r="I16" i="29"/>
  <c r="I19" i="29"/>
  <c r="I9" i="25"/>
  <c r="I10" i="25"/>
  <c r="I13" i="25"/>
  <c r="I14" i="25"/>
  <c r="I15" i="25"/>
  <c r="I17" i="25"/>
  <c r="I11" i="25"/>
  <c r="I12" i="25"/>
  <c r="I16" i="25"/>
  <c r="I11" i="24"/>
  <c r="I25" i="24"/>
  <c r="I30" i="24"/>
  <c r="I40" i="24"/>
  <c r="Q38" i="2"/>
  <c r="Q39" i="2"/>
  <c r="Q40" i="2"/>
  <c r="F32" i="25" l="1"/>
  <c r="H32" i="25" s="1"/>
  <c r="D14" i="19" s="1"/>
  <c r="Z89" i="13"/>
  <c r="AA89" i="13" s="1"/>
  <c r="T89" i="13"/>
  <c r="U89" i="13" s="1"/>
  <c r="K89" i="13"/>
  <c r="E89" i="13"/>
  <c r="D89" i="13"/>
  <c r="C89" i="13"/>
  <c r="B89" i="13"/>
  <c r="V89" i="13" l="1"/>
  <c r="W89" i="13" s="1"/>
  <c r="X89" i="13" s="1"/>
  <c r="AB89" i="13"/>
  <c r="AE89" i="13" l="1"/>
  <c r="AC89" i="13"/>
  <c r="AD89" i="13" s="1"/>
  <c r="AF89" i="13" l="1"/>
  <c r="Z172" i="13"/>
  <c r="AB172" i="13" s="1"/>
  <c r="AC172" i="13" s="1"/>
  <c r="AD172" i="13" s="1"/>
  <c r="T172" i="13"/>
  <c r="V172" i="13" s="1"/>
  <c r="K172" i="13"/>
  <c r="E172" i="13"/>
  <c r="D172" i="13"/>
  <c r="C172" i="13"/>
  <c r="B172" i="13"/>
  <c r="Z171" i="13"/>
  <c r="AB171" i="13" s="1"/>
  <c r="T171" i="13"/>
  <c r="V171" i="13" s="1"/>
  <c r="K171" i="13"/>
  <c r="E171" i="13"/>
  <c r="D171" i="13"/>
  <c r="C171" i="13"/>
  <c r="B171" i="13"/>
  <c r="Z170" i="13"/>
  <c r="AB170" i="13" s="1"/>
  <c r="T170" i="13"/>
  <c r="V170" i="13" s="1"/>
  <c r="K170" i="13"/>
  <c r="E170" i="13"/>
  <c r="D170" i="13"/>
  <c r="C170" i="13"/>
  <c r="B170" i="13"/>
  <c r="Z169" i="13"/>
  <c r="AA169" i="13" s="1"/>
  <c r="T169" i="13"/>
  <c r="V169" i="13" s="1"/>
  <c r="K169" i="13"/>
  <c r="E169" i="13"/>
  <c r="D169" i="13"/>
  <c r="C169" i="13"/>
  <c r="B169" i="13"/>
  <c r="Z168" i="13"/>
  <c r="AB168" i="13" s="1"/>
  <c r="T168" i="13"/>
  <c r="U168" i="13" s="1"/>
  <c r="W168" i="13" s="1"/>
  <c r="X168" i="13" s="1"/>
  <c r="K168" i="13"/>
  <c r="E168" i="13"/>
  <c r="D168" i="13"/>
  <c r="C168" i="13"/>
  <c r="B168" i="13"/>
  <c r="Z167" i="13"/>
  <c r="AB167" i="13" s="1"/>
  <c r="AC167" i="13" s="1"/>
  <c r="AD167" i="13" s="1"/>
  <c r="T167" i="13"/>
  <c r="V167" i="13" s="1"/>
  <c r="K167" i="13"/>
  <c r="E167" i="13"/>
  <c r="D167" i="13"/>
  <c r="C167" i="13"/>
  <c r="B167" i="13"/>
  <c r="Z166" i="13"/>
  <c r="AB166" i="13" s="1"/>
  <c r="AC166" i="13" s="1"/>
  <c r="AD166" i="13" s="1"/>
  <c r="T166" i="13"/>
  <c r="U166" i="13" s="1"/>
  <c r="W166" i="13" s="1"/>
  <c r="X166" i="13" s="1"/>
  <c r="K166" i="13"/>
  <c r="E166" i="13"/>
  <c r="D166" i="13"/>
  <c r="C166" i="13"/>
  <c r="B166" i="13"/>
  <c r="Z165" i="13"/>
  <c r="AB165" i="13" s="1"/>
  <c r="T165" i="13"/>
  <c r="V165" i="13" s="1"/>
  <c r="K165" i="13"/>
  <c r="E165" i="13"/>
  <c r="D165" i="13"/>
  <c r="C165" i="13"/>
  <c r="B165" i="13"/>
  <c r="Z164" i="13"/>
  <c r="AA164" i="13" s="1"/>
  <c r="T164" i="13"/>
  <c r="V164" i="13" s="1"/>
  <c r="K164" i="13"/>
  <c r="E164" i="13"/>
  <c r="D164" i="13"/>
  <c r="C164" i="13"/>
  <c r="B164" i="13"/>
  <c r="Z163" i="13"/>
  <c r="AB163" i="13" s="1"/>
  <c r="AC163" i="13" s="1"/>
  <c r="AD163" i="13" s="1"/>
  <c r="T163" i="13"/>
  <c r="U163" i="13" s="1"/>
  <c r="W163" i="13" s="1"/>
  <c r="X163" i="13" s="1"/>
  <c r="K163" i="13"/>
  <c r="E163" i="13"/>
  <c r="D163" i="13"/>
  <c r="C163" i="13"/>
  <c r="B163" i="13"/>
  <c r="Z162" i="13"/>
  <c r="AB162" i="13" s="1"/>
  <c r="T162" i="13"/>
  <c r="U162" i="13" s="1"/>
  <c r="W162" i="13" s="1"/>
  <c r="X162" i="13" s="1"/>
  <c r="K162" i="13"/>
  <c r="E162" i="13"/>
  <c r="D162" i="13"/>
  <c r="C162" i="13"/>
  <c r="B162" i="13"/>
  <c r="Z161" i="13"/>
  <c r="AB161" i="13" s="1"/>
  <c r="AC161" i="13" s="1"/>
  <c r="AD161" i="13" s="1"/>
  <c r="T161" i="13"/>
  <c r="V161" i="13" s="1"/>
  <c r="K161" i="13"/>
  <c r="E161" i="13"/>
  <c r="D161" i="13"/>
  <c r="C161" i="13"/>
  <c r="B161" i="13"/>
  <c r="Z160" i="13"/>
  <c r="AA160" i="13" s="1"/>
  <c r="T160" i="13"/>
  <c r="V160" i="13" s="1"/>
  <c r="K160" i="13"/>
  <c r="E160" i="13"/>
  <c r="D160" i="13"/>
  <c r="C160" i="13"/>
  <c r="B160" i="13"/>
  <c r="Z159" i="13"/>
  <c r="AB159" i="13" s="1"/>
  <c r="T159" i="13"/>
  <c r="V159" i="13" s="1"/>
  <c r="K159" i="13"/>
  <c r="E159" i="13"/>
  <c r="D159" i="13"/>
  <c r="C159" i="13"/>
  <c r="B159" i="13"/>
  <c r="Z158" i="13"/>
  <c r="AB158" i="13" s="1"/>
  <c r="T158" i="13"/>
  <c r="V158" i="13" s="1"/>
  <c r="K158" i="13"/>
  <c r="E158" i="13"/>
  <c r="D158" i="13"/>
  <c r="C158" i="13"/>
  <c r="B158" i="13"/>
  <c r="Z157" i="13"/>
  <c r="AB157" i="13" s="1"/>
  <c r="AC157" i="13" s="1"/>
  <c r="AD157" i="13" s="1"/>
  <c r="T157" i="13"/>
  <c r="U157" i="13" s="1"/>
  <c r="K157" i="13"/>
  <c r="E157" i="13"/>
  <c r="D157" i="13"/>
  <c r="C157" i="13"/>
  <c r="B157" i="13"/>
  <c r="Z156" i="13"/>
  <c r="AB156" i="13" s="1"/>
  <c r="T156" i="13"/>
  <c r="V156" i="13" s="1"/>
  <c r="K156" i="13"/>
  <c r="E156" i="13"/>
  <c r="D156" i="13"/>
  <c r="C156" i="13"/>
  <c r="B156" i="13"/>
  <c r="Z155" i="13"/>
  <c r="AB155" i="13" s="1"/>
  <c r="AC155" i="13" s="1"/>
  <c r="AD155" i="13" s="1"/>
  <c r="T155" i="13"/>
  <c r="U155" i="13" s="1"/>
  <c r="K155" i="13"/>
  <c r="E155" i="13"/>
  <c r="D155" i="13"/>
  <c r="C155" i="13"/>
  <c r="B155" i="13"/>
  <c r="Z154" i="13"/>
  <c r="AB154" i="13" s="1"/>
  <c r="AC154" i="13" s="1"/>
  <c r="AD154" i="13" s="1"/>
  <c r="T154" i="13"/>
  <c r="V154" i="13" s="1"/>
  <c r="K154" i="13"/>
  <c r="E154" i="13"/>
  <c r="D154" i="13"/>
  <c r="C154" i="13"/>
  <c r="B154" i="13"/>
  <c r="Z153" i="13"/>
  <c r="AB153" i="13" s="1"/>
  <c r="T153" i="13"/>
  <c r="V153" i="13" s="1"/>
  <c r="K153" i="13"/>
  <c r="E153" i="13"/>
  <c r="D153" i="13"/>
  <c r="C153" i="13"/>
  <c r="B153" i="13"/>
  <c r="Z151" i="13"/>
  <c r="AA151" i="13" s="1"/>
  <c r="T151" i="13"/>
  <c r="V151" i="13" s="1"/>
  <c r="K151" i="13"/>
  <c r="E151" i="13"/>
  <c r="D151" i="13"/>
  <c r="C151" i="13"/>
  <c r="B151" i="13"/>
  <c r="Z150" i="13"/>
  <c r="AB150" i="13" s="1"/>
  <c r="T150" i="13"/>
  <c r="U150" i="13" s="1"/>
  <c r="K150" i="13"/>
  <c r="E150" i="13"/>
  <c r="D150" i="13"/>
  <c r="C150" i="13"/>
  <c r="B150" i="13"/>
  <c r="Z149" i="13"/>
  <c r="AB149" i="13" s="1"/>
  <c r="T149" i="13"/>
  <c r="V149" i="13" s="1"/>
  <c r="K149" i="13"/>
  <c r="E149" i="13"/>
  <c r="D149" i="13"/>
  <c r="C149" i="13"/>
  <c r="B149" i="13"/>
  <c r="Z148" i="13"/>
  <c r="AB148" i="13" s="1"/>
  <c r="AC148" i="13" s="1"/>
  <c r="AD148" i="13" s="1"/>
  <c r="T148" i="13"/>
  <c r="V148" i="13" s="1"/>
  <c r="K148" i="13"/>
  <c r="E148" i="13"/>
  <c r="D148" i="13"/>
  <c r="C148" i="13"/>
  <c r="B148" i="13"/>
  <c r="Z147" i="13"/>
  <c r="AA147" i="13" s="1"/>
  <c r="T147" i="13"/>
  <c r="V147" i="13" s="1"/>
  <c r="K147" i="13"/>
  <c r="E147" i="13"/>
  <c r="D147" i="13"/>
  <c r="C147" i="13"/>
  <c r="B147" i="13"/>
  <c r="Z146" i="13"/>
  <c r="AB146" i="13" s="1"/>
  <c r="AC146" i="13" s="1"/>
  <c r="AD146" i="13" s="1"/>
  <c r="T146" i="13"/>
  <c r="U146" i="13" s="1"/>
  <c r="K146" i="13"/>
  <c r="E146" i="13"/>
  <c r="D146" i="13"/>
  <c r="C146" i="13"/>
  <c r="B146" i="13"/>
  <c r="Z145" i="13"/>
  <c r="AA145" i="13" s="1"/>
  <c r="T145" i="13"/>
  <c r="V145" i="13" s="1"/>
  <c r="K145" i="13"/>
  <c r="E145" i="13"/>
  <c r="D145" i="13"/>
  <c r="C145" i="13"/>
  <c r="B145" i="13"/>
  <c r="Z144" i="13"/>
  <c r="AB144" i="13" s="1"/>
  <c r="T144" i="13"/>
  <c r="U144" i="13" s="1"/>
  <c r="K144" i="13"/>
  <c r="E144" i="13"/>
  <c r="D144" i="13"/>
  <c r="C144" i="13"/>
  <c r="B144" i="13"/>
  <c r="Z143" i="13"/>
  <c r="AB143" i="13" s="1"/>
  <c r="T143" i="13"/>
  <c r="V143" i="13" s="1"/>
  <c r="K143" i="13"/>
  <c r="E143" i="13"/>
  <c r="D143" i="13"/>
  <c r="C143" i="13"/>
  <c r="B143" i="13"/>
  <c r="Z142" i="13"/>
  <c r="AB142" i="13" s="1"/>
  <c r="AC142" i="13" s="1"/>
  <c r="AD142" i="13" s="1"/>
  <c r="T142" i="13"/>
  <c r="V142" i="13" s="1"/>
  <c r="K142" i="13"/>
  <c r="E142" i="13"/>
  <c r="D142" i="13"/>
  <c r="C142" i="13"/>
  <c r="B142" i="13"/>
  <c r="Z141" i="13"/>
  <c r="AA141" i="13" s="1"/>
  <c r="T141" i="13"/>
  <c r="V141" i="13" s="1"/>
  <c r="K141" i="13"/>
  <c r="E141" i="13"/>
  <c r="D141" i="13"/>
  <c r="C141" i="13"/>
  <c r="B141" i="13"/>
  <c r="Z140" i="13"/>
  <c r="AB140" i="13" s="1"/>
  <c r="AC140" i="13" s="1"/>
  <c r="AD140" i="13" s="1"/>
  <c r="T140" i="13"/>
  <c r="U140" i="13" s="1"/>
  <c r="K140" i="13"/>
  <c r="E140" i="13"/>
  <c r="D140" i="13"/>
  <c r="C140" i="13"/>
  <c r="B140" i="13"/>
  <c r="Z139" i="13"/>
  <c r="AA139" i="13" s="1"/>
  <c r="T139" i="13"/>
  <c r="V139" i="13" s="1"/>
  <c r="K139" i="13"/>
  <c r="E139" i="13"/>
  <c r="D139" i="13"/>
  <c r="C139" i="13"/>
  <c r="B139" i="13"/>
  <c r="Z138" i="13"/>
  <c r="AB138" i="13" s="1"/>
  <c r="T138" i="13"/>
  <c r="U138" i="13" s="1"/>
  <c r="K138" i="13"/>
  <c r="E138" i="13"/>
  <c r="D138" i="13"/>
  <c r="C138" i="13"/>
  <c r="B138" i="13"/>
  <c r="Z137" i="13"/>
  <c r="AA137" i="13" s="1"/>
  <c r="T137" i="13"/>
  <c r="V137" i="13" s="1"/>
  <c r="K137" i="13"/>
  <c r="E137" i="13"/>
  <c r="D137" i="13"/>
  <c r="C137" i="13"/>
  <c r="B137" i="13"/>
  <c r="Z136" i="13"/>
  <c r="AB136" i="13" s="1"/>
  <c r="AC136" i="13" s="1"/>
  <c r="AD136" i="13" s="1"/>
  <c r="T136" i="13"/>
  <c r="U136" i="13" s="1"/>
  <c r="K136" i="13"/>
  <c r="E136" i="13"/>
  <c r="D136" i="13"/>
  <c r="C136" i="13"/>
  <c r="B136" i="13"/>
  <c r="Z135" i="13"/>
  <c r="AA135" i="13" s="1"/>
  <c r="T135" i="13"/>
  <c r="U135" i="13" s="1"/>
  <c r="W135" i="13" s="1"/>
  <c r="X135" i="13" s="1"/>
  <c r="K135" i="13"/>
  <c r="E135" i="13"/>
  <c r="D135" i="13"/>
  <c r="C135" i="13"/>
  <c r="B135" i="13"/>
  <c r="Z134" i="13"/>
  <c r="AA134" i="13" s="1"/>
  <c r="T134" i="13"/>
  <c r="U134" i="13" s="1"/>
  <c r="K134" i="13"/>
  <c r="E134" i="13"/>
  <c r="D134" i="13"/>
  <c r="C134" i="13"/>
  <c r="B134" i="13"/>
  <c r="Z133" i="13"/>
  <c r="AA133" i="13" s="1"/>
  <c r="T133" i="13"/>
  <c r="V133" i="13" s="1"/>
  <c r="K133" i="13"/>
  <c r="E133" i="13"/>
  <c r="D133" i="13"/>
  <c r="C133" i="13"/>
  <c r="B133" i="13"/>
  <c r="Z132" i="13"/>
  <c r="AB132" i="13" s="1"/>
  <c r="T132" i="13"/>
  <c r="U132" i="13" s="1"/>
  <c r="K132" i="13"/>
  <c r="E132" i="13"/>
  <c r="D132" i="13"/>
  <c r="C132" i="13"/>
  <c r="B132" i="13"/>
  <c r="Z131" i="13"/>
  <c r="AB131" i="13" s="1"/>
  <c r="T131" i="13"/>
  <c r="V131" i="13" s="1"/>
  <c r="K131" i="13"/>
  <c r="E131" i="13"/>
  <c r="D131" i="13"/>
  <c r="C131" i="13"/>
  <c r="B131" i="13"/>
  <c r="Z130" i="13"/>
  <c r="AB130" i="13" s="1"/>
  <c r="AC130" i="13" s="1"/>
  <c r="AD130" i="13" s="1"/>
  <c r="T130" i="13"/>
  <c r="V130" i="13" s="1"/>
  <c r="K130" i="13"/>
  <c r="E130" i="13"/>
  <c r="D130" i="13"/>
  <c r="C130" i="13"/>
  <c r="B130" i="13"/>
  <c r="Z129" i="13"/>
  <c r="AB129" i="13" s="1"/>
  <c r="T129" i="13"/>
  <c r="V129" i="13" s="1"/>
  <c r="K129" i="13"/>
  <c r="E129" i="13"/>
  <c r="D129" i="13"/>
  <c r="C129" i="13"/>
  <c r="B129" i="13"/>
  <c r="Z128" i="13"/>
  <c r="AA128" i="13" s="1"/>
  <c r="T128" i="13"/>
  <c r="V128" i="13" s="1"/>
  <c r="K128" i="13"/>
  <c r="E128" i="13"/>
  <c r="D128" i="13"/>
  <c r="C128" i="13"/>
  <c r="B128" i="13"/>
  <c r="Z127" i="13"/>
  <c r="AA127" i="13" s="1"/>
  <c r="T127" i="13"/>
  <c r="U127" i="13" s="1"/>
  <c r="K127" i="13"/>
  <c r="E127" i="13"/>
  <c r="D127" i="13"/>
  <c r="C127" i="13"/>
  <c r="B127" i="13"/>
  <c r="K126" i="13"/>
  <c r="V162" i="13" l="1"/>
  <c r="AE162" i="13" s="1"/>
  <c r="AB135" i="13"/>
  <c r="AC135" i="13" s="1"/>
  <c r="AD135" i="13" s="1"/>
  <c r="AB134" i="13"/>
  <c r="AC134" i="13" s="1"/>
  <c r="AD134" i="13" s="1"/>
  <c r="AB145" i="13"/>
  <c r="AC145" i="13" s="1"/>
  <c r="AD145" i="13" s="1"/>
  <c r="AB160" i="13"/>
  <c r="AC160" i="13" s="1"/>
  <c r="AD160" i="13" s="1"/>
  <c r="V144" i="13"/>
  <c r="W144" i="13" s="1"/>
  <c r="X144" i="13" s="1"/>
  <c r="V132" i="13"/>
  <c r="W132" i="13" s="1"/>
  <c r="X132" i="13" s="1"/>
  <c r="U148" i="13"/>
  <c r="W148" i="13" s="1"/>
  <c r="X148" i="13" s="1"/>
  <c r="AB141" i="13"/>
  <c r="AE141" i="13" s="1"/>
  <c r="V166" i="13"/>
  <c r="AE166" i="13" s="1"/>
  <c r="U153" i="13"/>
  <c r="W153" i="13" s="1"/>
  <c r="X153" i="13" s="1"/>
  <c r="V127" i="13"/>
  <c r="W127" i="13" s="1"/>
  <c r="X127" i="13" s="1"/>
  <c r="AB147" i="13"/>
  <c r="AC147" i="13" s="1"/>
  <c r="AD147" i="13" s="1"/>
  <c r="AA166" i="13"/>
  <c r="V140" i="13"/>
  <c r="AE140" i="13" s="1"/>
  <c r="AA170" i="13"/>
  <c r="AA136" i="13"/>
  <c r="AA140" i="13"/>
  <c r="U145" i="13"/>
  <c r="W145" i="13" s="1"/>
  <c r="X145" i="13" s="1"/>
  <c r="AA146" i="13"/>
  <c r="U151" i="13"/>
  <c r="W151" i="13" s="1"/>
  <c r="X151" i="13" s="1"/>
  <c r="AB128" i="13"/>
  <c r="AC128" i="13" s="1"/>
  <c r="AD128" i="13" s="1"/>
  <c r="V135" i="13"/>
  <c r="U139" i="13"/>
  <c r="W139" i="13" s="1"/>
  <c r="X139" i="13" s="1"/>
  <c r="AA157" i="13"/>
  <c r="U160" i="13"/>
  <c r="W160" i="13" s="1"/>
  <c r="X160" i="13" s="1"/>
  <c r="AB169" i="13"/>
  <c r="AC169" i="13" s="1"/>
  <c r="AD169" i="13" s="1"/>
  <c r="AA161" i="13"/>
  <c r="AB139" i="13"/>
  <c r="AE139" i="13" s="1"/>
  <c r="AA148" i="13"/>
  <c r="AA154" i="13"/>
  <c r="U159" i="13"/>
  <c r="W159" i="13" s="1"/>
  <c r="X159" i="13" s="1"/>
  <c r="U171" i="13"/>
  <c r="W171" i="13" s="1"/>
  <c r="X171" i="13" s="1"/>
  <c r="AA172" i="13"/>
  <c r="U129" i="13"/>
  <c r="W129" i="13" s="1"/>
  <c r="X129" i="13" s="1"/>
  <c r="V146" i="13"/>
  <c r="W146" i="13" s="1"/>
  <c r="X146" i="13" s="1"/>
  <c r="AB151" i="13"/>
  <c r="AE151" i="13" s="1"/>
  <c r="U154" i="13"/>
  <c r="W154" i="13" s="1"/>
  <c r="X154" i="13" s="1"/>
  <c r="U165" i="13"/>
  <c r="W165" i="13" s="1"/>
  <c r="X165" i="13" s="1"/>
  <c r="V168" i="13"/>
  <c r="AE168" i="13" s="1"/>
  <c r="AB127" i="13"/>
  <c r="AA130" i="13"/>
  <c r="AB133" i="13"/>
  <c r="AE133" i="13" s="1"/>
  <c r="V138" i="13"/>
  <c r="AE138" i="13" s="1"/>
  <c r="U156" i="13"/>
  <c r="W156" i="13" s="1"/>
  <c r="X156" i="13" s="1"/>
  <c r="U133" i="13"/>
  <c r="W133" i="13" s="1"/>
  <c r="X133" i="13" s="1"/>
  <c r="V134" i="13"/>
  <c r="W134" i="13" s="1"/>
  <c r="X134" i="13" s="1"/>
  <c r="U141" i="13"/>
  <c r="W141" i="13" s="1"/>
  <c r="X141" i="13" s="1"/>
  <c r="AA142" i="13"/>
  <c r="U147" i="13"/>
  <c r="W147" i="13" s="1"/>
  <c r="X147" i="13" s="1"/>
  <c r="V150" i="13"/>
  <c r="AE150" i="13" s="1"/>
  <c r="AA155" i="13"/>
  <c r="AA163" i="13"/>
  <c r="AA167" i="13"/>
  <c r="U169" i="13"/>
  <c r="W169" i="13" s="1"/>
  <c r="X169" i="13" s="1"/>
  <c r="U172" i="13"/>
  <c r="W172" i="13" s="1"/>
  <c r="X172" i="13" s="1"/>
  <c r="AE130" i="13"/>
  <c r="AE156" i="13"/>
  <c r="AC156" i="13"/>
  <c r="AD156" i="13" s="1"/>
  <c r="AE159" i="13"/>
  <c r="AC159" i="13"/>
  <c r="AD159" i="13" s="1"/>
  <c r="AF163" i="13"/>
  <c r="AC162" i="13"/>
  <c r="AD162" i="13" s="1"/>
  <c r="AE165" i="13"/>
  <c r="AC165" i="13"/>
  <c r="AD165" i="13" s="1"/>
  <c r="AE161" i="13"/>
  <c r="AC168" i="13"/>
  <c r="AD168" i="13" s="1"/>
  <c r="AE170" i="13"/>
  <c r="AC170" i="13"/>
  <c r="AD170" i="13" s="1"/>
  <c r="AE171" i="13"/>
  <c r="AC171" i="13"/>
  <c r="AD171" i="13" s="1"/>
  <c r="AE158" i="13"/>
  <c r="AC158" i="13"/>
  <c r="AD158" i="13" s="1"/>
  <c r="AC153" i="13"/>
  <c r="AD153" i="13" s="1"/>
  <c r="AE153" i="13"/>
  <c r="AF166" i="13"/>
  <c r="V155" i="13"/>
  <c r="AE155" i="13" s="1"/>
  <c r="AE154" i="13"/>
  <c r="AA158" i="13"/>
  <c r="AA153" i="13"/>
  <c r="V157" i="13"/>
  <c r="AE157" i="13" s="1"/>
  <c r="U158" i="13"/>
  <c r="W158" i="13" s="1"/>
  <c r="X158" i="13" s="1"/>
  <c r="AA159" i="13"/>
  <c r="V163" i="13"/>
  <c r="AE163" i="13" s="1"/>
  <c r="U164" i="13"/>
  <c r="W164" i="13" s="1"/>
  <c r="X164" i="13" s="1"/>
  <c r="AB164" i="13"/>
  <c r="AA165" i="13"/>
  <c r="AE167" i="13"/>
  <c r="U170" i="13"/>
  <c r="W170" i="13" s="1"/>
  <c r="X170" i="13" s="1"/>
  <c r="AA171" i="13"/>
  <c r="AE172" i="13"/>
  <c r="AA156" i="13"/>
  <c r="U161" i="13"/>
  <c r="W161" i="13" s="1"/>
  <c r="X161" i="13" s="1"/>
  <c r="AA162" i="13"/>
  <c r="U167" i="13"/>
  <c r="W167" i="13" s="1"/>
  <c r="X167" i="13" s="1"/>
  <c r="AA168" i="13"/>
  <c r="AC138" i="13"/>
  <c r="AD138" i="13" s="1"/>
  <c r="AE129" i="13"/>
  <c r="AC129" i="13"/>
  <c r="AD129" i="13" s="1"/>
  <c r="AC131" i="13"/>
  <c r="AD131" i="13" s="1"/>
  <c r="AE131" i="13"/>
  <c r="AC150" i="13"/>
  <c r="AD150" i="13" s="1"/>
  <c r="AC144" i="13"/>
  <c r="AD144" i="13" s="1"/>
  <c r="AC132" i="13"/>
  <c r="AD132" i="13" s="1"/>
  <c r="AC149" i="13"/>
  <c r="AD149" i="13" s="1"/>
  <c r="AE149" i="13"/>
  <c r="AC143" i="13"/>
  <c r="AD143" i="13" s="1"/>
  <c r="AE143" i="13"/>
  <c r="AE142" i="13"/>
  <c r="AE148" i="13"/>
  <c r="U128" i="13"/>
  <c r="W128" i="13" s="1"/>
  <c r="X128" i="13" s="1"/>
  <c r="AA129" i="13"/>
  <c r="U130" i="13"/>
  <c r="W130" i="13" s="1"/>
  <c r="X130" i="13" s="1"/>
  <c r="AA131" i="13"/>
  <c r="U142" i="13"/>
  <c r="W142" i="13" s="1"/>
  <c r="X142" i="13" s="1"/>
  <c r="AA143" i="13"/>
  <c r="AA149" i="13"/>
  <c r="U131" i="13"/>
  <c r="W131" i="13" s="1"/>
  <c r="X131" i="13" s="1"/>
  <c r="AA132" i="13"/>
  <c r="V136" i="13"/>
  <c r="AE136" i="13" s="1"/>
  <c r="U137" i="13"/>
  <c r="W137" i="13" s="1"/>
  <c r="X137" i="13" s="1"/>
  <c r="AB137" i="13"/>
  <c r="AA138" i="13"/>
  <c r="U143" i="13"/>
  <c r="W143" i="13" s="1"/>
  <c r="X143" i="13" s="1"/>
  <c r="AA144" i="13"/>
  <c r="U149" i="13"/>
  <c r="W149" i="13" s="1"/>
  <c r="X149" i="13" s="1"/>
  <c r="AA150" i="13"/>
  <c r="Z20" i="13"/>
  <c r="AB20" i="13" s="1"/>
  <c r="T20" i="13"/>
  <c r="V20" i="13" s="1"/>
  <c r="K20" i="13"/>
  <c r="E20" i="13"/>
  <c r="D20" i="13"/>
  <c r="C20" i="13"/>
  <c r="B20" i="13"/>
  <c r="Z5" i="13"/>
  <c r="AA5" i="13" s="1"/>
  <c r="T5" i="13"/>
  <c r="V5" i="13" s="1"/>
  <c r="K5" i="13"/>
  <c r="E5" i="13"/>
  <c r="D5" i="13"/>
  <c r="C5" i="13"/>
  <c r="B5" i="13"/>
  <c r="W140" i="13" l="1"/>
  <c r="X140" i="13" s="1"/>
  <c r="W136" i="13"/>
  <c r="X136" i="13" s="1"/>
  <c r="W138" i="13"/>
  <c r="X138" i="13" s="1"/>
  <c r="AC141" i="13"/>
  <c r="AD141" i="13" s="1"/>
  <c r="W155" i="13"/>
  <c r="X155" i="13" s="1"/>
  <c r="AE135" i="13"/>
  <c r="AC151" i="13"/>
  <c r="AD151" i="13" s="1"/>
  <c r="AE145" i="13"/>
  <c r="AE146" i="13"/>
  <c r="AF134" i="13"/>
  <c r="AC139" i="13"/>
  <c r="AE160" i="13"/>
  <c r="AE132" i="13"/>
  <c r="AE144" i="13"/>
  <c r="AF148" i="13"/>
  <c r="AE134" i="13"/>
  <c r="W150" i="13"/>
  <c r="X150" i="13" s="1"/>
  <c r="AF169" i="13"/>
  <c r="W157" i="13"/>
  <c r="X157" i="13" s="1"/>
  <c r="AE169" i="13"/>
  <c r="AF146" i="13"/>
  <c r="AE147" i="13"/>
  <c r="AF145" i="13"/>
  <c r="AE127" i="13"/>
  <c r="AF161" i="13"/>
  <c r="AC127" i="13"/>
  <c r="AF160" i="13"/>
  <c r="AE128" i="13"/>
  <c r="AF172" i="13"/>
  <c r="AF154" i="13"/>
  <c r="AC133" i="13"/>
  <c r="AD133" i="13" s="1"/>
  <c r="AF147" i="13"/>
  <c r="AF158" i="13"/>
  <c r="AF165" i="13"/>
  <c r="AE164" i="13"/>
  <c r="AC164" i="13"/>
  <c r="AD164" i="13" s="1"/>
  <c r="AF170" i="13"/>
  <c r="AF153" i="13"/>
  <c r="AF168" i="13"/>
  <c r="AF162" i="13"/>
  <c r="AF159" i="13"/>
  <c r="AF171" i="13"/>
  <c r="AF156" i="13"/>
  <c r="AF167" i="13"/>
  <c r="AF135" i="13"/>
  <c r="AF149" i="13"/>
  <c r="AF132" i="13"/>
  <c r="AF144" i="13"/>
  <c r="AF142" i="13"/>
  <c r="AC137" i="13"/>
  <c r="AD137" i="13" s="1"/>
  <c r="AE137" i="13"/>
  <c r="AF143" i="13"/>
  <c r="AF131" i="13"/>
  <c r="AF130" i="13"/>
  <c r="AF129" i="13"/>
  <c r="AF128" i="13"/>
  <c r="AC20" i="13"/>
  <c r="AD20" i="13" s="1"/>
  <c r="AE20" i="13"/>
  <c r="U20" i="13"/>
  <c r="W20" i="13" s="1"/>
  <c r="X20" i="13" s="1"/>
  <c r="AA20" i="13"/>
  <c r="U5" i="13"/>
  <c r="W5" i="13" s="1"/>
  <c r="X5" i="13" s="1"/>
  <c r="AB5" i="13"/>
  <c r="AF141" i="13" l="1"/>
  <c r="AF151" i="13"/>
  <c r="AF139" i="13"/>
  <c r="AD139" i="13"/>
  <c r="AF127" i="13"/>
  <c r="AD127" i="13"/>
  <c r="AF136" i="13"/>
  <c r="AF138" i="13"/>
  <c r="AF140" i="13"/>
  <c r="AF155" i="13"/>
  <c r="AF133" i="13"/>
  <c r="AF150" i="13"/>
  <c r="AF157" i="13"/>
  <c r="AF164" i="13"/>
  <c r="AF137" i="13"/>
  <c r="AF20" i="13"/>
  <c r="AC5" i="13"/>
  <c r="AD5" i="13" s="1"/>
  <c r="AE5" i="13"/>
  <c r="K9" i="13"/>
  <c r="AF5" i="13" l="1"/>
  <c r="Z107" i="13" l="1"/>
  <c r="AB107" i="13" s="1"/>
  <c r="T107" i="13"/>
  <c r="V107" i="13" s="1"/>
  <c r="K107" i="13"/>
  <c r="E107" i="13"/>
  <c r="D107" i="13"/>
  <c r="C107" i="13"/>
  <c r="B107" i="13"/>
  <c r="Z118" i="13"/>
  <c r="AB118" i="13" s="1"/>
  <c r="T118" i="13"/>
  <c r="V118" i="13" s="1"/>
  <c r="K118" i="13"/>
  <c r="E118" i="13"/>
  <c r="D118" i="13"/>
  <c r="C118" i="13"/>
  <c r="B118" i="13"/>
  <c r="Z101" i="13"/>
  <c r="AB101" i="13" s="1"/>
  <c r="T101" i="13"/>
  <c r="V101" i="13" s="1"/>
  <c r="K101" i="13"/>
  <c r="E101" i="13"/>
  <c r="D101" i="13"/>
  <c r="C101" i="13"/>
  <c r="B101" i="13"/>
  <c r="Z100" i="13"/>
  <c r="AB100" i="13" s="1"/>
  <c r="T100" i="13"/>
  <c r="V100" i="13" s="1"/>
  <c r="K100" i="13"/>
  <c r="E100" i="13"/>
  <c r="D100" i="13"/>
  <c r="C100" i="13"/>
  <c r="B100" i="13"/>
  <c r="Z152" i="13"/>
  <c r="T152" i="13"/>
  <c r="V152" i="13" s="1"/>
  <c r="K152" i="13"/>
  <c r="E152" i="13"/>
  <c r="D152" i="13"/>
  <c r="C152" i="13"/>
  <c r="B152" i="13"/>
  <c r="Z126" i="13"/>
  <c r="AA126" i="13" s="1"/>
  <c r="T126" i="13"/>
  <c r="E126" i="13"/>
  <c r="D126" i="13"/>
  <c r="C126" i="13"/>
  <c r="B126" i="13"/>
  <c r="Z125" i="13"/>
  <c r="AA125" i="13" s="1"/>
  <c r="T125" i="13"/>
  <c r="V125" i="13" s="1"/>
  <c r="K125" i="13"/>
  <c r="E125" i="13"/>
  <c r="D125" i="13"/>
  <c r="C125" i="13"/>
  <c r="B125" i="13"/>
  <c r="Z124" i="13"/>
  <c r="AB124" i="13" s="1"/>
  <c r="AC124" i="13" s="1"/>
  <c r="AD124" i="13" s="1"/>
  <c r="T124" i="13"/>
  <c r="V124" i="13" s="1"/>
  <c r="K124" i="13"/>
  <c r="E124" i="13"/>
  <c r="D124" i="13"/>
  <c r="C124" i="13"/>
  <c r="B124" i="13"/>
  <c r="Z123" i="13"/>
  <c r="T123" i="13"/>
  <c r="V123" i="13" s="1"/>
  <c r="K123" i="13"/>
  <c r="E123" i="13"/>
  <c r="D123" i="13"/>
  <c r="C123" i="13"/>
  <c r="B123" i="13"/>
  <c r="Z122" i="13"/>
  <c r="AA122" i="13" s="1"/>
  <c r="T122" i="13"/>
  <c r="K122" i="13"/>
  <c r="E122" i="13"/>
  <c r="D122" i="13"/>
  <c r="C122" i="13"/>
  <c r="B122" i="13"/>
  <c r="Z121" i="13"/>
  <c r="AB121" i="13" s="1"/>
  <c r="T121" i="13"/>
  <c r="V121" i="13" s="1"/>
  <c r="K121" i="13"/>
  <c r="E121" i="13"/>
  <c r="D121" i="13"/>
  <c r="C121" i="13"/>
  <c r="B121" i="13"/>
  <c r="Z120" i="13"/>
  <c r="AB120" i="13" s="1"/>
  <c r="AC120" i="13" s="1"/>
  <c r="AD120" i="13" s="1"/>
  <c r="T120" i="13"/>
  <c r="U120" i="13" s="1"/>
  <c r="K120" i="13"/>
  <c r="E120" i="13"/>
  <c r="D120" i="13"/>
  <c r="C120" i="13"/>
  <c r="B120" i="13"/>
  <c r="Z119" i="13"/>
  <c r="AB119" i="13" s="1"/>
  <c r="T119" i="13"/>
  <c r="U119" i="13" s="1"/>
  <c r="K119" i="13"/>
  <c r="E119" i="13"/>
  <c r="D119" i="13"/>
  <c r="C119" i="13"/>
  <c r="B119" i="13"/>
  <c r="Z117" i="13"/>
  <c r="AB117" i="13" s="1"/>
  <c r="T117" i="13"/>
  <c r="V117" i="13" s="1"/>
  <c r="K117" i="13"/>
  <c r="E117" i="13"/>
  <c r="D117" i="13"/>
  <c r="C117" i="13"/>
  <c r="B117" i="13"/>
  <c r="Z116" i="13"/>
  <c r="AA116" i="13" s="1"/>
  <c r="T116" i="13"/>
  <c r="V116" i="13" s="1"/>
  <c r="K116" i="13"/>
  <c r="E116" i="13"/>
  <c r="D116" i="13"/>
  <c r="C116" i="13"/>
  <c r="B116" i="13"/>
  <c r="Z115" i="13"/>
  <c r="AB115" i="13" s="1"/>
  <c r="AC115" i="13" s="1"/>
  <c r="AD115" i="13" s="1"/>
  <c r="T115" i="13"/>
  <c r="U115" i="13" s="1"/>
  <c r="K115" i="13"/>
  <c r="E115" i="13"/>
  <c r="D115" i="13"/>
  <c r="C115" i="13"/>
  <c r="B115" i="13"/>
  <c r="Z114" i="13"/>
  <c r="AB114" i="13" s="1"/>
  <c r="T114" i="13"/>
  <c r="V114" i="13" s="1"/>
  <c r="K114" i="13"/>
  <c r="E114" i="13"/>
  <c r="D114" i="13"/>
  <c r="C114" i="13"/>
  <c r="B114" i="13"/>
  <c r="Z113" i="13"/>
  <c r="AB113" i="13" s="1"/>
  <c r="T113" i="13"/>
  <c r="V113" i="13" s="1"/>
  <c r="K113" i="13"/>
  <c r="E113" i="13"/>
  <c r="D113" i="13"/>
  <c r="C113" i="13"/>
  <c r="B113" i="13"/>
  <c r="Z112" i="13"/>
  <c r="AA112" i="13" s="1"/>
  <c r="T112" i="13"/>
  <c r="V112" i="13" s="1"/>
  <c r="K112" i="13"/>
  <c r="E112" i="13"/>
  <c r="D112" i="13"/>
  <c r="C112" i="13"/>
  <c r="B112" i="13"/>
  <c r="Z111" i="13"/>
  <c r="AB111" i="13" s="1"/>
  <c r="AC111" i="13" s="1"/>
  <c r="AD111" i="13" s="1"/>
  <c r="T111" i="13"/>
  <c r="U111" i="13" s="1"/>
  <c r="K111" i="13"/>
  <c r="E111" i="13"/>
  <c r="D111" i="13"/>
  <c r="C111" i="13"/>
  <c r="B111" i="13"/>
  <c r="Z110" i="13"/>
  <c r="AB110" i="13" s="1"/>
  <c r="T110" i="13"/>
  <c r="V110" i="13" s="1"/>
  <c r="K110" i="13"/>
  <c r="E110" i="13"/>
  <c r="D110" i="13"/>
  <c r="C110" i="13"/>
  <c r="B110" i="13"/>
  <c r="Z109" i="13"/>
  <c r="AB109" i="13" s="1"/>
  <c r="T109" i="13"/>
  <c r="V109" i="13" s="1"/>
  <c r="K109" i="13"/>
  <c r="E109" i="13"/>
  <c r="D109" i="13"/>
  <c r="C109" i="13"/>
  <c r="B109" i="13"/>
  <c r="Z108" i="13"/>
  <c r="AA108" i="13" s="1"/>
  <c r="T108" i="13"/>
  <c r="V108" i="13" s="1"/>
  <c r="K108" i="13"/>
  <c r="E108" i="13"/>
  <c r="D108" i="13"/>
  <c r="C108" i="13"/>
  <c r="B108" i="13"/>
  <c r="Z60" i="13"/>
  <c r="AB60" i="13" s="1"/>
  <c r="T60" i="13"/>
  <c r="V60" i="13" s="1"/>
  <c r="K60" i="13"/>
  <c r="E60" i="13"/>
  <c r="D60" i="13"/>
  <c r="C60" i="13"/>
  <c r="B60" i="13"/>
  <c r="Z59" i="13"/>
  <c r="AA59" i="13" s="1"/>
  <c r="T59" i="13"/>
  <c r="V59" i="13" s="1"/>
  <c r="K59" i="13"/>
  <c r="E59" i="13"/>
  <c r="D59" i="13"/>
  <c r="C59" i="13"/>
  <c r="B59" i="13"/>
  <c r="Z58" i="13"/>
  <c r="AA58" i="13" s="1"/>
  <c r="T58" i="13"/>
  <c r="U58" i="13" s="1"/>
  <c r="K58" i="13"/>
  <c r="E58" i="13"/>
  <c r="D58" i="13"/>
  <c r="C58" i="13"/>
  <c r="B58" i="13"/>
  <c r="Z57" i="13"/>
  <c r="AB57" i="13" s="1"/>
  <c r="T57" i="13"/>
  <c r="V57" i="13" s="1"/>
  <c r="K57" i="13"/>
  <c r="E57" i="13"/>
  <c r="D57" i="13"/>
  <c r="C57" i="13"/>
  <c r="B57" i="13"/>
  <c r="Z61" i="13"/>
  <c r="AB61" i="13" s="1"/>
  <c r="T61" i="13"/>
  <c r="V61" i="13" s="1"/>
  <c r="K61" i="13"/>
  <c r="E61" i="13"/>
  <c r="D61" i="13"/>
  <c r="C61" i="13"/>
  <c r="B61" i="13"/>
  <c r="U125" i="13" l="1"/>
  <c r="W125" i="13" s="1"/>
  <c r="X125" i="13" s="1"/>
  <c r="AA111" i="13"/>
  <c r="U107" i="13"/>
  <c r="W107" i="13" s="1"/>
  <c r="X107" i="13" s="1"/>
  <c r="AC107" i="13"/>
  <c r="AD107" i="13" s="1"/>
  <c r="AE107" i="13"/>
  <c r="AA107" i="13"/>
  <c r="U100" i="13"/>
  <c r="W100" i="13" s="1"/>
  <c r="X100" i="13" s="1"/>
  <c r="U101" i="13"/>
  <c r="W101" i="13" s="1"/>
  <c r="X101" i="13" s="1"/>
  <c r="U118" i="13"/>
  <c r="W118" i="13" s="1"/>
  <c r="X118" i="13" s="1"/>
  <c r="AC118" i="13"/>
  <c r="AD118" i="13" s="1"/>
  <c r="AE118" i="13"/>
  <c r="AA118" i="13"/>
  <c r="V115" i="13"/>
  <c r="W115" i="13" s="1"/>
  <c r="X115" i="13" s="1"/>
  <c r="AB125" i="13"/>
  <c r="AE125" i="13" s="1"/>
  <c r="AB108" i="13"/>
  <c r="AE108" i="13" s="1"/>
  <c r="U110" i="13"/>
  <c r="W110" i="13" s="1"/>
  <c r="X110" i="13" s="1"/>
  <c r="V119" i="13"/>
  <c r="AE119" i="13" s="1"/>
  <c r="AE124" i="13"/>
  <c r="AC101" i="13"/>
  <c r="AD101" i="13" s="1"/>
  <c r="AE101" i="13"/>
  <c r="AA101" i="13"/>
  <c r="AA120" i="13"/>
  <c r="AB116" i="13"/>
  <c r="AE116" i="13" s="1"/>
  <c r="U124" i="13"/>
  <c r="W124" i="13" s="1"/>
  <c r="X124" i="13" s="1"/>
  <c r="AC100" i="13"/>
  <c r="AD100" i="13" s="1"/>
  <c r="AE100" i="13"/>
  <c r="AA100" i="13"/>
  <c r="V111" i="13"/>
  <c r="AE111" i="13" s="1"/>
  <c r="AB112" i="13"/>
  <c r="AC112" i="13" s="1"/>
  <c r="AD112" i="13" s="1"/>
  <c r="U114" i="13"/>
  <c r="W114" i="13" s="1"/>
  <c r="X114" i="13" s="1"/>
  <c r="AA115" i="13"/>
  <c r="V120" i="13"/>
  <c r="AE120" i="13" s="1"/>
  <c r="AB122" i="13"/>
  <c r="AC122" i="13" s="1"/>
  <c r="AD122" i="13" s="1"/>
  <c r="AB126" i="13"/>
  <c r="AC126" i="13" s="1"/>
  <c r="AD126" i="13" s="1"/>
  <c r="U123" i="13"/>
  <c r="W123" i="13" s="1"/>
  <c r="X123" i="13" s="1"/>
  <c r="AA124" i="13"/>
  <c r="U152" i="13"/>
  <c r="W152" i="13" s="1"/>
  <c r="X152" i="13" s="1"/>
  <c r="AE117" i="13"/>
  <c r="AC117" i="13"/>
  <c r="AD117" i="13" s="1"/>
  <c r="AC121" i="13"/>
  <c r="AD121" i="13" s="1"/>
  <c r="AE121" i="13"/>
  <c r="AC109" i="13"/>
  <c r="AD109" i="13" s="1"/>
  <c r="AE109" i="13"/>
  <c r="AC114" i="13"/>
  <c r="AD114" i="13" s="1"/>
  <c r="AE114" i="13"/>
  <c r="AC110" i="13"/>
  <c r="AD110" i="13" s="1"/>
  <c r="AE110" i="13"/>
  <c r="AC113" i="13"/>
  <c r="AD113" i="13" s="1"/>
  <c r="AE113" i="13"/>
  <c r="AC119" i="13"/>
  <c r="AD119" i="13" s="1"/>
  <c r="U109" i="13"/>
  <c r="W109" i="13" s="1"/>
  <c r="X109" i="13" s="1"/>
  <c r="AA110" i="13"/>
  <c r="AA114" i="13"/>
  <c r="U117" i="13"/>
  <c r="W117" i="13" s="1"/>
  <c r="X117" i="13" s="1"/>
  <c r="AA119" i="13"/>
  <c r="V122" i="13"/>
  <c r="U122" i="13"/>
  <c r="W122" i="13" s="1"/>
  <c r="X122" i="13" s="1"/>
  <c r="V126" i="13"/>
  <c r="U126" i="13"/>
  <c r="U112" i="13"/>
  <c r="W112" i="13" s="1"/>
  <c r="X112" i="13" s="1"/>
  <c r="U116" i="13"/>
  <c r="W116" i="13" s="1"/>
  <c r="X116" i="13" s="1"/>
  <c r="AA117" i="13"/>
  <c r="U121" i="13"/>
  <c r="W121" i="13" s="1"/>
  <c r="X121" i="13" s="1"/>
  <c r="AA121" i="13"/>
  <c r="U113" i="13"/>
  <c r="W113" i="13" s="1"/>
  <c r="X113" i="13" s="1"/>
  <c r="U108" i="13"/>
  <c r="W108" i="13" s="1"/>
  <c r="X108" i="13" s="1"/>
  <c r="AA109" i="13"/>
  <c r="AA113" i="13"/>
  <c r="AB123" i="13"/>
  <c r="AA123" i="13"/>
  <c r="AB152" i="13"/>
  <c r="AA152" i="13"/>
  <c r="U57" i="13"/>
  <c r="W57" i="13" s="1"/>
  <c r="X57" i="13" s="1"/>
  <c r="U60" i="13"/>
  <c r="W60" i="13" s="1"/>
  <c r="X60" i="13" s="1"/>
  <c r="AB58" i="13"/>
  <c r="AC58" i="13" s="1"/>
  <c r="AD58" i="13" s="1"/>
  <c r="AA57" i="13"/>
  <c r="V58" i="13"/>
  <c r="W58" i="13" s="1"/>
  <c r="X58" i="13" s="1"/>
  <c r="AB59" i="13"/>
  <c r="AC59" i="13" s="1"/>
  <c r="AD59" i="13" s="1"/>
  <c r="AC57" i="13"/>
  <c r="AD57" i="13" s="1"/>
  <c r="AE57" i="13"/>
  <c r="AC60" i="13"/>
  <c r="AD60" i="13" s="1"/>
  <c r="AE60" i="13"/>
  <c r="U59" i="13"/>
  <c r="W59" i="13" s="1"/>
  <c r="X59" i="13" s="1"/>
  <c r="AA60" i="13"/>
  <c r="U61" i="13"/>
  <c r="W61" i="13" s="1"/>
  <c r="X61" i="13" s="1"/>
  <c r="AC61" i="13"/>
  <c r="AD61" i="13" s="1"/>
  <c r="AE61" i="13"/>
  <c r="AA61" i="13"/>
  <c r="Z47" i="13"/>
  <c r="AA47" i="13" s="1"/>
  <c r="T47" i="13"/>
  <c r="V47" i="13" s="1"/>
  <c r="K47" i="13"/>
  <c r="E47" i="13"/>
  <c r="D47" i="13"/>
  <c r="C47" i="13"/>
  <c r="B47" i="13"/>
  <c r="Z46" i="13"/>
  <c r="AB46" i="13" s="1"/>
  <c r="T46" i="13"/>
  <c r="V46" i="13" s="1"/>
  <c r="K46" i="13"/>
  <c r="E46" i="13"/>
  <c r="D46" i="13"/>
  <c r="C46" i="13"/>
  <c r="B46" i="13"/>
  <c r="E29" i="13"/>
  <c r="D29" i="13"/>
  <c r="C29" i="13"/>
  <c r="B29" i="13"/>
  <c r="K29" i="13"/>
  <c r="T29" i="13"/>
  <c r="U29" i="13" s="1"/>
  <c r="T28" i="13"/>
  <c r="Z29" i="13"/>
  <c r="AB29" i="13" s="1"/>
  <c r="AC29" i="13" s="1"/>
  <c r="AD29" i="13" s="1"/>
  <c r="W126" i="13" l="1"/>
  <c r="X126" i="13" s="1"/>
  <c r="W119" i="13"/>
  <c r="W120" i="13"/>
  <c r="X120" i="13" s="1"/>
  <c r="AE115" i="13"/>
  <c r="AF115" i="13"/>
  <c r="W111" i="13"/>
  <c r="X111" i="13" s="1"/>
  <c r="AE126" i="13"/>
  <c r="AC125" i="13"/>
  <c r="AD125" i="13" s="1"/>
  <c r="AE112" i="13"/>
  <c r="AC108" i="13"/>
  <c r="AD108" i="13" s="1"/>
  <c r="AF107" i="13"/>
  <c r="AE122" i="13"/>
  <c r="AF124" i="13"/>
  <c r="AF118" i="13"/>
  <c r="AF122" i="13"/>
  <c r="AF101" i="13"/>
  <c r="AE59" i="13"/>
  <c r="AC116" i="13"/>
  <c r="AF100" i="13"/>
  <c r="AF112" i="13"/>
  <c r="AC152" i="13"/>
  <c r="AD152" i="13" s="1"/>
  <c r="AE152" i="13"/>
  <c r="AF110" i="13"/>
  <c r="AF109" i="13"/>
  <c r="AF121" i="13"/>
  <c r="AF113" i="13"/>
  <c r="AF117" i="13"/>
  <c r="AC123" i="13"/>
  <c r="AD123" i="13" s="1"/>
  <c r="AE123" i="13"/>
  <c r="AF114" i="13"/>
  <c r="AE58" i="13"/>
  <c r="AF59" i="13"/>
  <c r="AF58" i="13"/>
  <c r="AF60" i="13"/>
  <c r="AF57" i="13"/>
  <c r="AF61" i="13"/>
  <c r="U47" i="13"/>
  <c r="W47" i="13" s="1"/>
  <c r="X47" i="13" s="1"/>
  <c r="AB47" i="13"/>
  <c r="AA29" i="13"/>
  <c r="AE46" i="13"/>
  <c r="AC46" i="13"/>
  <c r="AD46" i="13" s="1"/>
  <c r="U46" i="13"/>
  <c r="W46" i="13" s="1"/>
  <c r="X46" i="13" s="1"/>
  <c r="AA46" i="13"/>
  <c r="V29" i="13"/>
  <c r="AE29" i="13" s="1"/>
  <c r="D13" i="26"/>
  <c r="AF116" i="13" l="1"/>
  <c r="AD116" i="13"/>
  <c r="AF119" i="13"/>
  <c r="X119" i="13"/>
  <c r="AF126" i="13"/>
  <c r="AF120" i="13"/>
  <c r="W29" i="13"/>
  <c r="X29" i="13" s="1"/>
  <c r="AF125" i="13"/>
  <c r="AF111" i="13"/>
  <c r="AF108" i="13"/>
  <c r="AF152" i="13"/>
  <c r="AF123" i="13"/>
  <c r="AC47" i="13"/>
  <c r="AD47" i="13" s="1"/>
  <c r="AE47" i="13"/>
  <c r="AF46" i="13"/>
  <c r="T38" i="13"/>
  <c r="U38" i="13" s="1"/>
  <c r="Z38" i="13"/>
  <c r="T39" i="13"/>
  <c r="Z39" i="13"/>
  <c r="T40" i="13"/>
  <c r="Z40" i="13"/>
  <c r="T41" i="13"/>
  <c r="Z41" i="13"/>
  <c r="AB41" i="13" s="1"/>
  <c r="T42" i="13"/>
  <c r="U42" i="13" s="1"/>
  <c r="Z42" i="13"/>
  <c r="T43" i="13"/>
  <c r="V43" i="13" s="1"/>
  <c r="Z43" i="13"/>
  <c r="AB43" i="13" s="1"/>
  <c r="T44" i="13"/>
  <c r="Z44" i="13"/>
  <c r="T45" i="13"/>
  <c r="Z45" i="13"/>
  <c r="T48" i="13"/>
  <c r="V48" i="13" s="1"/>
  <c r="Z48" i="13"/>
  <c r="T49" i="13"/>
  <c r="Z49" i="13"/>
  <c r="T50" i="13"/>
  <c r="Z50" i="13"/>
  <c r="T51" i="13"/>
  <c r="Z51" i="13"/>
  <c r="AB51" i="13" s="1"/>
  <c r="T52" i="13"/>
  <c r="V52" i="13" s="1"/>
  <c r="Z52" i="13"/>
  <c r="AB52" i="13" s="1"/>
  <c r="AC52" i="13" s="1"/>
  <c r="AD52" i="13" s="1"/>
  <c r="T53" i="13"/>
  <c r="V53" i="13" s="1"/>
  <c r="Z53" i="13"/>
  <c r="T54" i="13"/>
  <c r="Z54" i="13"/>
  <c r="T55" i="13"/>
  <c r="U55" i="13" s="1"/>
  <c r="Z55" i="13"/>
  <c r="T56" i="13"/>
  <c r="Z56" i="13"/>
  <c r="AB56" i="13" s="1"/>
  <c r="T62" i="13"/>
  <c r="Z62" i="13"/>
  <c r="T63" i="13"/>
  <c r="Z63" i="13"/>
  <c r="T64" i="13"/>
  <c r="U64" i="13" s="1"/>
  <c r="W64" i="13" s="1"/>
  <c r="X64" i="13" s="1"/>
  <c r="Z64" i="13"/>
  <c r="AB64" i="13" s="1"/>
  <c r="T65" i="13"/>
  <c r="U65" i="13" s="1"/>
  <c r="Z65" i="13"/>
  <c r="AB65" i="13" s="1"/>
  <c r="AC65" i="13" s="1"/>
  <c r="AD65" i="13" s="1"/>
  <c r="T66" i="13"/>
  <c r="V66" i="13" s="1"/>
  <c r="Z66" i="13"/>
  <c r="T67" i="13"/>
  <c r="Z67" i="13"/>
  <c r="AB67" i="13" s="1"/>
  <c r="AC67" i="13" s="1"/>
  <c r="AD67" i="13" s="1"/>
  <c r="T68" i="13"/>
  <c r="U68" i="13" s="1"/>
  <c r="Z68" i="13"/>
  <c r="AA68" i="13" s="1"/>
  <c r="T69" i="13"/>
  <c r="U69" i="13" s="1"/>
  <c r="Z69" i="13"/>
  <c r="T70" i="13"/>
  <c r="Z70" i="13"/>
  <c r="T71" i="13"/>
  <c r="Z71" i="13"/>
  <c r="AA71" i="13" s="1"/>
  <c r="T72" i="13"/>
  <c r="Z72" i="13"/>
  <c r="AB72" i="13" s="1"/>
  <c r="T73" i="13"/>
  <c r="V73" i="13" s="1"/>
  <c r="Z73" i="13"/>
  <c r="T74" i="13"/>
  <c r="Z74" i="13"/>
  <c r="T75" i="13"/>
  <c r="Z75" i="13"/>
  <c r="AA75" i="13" s="1"/>
  <c r="T76" i="13"/>
  <c r="V76" i="13" s="1"/>
  <c r="Z76" i="13"/>
  <c r="T77" i="13"/>
  <c r="Z77" i="13"/>
  <c r="T78" i="13"/>
  <c r="Z78" i="13"/>
  <c r="AA78" i="13" s="1"/>
  <c r="T79" i="13"/>
  <c r="U79" i="13" s="1"/>
  <c r="Z79" i="13"/>
  <c r="AB79" i="13" s="1"/>
  <c r="AC79" i="13" s="1"/>
  <c r="AD79" i="13" s="1"/>
  <c r="T80" i="13"/>
  <c r="U80" i="13" s="1"/>
  <c r="Z80" i="13"/>
  <c r="AB80" i="13" s="1"/>
  <c r="T81" i="13"/>
  <c r="V81" i="13" s="1"/>
  <c r="Z81" i="13"/>
  <c r="T82" i="13"/>
  <c r="Z82" i="13"/>
  <c r="T83" i="13"/>
  <c r="U83" i="13" s="1"/>
  <c r="Z83" i="13"/>
  <c r="AA83" i="13" s="1"/>
  <c r="T84" i="13"/>
  <c r="Z84" i="13"/>
  <c r="AB84" i="13" s="1"/>
  <c r="T85" i="13"/>
  <c r="U85" i="13" s="1"/>
  <c r="Z85" i="13"/>
  <c r="T86" i="13"/>
  <c r="Z86" i="13"/>
  <c r="T87" i="13"/>
  <c r="Z87" i="13"/>
  <c r="AB87" i="13" s="1"/>
  <c r="AC87" i="13" s="1"/>
  <c r="AD87" i="13" s="1"/>
  <c r="T88" i="13"/>
  <c r="V88" i="13" s="1"/>
  <c r="Z88" i="13"/>
  <c r="T90" i="13"/>
  <c r="Z90" i="13"/>
  <c r="AB90" i="13" s="1"/>
  <c r="AC90" i="13" s="1"/>
  <c r="AD90" i="13" s="1"/>
  <c r="T91" i="13"/>
  <c r="Z91" i="13"/>
  <c r="AA91" i="13" s="1"/>
  <c r="T92" i="13"/>
  <c r="U92" i="13" s="1"/>
  <c r="Z92" i="13"/>
  <c r="T93" i="13"/>
  <c r="Z93" i="13"/>
  <c r="T94" i="13"/>
  <c r="Z94" i="13"/>
  <c r="AA94" i="13" s="1"/>
  <c r="T95" i="13"/>
  <c r="Z95" i="13"/>
  <c r="T96" i="13"/>
  <c r="Z96" i="13"/>
  <c r="T97" i="13"/>
  <c r="Z97" i="13"/>
  <c r="T98" i="13"/>
  <c r="Z98" i="13"/>
  <c r="T99" i="13"/>
  <c r="V99" i="13" s="1"/>
  <c r="Z99" i="13"/>
  <c r="AB99" i="13" s="1"/>
  <c r="T102" i="13"/>
  <c r="V102" i="13" s="1"/>
  <c r="Z102" i="13"/>
  <c r="AB102" i="13" s="1"/>
  <c r="AC102" i="13" s="1"/>
  <c r="AD102" i="13" s="1"/>
  <c r="T103" i="13"/>
  <c r="V103" i="13" s="1"/>
  <c r="Z103" i="13"/>
  <c r="AA103" i="13" s="1"/>
  <c r="T104" i="13"/>
  <c r="U104" i="13" s="1"/>
  <c r="Z104" i="13"/>
  <c r="AB104" i="13" s="1"/>
  <c r="T105" i="13"/>
  <c r="V105" i="13" s="1"/>
  <c r="Z105" i="13"/>
  <c r="T106" i="13"/>
  <c r="V106" i="13" s="1"/>
  <c r="Z106" i="13"/>
  <c r="AB106" i="13" s="1"/>
  <c r="AC106" i="13" s="1"/>
  <c r="AD106" i="13" s="1"/>
  <c r="T173" i="13"/>
  <c r="Z173" i="13"/>
  <c r="AA173" i="13" s="1"/>
  <c r="T174" i="13"/>
  <c r="U174" i="13" s="1"/>
  <c r="Z174" i="13"/>
  <c r="AA174" i="13" s="1"/>
  <c r="T175" i="13"/>
  <c r="V175" i="13" s="1"/>
  <c r="Z175" i="13"/>
  <c r="AB175" i="13" s="1"/>
  <c r="T176" i="13"/>
  <c r="Z176" i="13"/>
  <c r="T177" i="13"/>
  <c r="Z177" i="13"/>
  <c r="T178" i="13"/>
  <c r="Z178" i="13"/>
  <c r="T179" i="13"/>
  <c r="Z179" i="13"/>
  <c r="T180" i="13"/>
  <c r="Z180" i="13"/>
  <c r="T181" i="13"/>
  <c r="Z181" i="13"/>
  <c r="AA181" i="13" s="1"/>
  <c r="T182" i="13"/>
  <c r="Z182" i="13"/>
  <c r="AA182" i="13" s="1"/>
  <c r="T183" i="13"/>
  <c r="Z183" i="13"/>
  <c r="AB183" i="13" s="1"/>
  <c r="T184" i="13"/>
  <c r="V184" i="13" s="1"/>
  <c r="Z184" i="13"/>
  <c r="T185" i="13"/>
  <c r="Z185" i="13"/>
  <c r="AA185" i="13" s="1"/>
  <c r="T186" i="13"/>
  <c r="U186" i="13" s="1"/>
  <c r="W186" i="13" s="1"/>
  <c r="X186" i="13" s="1"/>
  <c r="Z186" i="13"/>
  <c r="AA186" i="13" s="1"/>
  <c r="T187" i="13"/>
  <c r="U187" i="13" s="1"/>
  <c r="W187" i="13" s="1"/>
  <c r="X187" i="13" s="1"/>
  <c r="Z187" i="13"/>
  <c r="T188" i="13"/>
  <c r="Z188" i="13"/>
  <c r="T189" i="13"/>
  <c r="Z189" i="13"/>
  <c r="T190" i="13"/>
  <c r="Z190" i="13"/>
  <c r="AA190" i="13" s="1"/>
  <c r="T191" i="13"/>
  <c r="U191" i="13" s="1"/>
  <c r="Z191" i="13"/>
  <c r="AB191" i="13" s="1"/>
  <c r="T192" i="13"/>
  <c r="V192" i="13" s="1"/>
  <c r="Z192" i="13"/>
  <c r="T193" i="13"/>
  <c r="Z193" i="13"/>
  <c r="T194" i="13"/>
  <c r="U194" i="13" s="1"/>
  <c r="Z194" i="13"/>
  <c r="AA194" i="13" s="1"/>
  <c r="T195" i="13"/>
  <c r="U195" i="13" s="1"/>
  <c r="W195" i="13" s="1"/>
  <c r="X195" i="13" s="1"/>
  <c r="Z195" i="13"/>
  <c r="T196" i="13"/>
  <c r="Z196" i="13"/>
  <c r="T197" i="13"/>
  <c r="Z197" i="13"/>
  <c r="AA197" i="13" s="1"/>
  <c r="T198" i="13"/>
  <c r="U198" i="13" s="1"/>
  <c r="Z198" i="13"/>
  <c r="AB198" i="13" s="1"/>
  <c r="T199" i="13"/>
  <c r="Z199" i="13"/>
  <c r="AB199" i="13" s="1"/>
  <c r="AC199" i="13" s="1"/>
  <c r="AD199" i="13" s="1"/>
  <c r="T200" i="13"/>
  <c r="V200" i="13" s="1"/>
  <c r="Z200" i="13"/>
  <c r="T201" i="13"/>
  <c r="Z201" i="13"/>
  <c r="T202" i="13"/>
  <c r="U202" i="13" s="1"/>
  <c r="Z202" i="13"/>
  <c r="AB202" i="13" s="1"/>
  <c r="AC202" i="13" s="1"/>
  <c r="AD202" i="13" s="1"/>
  <c r="T203" i="13"/>
  <c r="V203" i="13" s="1"/>
  <c r="Z203" i="13"/>
  <c r="T204" i="13"/>
  <c r="V204" i="13" s="1"/>
  <c r="Z204" i="13"/>
  <c r="T205" i="13"/>
  <c r="V205" i="13" s="1"/>
  <c r="Z205" i="13"/>
  <c r="AA205" i="13" s="1"/>
  <c r="T206" i="13"/>
  <c r="Z206" i="13"/>
  <c r="AB206" i="13" s="1"/>
  <c r="T207" i="13"/>
  <c r="U207" i="13" s="1"/>
  <c r="Z207" i="13"/>
  <c r="AB207" i="13" s="1"/>
  <c r="T208" i="13"/>
  <c r="Z208" i="13"/>
  <c r="T209" i="13"/>
  <c r="V209" i="13" s="1"/>
  <c r="Z209" i="13"/>
  <c r="AA209" i="13" s="1"/>
  <c r="T210" i="13"/>
  <c r="Z210" i="13"/>
  <c r="T211" i="13"/>
  <c r="U211" i="13" s="1"/>
  <c r="Z211" i="13"/>
  <c r="AB211" i="13" s="1"/>
  <c r="T212" i="13"/>
  <c r="Z212" i="13"/>
  <c r="AA212" i="13" s="1"/>
  <c r="T213" i="13"/>
  <c r="Z213" i="13"/>
  <c r="AB213" i="13" s="1"/>
  <c r="T214" i="13"/>
  <c r="U214" i="13" s="1"/>
  <c r="W214" i="13" s="1"/>
  <c r="X214" i="13" s="1"/>
  <c r="Z214" i="13"/>
  <c r="T215" i="13"/>
  <c r="Z215" i="13"/>
  <c r="T216" i="13"/>
  <c r="Z216" i="13"/>
  <c r="AA216" i="13" s="1"/>
  <c r="T217" i="13"/>
  <c r="U217" i="13" s="1"/>
  <c r="Z217" i="13"/>
  <c r="AA217" i="13" s="1"/>
  <c r="T218" i="13"/>
  <c r="Z218" i="13"/>
  <c r="AB218" i="13" s="1"/>
  <c r="AC218" i="13" s="1"/>
  <c r="AD218" i="13" s="1"/>
  <c r="T219" i="13"/>
  <c r="V219" i="13" s="1"/>
  <c r="Z219" i="13"/>
  <c r="T220" i="13"/>
  <c r="Z220" i="13"/>
  <c r="AA220" i="13" s="1"/>
  <c r="T221" i="13"/>
  <c r="U221" i="13" s="1"/>
  <c r="Z221" i="13"/>
  <c r="AA221" i="13" s="1"/>
  <c r="T222" i="13"/>
  <c r="V222" i="13" s="1"/>
  <c r="Z222" i="13"/>
  <c r="T223" i="13"/>
  <c r="Z223" i="13"/>
  <c r="T224" i="13"/>
  <c r="Z224" i="13"/>
  <c r="AA224" i="13" s="1"/>
  <c r="T225" i="13"/>
  <c r="Z225" i="13"/>
  <c r="AB225" i="13" s="1"/>
  <c r="T226" i="13"/>
  <c r="U226" i="13" s="1"/>
  <c r="Z226" i="13"/>
  <c r="T227" i="13"/>
  <c r="V227" i="13" s="1"/>
  <c r="Z227" i="13"/>
  <c r="T228" i="13"/>
  <c r="Z228" i="13"/>
  <c r="T229" i="13"/>
  <c r="U229" i="13" s="1"/>
  <c r="Z229" i="13"/>
  <c r="AB229" i="13" s="1"/>
  <c r="T230" i="13"/>
  <c r="V230" i="13" s="1"/>
  <c r="Z230" i="13"/>
  <c r="T231" i="13"/>
  <c r="Z231" i="13"/>
  <c r="T232" i="13"/>
  <c r="Z232" i="13"/>
  <c r="AA232" i="13" s="1"/>
  <c r="T233" i="13"/>
  <c r="U233" i="13" s="1"/>
  <c r="Z233" i="13"/>
  <c r="AB233" i="13" s="1"/>
  <c r="T234" i="13"/>
  <c r="U234" i="13" s="1"/>
  <c r="Z234" i="13"/>
  <c r="AA234" i="13" s="1"/>
  <c r="T235" i="13"/>
  <c r="Z235" i="13"/>
  <c r="T236" i="13"/>
  <c r="Z236" i="13"/>
  <c r="AA236" i="13" s="1"/>
  <c r="T237" i="13"/>
  <c r="Z237" i="13"/>
  <c r="AB237" i="13" s="1"/>
  <c r="T238" i="13"/>
  <c r="Z238" i="13"/>
  <c r="T239" i="13"/>
  <c r="Z239" i="13"/>
  <c r="T240" i="13"/>
  <c r="Z240" i="13"/>
  <c r="AA240" i="13" s="1"/>
  <c r="T241" i="13"/>
  <c r="U241" i="13" s="1"/>
  <c r="Z241" i="13"/>
  <c r="T242" i="13"/>
  <c r="V242" i="13" s="1"/>
  <c r="Z242" i="13"/>
  <c r="AB242" i="13" s="1"/>
  <c r="AC242" i="13" s="1"/>
  <c r="AD242" i="13" s="1"/>
  <c r="T243" i="13"/>
  <c r="V243" i="13" s="1"/>
  <c r="Z243" i="13"/>
  <c r="T244" i="13"/>
  <c r="Z244" i="13"/>
  <c r="AA244" i="13" s="1"/>
  <c r="T245" i="13"/>
  <c r="U245" i="13" s="1"/>
  <c r="Z245" i="13"/>
  <c r="T246" i="13"/>
  <c r="U246" i="13" s="1"/>
  <c r="Z246" i="13"/>
  <c r="T247" i="13"/>
  <c r="Z247" i="13"/>
  <c r="T248" i="13"/>
  <c r="Z248" i="13"/>
  <c r="T249" i="13"/>
  <c r="Z249" i="13"/>
  <c r="T250" i="13"/>
  <c r="Z250" i="13"/>
  <c r="AB250" i="13" s="1"/>
  <c r="T251" i="13"/>
  <c r="U251" i="13" s="1"/>
  <c r="Z251" i="13"/>
  <c r="T252" i="13"/>
  <c r="Z252" i="13"/>
  <c r="AA252" i="13" s="1"/>
  <c r="T253" i="13"/>
  <c r="Z253" i="13"/>
  <c r="T254" i="13"/>
  <c r="Z254" i="13"/>
  <c r="T255" i="13"/>
  <c r="U255" i="13" s="1"/>
  <c r="Z255" i="13"/>
  <c r="T256" i="13"/>
  <c r="Z256" i="13"/>
  <c r="T257" i="13"/>
  <c r="U257" i="13" s="1"/>
  <c r="Z257" i="13"/>
  <c r="T258" i="13"/>
  <c r="V258" i="13" s="1"/>
  <c r="Z258" i="13"/>
  <c r="AB258" i="13" s="1"/>
  <c r="AC258" i="13" s="1"/>
  <c r="AD258" i="13" s="1"/>
  <c r="T259" i="13"/>
  <c r="V259" i="13" s="1"/>
  <c r="Z259" i="13"/>
  <c r="AB259" i="13" s="1"/>
  <c r="AC259" i="13" s="1"/>
  <c r="AD259" i="13" s="1"/>
  <c r="T260" i="13"/>
  <c r="V260" i="13" s="1"/>
  <c r="Z260" i="13"/>
  <c r="AA260" i="13" s="1"/>
  <c r="T261" i="13"/>
  <c r="U261" i="13" s="1"/>
  <c r="Z261" i="13"/>
  <c r="AA261" i="13" s="1"/>
  <c r="T262" i="13"/>
  <c r="V262" i="13" s="1"/>
  <c r="Z262" i="13"/>
  <c r="AA262" i="13" s="1"/>
  <c r="T263" i="13"/>
  <c r="Z263" i="13"/>
  <c r="T7" i="13"/>
  <c r="U7" i="13" s="1"/>
  <c r="Z7" i="13"/>
  <c r="AA7" i="13" s="1"/>
  <c r="T8" i="13"/>
  <c r="Z8" i="13"/>
  <c r="AB8" i="13" s="1"/>
  <c r="AC8" i="13" s="1"/>
  <c r="AD8" i="13" s="1"/>
  <c r="T9" i="13"/>
  <c r="V9" i="13" s="1"/>
  <c r="Z9" i="13"/>
  <c r="T10" i="13"/>
  <c r="Z10" i="13"/>
  <c r="AA10" i="13" s="1"/>
  <c r="T11" i="13"/>
  <c r="U11" i="13" s="1"/>
  <c r="Z11" i="13"/>
  <c r="AA11" i="13" s="1"/>
  <c r="T12" i="13"/>
  <c r="V12" i="13" s="1"/>
  <c r="Z12" i="13"/>
  <c r="AB12" i="13" s="1"/>
  <c r="AC12" i="13" s="1"/>
  <c r="AD12" i="13" s="1"/>
  <c r="T13" i="13"/>
  <c r="V13" i="13" s="1"/>
  <c r="Z13" i="13"/>
  <c r="T14" i="13"/>
  <c r="Z14" i="13"/>
  <c r="AA14" i="13" s="1"/>
  <c r="T15" i="13"/>
  <c r="U15" i="13" s="1"/>
  <c r="Z15" i="13"/>
  <c r="AB15" i="13" s="1"/>
  <c r="AC15" i="13" s="1"/>
  <c r="AD15" i="13" s="1"/>
  <c r="T16" i="13"/>
  <c r="U16" i="13" s="1"/>
  <c r="Z16" i="13"/>
  <c r="T17" i="13"/>
  <c r="Z17" i="13"/>
  <c r="T18" i="13"/>
  <c r="Z18" i="13"/>
  <c r="AA18" i="13" s="1"/>
  <c r="T19" i="13"/>
  <c r="U19" i="13" s="1"/>
  <c r="Z19" i="13"/>
  <c r="AA19" i="13" s="1"/>
  <c r="T21" i="13"/>
  <c r="Z21" i="13"/>
  <c r="T22" i="13"/>
  <c r="V22" i="13" s="1"/>
  <c r="Z22" i="13"/>
  <c r="T23" i="13"/>
  <c r="Z23" i="13"/>
  <c r="AA23" i="13" s="1"/>
  <c r="T24" i="13"/>
  <c r="U24" i="13" s="1"/>
  <c r="Z24" i="13"/>
  <c r="AB24" i="13" s="1"/>
  <c r="AC24" i="13" s="1"/>
  <c r="AD24" i="13" s="1"/>
  <c r="T25" i="13"/>
  <c r="U25" i="13" s="1"/>
  <c r="Z25" i="13"/>
  <c r="AB25" i="13" s="1"/>
  <c r="AC25" i="13" s="1"/>
  <c r="AD25" i="13" s="1"/>
  <c r="T26" i="13"/>
  <c r="V26" i="13" s="1"/>
  <c r="Z26" i="13"/>
  <c r="T27" i="13"/>
  <c r="Z27" i="13"/>
  <c r="AA27" i="13" s="1"/>
  <c r="Z28" i="13"/>
  <c r="AB28" i="13" s="1"/>
  <c r="AC28" i="13" s="1"/>
  <c r="AD28" i="13" s="1"/>
  <c r="T30" i="13"/>
  <c r="U30" i="13" s="1"/>
  <c r="Z30" i="13"/>
  <c r="AB30" i="13" s="1"/>
  <c r="AC30" i="13" s="1"/>
  <c r="AD30" i="13" s="1"/>
  <c r="T31" i="13"/>
  <c r="V31" i="13" s="1"/>
  <c r="Z31" i="13"/>
  <c r="T32" i="13"/>
  <c r="Z32" i="13"/>
  <c r="AA32" i="13" s="1"/>
  <c r="T33" i="13"/>
  <c r="U33" i="13" s="1"/>
  <c r="Z33" i="13"/>
  <c r="AA33" i="13" s="1"/>
  <c r="T34" i="13"/>
  <c r="U34" i="13" s="1"/>
  <c r="Z34" i="13"/>
  <c r="AB34" i="13" s="1"/>
  <c r="AC34" i="13" s="1"/>
  <c r="AD34" i="13" s="1"/>
  <c r="T35" i="13"/>
  <c r="U35" i="13" s="1"/>
  <c r="Z35" i="13"/>
  <c r="AB35" i="13" s="1"/>
  <c r="AC35" i="13" s="1"/>
  <c r="AD35" i="13" s="1"/>
  <c r="T36" i="13"/>
  <c r="V36" i="13" s="1"/>
  <c r="Z36" i="13"/>
  <c r="AA36" i="13" s="1"/>
  <c r="T37" i="13"/>
  <c r="U37" i="13" s="1"/>
  <c r="Z37" i="13"/>
  <c r="AB37" i="13" s="1"/>
  <c r="AC37" i="13" s="1"/>
  <c r="AD37" i="13" s="1"/>
  <c r="AA15" i="13" l="1"/>
  <c r="AF29" i="13"/>
  <c r="AF47" i="13"/>
  <c r="AA64" i="13"/>
  <c r="AB33" i="13"/>
  <c r="AC33" i="13" s="1"/>
  <c r="AD33" i="13" s="1"/>
  <c r="AB185" i="13"/>
  <c r="AC185" i="13" s="1"/>
  <c r="AD185" i="13" s="1"/>
  <c r="AA35" i="13"/>
  <c r="V34" i="13"/>
  <c r="AE34" i="13" s="1"/>
  <c r="V16" i="13"/>
  <c r="W16" i="13" s="1"/>
  <c r="X16" i="13" s="1"/>
  <c r="AA258" i="13"/>
  <c r="V255" i="13"/>
  <c r="W255" i="13" s="1"/>
  <c r="X255" i="13" s="1"/>
  <c r="AB209" i="13"/>
  <c r="AE209" i="13" s="1"/>
  <c r="AA99" i="13"/>
  <c r="AA67" i="13"/>
  <c r="AB23" i="13"/>
  <c r="AC23" i="13" s="1"/>
  <c r="AD23" i="13" s="1"/>
  <c r="V19" i="13"/>
  <c r="W19" i="13" s="1"/>
  <c r="X19" i="13" s="1"/>
  <c r="AB197" i="13"/>
  <c r="AC197" i="13" s="1"/>
  <c r="AD197" i="13" s="1"/>
  <c r="AB78" i="13"/>
  <c r="AC78" i="13" s="1"/>
  <c r="AD78" i="13" s="1"/>
  <c r="AB7" i="13"/>
  <c r="AC7" i="13" s="1"/>
  <c r="AD7" i="13" s="1"/>
  <c r="AB261" i="13"/>
  <c r="AC261" i="13" s="1"/>
  <c r="AD261" i="13" s="1"/>
  <c r="AB194" i="13"/>
  <c r="AC194" i="13" s="1"/>
  <c r="AD194" i="13" s="1"/>
  <c r="AA24" i="13"/>
  <c r="U262" i="13"/>
  <c r="W262" i="13" s="1"/>
  <c r="X262" i="13" s="1"/>
  <c r="AA202" i="13"/>
  <c r="AB182" i="13"/>
  <c r="AC182" i="13" s="1"/>
  <c r="AD182" i="13" s="1"/>
  <c r="AB83" i="13"/>
  <c r="AC83" i="13" s="1"/>
  <c r="AD83" i="13" s="1"/>
  <c r="U73" i="13"/>
  <c r="W73" i="13" s="1"/>
  <c r="X73" i="13" s="1"/>
  <c r="AB71" i="13"/>
  <c r="AC71" i="13" s="1"/>
  <c r="AD71" i="13" s="1"/>
  <c r="AA25" i="13"/>
  <c r="AB232" i="13"/>
  <c r="AC232" i="13" s="1"/>
  <c r="AD232" i="13" s="1"/>
  <c r="U222" i="13"/>
  <c r="W222" i="13" s="1"/>
  <c r="X222" i="13" s="1"/>
  <c r="AB220" i="13"/>
  <c r="AC220" i="13" s="1"/>
  <c r="AD220" i="13" s="1"/>
  <c r="U219" i="13"/>
  <c r="W219" i="13" s="1"/>
  <c r="X219" i="13" s="1"/>
  <c r="AB217" i="13"/>
  <c r="AC217" i="13" s="1"/>
  <c r="AD217" i="13" s="1"/>
  <c r="U203" i="13"/>
  <c r="W203" i="13" s="1"/>
  <c r="X203" i="13" s="1"/>
  <c r="AB181" i="13"/>
  <c r="AC181" i="13" s="1"/>
  <c r="AD181" i="13" s="1"/>
  <c r="U99" i="13"/>
  <c r="W99" i="13" s="1"/>
  <c r="X99" i="13" s="1"/>
  <c r="U76" i="13"/>
  <c r="W76" i="13" s="1"/>
  <c r="X76" i="13" s="1"/>
  <c r="U43" i="13"/>
  <c r="W43" i="13" s="1"/>
  <c r="X43" i="13" s="1"/>
  <c r="AA43" i="13"/>
  <c r="AA229" i="13"/>
  <c r="V226" i="13"/>
  <c r="W226" i="13" s="1"/>
  <c r="X226" i="13" s="1"/>
  <c r="AA198" i="13"/>
  <c r="U192" i="13"/>
  <c r="W192" i="13" s="1"/>
  <c r="X192" i="13" s="1"/>
  <c r="AB190" i="13"/>
  <c r="AC190" i="13" s="1"/>
  <c r="AD190" i="13" s="1"/>
  <c r="AB32" i="13"/>
  <c r="AC32" i="13" s="1"/>
  <c r="AD32" i="13" s="1"/>
  <c r="U26" i="13"/>
  <c r="W26" i="13" s="1"/>
  <c r="X26" i="13" s="1"/>
  <c r="V25" i="13"/>
  <c r="AE25" i="13" s="1"/>
  <c r="V24" i="13"/>
  <c r="AE24" i="13" s="1"/>
  <c r="AA8" i="13"/>
  <c r="AB260" i="13"/>
  <c r="AC260" i="13" s="1"/>
  <c r="AD260" i="13" s="1"/>
  <c r="AE259" i="13"/>
  <c r="V246" i="13"/>
  <c r="W246" i="13" s="1"/>
  <c r="X246" i="13" s="1"/>
  <c r="AA242" i="13"/>
  <c r="V241" i="13"/>
  <c r="W241" i="13" s="1"/>
  <c r="X241" i="13" s="1"/>
  <c r="AA233" i="13"/>
  <c r="AA225" i="13"/>
  <c r="AA207" i="13"/>
  <c r="AA199" i="13"/>
  <c r="AB186" i="13"/>
  <c r="AC186" i="13" s="1"/>
  <c r="AD186" i="13" s="1"/>
  <c r="U106" i="13"/>
  <c r="W106" i="13" s="1"/>
  <c r="U105" i="13"/>
  <c r="W105" i="13" s="1"/>
  <c r="X105" i="13" s="1"/>
  <c r="U102" i="13"/>
  <c r="W102" i="13" s="1"/>
  <c r="X102" i="13" s="1"/>
  <c r="V92" i="13"/>
  <c r="W92" i="13" s="1"/>
  <c r="X92" i="13" s="1"/>
  <c r="AA87" i="13"/>
  <c r="AA79" i="13"/>
  <c r="AA72" i="13"/>
  <c r="V68" i="13"/>
  <c r="W68" i="13" s="1"/>
  <c r="X68" i="13" s="1"/>
  <c r="V55" i="13"/>
  <c r="W55" i="13" s="1"/>
  <c r="X55" i="13" s="1"/>
  <c r="U48" i="13"/>
  <c r="W48" i="13" s="1"/>
  <c r="X48" i="13" s="1"/>
  <c r="V42" i="13"/>
  <c r="AE52" i="13"/>
  <c r="AE102" i="13"/>
  <c r="AA51" i="13"/>
  <c r="AB11" i="13"/>
  <c r="AC11" i="13" s="1"/>
  <c r="AD11" i="13" s="1"/>
  <c r="U227" i="13"/>
  <c r="W227" i="13" s="1"/>
  <c r="X227" i="13" s="1"/>
  <c r="V221" i="13"/>
  <c r="W221" i="13" s="1"/>
  <c r="X221" i="13" s="1"/>
  <c r="V217" i="13"/>
  <c r="W217" i="13" s="1"/>
  <c r="X217" i="13" s="1"/>
  <c r="AA213" i="13"/>
  <c r="AB212" i="13"/>
  <c r="AC212" i="13" s="1"/>
  <c r="AD212" i="13" s="1"/>
  <c r="V207" i="13"/>
  <c r="AE207" i="13" s="1"/>
  <c r="V202" i="13"/>
  <c r="AE202" i="13" s="1"/>
  <c r="V198" i="13"/>
  <c r="AE198" i="13" s="1"/>
  <c r="V195" i="13"/>
  <c r="AA191" i="13"/>
  <c r="V187" i="13"/>
  <c r="AA183" i="13"/>
  <c r="U175" i="13"/>
  <c r="W175" i="13" s="1"/>
  <c r="X175" i="13" s="1"/>
  <c r="AE106" i="13"/>
  <c r="AB94" i="13"/>
  <c r="AC94" i="13" s="1"/>
  <c r="AD94" i="13" s="1"/>
  <c r="V80" i="13"/>
  <c r="AE80" i="13" s="1"/>
  <c r="V69" i="13"/>
  <c r="W69" i="13" s="1"/>
  <c r="X69" i="13" s="1"/>
  <c r="AB68" i="13"/>
  <c r="V65" i="13"/>
  <c r="AE65" i="13" s="1"/>
  <c r="AA37" i="13"/>
  <c r="AB18" i="13"/>
  <c r="AC18" i="13" s="1"/>
  <c r="AD18" i="13" s="1"/>
  <c r="AB14" i="13"/>
  <c r="AC14" i="13" s="1"/>
  <c r="AD14" i="13" s="1"/>
  <c r="V7" i="13"/>
  <c r="AB262" i="13"/>
  <c r="AC262" i="13" s="1"/>
  <c r="AD262" i="13" s="1"/>
  <c r="AB252" i="13"/>
  <c r="AC252" i="13" s="1"/>
  <c r="AD252" i="13" s="1"/>
  <c r="V251" i="13"/>
  <c r="W251" i="13" s="1"/>
  <c r="X251" i="13" s="1"/>
  <c r="AB244" i="13"/>
  <c r="AC244" i="13" s="1"/>
  <c r="AD244" i="13" s="1"/>
  <c r="AB221" i="13"/>
  <c r="AC221" i="13" s="1"/>
  <c r="AD221" i="13" s="1"/>
  <c r="U209" i="13"/>
  <c r="W209" i="13" s="1"/>
  <c r="X209" i="13" s="1"/>
  <c r="V186" i="13"/>
  <c r="AA106" i="13"/>
  <c r="AB91" i="13"/>
  <c r="AC91" i="13" s="1"/>
  <c r="AD91" i="13" s="1"/>
  <c r="AA90" i="13"/>
  <c r="AA41" i="13"/>
  <c r="V17" i="13"/>
  <c r="U17" i="13"/>
  <c r="AA257" i="13"/>
  <c r="AB257" i="13"/>
  <c r="AC257" i="13" s="1"/>
  <c r="AD257" i="13" s="1"/>
  <c r="AA253" i="13"/>
  <c r="AB253" i="13"/>
  <c r="AA248" i="13"/>
  <c r="AB248" i="13"/>
  <c r="AC248" i="13" s="1"/>
  <c r="AD248" i="13" s="1"/>
  <c r="AA241" i="13"/>
  <c r="AB241" i="13"/>
  <c r="AC237" i="13"/>
  <c r="AD237" i="13" s="1"/>
  <c r="AC229" i="13"/>
  <c r="AD229" i="13" s="1"/>
  <c r="AC206" i="13"/>
  <c r="AD206" i="13" s="1"/>
  <c r="AB204" i="13"/>
  <c r="AC204" i="13" s="1"/>
  <c r="AD204" i="13" s="1"/>
  <c r="AA204" i="13"/>
  <c r="U199" i="13"/>
  <c r="W199" i="13" s="1"/>
  <c r="V199" i="13"/>
  <c r="AE199" i="13" s="1"/>
  <c r="U95" i="13"/>
  <c r="V95" i="13"/>
  <c r="U28" i="13"/>
  <c r="V28" i="13"/>
  <c r="AE28" i="13" s="1"/>
  <c r="AA245" i="13"/>
  <c r="AB245" i="13"/>
  <c r="U179" i="13"/>
  <c r="V179" i="13"/>
  <c r="V90" i="13"/>
  <c r="AE90" i="13" s="1"/>
  <c r="U90" i="13"/>
  <c r="AB76" i="13"/>
  <c r="AA76" i="13"/>
  <c r="AB48" i="13"/>
  <c r="AA48" i="13"/>
  <c r="V44" i="13"/>
  <c r="U44" i="13"/>
  <c r="AA38" i="13"/>
  <c r="AB38" i="13"/>
  <c r="V35" i="13"/>
  <c r="AE35" i="13" s="1"/>
  <c r="V33" i="13"/>
  <c r="W33" i="13" s="1"/>
  <c r="X33" i="13" s="1"/>
  <c r="V30" i="13"/>
  <c r="AE30" i="13" s="1"/>
  <c r="AA28" i="13"/>
  <c r="AB19" i="13"/>
  <c r="U12" i="13"/>
  <c r="W12" i="13" s="1"/>
  <c r="X12" i="13" s="1"/>
  <c r="U259" i="13"/>
  <c r="W259" i="13" s="1"/>
  <c r="X259" i="13" s="1"/>
  <c r="U258" i="13"/>
  <c r="W258" i="13" s="1"/>
  <c r="X258" i="13" s="1"/>
  <c r="U254" i="13"/>
  <c r="V254" i="13"/>
  <c r="U253" i="13"/>
  <c r="V253" i="13"/>
  <c r="AA250" i="13"/>
  <c r="AA249" i="13"/>
  <c r="AB249" i="13"/>
  <c r="AC249" i="13" s="1"/>
  <c r="AD249" i="13" s="1"/>
  <c r="U242" i="13"/>
  <c r="W242" i="13" s="1"/>
  <c r="V235" i="13"/>
  <c r="U235" i="13"/>
  <c r="U230" i="13"/>
  <c r="W230" i="13" s="1"/>
  <c r="X230" i="13" s="1"/>
  <c r="AB226" i="13"/>
  <c r="AC226" i="13" s="1"/>
  <c r="AD226" i="13" s="1"/>
  <c r="AA226" i="13"/>
  <c r="AC213" i="13"/>
  <c r="AD213" i="13" s="1"/>
  <c r="V211" i="13"/>
  <c r="W211" i="13" s="1"/>
  <c r="X211" i="13" s="1"/>
  <c r="AA203" i="13"/>
  <c r="AB203" i="13"/>
  <c r="AC203" i="13" s="1"/>
  <c r="AD203" i="13" s="1"/>
  <c r="V194" i="13"/>
  <c r="AC191" i="13"/>
  <c r="AD191" i="13" s="1"/>
  <c r="U182" i="13"/>
  <c r="V182" i="13"/>
  <c r="AA177" i="13"/>
  <c r="AB177" i="13"/>
  <c r="AC177" i="13" s="1"/>
  <c r="AD177" i="13" s="1"/>
  <c r="AC99" i="13"/>
  <c r="AD99" i="13" s="1"/>
  <c r="AE99" i="13"/>
  <c r="V93" i="13"/>
  <c r="U93" i="13"/>
  <c r="AA82" i="13"/>
  <c r="AB82" i="13"/>
  <c r="AC82" i="13" s="1"/>
  <c r="AD82" i="13" s="1"/>
  <c r="V79" i="13"/>
  <c r="AE79" i="13" s="1"/>
  <c r="V74" i="13"/>
  <c r="U74" i="13"/>
  <c r="AA55" i="13"/>
  <c r="AB55" i="13"/>
  <c r="AC55" i="13" s="1"/>
  <c r="AD55" i="13" s="1"/>
  <c r="AC51" i="13"/>
  <c r="AD51" i="13" s="1"/>
  <c r="U250" i="13"/>
  <c r="V250" i="13"/>
  <c r="AE250" i="13" s="1"/>
  <c r="U225" i="13"/>
  <c r="V225" i="13"/>
  <c r="AE225" i="13" s="1"/>
  <c r="AA210" i="13"/>
  <c r="AB210" i="13"/>
  <c r="AC210" i="13" s="1"/>
  <c r="AD210" i="13" s="1"/>
  <c r="AB98" i="13"/>
  <c r="AC98" i="13" s="1"/>
  <c r="AD98" i="13" s="1"/>
  <c r="AA98" i="13"/>
  <c r="AC84" i="13"/>
  <c r="AD84" i="13" s="1"/>
  <c r="AA50" i="13"/>
  <c r="AB50" i="13"/>
  <c r="AC50" i="13" s="1"/>
  <c r="AD50" i="13" s="1"/>
  <c r="AB255" i="13"/>
  <c r="AC255" i="13" s="1"/>
  <c r="AD255" i="13" s="1"/>
  <c r="AA255" i="13"/>
  <c r="V252" i="13"/>
  <c r="U252" i="13"/>
  <c r="U238" i="13"/>
  <c r="V238" i="13"/>
  <c r="U237" i="13"/>
  <c r="W237" i="13" s="1"/>
  <c r="X237" i="13" s="1"/>
  <c r="V237" i="13"/>
  <c r="AE237" i="13" s="1"/>
  <c r="AA228" i="13"/>
  <c r="AB228" i="13"/>
  <c r="AC228" i="13" s="1"/>
  <c r="AD228" i="13" s="1"/>
  <c r="U218" i="13"/>
  <c r="V218" i="13"/>
  <c r="AE218" i="13" s="1"/>
  <c r="V176" i="13"/>
  <c r="U176" i="13"/>
  <c r="U96" i="13"/>
  <c r="V96" i="13"/>
  <c r="V37" i="13"/>
  <c r="W37" i="13" s="1"/>
  <c r="X37" i="13" s="1"/>
  <c r="AA34" i="13"/>
  <c r="U21" i="13"/>
  <c r="AB16" i="13"/>
  <c r="AA16" i="13"/>
  <c r="V11" i="13"/>
  <c r="W11" i="13" s="1"/>
  <c r="X11" i="13" s="1"/>
  <c r="U8" i="13"/>
  <c r="V8" i="13"/>
  <c r="AE8" i="13" s="1"/>
  <c r="V261" i="13"/>
  <c r="U260" i="13"/>
  <c r="W260" i="13" s="1"/>
  <c r="X260" i="13" s="1"/>
  <c r="AB251" i="13"/>
  <c r="AC251" i="13" s="1"/>
  <c r="AD251" i="13" s="1"/>
  <c r="AA251" i="13"/>
  <c r="AB240" i="13"/>
  <c r="AC240" i="13" s="1"/>
  <c r="AD240" i="13" s="1"/>
  <c r="AA237" i="13"/>
  <c r="V229" i="13"/>
  <c r="AE229" i="13" s="1"/>
  <c r="AA218" i="13"/>
  <c r="V214" i="13"/>
  <c r="U212" i="13"/>
  <c r="V212" i="13"/>
  <c r="AA206" i="13"/>
  <c r="U190" i="13"/>
  <c r="V190" i="13"/>
  <c r="V183" i="13"/>
  <c r="AE183" i="13" s="1"/>
  <c r="U183" i="13"/>
  <c r="AB178" i="13"/>
  <c r="AA178" i="13"/>
  <c r="V174" i="13"/>
  <c r="W174" i="13" s="1"/>
  <c r="X174" i="13" s="1"/>
  <c r="AA92" i="13"/>
  <c r="AB92" i="13"/>
  <c r="AC92" i="13" s="1"/>
  <c r="AD92" i="13" s="1"/>
  <c r="AA84" i="13"/>
  <c r="AA63" i="13"/>
  <c r="AB63" i="13"/>
  <c r="AC63" i="13" s="1"/>
  <c r="AD63" i="13" s="1"/>
  <c r="AA56" i="13"/>
  <c r="V15" i="13"/>
  <c r="W15" i="13" s="1"/>
  <c r="X15" i="13" s="1"/>
  <c r="AB10" i="13"/>
  <c r="AC10" i="13" s="1"/>
  <c r="AD10" i="13" s="1"/>
  <c r="U9" i="13"/>
  <c r="W9" i="13" s="1"/>
  <c r="X9" i="13" s="1"/>
  <c r="AA259" i="13"/>
  <c r="V257" i="13"/>
  <c r="W257" i="13" s="1"/>
  <c r="X257" i="13" s="1"/>
  <c r="V245" i="13"/>
  <c r="W245" i="13" s="1"/>
  <c r="X245" i="13" s="1"/>
  <c r="U243" i="13"/>
  <c r="W243" i="13" s="1"/>
  <c r="X243" i="13" s="1"/>
  <c r="AB236" i="13"/>
  <c r="AC236" i="13" s="1"/>
  <c r="AD236" i="13" s="1"/>
  <c r="V233" i="13"/>
  <c r="AE233" i="13" s="1"/>
  <c r="AB224" i="13"/>
  <c r="AC224" i="13" s="1"/>
  <c r="AD224" i="13" s="1"/>
  <c r="AB216" i="13"/>
  <c r="AC216" i="13" s="1"/>
  <c r="AD216" i="13" s="1"/>
  <c r="AA211" i="13"/>
  <c r="U206" i="13"/>
  <c r="V206" i="13"/>
  <c r="AE206" i="13" s="1"/>
  <c r="U204" i="13"/>
  <c r="W204" i="13" s="1"/>
  <c r="X204" i="13" s="1"/>
  <c r="U200" i="13"/>
  <c r="W200" i="13" s="1"/>
  <c r="X200" i="13" s="1"/>
  <c r="AA193" i="13"/>
  <c r="AB193" i="13"/>
  <c r="AC193" i="13" s="1"/>
  <c r="AD193" i="13" s="1"/>
  <c r="V191" i="13"/>
  <c r="AE191" i="13" s="1"/>
  <c r="AA189" i="13"/>
  <c r="AB189" i="13"/>
  <c r="AC189" i="13" s="1"/>
  <c r="AD189" i="13" s="1"/>
  <c r="U184" i="13"/>
  <c r="W184" i="13" s="1"/>
  <c r="X184" i="13" s="1"/>
  <c r="AC183" i="13"/>
  <c r="AD183" i="13" s="1"/>
  <c r="U178" i="13"/>
  <c r="V178" i="13"/>
  <c r="AA175" i="13"/>
  <c r="AB174" i="13"/>
  <c r="AC174" i="13" s="1"/>
  <c r="AD174" i="13" s="1"/>
  <c r="AB173" i="13"/>
  <c r="AC173" i="13" s="1"/>
  <c r="AD173" i="13" s="1"/>
  <c r="AA104" i="13"/>
  <c r="U88" i="13"/>
  <c r="W88" i="13" s="1"/>
  <c r="X88" i="13" s="1"/>
  <c r="U84" i="13"/>
  <c r="V84" i="13"/>
  <c r="AE84" i="13" s="1"/>
  <c r="V83" i="13"/>
  <c r="W83" i="13" s="1"/>
  <c r="X83" i="13" s="1"/>
  <c r="V77" i="13"/>
  <c r="U77" i="13"/>
  <c r="U72" i="13"/>
  <c r="V72" i="13"/>
  <c r="AE72" i="13" s="1"/>
  <c r="V64" i="13"/>
  <c r="AE64" i="13" s="1"/>
  <c r="U56" i="13"/>
  <c r="V56" i="13"/>
  <c r="AE56" i="13" s="1"/>
  <c r="U52" i="13"/>
  <c r="W52" i="13" s="1"/>
  <c r="U51" i="13"/>
  <c r="V51" i="13"/>
  <c r="AE51" i="13" s="1"/>
  <c r="AA45" i="13"/>
  <c r="AB45" i="13"/>
  <c r="AC45" i="13" s="1"/>
  <c r="AD45" i="13" s="1"/>
  <c r="AA42" i="13"/>
  <c r="AB42" i="13"/>
  <c r="AC42" i="13" s="1"/>
  <c r="AD42" i="13" s="1"/>
  <c r="U213" i="13"/>
  <c r="V213" i="13"/>
  <c r="AE213" i="13" s="1"/>
  <c r="AC211" i="13"/>
  <c r="AD211" i="13" s="1"/>
  <c r="AA201" i="13"/>
  <c r="AB201" i="13"/>
  <c r="AC201" i="13" s="1"/>
  <c r="AD201" i="13" s="1"/>
  <c r="AC175" i="13"/>
  <c r="AD175" i="13" s="1"/>
  <c r="AE175" i="13"/>
  <c r="AA95" i="13"/>
  <c r="AB95" i="13"/>
  <c r="AA86" i="13"/>
  <c r="AB86" i="13"/>
  <c r="AC86" i="13" s="1"/>
  <c r="AD86" i="13" s="1"/>
  <c r="U75" i="13"/>
  <c r="AB73" i="13"/>
  <c r="AA73" i="13"/>
  <c r="AC64" i="13"/>
  <c r="AA54" i="13"/>
  <c r="AB54" i="13"/>
  <c r="AC54" i="13" s="1"/>
  <c r="AD54" i="13" s="1"/>
  <c r="V49" i="13"/>
  <c r="U49" i="13"/>
  <c r="U39" i="13"/>
  <c r="V39" i="13"/>
  <c r="W42" i="13"/>
  <c r="X42" i="13" s="1"/>
  <c r="V38" i="13"/>
  <c r="W38" i="13" s="1"/>
  <c r="X38" i="13" s="1"/>
  <c r="AB214" i="13"/>
  <c r="AA214" i="13"/>
  <c r="AB263" i="13"/>
  <c r="AA263" i="13"/>
  <c r="AA256" i="13"/>
  <c r="AB256" i="13"/>
  <c r="AB238" i="13"/>
  <c r="AA238" i="13"/>
  <c r="AC233" i="13"/>
  <c r="AD233" i="13" s="1"/>
  <c r="V231" i="13"/>
  <c r="U231" i="13"/>
  <c r="U263" i="13"/>
  <c r="W263" i="13" s="1"/>
  <c r="X263" i="13" s="1"/>
  <c r="V263" i="13"/>
  <c r="V256" i="13"/>
  <c r="U256" i="13"/>
  <c r="AB254" i="13"/>
  <c r="AA254" i="13"/>
  <c r="AC250" i="13"/>
  <c r="AD250" i="13" s="1"/>
  <c r="AB230" i="13"/>
  <c r="AA230" i="13"/>
  <c r="AC225" i="13"/>
  <c r="AD225" i="13" s="1"/>
  <c r="V223" i="13"/>
  <c r="U223" i="13"/>
  <c r="AB246" i="13"/>
  <c r="AA246" i="13"/>
  <c r="V239" i="13"/>
  <c r="U239" i="13"/>
  <c r="U249" i="13"/>
  <c r="V249" i="13"/>
  <c r="V247" i="13"/>
  <c r="U247" i="13"/>
  <c r="AB222" i="13"/>
  <c r="AA222" i="13"/>
  <c r="V215" i="13"/>
  <c r="U215" i="13"/>
  <c r="U189" i="13"/>
  <c r="W189" i="13" s="1"/>
  <c r="X189" i="13" s="1"/>
  <c r="V189" i="13"/>
  <c r="V94" i="13"/>
  <c r="U94" i="13"/>
  <c r="AA247" i="13"/>
  <c r="AB247" i="13"/>
  <c r="AA239" i="13"/>
  <c r="AB239" i="13"/>
  <c r="AA231" i="13"/>
  <c r="AB231" i="13"/>
  <c r="U224" i="13"/>
  <c r="V224" i="13"/>
  <c r="AA215" i="13"/>
  <c r="AB215" i="13"/>
  <c r="U210" i="13"/>
  <c r="V210" i="13"/>
  <c r="AA105" i="13"/>
  <c r="AB105" i="13"/>
  <c r="V70" i="13"/>
  <c r="U70" i="13"/>
  <c r="AE258" i="13"/>
  <c r="U244" i="13"/>
  <c r="V244" i="13"/>
  <c r="AA243" i="13"/>
  <c r="AB243" i="13"/>
  <c r="AE242" i="13"/>
  <c r="U236" i="13"/>
  <c r="W236" i="13" s="1"/>
  <c r="X236" i="13" s="1"/>
  <c r="V236" i="13"/>
  <c r="AA235" i="13"/>
  <c r="AB235" i="13"/>
  <c r="U228" i="13"/>
  <c r="V228" i="13"/>
  <c r="AA227" i="13"/>
  <c r="AB227" i="13"/>
  <c r="U220" i="13"/>
  <c r="V220" i="13"/>
  <c r="AA219" i="13"/>
  <c r="AB219" i="13"/>
  <c r="AB208" i="13"/>
  <c r="AA208" i="13"/>
  <c r="AC207" i="13"/>
  <c r="AD207" i="13" s="1"/>
  <c r="U197" i="13"/>
  <c r="V197" i="13"/>
  <c r="V188" i="13"/>
  <c r="U188" i="13"/>
  <c r="AA180" i="13"/>
  <c r="AB180" i="13"/>
  <c r="AB103" i="13"/>
  <c r="V97" i="13"/>
  <c r="U97" i="13"/>
  <c r="V40" i="13"/>
  <c r="U40" i="13"/>
  <c r="AB195" i="13"/>
  <c r="AA195" i="13"/>
  <c r="V180" i="13"/>
  <c r="U180" i="13"/>
  <c r="W180" i="13" s="1"/>
  <c r="X180" i="13" s="1"/>
  <c r="V91" i="13"/>
  <c r="U91" i="13"/>
  <c r="U248" i="13"/>
  <c r="V248" i="13"/>
  <c r="U240" i="13"/>
  <c r="V240" i="13"/>
  <c r="U232" i="13"/>
  <c r="V232" i="13"/>
  <c r="AA223" i="13"/>
  <c r="AB223" i="13"/>
  <c r="U216" i="13"/>
  <c r="V216" i="13"/>
  <c r="U208" i="13"/>
  <c r="V208" i="13"/>
  <c r="AA196" i="13"/>
  <c r="AB196" i="13"/>
  <c r="AB187" i="13"/>
  <c r="AA187" i="13"/>
  <c r="U181" i="13"/>
  <c r="V181" i="13"/>
  <c r="V98" i="13"/>
  <c r="U98" i="13"/>
  <c r="U78" i="13"/>
  <c r="V78" i="13"/>
  <c r="AC198" i="13"/>
  <c r="AD198" i="13" s="1"/>
  <c r="V196" i="13"/>
  <c r="U196" i="13"/>
  <c r="AA188" i="13"/>
  <c r="AB188" i="13"/>
  <c r="AB179" i="13"/>
  <c r="AA179" i="13"/>
  <c r="U173" i="13"/>
  <c r="V173" i="13"/>
  <c r="AC104" i="13"/>
  <c r="AD104" i="13" s="1"/>
  <c r="AA85" i="13"/>
  <c r="AC72" i="13"/>
  <c r="AD72" i="13" s="1"/>
  <c r="AB205" i="13"/>
  <c r="U205" i="13"/>
  <c r="W205" i="13" s="1"/>
  <c r="X205" i="13" s="1"/>
  <c r="U103" i="13"/>
  <c r="W103" i="13" s="1"/>
  <c r="X103" i="13" s="1"/>
  <c r="AB96" i="13"/>
  <c r="AA96" i="13"/>
  <c r="AB93" i="13"/>
  <c r="AA93" i="13"/>
  <c r="AB88" i="13"/>
  <c r="AA88" i="13"/>
  <c r="U81" i="13"/>
  <c r="W81" i="13" s="1"/>
  <c r="X81" i="13" s="1"/>
  <c r="U201" i="13"/>
  <c r="V201" i="13"/>
  <c r="AA200" i="13"/>
  <c r="AB200" i="13"/>
  <c r="U193" i="13"/>
  <c r="V193" i="13"/>
  <c r="AA192" i="13"/>
  <c r="AB192" i="13"/>
  <c r="U185" i="13"/>
  <c r="V185" i="13"/>
  <c r="AA184" i="13"/>
  <c r="AB184" i="13"/>
  <c r="U177" i="13"/>
  <c r="V177" i="13"/>
  <c r="AA176" i="13"/>
  <c r="AB176" i="13"/>
  <c r="AB97" i="13"/>
  <c r="AA97" i="13"/>
  <c r="AA53" i="13"/>
  <c r="AB53" i="13"/>
  <c r="V104" i="13"/>
  <c r="W104" i="13" s="1"/>
  <c r="X104" i="13" s="1"/>
  <c r="AA102" i="13"/>
  <c r="U87" i="13"/>
  <c r="V87" i="13"/>
  <c r="AE87" i="13" s="1"/>
  <c r="U86" i="13"/>
  <c r="V86" i="13"/>
  <c r="AA80" i="13"/>
  <c r="U71" i="13"/>
  <c r="V71" i="13"/>
  <c r="AC80" i="13"/>
  <c r="AD80" i="13" s="1"/>
  <c r="AA77" i="13"/>
  <c r="AB77" i="13"/>
  <c r="AA66" i="13"/>
  <c r="AB66" i="13"/>
  <c r="V62" i="13"/>
  <c r="U62" i="13"/>
  <c r="AA40" i="13"/>
  <c r="AB40" i="13"/>
  <c r="AA70" i="13"/>
  <c r="AB70" i="13"/>
  <c r="U67" i="13"/>
  <c r="V67" i="13"/>
  <c r="AE67" i="13" s="1"/>
  <c r="U54" i="13"/>
  <c r="V54" i="13"/>
  <c r="AC43" i="13"/>
  <c r="AD43" i="13" s="1"/>
  <c r="AE43" i="13"/>
  <c r="AB39" i="13"/>
  <c r="AA39" i="13"/>
  <c r="U82" i="13"/>
  <c r="V82" i="13"/>
  <c r="AA81" i="13"/>
  <c r="AB81" i="13"/>
  <c r="AB69" i="13"/>
  <c r="AA69" i="13"/>
  <c r="AC56" i="13"/>
  <c r="AD56" i="13" s="1"/>
  <c r="AC41" i="13"/>
  <c r="AD41" i="13" s="1"/>
  <c r="U41" i="13"/>
  <c r="V41" i="13"/>
  <c r="AE41" i="13" s="1"/>
  <c r="U66" i="13"/>
  <c r="W66" i="13" s="1"/>
  <c r="X66" i="13" s="1"/>
  <c r="AA65" i="13"/>
  <c r="U63" i="13"/>
  <c r="V63" i="13"/>
  <c r="AA62" i="13"/>
  <c r="AB62" i="13"/>
  <c r="U53" i="13"/>
  <c r="W53" i="13" s="1"/>
  <c r="X53" i="13" s="1"/>
  <c r="AA52" i="13"/>
  <c r="U45" i="13"/>
  <c r="V45" i="13"/>
  <c r="AA44" i="13"/>
  <c r="AB44" i="13"/>
  <c r="AA74" i="13"/>
  <c r="AB74" i="13"/>
  <c r="U50" i="13"/>
  <c r="V50" i="13"/>
  <c r="AA49" i="13"/>
  <c r="AB49" i="13"/>
  <c r="AA9" i="13"/>
  <c r="AB9" i="13"/>
  <c r="U32" i="13"/>
  <c r="W32" i="13" s="1"/>
  <c r="X32" i="13" s="1"/>
  <c r="V32" i="13"/>
  <c r="AA31" i="13"/>
  <c r="AB31" i="13"/>
  <c r="AA22" i="13"/>
  <c r="AB22" i="13"/>
  <c r="AA13" i="13"/>
  <c r="AB13" i="13"/>
  <c r="W30" i="13"/>
  <c r="X30" i="13" s="1"/>
  <c r="U10" i="13"/>
  <c r="V10" i="13"/>
  <c r="U23" i="13"/>
  <c r="V23" i="13"/>
  <c r="U14" i="13"/>
  <c r="V14" i="13"/>
  <c r="AE12" i="13"/>
  <c r="AB36" i="13"/>
  <c r="U36" i="13"/>
  <c r="W36" i="13" s="1"/>
  <c r="X36" i="13" s="1"/>
  <c r="U31" i="13"/>
  <c r="W31" i="13" s="1"/>
  <c r="X31" i="13" s="1"/>
  <c r="AA30" i="13"/>
  <c r="U27" i="13"/>
  <c r="AA26" i="13"/>
  <c r="AB26" i="13"/>
  <c r="U22" i="13"/>
  <c r="W22" i="13" s="1"/>
  <c r="X22" i="13" s="1"/>
  <c r="AA21" i="13"/>
  <c r="U18" i="13"/>
  <c r="V18" i="13"/>
  <c r="AA17" i="13"/>
  <c r="AB17" i="13"/>
  <c r="U13" i="13"/>
  <c r="W13" i="13" s="1"/>
  <c r="X13" i="13" s="1"/>
  <c r="AA12" i="13"/>
  <c r="E94" i="13"/>
  <c r="D94" i="13"/>
  <c r="C94" i="13"/>
  <c r="B94" i="13"/>
  <c r="K94" i="13"/>
  <c r="K103" i="13"/>
  <c r="AF52" i="13" l="1"/>
  <c r="X52" i="13"/>
  <c r="AF199" i="13"/>
  <c r="X199" i="13"/>
  <c r="AF242" i="13"/>
  <c r="X242" i="13"/>
  <c r="AF64" i="13"/>
  <c r="AD64" i="13"/>
  <c r="AF106" i="13"/>
  <c r="X106" i="13"/>
  <c r="W34" i="13"/>
  <c r="W8" i="13"/>
  <c r="W78" i="13"/>
  <c r="X78" i="13" s="1"/>
  <c r="W67" i="13"/>
  <c r="X67" i="13" s="1"/>
  <c r="W79" i="13"/>
  <c r="W24" i="13"/>
  <c r="AE244" i="13"/>
  <c r="W80" i="13"/>
  <c r="W40" i="13"/>
  <c r="X40" i="13" s="1"/>
  <c r="AE248" i="13"/>
  <c r="AE45" i="13"/>
  <c r="AF33" i="13"/>
  <c r="AE185" i="13"/>
  <c r="W198" i="13"/>
  <c r="AE228" i="13"/>
  <c r="W233" i="13"/>
  <c r="W65" i="13"/>
  <c r="AE83" i="13"/>
  <c r="AE189" i="13"/>
  <c r="AE190" i="13"/>
  <c r="W207" i="13"/>
  <c r="AC209" i="13"/>
  <c r="W35" i="13"/>
  <c r="AE232" i="13"/>
  <c r="AE7" i="13"/>
  <c r="AE50" i="13"/>
  <c r="AE23" i="13"/>
  <c r="W49" i="13"/>
  <c r="X49" i="13" s="1"/>
  <c r="W252" i="13"/>
  <c r="AE98" i="13"/>
  <c r="W193" i="13"/>
  <c r="W216" i="13"/>
  <c r="W231" i="13"/>
  <c r="X231" i="13" s="1"/>
  <c r="W238" i="13"/>
  <c r="X238" i="13" s="1"/>
  <c r="W74" i="13"/>
  <c r="X74" i="13" s="1"/>
  <c r="W183" i="13"/>
  <c r="AE212" i="13"/>
  <c r="AE182" i="13"/>
  <c r="AE18" i="13"/>
  <c r="W97" i="13"/>
  <c r="X97" i="13" s="1"/>
  <c r="W39" i="13"/>
  <c r="X39" i="13" s="1"/>
  <c r="W84" i="13"/>
  <c r="W190" i="13"/>
  <c r="W176" i="13"/>
  <c r="X176" i="13" s="1"/>
  <c r="W90" i="13"/>
  <c r="W17" i="13"/>
  <c r="X17" i="13" s="1"/>
  <c r="AF221" i="13"/>
  <c r="AF226" i="13"/>
  <c r="AE197" i="13"/>
  <c r="W206" i="13"/>
  <c r="W225" i="13"/>
  <c r="W253" i="13"/>
  <c r="X253" i="13" s="1"/>
  <c r="W202" i="13"/>
  <c r="W25" i="13"/>
  <c r="AE33" i="13"/>
  <c r="AE224" i="13"/>
  <c r="W212" i="13"/>
  <c r="W96" i="13"/>
  <c r="X96" i="13" s="1"/>
  <c r="W229" i="13"/>
  <c r="W235" i="13"/>
  <c r="X235" i="13" s="1"/>
  <c r="W7" i="13"/>
  <c r="AE211" i="13"/>
  <c r="AE54" i="13"/>
  <c r="AE201" i="13"/>
  <c r="AE241" i="13"/>
  <c r="AE217" i="13"/>
  <c r="AE220" i="13"/>
  <c r="AE221" i="13"/>
  <c r="AE181" i="13"/>
  <c r="AE78" i="13"/>
  <c r="AE203" i="13"/>
  <c r="AF32" i="13"/>
  <c r="AF175" i="13"/>
  <c r="AE252" i="13"/>
  <c r="AE63" i="13"/>
  <c r="AE71" i="13"/>
  <c r="AE262" i="13"/>
  <c r="AE261" i="13"/>
  <c r="AE194" i="13"/>
  <c r="AE226" i="13"/>
  <c r="AE193" i="13"/>
  <c r="AE174" i="13"/>
  <c r="AE10" i="13"/>
  <c r="AE177" i="13"/>
  <c r="AE240" i="13"/>
  <c r="AE210" i="13"/>
  <c r="AE14" i="13"/>
  <c r="AE173" i="13"/>
  <c r="AE94" i="13"/>
  <c r="AE186" i="13"/>
  <c r="AE86" i="13"/>
  <c r="AE91" i="13"/>
  <c r="AC241" i="13"/>
  <c r="AE260" i="13"/>
  <c r="AF42" i="13"/>
  <c r="AE37" i="13"/>
  <c r="AE32" i="13"/>
  <c r="AE55" i="13"/>
  <c r="AE92" i="13"/>
  <c r="AE251" i="13"/>
  <c r="AE11" i="13"/>
  <c r="AC68" i="13"/>
  <c r="AE68" i="13"/>
  <c r="AF99" i="13"/>
  <c r="W179" i="13"/>
  <c r="X179" i="13" s="1"/>
  <c r="AF204" i="13"/>
  <c r="AF15" i="13"/>
  <c r="AF37" i="13"/>
  <c r="AF12" i="13"/>
  <c r="AE249" i="13"/>
  <c r="AE257" i="13"/>
  <c r="AC95" i="13"/>
  <c r="AD95" i="13" s="1"/>
  <c r="AE95" i="13"/>
  <c r="W191" i="13"/>
  <c r="AF211" i="13"/>
  <c r="AC178" i="13"/>
  <c r="AD178" i="13" s="1"/>
  <c r="AE178" i="13"/>
  <c r="W218" i="13"/>
  <c r="X218" i="13" s="1"/>
  <c r="AF11" i="13"/>
  <c r="AC38" i="13"/>
  <c r="AD38" i="13" s="1"/>
  <c r="AE38" i="13"/>
  <c r="AC76" i="13"/>
  <c r="AD76" i="13" s="1"/>
  <c r="AE76" i="13"/>
  <c r="W95" i="13"/>
  <c r="X95" i="13" s="1"/>
  <c r="AE253" i="13"/>
  <c r="AC253" i="13"/>
  <c r="AD253" i="13" s="1"/>
  <c r="AE15" i="13"/>
  <c r="W18" i="13"/>
  <c r="W10" i="13"/>
  <c r="X10" i="13" s="1"/>
  <c r="AE42" i="13"/>
  <c r="W63" i="13"/>
  <c r="W41" i="13"/>
  <c r="X41" i="13" s="1"/>
  <c r="AE82" i="13"/>
  <c r="AE104" i="13"/>
  <c r="W196" i="13"/>
  <c r="X196" i="13" s="1"/>
  <c r="W188" i="13"/>
  <c r="X188" i="13" s="1"/>
  <c r="AE216" i="13"/>
  <c r="W51" i="13"/>
  <c r="X51" i="13" s="1"/>
  <c r="W72" i="13"/>
  <c r="X72" i="13" s="1"/>
  <c r="W178" i="13"/>
  <c r="X178" i="13" s="1"/>
  <c r="W194" i="13"/>
  <c r="W250" i="13"/>
  <c r="AF55" i="13"/>
  <c r="W182" i="13"/>
  <c r="W254" i="13"/>
  <c r="X254" i="13" s="1"/>
  <c r="AC19" i="13"/>
  <c r="AD19" i="13" s="1"/>
  <c r="AE19" i="13"/>
  <c r="AC48" i="13"/>
  <c r="AD48" i="13" s="1"/>
  <c r="AE48" i="13"/>
  <c r="AF260" i="13"/>
  <c r="W28" i="13"/>
  <c r="X28" i="13" s="1"/>
  <c r="AC245" i="13"/>
  <c r="AD245" i="13" s="1"/>
  <c r="AE245" i="13"/>
  <c r="W14" i="13"/>
  <c r="W87" i="13"/>
  <c r="W56" i="13"/>
  <c r="X56" i="13" s="1"/>
  <c r="AC16" i="13"/>
  <c r="AD16" i="13" s="1"/>
  <c r="AE16" i="13"/>
  <c r="W62" i="13"/>
  <c r="X62" i="13" s="1"/>
  <c r="W91" i="13"/>
  <c r="AF189" i="13"/>
  <c r="AF102" i="13"/>
  <c r="AE204" i="13"/>
  <c r="AE236" i="13"/>
  <c r="W239" i="13"/>
  <c r="X239" i="13" s="1"/>
  <c r="W223" i="13"/>
  <c r="X223" i="13" s="1"/>
  <c r="AF258" i="13"/>
  <c r="AC73" i="13"/>
  <c r="AD73" i="13" s="1"/>
  <c r="AE73" i="13"/>
  <c r="W213" i="13"/>
  <c r="W77" i="13"/>
  <c r="X77" i="13" s="1"/>
  <c r="AF186" i="13"/>
  <c r="W261" i="13"/>
  <c r="X261" i="13" s="1"/>
  <c r="W93" i="13"/>
  <c r="X93" i="13" s="1"/>
  <c r="AE255" i="13"/>
  <c r="W44" i="13"/>
  <c r="X44" i="13" s="1"/>
  <c r="AF237" i="13"/>
  <c r="AE44" i="13"/>
  <c r="AC44" i="13"/>
  <c r="AD44" i="13" s="1"/>
  <c r="AF92" i="13"/>
  <c r="AE93" i="13"/>
  <c r="AC93" i="13"/>
  <c r="AD93" i="13" s="1"/>
  <c r="AE188" i="13"/>
  <c r="AC188" i="13"/>
  <c r="AD188" i="13" s="1"/>
  <c r="AF174" i="13"/>
  <c r="AE243" i="13"/>
  <c r="AC243" i="13"/>
  <c r="AD243" i="13" s="1"/>
  <c r="AC230" i="13"/>
  <c r="AD230" i="13" s="1"/>
  <c r="AE230" i="13"/>
  <c r="AC263" i="13"/>
  <c r="AD263" i="13" s="1"/>
  <c r="AE263" i="13"/>
  <c r="AF83" i="13"/>
  <c r="W201" i="13"/>
  <c r="X201" i="13" s="1"/>
  <c r="W248" i="13"/>
  <c r="X248" i="13" s="1"/>
  <c r="AC208" i="13"/>
  <c r="AD208" i="13" s="1"/>
  <c r="AE208" i="13"/>
  <c r="W50" i="13"/>
  <c r="X50" i="13" s="1"/>
  <c r="AC69" i="13"/>
  <c r="AD69" i="13" s="1"/>
  <c r="AE69" i="13"/>
  <c r="AE49" i="13"/>
  <c r="AC49" i="13"/>
  <c r="AD49" i="13" s="1"/>
  <c r="AC74" i="13"/>
  <c r="AD74" i="13" s="1"/>
  <c r="AE74" i="13"/>
  <c r="W45" i="13"/>
  <c r="X45" i="13" s="1"/>
  <c r="W82" i="13"/>
  <c r="X82" i="13" s="1"/>
  <c r="AC39" i="13"/>
  <c r="AD39" i="13" s="1"/>
  <c r="AE39" i="13"/>
  <c r="AE70" i="13"/>
  <c r="AC70" i="13"/>
  <c r="AD70" i="13" s="1"/>
  <c r="W71" i="13"/>
  <c r="X71" i="13" s="1"/>
  <c r="AE97" i="13"/>
  <c r="AC97" i="13"/>
  <c r="AD97" i="13" s="1"/>
  <c r="AE176" i="13"/>
  <c r="AC176" i="13"/>
  <c r="AD176" i="13" s="1"/>
  <c r="W185" i="13"/>
  <c r="X185" i="13" s="1"/>
  <c r="AC96" i="13"/>
  <c r="AD96" i="13" s="1"/>
  <c r="AE96" i="13"/>
  <c r="AE205" i="13"/>
  <c r="AC205" i="13"/>
  <c r="AD205" i="13" s="1"/>
  <c r="AF104" i="13"/>
  <c r="W98" i="13"/>
  <c r="X98" i="13" s="1"/>
  <c r="AE196" i="13"/>
  <c r="AC196" i="13"/>
  <c r="AD196" i="13" s="1"/>
  <c r="W240" i="13"/>
  <c r="X240" i="13" s="1"/>
  <c r="AE180" i="13"/>
  <c r="AC180" i="13"/>
  <c r="AD180" i="13" s="1"/>
  <c r="W197" i="13"/>
  <c r="X197" i="13" s="1"/>
  <c r="W228" i="13"/>
  <c r="X228" i="13" s="1"/>
  <c r="W244" i="13"/>
  <c r="X244" i="13" s="1"/>
  <c r="W70" i="13"/>
  <c r="X70" i="13" s="1"/>
  <c r="AE215" i="13"/>
  <c r="AC215" i="13"/>
  <c r="AD215" i="13" s="1"/>
  <c r="W224" i="13"/>
  <c r="X224" i="13" s="1"/>
  <c r="AE239" i="13"/>
  <c r="AC239" i="13"/>
  <c r="AD239" i="13" s="1"/>
  <c r="W94" i="13"/>
  <c r="W215" i="13"/>
  <c r="X215" i="13" s="1"/>
  <c r="W247" i="13"/>
  <c r="X247" i="13" s="1"/>
  <c r="AF255" i="13"/>
  <c r="W256" i="13"/>
  <c r="X256" i="13" s="1"/>
  <c r="AC214" i="13"/>
  <c r="AD214" i="13" s="1"/>
  <c r="AE214" i="13"/>
  <c r="AE81" i="13"/>
  <c r="AC81" i="13"/>
  <c r="AD81" i="13" s="1"/>
  <c r="AE40" i="13"/>
  <c r="AC40" i="13"/>
  <c r="AD40" i="13" s="1"/>
  <c r="AE66" i="13"/>
  <c r="AC66" i="13"/>
  <c r="AD66" i="13" s="1"/>
  <c r="AE77" i="13"/>
  <c r="AC77" i="13"/>
  <c r="AD77" i="13" s="1"/>
  <c r="AE184" i="13"/>
  <c r="AC184" i="13"/>
  <c r="AD184" i="13" s="1"/>
  <c r="AC88" i="13"/>
  <c r="AD88" i="13" s="1"/>
  <c r="AE88" i="13"/>
  <c r="AE227" i="13"/>
  <c r="AC227" i="13"/>
  <c r="AD227" i="13" s="1"/>
  <c r="AE231" i="13"/>
  <c r="AC231" i="13"/>
  <c r="AD231" i="13" s="1"/>
  <c r="AC222" i="13"/>
  <c r="AD222" i="13" s="1"/>
  <c r="AE222" i="13"/>
  <c r="AE62" i="13"/>
  <c r="AC62" i="13"/>
  <c r="AD62" i="13" s="1"/>
  <c r="AF43" i="13"/>
  <c r="AE192" i="13"/>
  <c r="AC192" i="13"/>
  <c r="AD192" i="13" s="1"/>
  <c r="AE223" i="13"/>
  <c r="AC223" i="13"/>
  <c r="AD223" i="13" s="1"/>
  <c r="W232" i="13"/>
  <c r="X232" i="13" s="1"/>
  <c r="AC195" i="13"/>
  <c r="AD195" i="13" s="1"/>
  <c r="AE195" i="13"/>
  <c r="AE103" i="13"/>
  <c r="AC103" i="13"/>
  <c r="AD103" i="13" s="1"/>
  <c r="W220" i="13"/>
  <c r="X220" i="13" s="1"/>
  <c r="AF236" i="13"/>
  <c r="AC246" i="13"/>
  <c r="AD246" i="13" s="1"/>
  <c r="AE246" i="13"/>
  <c r="AF259" i="13"/>
  <c r="AE256" i="13"/>
  <c r="AC256" i="13"/>
  <c r="AD256" i="13" s="1"/>
  <c r="W54" i="13"/>
  <c r="X54" i="13" s="1"/>
  <c r="W86" i="13"/>
  <c r="AE53" i="13"/>
  <c r="AC53" i="13"/>
  <c r="AD53" i="13" s="1"/>
  <c r="W177" i="13"/>
  <c r="X177" i="13" s="1"/>
  <c r="AE200" i="13"/>
  <c r="AC200" i="13"/>
  <c r="AD200" i="13" s="1"/>
  <c r="W173" i="13"/>
  <c r="X173" i="13" s="1"/>
  <c r="AC179" i="13"/>
  <c r="AD179" i="13" s="1"/>
  <c r="AE179" i="13"/>
  <c r="W181" i="13"/>
  <c r="X181" i="13" s="1"/>
  <c r="AC187" i="13"/>
  <c r="AD187" i="13" s="1"/>
  <c r="AE187" i="13"/>
  <c r="AF203" i="13"/>
  <c r="W208" i="13"/>
  <c r="X208" i="13" s="1"/>
  <c r="AF251" i="13"/>
  <c r="AE219" i="13"/>
  <c r="AC219" i="13"/>
  <c r="AD219" i="13" s="1"/>
  <c r="AE235" i="13"/>
  <c r="AC235" i="13"/>
  <c r="AD235" i="13" s="1"/>
  <c r="AC105" i="13"/>
  <c r="AD105" i="13" s="1"/>
  <c r="AE105" i="13"/>
  <c r="W210" i="13"/>
  <c r="X210" i="13" s="1"/>
  <c r="AE247" i="13"/>
  <c r="AC247" i="13"/>
  <c r="AD247" i="13" s="1"/>
  <c r="AF217" i="13"/>
  <c r="W249" i="13"/>
  <c r="X249" i="13" s="1"/>
  <c r="AF262" i="13"/>
  <c r="AC254" i="13"/>
  <c r="AD254" i="13" s="1"/>
  <c r="AE254" i="13"/>
  <c r="AF257" i="13"/>
  <c r="AC238" i="13"/>
  <c r="AD238" i="13" s="1"/>
  <c r="AE238" i="13"/>
  <c r="AE36" i="13"/>
  <c r="AC36" i="13"/>
  <c r="AD36" i="13" s="1"/>
  <c r="AE26" i="13"/>
  <c r="AC26" i="13"/>
  <c r="AD26" i="13" s="1"/>
  <c r="W23" i="13"/>
  <c r="X23" i="13" s="1"/>
  <c r="AE13" i="13"/>
  <c r="AC13" i="13"/>
  <c r="AD13" i="13" s="1"/>
  <c r="AE22" i="13"/>
  <c r="AC22" i="13"/>
  <c r="AD22" i="13" s="1"/>
  <c r="AE31" i="13"/>
  <c r="AC31" i="13"/>
  <c r="AD31" i="13" s="1"/>
  <c r="AF30" i="13"/>
  <c r="AE17" i="13"/>
  <c r="AC17" i="13"/>
  <c r="AD17" i="13" s="1"/>
  <c r="AE9" i="13"/>
  <c r="AC9" i="13"/>
  <c r="AD9" i="13" s="1"/>
  <c r="K30" i="13"/>
  <c r="E30" i="13"/>
  <c r="D30" i="13"/>
  <c r="C30" i="13"/>
  <c r="B30" i="13"/>
  <c r="K28" i="13"/>
  <c r="E28" i="13"/>
  <c r="D28" i="13"/>
  <c r="C28" i="13"/>
  <c r="B28" i="13"/>
  <c r="K95" i="13"/>
  <c r="E95" i="13"/>
  <c r="D95" i="13"/>
  <c r="C95" i="13"/>
  <c r="B95" i="13"/>
  <c r="K82" i="13"/>
  <c r="E82" i="13"/>
  <c r="D82" i="13"/>
  <c r="C82" i="13"/>
  <c r="B82" i="13"/>
  <c r="AF78" i="13" l="1"/>
  <c r="AF67" i="13"/>
  <c r="AF18" i="13"/>
  <c r="X18" i="13"/>
  <c r="AF206" i="13"/>
  <c r="X206" i="13"/>
  <c r="AF216" i="13"/>
  <c r="X216" i="13"/>
  <c r="AF198" i="13"/>
  <c r="X198" i="13"/>
  <c r="AF80" i="13"/>
  <c r="X80" i="13"/>
  <c r="AF8" i="13"/>
  <c r="X8" i="13"/>
  <c r="AF86" i="13"/>
  <c r="X86" i="13"/>
  <c r="AF7" i="13"/>
  <c r="X7" i="13"/>
  <c r="AF190" i="13"/>
  <c r="X190" i="13"/>
  <c r="AF193" i="13"/>
  <c r="X193" i="13"/>
  <c r="AF34" i="13"/>
  <c r="X34" i="13"/>
  <c r="AF182" i="13"/>
  <c r="X182" i="13"/>
  <c r="AF191" i="13"/>
  <c r="X191" i="13"/>
  <c r="AF68" i="13"/>
  <c r="AD68" i="13"/>
  <c r="AF25" i="13"/>
  <c r="X25" i="13"/>
  <c r="AF84" i="13"/>
  <c r="X84" i="13"/>
  <c r="AF183" i="13"/>
  <c r="X183" i="13"/>
  <c r="AF24" i="13"/>
  <c r="X24" i="13"/>
  <c r="AF91" i="13"/>
  <c r="X91" i="13"/>
  <c r="AF87" i="13"/>
  <c r="X87" i="13"/>
  <c r="AF63" i="13"/>
  <c r="X63" i="13"/>
  <c r="AF229" i="13"/>
  <c r="X229" i="13"/>
  <c r="AF202" i="13"/>
  <c r="X202" i="13"/>
  <c r="AF252" i="13"/>
  <c r="X252" i="13"/>
  <c r="AF35" i="13"/>
  <c r="X35" i="13"/>
  <c r="AF65" i="13"/>
  <c r="X65" i="13"/>
  <c r="AF79" i="13"/>
  <c r="X79" i="13"/>
  <c r="AF94" i="13"/>
  <c r="X94" i="13"/>
  <c r="AF14" i="13"/>
  <c r="X14" i="13"/>
  <c r="AF250" i="13"/>
  <c r="X250" i="13"/>
  <c r="AF209" i="13"/>
  <c r="AD209" i="13"/>
  <c r="AF233" i="13"/>
  <c r="X233" i="13"/>
  <c r="AF213" i="13"/>
  <c r="X213" i="13"/>
  <c r="AF194" i="13"/>
  <c r="X194" i="13"/>
  <c r="AF241" i="13"/>
  <c r="AD241" i="13"/>
  <c r="AF212" i="13"/>
  <c r="X212" i="13"/>
  <c r="AF225" i="13"/>
  <c r="X225" i="13"/>
  <c r="AF90" i="13"/>
  <c r="X90" i="13"/>
  <c r="AF207" i="13"/>
  <c r="X207" i="13"/>
  <c r="AF95" i="13"/>
  <c r="AF73" i="13"/>
  <c r="AF245" i="13"/>
  <c r="AF19" i="13"/>
  <c r="AF218" i="13"/>
  <c r="AF10" i="13"/>
  <c r="AF41" i="13"/>
  <c r="AF261" i="13"/>
  <c r="AF51" i="13"/>
  <c r="AF76" i="13"/>
  <c r="AF253" i="13"/>
  <c r="AF38" i="13"/>
  <c r="AF56" i="13"/>
  <c r="AF72" i="13"/>
  <c r="AF197" i="13"/>
  <c r="AF16" i="13"/>
  <c r="AF28" i="13"/>
  <c r="AF48" i="13"/>
  <c r="AF178" i="13"/>
  <c r="AF254" i="13"/>
  <c r="AF219" i="13"/>
  <c r="AF103" i="13"/>
  <c r="AF222" i="13"/>
  <c r="AF215" i="13"/>
  <c r="AF180" i="13"/>
  <c r="AF205" i="13"/>
  <c r="AF74" i="13"/>
  <c r="AF208" i="13"/>
  <c r="AF201" i="13"/>
  <c r="AF210" i="13"/>
  <c r="AF231" i="13"/>
  <c r="AF77" i="13"/>
  <c r="AF40" i="13"/>
  <c r="AF176" i="13"/>
  <c r="AF49" i="13"/>
  <c r="AF98" i="13"/>
  <c r="AF44" i="13"/>
  <c r="AF179" i="13"/>
  <c r="AF177" i="13"/>
  <c r="AF246" i="13"/>
  <c r="AF88" i="13"/>
  <c r="AF249" i="13"/>
  <c r="AF247" i="13"/>
  <c r="AF105" i="13"/>
  <c r="AF173" i="13"/>
  <c r="AF195" i="13"/>
  <c r="AF62" i="13"/>
  <c r="AF227" i="13"/>
  <c r="AF54" i="13"/>
  <c r="AF184" i="13"/>
  <c r="AF66" i="13"/>
  <c r="AF81" i="13"/>
  <c r="AF224" i="13"/>
  <c r="AF244" i="13"/>
  <c r="AF196" i="13"/>
  <c r="AF96" i="13"/>
  <c r="AF97" i="13"/>
  <c r="AF70" i="13"/>
  <c r="AF82" i="13"/>
  <c r="AF50" i="13"/>
  <c r="AF248" i="13"/>
  <c r="AF230" i="13"/>
  <c r="AF243" i="13"/>
  <c r="AF93" i="13"/>
  <c r="AF238" i="13"/>
  <c r="AF200" i="13"/>
  <c r="AF53" i="13"/>
  <c r="AF232" i="13"/>
  <c r="AF228" i="13"/>
  <c r="AF185" i="13"/>
  <c r="AF188" i="13"/>
  <c r="AF187" i="13"/>
  <c r="AF220" i="13"/>
  <c r="AF223" i="13"/>
  <c r="AF192" i="13"/>
  <c r="AF214" i="13"/>
  <c r="AF239" i="13"/>
  <c r="AF263" i="13"/>
  <c r="AF235" i="13"/>
  <c r="AF181" i="13"/>
  <c r="AF256" i="13"/>
  <c r="AF240" i="13"/>
  <c r="AF71" i="13"/>
  <c r="AF39" i="13"/>
  <c r="AF45" i="13"/>
  <c r="AF69" i="13"/>
  <c r="AF31" i="13"/>
  <c r="AF13" i="13"/>
  <c r="AF26" i="13"/>
  <c r="AF9" i="13"/>
  <c r="AF22" i="13"/>
  <c r="AF17" i="13"/>
  <c r="AF23" i="13"/>
  <c r="AF36" i="13"/>
  <c r="AB27" i="13" l="1"/>
  <c r="V27" i="13"/>
  <c r="W27" i="13" s="1"/>
  <c r="X27" i="13" s="1"/>
  <c r="AB75" i="13"/>
  <c r="V75" i="13"/>
  <c r="W75" i="13" s="1"/>
  <c r="X75" i="13" s="1"/>
  <c r="AB85" i="13"/>
  <c r="V85" i="13"/>
  <c r="W85" i="13" s="1"/>
  <c r="X85" i="13" s="1"/>
  <c r="AB21" i="13"/>
  <c r="V21" i="13"/>
  <c r="W21" i="13" s="1"/>
  <c r="X21" i="13" s="1"/>
  <c r="V234" i="13"/>
  <c r="W234" i="13" s="1"/>
  <c r="X234" i="13" s="1"/>
  <c r="AB234" i="13"/>
  <c r="AC21" i="13" l="1"/>
  <c r="AD21" i="13" s="1"/>
  <c r="AE21" i="13"/>
  <c r="AC75" i="13"/>
  <c r="AD75" i="13" s="1"/>
  <c r="AE75" i="13"/>
  <c r="AC234" i="13"/>
  <c r="AD234" i="13" s="1"/>
  <c r="AE234" i="13"/>
  <c r="D8" i="19" s="1"/>
  <c r="AC85" i="13"/>
  <c r="AD85" i="13" s="1"/>
  <c r="AE85" i="13"/>
  <c r="AC27" i="13"/>
  <c r="AD27" i="13" s="1"/>
  <c r="AE27" i="13"/>
  <c r="F22" i="25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AF27" i="13" l="1"/>
  <c r="AF234" i="13"/>
  <c r="E8" i="19" s="1"/>
  <c r="F8" i="19" s="1"/>
  <c r="AF21" i="13"/>
  <c r="AF85" i="13"/>
  <c r="AF75" i="13"/>
  <c r="P216" i="13"/>
  <c r="K216" i="13"/>
  <c r="E216" i="13"/>
  <c r="D216" i="13"/>
  <c r="C216" i="13"/>
  <c r="P215" i="13"/>
  <c r="K215" i="13"/>
  <c r="E215" i="13"/>
  <c r="D215" i="13"/>
  <c r="C215" i="13"/>
  <c r="P213" i="13"/>
  <c r="K213" i="13"/>
  <c r="E213" i="13"/>
  <c r="D213" i="13"/>
  <c r="C213" i="13"/>
  <c r="P212" i="13"/>
  <c r="K212" i="13"/>
  <c r="E212" i="13"/>
  <c r="D212" i="13"/>
  <c r="C212" i="13"/>
  <c r="P211" i="13"/>
  <c r="K211" i="13"/>
  <c r="E211" i="13"/>
  <c r="D211" i="13"/>
  <c r="C211" i="13"/>
  <c r="P210" i="13"/>
  <c r="K210" i="13"/>
  <c r="E210" i="13"/>
  <c r="D210" i="13"/>
  <c r="C210" i="13"/>
  <c r="P209" i="13"/>
  <c r="K209" i="13"/>
  <c r="E209" i="13"/>
  <c r="D209" i="13"/>
  <c r="C209" i="13"/>
  <c r="P208" i="13"/>
  <c r="K208" i="13"/>
  <c r="E208" i="13"/>
  <c r="D208" i="13"/>
  <c r="C208" i="13"/>
  <c r="P207" i="13"/>
  <c r="K207" i="13"/>
  <c r="E207" i="13"/>
  <c r="D207" i="13"/>
  <c r="C207" i="13"/>
  <c r="P206" i="13"/>
  <c r="K206" i="13"/>
  <c r="E206" i="13"/>
  <c r="D206" i="13"/>
  <c r="C206" i="13"/>
  <c r="P205" i="13"/>
  <c r="K205" i="13"/>
  <c r="E205" i="13"/>
  <c r="D205" i="13"/>
  <c r="C205" i="13"/>
  <c r="P204" i="13"/>
  <c r="K204" i="13"/>
  <c r="E204" i="13"/>
  <c r="D204" i="13"/>
  <c r="C204" i="13"/>
  <c r="P203" i="13"/>
  <c r="K203" i="13"/>
  <c r="E203" i="13"/>
  <c r="D203" i="13"/>
  <c r="C203" i="13"/>
  <c r="P202" i="13"/>
  <c r="K202" i="13"/>
  <c r="E202" i="13"/>
  <c r="D202" i="13"/>
  <c r="C202" i="13"/>
  <c r="P201" i="13"/>
  <c r="K201" i="13"/>
  <c r="E201" i="13"/>
  <c r="D201" i="13"/>
  <c r="C201" i="13"/>
  <c r="K200" i="13"/>
  <c r="E200" i="13"/>
  <c r="D200" i="13"/>
  <c r="C200" i="13"/>
  <c r="K199" i="13"/>
  <c r="E199" i="13"/>
  <c r="D199" i="13"/>
  <c r="C199" i="13"/>
  <c r="K198" i="13"/>
  <c r="E198" i="13"/>
  <c r="D198" i="13"/>
  <c r="C198" i="13"/>
  <c r="K197" i="13"/>
  <c r="E197" i="13"/>
  <c r="D197" i="13"/>
  <c r="C197" i="13"/>
  <c r="K196" i="13"/>
  <c r="E196" i="13"/>
  <c r="D196" i="13"/>
  <c r="C196" i="13"/>
  <c r="K195" i="13"/>
  <c r="E195" i="13"/>
  <c r="D195" i="13"/>
  <c r="C195" i="13"/>
  <c r="K194" i="13"/>
  <c r="E194" i="13"/>
  <c r="D194" i="13"/>
  <c r="C194" i="13"/>
  <c r="K193" i="13"/>
  <c r="E193" i="13"/>
  <c r="D193" i="13"/>
  <c r="C193" i="13"/>
  <c r="K192" i="13"/>
  <c r="E192" i="13"/>
  <c r="D192" i="13"/>
  <c r="C192" i="13"/>
  <c r="K191" i="13"/>
  <c r="E191" i="13"/>
  <c r="D191" i="13"/>
  <c r="C191" i="13"/>
  <c r="K190" i="13"/>
  <c r="E190" i="13"/>
  <c r="D190" i="13"/>
  <c r="C190" i="13"/>
  <c r="K189" i="13"/>
  <c r="E189" i="13"/>
  <c r="D189" i="13"/>
  <c r="C189" i="13"/>
  <c r="K188" i="13"/>
  <c r="E188" i="13"/>
  <c r="D188" i="13"/>
  <c r="C188" i="13"/>
  <c r="K187" i="13"/>
  <c r="E187" i="13"/>
  <c r="D187" i="13"/>
  <c r="C187" i="13"/>
  <c r="K186" i="13"/>
  <c r="E186" i="13"/>
  <c r="D186" i="13"/>
  <c r="C186" i="13"/>
  <c r="K185" i="13"/>
  <c r="E185" i="13"/>
  <c r="D185" i="13"/>
  <c r="C185" i="13"/>
  <c r="K184" i="13"/>
  <c r="E184" i="13"/>
  <c r="D184" i="13"/>
  <c r="C184" i="13"/>
  <c r="K183" i="13"/>
  <c r="E183" i="13"/>
  <c r="D183" i="13"/>
  <c r="C183" i="13"/>
  <c r="K182" i="13"/>
  <c r="E182" i="13"/>
  <c r="D182" i="13"/>
  <c r="C182" i="13"/>
  <c r="K181" i="13"/>
  <c r="E181" i="13"/>
  <c r="D181" i="13"/>
  <c r="C18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8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8" i="13"/>
  <c r="E90" i="13"/>
  <c r="E91" i="13"/>
  <c r="E92" i="13"/>
  <c r="E93" i="13"/>
  <c r="E96" i="13"/>
  <c r="E97" i="13"/>
  <c r="E98" i="13"/>
  <c r="E99" i="13"/>
  <c r="E102" i="13"/>
  <c r="E103" i="13"/>
  <c r="E104" i="13"/>
  <c r="E105" i="13"/>
  <c r="E106" i="13"/>
  <c r="E173" i="13"/>
  <c r="E174" i="13"/>
  <c r="E175" i="13"/>
  <c r="E176" i="13"/>
  <c r="E177" i="13"/>
  <c r="E178" i="13"/>
  <c r="E179" i="13"/>
  <c r="E180" i="13"/>
  <c r="E214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8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8" i="13"/>
  <c r="D90" i="13"/>
  <c r="D91" i="13"/>
  <c r="D92" i="13"/>
  <c r="D93" i="13"/>
  <c r="D96" i="13"/>
  <c r="D97" i="13"/>
  <c r="D98" i="13"/>
  <c r="D99" i="13"/>
  <c r="D102" i="13"/>
  <c r="D103" i="13"/>
  <c r="D104" i="13"/>
  <c r="D105" i="13"/>
  <c r="D106" i="13"/>
  <c r="D173" i="13"/>
  <c r="D174" i="13"/>
  <c r="D175" i="13"/>
  <c r="D176" i="13"/>
  <c r="D177" i="13"/>
  <c r="D178" i="13"/>
  <c r="D179" i="13"/>
  <c r="D180" i="13"/>
  <c r="D214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8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8" i="13"/>
  <c r="C90" i="13"/>
  <c r="C91" i="13"/>
  <c r="C92" i="13"/>
  <c r="C93" i="13"/>
  <c r="C96" i="13"/>
  <c r="C97" i="13"/>
  <c r="C98" i="13"/>
  <c r="C99" i="13"/>
  <c r="C102" i="13"/>
  <c r="C103" i="13"/>
  <c r="C104" i="13"/>
  <c r="C105" i="13"/>
  <c r="C106" i="13"/>
  <c r="C173" i="13"/>
  <c r="C174" i="13"/>
  <c r="C175" i="13"/>
  <c r="C176" i="13"/>
  <c r="C177" i="13"/>
  <c r="C178" i="13"/>
  <c r="C179" i="13"/>
  <c r="C180" i="13"/>
  <c r="C214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B13" i="19" l="1"/>
  <c r="T6" i="13" l="1"/>
  <c r="B22" i="25"/>
  <c r="B21" i="25"/>
  <c r="C7" i="19"/>
  <c r="P214" i="13"/>
  <c r="P217" i="13"/>
  <c r="P218" i="13"/>
  <c r="P219" i="13"/>
  <c r="P220" i="13"/>
  <c r="P221" i="13"/>
  <c r="P222" i="13"/>
  <c r="P223" i="13"/>
  <c r="P224" i="13"/>
  <c r="P225" i="13"/>
  <c r="P226" i="13"/>
  <c r="P227" i="13"/>
  <c r="P228" i="13"/>
  <c r="P229" i="13"/>
  <c r="P230" i="13"/>
  <c r="P231" i="13"/>
  <c r="P232" i="13"/>
  <c r="P233" i="13"/>
  <c r="P234" i="13"/>
  <c r="P235" i="13"/>
  <c r="P236" i="13"/>
  <c r="P237" i="13"/>
  <c r="P238" i="13"/>
  <c r="P239" i="13"/>
  <c r="P240" i="13"/>
  <c r="P241" i="13"/>
  <c r="P242" i="13"/>
  <c r="P243" i="13"/>
  <c r="P244" i="13"/>
  <c r="P245" i="13"/>
  <c r="P246" i="13"/>
  <c r="P247" i="13"/>
  <c r="P248" i="13"/>
  <c r="P249" i="13"/>
  <c r="P250" i="13"/>
  <c r="P251" i="13"/>
  <c r="P252" i="13"/>
  <c r="P253" i="13"/>
  <c r="P254" i="13"/>
  <c r="P255" i="13"/>
  <c r="P256" i="13"/>
  <c r="P257" i="13"/>
  <c r="P258" i="13"/>
  <c r="P259" i="13"/>
  <c r="P260" i="13"/>
  <c r="P261" i="13"/>
  <c r="P262" i="13"/>
  <c r="P263" i="13"/>
  <c r="K25" i="13"/>
  <c r="K26" i="13"/>
  <c r="K27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8" i="13"/>
  <c r="K49" i="13"/>
  <c r="K50" i="13"/>
  <c r="K51" i="13"/>
  <c r="K52" i="13"/>
  <c r="K53" i="13"/>
  <c r="K54" i="13"/>
  <c r="K55" i="13"/>
  <c r="K56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3" i="13"/>
  <c r="K84" i="13"/>
  <c r="K85" i="13"/>
  <c r="K86" i="13"/>
  <c r="K87" i="13"/>
  <c r="K88" i="13"/>
  <c r="K90" i="13"/>
  <c r="K91" i="13"/>
  <c r="K92" i="13"/>
  <c r="K93" i="13"/>
  <c r="K96" i="13"/>
  <c r="K97" i="13"/>
  <c r="K98" i="13"/>
  <c r="K99" i="13"/>
  <c r="K102" i="13"/>
  <c r="K104" i="13"/>
  <c r="K105" i="13"/>
  <c r="K106" i="13"/>
  <c r="K173" i="13"/>
  <c r="K174" i="13"/>
  <c r="K175" i="13"/>
  <c r="K176" i="13"/>
  <c r="K177" i="13"/>
  <c r="K178" i="13"/>
  <c r="K179" i="13"/>
  <c r="K180" i="13"/>
  <c r="K214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31" i="13"/>
  <c r="K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50" i="13"/>
  <c r="K251" i="13"/>
  <c r="K252" i="13"/>
  <c r="K253" i="13"/>
  <c r="K254" i="13"/>
  <c r="K255" i="13"/>
  <c r="K256" i="13"/>
  <c r="K257" i="13"/>
  <c r="K258" i="13"/>
  <c r="K259" i="13"/>
  <c r="K260" i="13"/>
  <c r="K261" i="13"/>
  <c r="K262" i="13"/>
  <c r="K263" i="13"/>
  <c r="B7" i="19" l="1"/>
  <c r="H21" i="25"/>
  <c r="H22" i="25"/>
  <c r="B13" i="26"/>
  <c r="B14" i="26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8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8" i="13"/>
  <c r="B90" i="13"/>
  <c r="B91" i="13"/>
  <c r="B92" i="13"/>
  <c r="B93" i="13"/>
  <c r="B96" i="13"/>
  <c r="B97" i="13"/>
  <c r="B98" i="13"/>
  <c r="B99" i="13"/>
  <c r="B102" i="13"/>
  <c r="B103" i="13"/>
  <c r="B104" i="13"/>
  <c r="B105" i="13"/>
  <c r="B106" i="13"/>
  <c r="B173" i="13"/>
  <c r="B174" i="13"/>
  <c r="B175" i="13"/>
  <c r="B176" i="13"/>
  <c r="B177" i="13"/>
  <c r="B178" i="13"/>
  <c r="B179" i="13"/>
  <c r="B180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6" i="13"/>
  <c r="B26" i="29" l="1"/>
  <c r="B27" i="29"/>
  <c r="B24" i="29"/>
  <c r="B23" i="29"/>
  <c r="B25" i="29"/>
  <c r="D13" i="19"/>
  <c r="H34" i="25"/>
  <c r="D15" i="19" l="1"/>
  <c r="Z6" i="13"/>
  <c r="AA6" i="13" s="1"/>
  <c r="K7" i="13"/>
  <c r="K8" i="13"/>
  <c r="K10" i="13"/>
  <c r="K11" i="13"/>
  <c r="K12" i="13"/>
  <c r="K13" i="13"/>
  <c r="K14" i="13"/>
  <c r="K15" i="13"/>
  <c r="K16" i="13"/>
  <c r="K17" i="13"/>
  <c r="K18" i="13"/>
  <c r="K19" i="13"/>
  <c r="K21" i="13"/>
  <c r="K22" i="13"/>
  <c r="K23" i="13"/>
  <c r="K24" i="13"/>
  <c r="K6" i="13"/>
  <c r="C9" i="19" l="1"/>
  <c r="AB6" i="13"/>
  <c r="AC6" i="13" l="1"/>
  <c r="AD6" i="13" s="1"/>
  <c r="F14" i="19" l="1"/>
  <c r="AG98" i="13" l="1"/>
  <c r="AG201" i="13"/>
  <c r="AG208" i="13"/>
  <c r="AG230" i="13"/>
  <c r="AG95" i="13"/>
  <c r="AG56" i="13"/>
  <c r="AG194" i="13"/>
  <c r="AG223" i="13"/>
  <c r="AG226" i="13"/>
  <c r="AG203" i="13"/>
  <c r="AG19" i="13"/>
  <c r="AG48" i="13"/>
  <c r="AG186" i="13"/>
  <c r="AG204" i="13"/>
  <c r="AG237" i="13"/>
  <c r="AG238" i="13"/>
  <c r="AG96" i="13"/>
  <c r="AG157" i="13"/>
  <c r="AG140" i="13"/>
  <c r="AG120" i="13"/>
  <c r="AG126" i="13"/>
  <c r="AG29" i="13"/>
  <c r="AG28" i="13"/>
  <c r="AG85" i="13"/>
  <c r="AG27" i="13"/>
  <c r="AG188" i="13"/>
  <c r="AG254" i="13"/>
  <c r="AG196" i="13"/>
  <c r="AG77" i="13"/>
  <c r="AG235" i="13"/>
  <c r="AG256" i="13"/>
  <c r="AG49" i="13"/>
  <c r="AG247" i="13"/>
  <c r="AG11" i="13"/>
  <c r="AG198" i="13"/>
  <c r="AG197" i="13"/>
  <c r="AG72" i="13"/>
  <c r="AG182" i="13"/>
  <c r="AG249" i="13"/>
  <c r="AG71" i="13"/>
  <c r="AG8" i="13"/>
  <c r="AG173" i="13"/>
  <c r="AG220" i="13"/>
  <c r="AG12" i="13"/>
  <c r="AG68" i="13"/>
  <c r="AG64" i="13"/>
  <c r="AG244" i="13"/>
  <c r="AG216" i="13"/>
  <c r="AG189" i="13"/>
  <c r="AG67" i="13"/>
  <c r="AG87" i="13"/>
  <c r="AG63" i="13"/>
  <c r="AG177" i="13"/>
  <c r="AG82" i="13"/>
  <c r="AG193" i="13"/>
  <c r="AG50" i="13"/>
  <c r="AG217" i="13"/>
  <c r="AG7" i="13"/>
  <c r="AG250" i="13"/>
  <c r="AG94" i="13"/>
  <c r="AG228" i="13"/>
  <c r="AG257" i="13"/>
  <c r="AG41" i="13"/>
  <c r="AG91" i="13"/>
  <c r="AG51" i="13"/>
  <c r="AG225" i="13"/>
  <c r="AG42" i="13"/>
  <c r="AG213" i="13"/>
  <c r="AG97" i="13"/>
  <c r="AG253" i="13"/>
  <c r="AG62" i="13"/>
  <c r="AG263" i="13"/>
  <c r="AG76" i="13"/>
  <c r="AG93" i="13"/>
  <c r="AG178" i="13"/>
  <c r="AG36" i="13"/>
  <c r="AG74" i="13"/>
  <c r="AG176" i="13"/>
  <c r="AG243" i="13"/>
  <c r="AG16" i="13"/>
  <c r="AG187" i="13"/>
  <c r="AG38" i="13"/>
  <c r="AG70" i="13"/>
  <c r="AG39" i="13"/>
  <c r="AG218" i="13"/>
  <c r="AG181" i="13"/>
  <c r="AG232" i="13"/>
  <c r="AG33" i="13"/>
  <c r="AG14" i="13"/>
  <c r="AG106" i="13"/>
  <c r="AG202" i="13"/>
  <c r="AG23" i="13"/>
  <c r="AG52" i="13"/>
  <c r="F13" i="19"/>
  <c r="F15" i="19" s="1"/>
  <c r="G15" i="26"/>
  <c r="AG252" i="13"/>
  <c r="AG17" i="13"/>
  <c r="AG21" i="13"/>
  <c r="AG24" i="13"/>
  <c r="V6" i="13"/>
  <c r="AE6" i="13" s="1"/>
  <c r="U6" i="13"/>
  <c r="AG73" i="13" l="1"/>
  <c r="AG221" i="13"/>
  <c r="AG179" i="13"/>
  <c r="AG227" i="13"/>
  <c r="AG183" i="13"/>
  <c r="AG231" i="13"/>
  <c r="AG180" i="13"/>
  <c r="AG175" i="13"/>
  <c r="AG15" i="13"/>
  <c r="AG212" i="13"/>
  <c r="AG248" i="13"/>
  <c r="AG224" i="13"/>
  <c r="AG44" i="13"/>
  <c r="AG191" i="13"/>
  <c r="AG65" i="13"/>
  <c r="AG155" i="13"/>
  <c r="AG83" i="13"/>
  <c r="AG222" i="13"/>
  <c r="AG185" i="13"/>
  <c r="AG192" i="13"/>
  <c r="AG234" i="13"/>
  <c r="AG31" i="13"/>
  <c r="AG240" i="13"/>
  <c r="AG18" i="13"/>
  <c r="AG258" i="13"/>
  <c r="AG239" i="13"/>
  <c r="AG174" i="13"/>
  <c r="AG104" i="13"/>
  <c r="AG75" i="13"/>
  <c r="AG32" i="13"/>
  <c r="AG88" i="13"/>
  <c r="AG207" i="13"/>
  <c r="AG199" i="13"/>
  <c r="AG215" i="13"/>
  <c r="AG260" i="13"/>
  <c r="AG261" i="13"/>
  <c r="AG66" i="13"/>
  <c r="AG37" i="13"/>
  <c r="AG10" i="13"/>
  <c r="AG86" i="13"/>
  <c r="AG53" i="13"/>
  <c r="AG195" i="13"/>
  <c r="AG69" i="13"/>
  <c r="AG245" i="13"/>
  <c r="AG236" i="13"/>
  <c r="AG54" i="13"/>
  <c r="AG255" i="13"/>
  <c r="AG190" i="13"/>
  <c r="AG22" i="13"/>
  <c r="AG84" i="13"/>
  <c r="AG210" i="13"/>
  <c r="AG45" i="13"/>
  <c r="AG200" i="13"/>
  <c r="AG25" i="13"/>
  <c r="AG246" i="13"/>
  <c r="AG30" i="13"/>
  <c r="AG100" i="13"/>
  <c r="AG60" i="13"/>
  <c r="AG112" i="13"/>
  <c r="AG133" i="13"/>
  <c r="AG158" i="13"/>
  <c r="AG145" i="13"/>
  <c r="AG144" i="13"/>
  <c r="AG130" i="13"/>
  <c r="AG136" i="13"/>
  <c r="AG111" i="13"/>
  <c r="AG219" i="13"/>
  <c r="AG152" i="13"/>
  <c r="AG149" i="13"/>
  <c r="AG142" i="13"/>
  <c r="AG115" i="13"/>
  <c r="AG127" i="13"/>
  <c r="AG108" i="13"/>
  <c r="AG61" i="13"/>
  <c r="AG107" i="13"/>
  <c r="AG122" i="13"/>
  <c r="AG151" i="13"/>
  <c r="AG156" i="13"/>
  <c r="AG153" i="13"/>
  <c r="AG147" i="13"/>
  <c r="AG170" i="13"/>
  <c r="AG169" i="13"/>
  <c r="AG172" i="13"/>
  <c r="AG166" i="13"/>
  <c r="AG118" i="13"/>
  <c r="AG116" i="13"/>
  <c r="AG101" i="13"/>
  <c r="AG57" i="13"/>
  <c r="AG20" i="13"/>
  <c r="AG165" i="13"/>
  <c r="AG138" i="13"/>
  <c r="AG129" i="13"/>
  <c r="AG134" i="13"/>
  <c r="AG163" i="13"/>
  <c r="AG154" i="13"/>
  <c r="AG92" i="13"/>
  <c r="AG125" i="13"/>
  <c r="AG59" i="13"/>
  <c r="AG117" i="13"/>
  <c r="AG114" i="13"/>
  <c r="AG124" i="13"/>
  <c r="AG137" i="13"/>
  <c r="AG160" i="13"/>
  <c r="AG131" i="13"/>
  <c r="AG171" i="13"/>
  <c r="AG132" i="13"/>
  <c r="AG161" i="13"/>
  <c r="AG167" i="13"/>
  <c r="AG47" i="13"/>
  <c r="AG123" i="13"/>
  <c r="AG121" i="13"/>
  <c r="AG119" i="13"/>
  <c r="AG113" i="13"/>
  <c r="AG164" i="13"/>
  <c r="AG162" i="13"/>
  <c r="AG135" i="13"/>
  <c r="AG128" i="13"/>
  <c r="AG150" i="13"/>
  <c r="AG148" i="13"/>
  <c r="AG146" i="13"/>
  <c r="AG89" i="13"/>
  <c r="AG46" i="13"/>
  <c r="AG109" i="13"/>
  <c r="AG58" i="13"/>
  <c r="AG110" i="13"/>
  <c r="AG5" i="13"/>
  <c r="AG139" i="13"/>
  <c r="AG141" i="13"/>
  <c r="AG168" i="13"/>
  <c r="AG159" i="13"/>
  <c r="AG143" i="13"/>
  <c r="AG259" i="13"/>
  <c r="AG251" i="13"/>
  <c r="AG233" i="13"/>
  <c r="AG99" i="13"/>
  <c r="AG78" i="13"/>
  <c r="AG81" i="13"/>
  <c r="AG214" i="13"/>
  <c r="AG35" i="13"/>
  <c r="AG206" i="13"/>
  <c r="AG262" i="13"/>
  <c r="AG79" i="13"/>
  <c r="AG34" i="13"/>
  <c r="AG102" i="13"/>
  <c r="AG211" i="13"/>
  <c r="AG90" i="13"/>
  <c r="AG13" i="13"/>
  <c r="AG184" i="13"/>
  <c r="AG55" i="13"/>
  <c r="AG241" i="13"/>
  <c r="AG80" i="13"/>
  <c r="AG205" i="13"/>
  <c r="AG229" i="13"/>
  <c r="AG9" i="13"/>
  <c r="AG40" i="13"/>
  <c r="AG103" i="13"/>
  <c r="AG43" i="13"/>
  <c r="AG209" i="13"/>
  <c r="AG242" i="13"/>
  <c r="AG26" i="13"/>
  <c r="AG105" i="13"/>
  <c r="W6" i="13"/>
  <c r="G8" i="19" l="1"/>
  <c r="H8" i="19" s="1"/>
  <c r="C14" i="19"/>
  <c r="G14" i="19" s="1"/>
  <c r="X6" i="13"/>
  <c r="AG6" i="13" s="1"/>
  <c r="AF6" i="13"/>
  <c r="D7" i="19" l="1"/>
  <c r="D9" i="19" s="1"/>
  <c r="G7" i="19" l="1"/>
  <c r="E7" i="19" l="1"/>
  <c r="E9" i="19" s="1"/>
  <c r="C13" i="19"/>
  <c r="G13" i="19" s="1"/>
  <c r="G15" i="19" s="1"/>
  <c r="G9" i="19"/>
  <c r="H7" i="19"/>
  <c r="F9" i="19" l="1"/>
  <c r="H9" i="19"/>
  <c r="C15" i="19"/>
  <c r="F7" i="19"/>
</calcChain>
</file>

<file path=xl/sharedStrings.xml><?xml version="1.0" encoding="utf-8"?>
<sst xmlns="http://schemas.openxmlformats.org/spreadsheetml/2006/main" count="4180" uniqueCount="1030">
  <si>
    <t>Geboorte- datum</t>
  </si>
  <si>
    <t>Datum in dienst</t>
  </si>
  <si>
    <t>Branche datum</t>
  </si>
  <si>
    <t>Soort  contract</t>
  </si>
  <si>
    <t>Aantal uur op object per week</t>
  </si>
  <si>
    <t>&gt; 1,5 jaar op object?</t>
  </si>
  <si>
    <t>Functie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</si>
  <si>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</si>
  <si>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</si>
  <si>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</si>
  <si>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</si>
  <si>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</si>
  <si>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</si>
  <si>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</si>
  <si>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</si>
  <si>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</si>
  <si>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Locatie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</si>
  <si>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</si>
  <si>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</si>
  <si>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</si>
  <si>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</si>
  <si>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</si>
  <si>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</si>
  <si>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</si>
  <si>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</si>
  <si>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</si>
  <si>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>Alarmsensoren</t>
  </si>
  <si>
    <t>Geheel</t>
  </si>
  <si>
    <t>Stof-, vlek-, aanslag en streepvrij</t>
  </si>
  <si>
    <t>Geen zichtbare spinrag, geen stofvorming en kleine zichtbare vlekken max. 3 stuks</t>
  </si>
  <si>
    <t xml:space="preserve">Aanrechtblad </t>
  </si>
  <si>
    <t>Geheel buitenzijde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</si>
  <si>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</si>
  <si>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</si>
  <si>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</si>
  <si>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</si>
  <si>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</si>
  <si>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</si>
  <si>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</si>
  <si>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</si>
  <si>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</si>
  <si>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</si>
  <si>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</si>
  <si>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</si>
  <si>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</si>
  <si>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</si>
  <si>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</si>
  <si>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</si>
  <si>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</si>
  <si>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</si>
  <si>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</si>
  <si>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</si>
  <si>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</si>
  <si>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</si>
  <si>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</si>
  <si>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</si>
  <si>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</si>
  <si>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</si>
  <si>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</si>
  <si>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</si>
  <si>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</si>
  <si>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</si>
  <si>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</si>
  <si>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</si>
  <si>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</si>
  <si>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</si>
  <si>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</si>
  <si>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</si>
  <si>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</si>
  <si>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</si>
  <si>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</si>
  <si>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</si>
  <si>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</si>
  <si>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</si>
  <si>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</si>
  <si>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</si>
  <si>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</si>
  <si>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</si>
  <si>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</si>
  <si>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</si>
  <si>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</si>
  <si>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Lift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</si>
  <si>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</si>
  <si>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</si>
  <si>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</si>
  <si>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</si>
  <si>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</si>
  <si>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</si>
  <si>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</si>
  <si>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</si>
  <si>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</si>
  <si>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</si>
  <si>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</si>
  <si>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</si>
  <si>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</si>
  <si>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</si>
  <si>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</si>
  <si>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</si>
  <si>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</si>
  <si>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</si>
  <si>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</si>
  <si>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</si>
  <si>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</si>
  <si>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</si>
  <si>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</si>
  <si>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</si>
  <si>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</si>
  <si>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</si>
  <si>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</si>
  <si>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</si>
  <si>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</si>
  <si>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</si>
  <si>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</si>
  <si>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</si>
  <si>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</si>
  <si>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</si>
  <si>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</si>
  <si>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</si>
  <si>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</si>
  <si>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</si>
  <si>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</si>
  <si>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</si>
  <si>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</si>
  <si>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</si>
  <si>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</si>
  <si>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</si>
  <si>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</si>
  <si>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</si>
  <si>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</si>
  <si>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</si>
  <si>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</si>
  <si>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</si>
  <si>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</si>
  <si>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</si>
  <si>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</si>
  <si>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</si>
  <si>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Tapijt</t>
  </si>
  <si>
    <t>Grofvuil-, stof-, vlekvrij</t>
  </si>
  <si>
    <t>Opleverstaat schoonmaak periodiek (tijdens vakanties uitvoeren) 2 x per jaar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</si>
  <si>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</si>
  <si>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</si>
  <si>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</si>
  <si>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</si>
  <si>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</si>
  <si>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</si>
  <si>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</si>
  <si>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</si>
  <si>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Handelingen dieptereiniging 2x per jaar</t>
  </si>
  <si>
    <t>Toiletpot</t>
  </si>
  <si>
    <t>-</t>
  </si>
  <si>
    <t>verwijderen van vervuiling in spoelranden, afvoersluitingen en restant van de binnenzijde van het toilet</t>
  </si>
  <si>
    <t>reinigen van het toilet aan de buitenzijde</t>
  </si>
  <si>
    <t>bevestiging en aansluiting op het afvoersysteem controleren; waar nodig vernieuwen van pluggen en schroeven en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</si>
  <si>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</si>
  <si>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</si>
  <si>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</si>
  <si>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</si>
  <si>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</si>
  <si>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</si>
  <si>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</si>
  <si>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</si>
  <si>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Urinoir</t>
  </si>
  <si>
    <t>verwijderen van organische en anorganische vervuiling in spoelranden en afvoeraansluitingen en restant van de binnenzijde van de pot</t>
  </si>
  <si>
    <t>reinigen van de buitenzijde van het urinoir</t>
  </si>
  <si>
    <t>bevestiging en aansluiting op het afvoersysteem controleren en afdichten van onregelmatige aansluiting op de afvoer</t>
  </si>
  <si>
    <t>bij wandurinoirs controleren op bevestigingen en afsluitingen op vloerpijp en afvoer</t>
  </si>
  <si>
    <t>verwijderen van vervuiling van schaamschotten</t>
  </si>
  <si>
    <t>schaamschotten controleren op bevestiging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</si>
  <si>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</si>
  <si>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</si>
  <si>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</si>
  <si>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</si>
  <si>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</si>
  <si>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Volledig (diep)reinigen van de deur (beide zijden), (tegel-)wanden, vloeren en putjes (in- en uitwendig)</t>
  </si>
  <si>
    <t>reinigen van de deur (beide zijden), tegelwanden en vloeren</t>
  </si>
  <si>
    <t>De gehele vloer en alle wanden reinigen met stoomreiniging bv fantomat</t>
  </si>
  <si>
    <t>Tariefsopbouw</t>
  </si>
  <si>
    <r>
      <rPr>
        <b/>
        <sz val="9"/>
        <rFont val="Aptos"/>
        <family val="2"/>
      </rPr>
      <t>Alle</t>
    </r>
    <r>
      <rPr>
        <sz val="9"/>
        <rFont val="Aptos"/>
        <family val="2"/>
      </rPr>
      <t xml:space="preserve"> groen gearceerde velden dienen ingevuld te worden, overige cellen mogen niet gewijzigd worden</t>
    </r>
  </si>
  <si>
    <t>Indexatie</t>
  </si>
  <si>
    <t>Loon:</t>
  </si>
  <si>
    <t>Gemiddeld brutoloon</t>
  </si>
  <si>
    <t>% van de prod. uren</t>
  </si>
  <si>
    <t>€</t>
  </si>
  <si>
    <t>Soort indexatie</t>
  </si>
  <si>
    <t>Percentage</t>
  </si>
  <si>
    <t>Tarief excl btw</t>
  </si>
  <si>
    <t xml:space="preserve">Over te nemen personeel </t>
  </si>
  <si>
    <t>Schoonmaakmedewerker</t>
  </si>
  <si>
    <t>Meewerkend leidinggevende</t>
  </si>
  <si>
    <t>Totale berekende productieve ureninzet (contractjaar 1)</t>
  </si>
  <si>
    <t>Totaal geindexeerd uurloon</t>
  </si>
  <si>
    <t xml:space="preserve"> </t>
  </si>
  <si>
    <t>CAO</t>
  </si>
  <si>
    <t>Loonkosten:</t>
  </si>
  <si>
    <t>% v.h. loon</t>
  </si>
  <si>
    <t>Vakantiedagen, -toeslag, feestdagen</t>
  </si>
  <si>
    <t>CBS DPI</t>
  </si>
  <si>
    <t>Eindejaarsuitkering</t>
  </si>
  <si>
    <t>Suppletie ziekengeld</t>
  </si>
  <si>
    <t>Sociale lasten</t>
  </si>
  <si>
    <t>Overige loonkosten</t>
  </si>
  <si>
    <t>Subtotaal Loonkosten</t>
  </si>
  <si>
    <t>Directe kosten:</t>
  </si>
  <si>
    <t>% v.h. loon incl. loonkosten</t>
  </si>
  <si>
    <t>Materialen</t>
  </si>
  <si>
    <t>Middelen</t>
  </si>
  <si>
    <t>Afschrijving machines</t>
  </si>
  <si>
    <t>Directe leiding</t>
  </si>
  <si>
    <t>Overige directe kosten</t>
  </si>
  <si>
    <t>Subtotaal Directe kosten</t>
  </si>
  <si>
    <t>Indirecte kosten:</t>
  </si>
  <si>
    <t>Indirecte leiding</t>
  </si>
  <si>
    <t>Overheadkosten</t>
  </si>
  <si>
    <t>Overige indirecte kosten</t>
  </si>
  <si>
    <t>Winst en risico</t>
  </si>
  <si>
    <t>Subtotaal Indirecte kosten</t>
  </si>
  <si>
    <t>Tarief</t>
  </si>
  <si>
    <t>Rekentarieven</t>
  </si>
  <si>
    <t>% opslag op loonkosten</t>
  </si>
  <si>
    <t>Tarief 
excl. 21% BTW</t>
  </si>
  <si>
    <t>Tarief 
incl. 21% BTW</t>
  </si>
  <si>
    <t>Gemiddelde
indexering</t>
  </si>
  <si>
    <t>Standaard</t>
  </si>
  <si>
    <t>ma. t/m vr. 6:00 - 21:30 uur</t>
  </si>
  <si>
    <t>Ochtend/avond</t>
  </si>
  <si>
    <t>ma. t/m vr. 21:30 - 6:00 uur</t>
  </si>
  <si>
    <t>Weekend</t>
  </si>
  <si>
    <t>vr. 21:30 t/m ma. 6:00 uur</t>
  </si>
  <si>
    <t>Feestdag</t>
  </si>
  <si>
    <t>Erkende feestdagen</t>
  </si>
  <si>
    <t>Prestatie</t>
  </si>
  <si>
    <r>
      <t xml:space="preserve">Alle </t>
    </r>
    <r>
      <rPr>
        <sz val="9"/>
        <rFont val="Aptos"/>
        <family val="2"/>
      </rPr>
      <t>groen gearceerde velden dienen ingevuld te worden, overige cellen mogen niet gewijzigd worden</t>
    </r>
  </si>
  <si>
    <t>Aanpassing standaardnorm schoonmaakonderhoud o.b.v. locatie</t>
  </si>
  <si>
    <t>Code</t>
  </si>
  <si>
    <t>Aanpassing norm</t>
  </si>
  <si>
    <t>Adres</t>
  </si>
  <si>
    <t>Postcode</t>
  </si>
  <si>
    <t>Plaats</t>
  </si>
  <si>
    <t>Ir. Lely Lyceum</t>
  </si>
  <si>
    <t>Ravenswaaipad 3</t>
  </si>
  <si>
    <t>1106 AW</t>
  </si>
  <si>
    <t>Amsterdam</t>
  </si>
  <si>
    <t>Open Schoolgemeenschap Bijlmer</t>
  </si>
  <si>
    <t>Gulden Kruis 5</t>
  </si>
  <si>
    <t>1103 BE</t>
  </si>
  <si>
    <t>Amsterdam Zuidoost</t>
  </si>
  <si>
    <t>Standaardnorm schoonmaakonderhoud per ruimtegroep / werkprogramma</t>
  </si>
  <si>
    <t>Ruimte omschrijving</t>
  </si>
  <si>
    <t>Norm (5w)</t>
  </si>
  <si>
    <t>Inspectiecategorie</t>
  </si>
  <si>
    <t>Magazijnen/bergingen</t>
  </si>
  <si>
    <t>V  (Verkeersruimte)</t>
  </si>
  <si>
    <t>Kantoren</t>
  </si>
  <si>
    <t>B  (Bureauruimte)</t>
  </si>
  <si>
    <t>Reproruimte</t>
  </si>
  <si>
    <t>Vergader/spreekkamers</t>
  </si>
  <si>
    <t>Sanitair</t>
  </si>
  <si>
    <t>S  (Sanitair)</t>
  </si>
  <si>
    <t>Gangen/hallen</t>
  </si>
  <si>
    <t>Entree</t>
  </si>
  <si>
    <t>Mediatheek / OLC</t>
  </si>
  <si>
    <t>L  (Lesruimte)</t>
  </si>
  <si>
    <t>Publieksruimte</t>
  </si>
  <si>
    <t>Trappenhuizen/lift</t>
  </si>
  <si>
    <t>Kooklokaal/leskeuken</t>
  </si>
  <si>
    <t>Kantine</t>
  </si>
  <si>
    <t>HV/Technieklokaal</t>
  </si>
  <si>
    <t>Praktijklokalen binas/zorg</t>
  </si>
  <si>
    <t>Keuken/pantry</t>
  </si>
  <si>
    <t>Leslokalen theorie</t>
  </si>
  <si>
    <t>Toestelberging</t>
  </si>
  <si>
    <t>Sp  (Sportruimte)</t>
  </si>
  <si>
    <t>Gymzaal</t>
  </si>
  <si>
    <t>Kleedruimten</t>
  </si>
  <si>
    <t>Niet in onderhoud</t>
  </si>
  <si>
    <t>Aanpassing standaardnorm schoonmaakonderhoud o.b.v. vloersoort</t>
  </si>
  <si>
    <t>Naam</t>
  </si>
  <si>
    <t>Vloersoort omschrijving</t>
  </si>
  <si>
    <t>.</t>
  </si>
  <si>
    <t>..</t>
  </si>
  <si>
    <t>L</t>
  </si>
  <si>
    <t>Lino</t>
  </si>
  <si>
    <t>Vloerafwerkingen met beschermlaag, zoals linoleum, marmoleum e.d.</t>
  </si>
  <si>
    <t>T</t>
  </si>
  <si>
    <t>Textiele vloerafwerking, zoals tapijt, schoonloopmat, flotex e.d.</t>
  </si>
  <si>
    <t>S</t>
  </si>
  <si>
    <t>Steen</t>
  </si>
  <si>
    <t>Harde vloeren zonder zonder extra behandeling, zoals steen, beton e.d.</t>
  </si>
  <si>
    <t>P</t>
  </si>
  <si>
    <t>PVC</t>
  </si>
  <si>
    <t>Vloeren zonder beschermlaag, die wel behandeling nodig hebben, zoals pvc e.d.</t>
  </si>
  <si>
    <t>H</t>
  </si>
  <si>
    <t>Hout</t>
  </si>
  <si>
    <t>Houten vloeren</t>
  </si>
  <si>
    <t>Aanpassing standaardnorm o.b.v. frequentie</t>
  </si>
  <si>
    <t>Frequentie omschrijving</t>
  </si>
  <si>
    <t>10w</t>
  </si>
  <si>
    <t>5 x per week met naloop</t>
  </si>
  <si>
    <t>5w</t>
  </si>
  <si>
    <t>5 x per week</t>
  </si>
  <si>
    <t>4w</t>
  </si>
  <si>
    <t>4 x per week</t>
  </si>
  <si>
    <t>3w</t>
  </si>
  <si>
    <t>3 x per week</t>
  </si>
  <si>
    <t>2,5w</t>
  </si>
  <si>
    <t>2,5 x per week (om-de-dag)</t>
  </si>
  <si>
    <t>2w</t>
  </si>
  <si>
    <t>2 x per week</t>
  </si>
  <si>
    <t>1w</t>
  </si>
  <si>
    <t>1 x per week</t>
  </si>
  <si>
    <t>2ww</t>
  </si>
  <si>
    <t>2 x per weekend</t>
  </si>
  <si>
    <t>1ww</t>
  </si>
  <si>
    <t>1 x per weekend</t>
  </si>
  <si>
    <t>1m</t>
  </si>
  <si>
    <t>1 x per maand</t>
  </si>
  <si>
    <t>Ruimtestaat</t>
  </si>
  <si>
    <t>Werkdagen</t>
  </si>
  <si>
    <t>Weekenddagen</t>
  </si>
  <si>
    <t>Totaal (werkdagen + weekenddagen</t>
  </si>
  <si>
    <t>Gebouw gedeelte</t>
  </si>
  <si>
    <t>Etage</t>
  </si>
  <si>
    <t>Ruimte- nummer</t>
  </si>
  <si>
    <t>Ruimte code</t>
  </si>
  <si>
    <t>Ruimtesoort</t>
  </si>
  <si>
    <t>Vloer code</t>
  </si>
  <si>
    <t>Vloer afwerking</t>
  </si>
  <si>
    <t>Oppervlak (netto)</t>
  </si>
  <si>
    <t>Oppervlakte n.i.o.</t>
  </si>
  <si>
    <t>Inspectie categorie</t>
  </si>
  <si>
    <t>Opmerking</t>
  </si>
  <si>
    <t>Aantal weken/jr</t>
  </si>
  <si>
    <t>Frequentie werkdagen</t>
  </si>
  <si>
    <t>Uitvoeringen werkdagen</t>
  </si>
  <si>
    <t>Norm (m2/uur) werkdagen</t>
  </si>
  <si>
    <t>Prest. (m2 /jaar) werkdagen</t>
  </si>
  <si>
    <t>uren / jaar werkdagen</t>
  </si>
  <si>
    <t>kosten / jaar werkdagen</t>
  </si>
  <si>
    <t>Frequentie weekend</t>
  </si>
  <si>
    <t>Uitvoeringen weekend</t>
  </si>
  <si>
    <t>Norm (m2/uur) weekend</t>
  </si>
  <si>
    <t>Prest. (m2 /jaar) weekend</t>
  </si>
  <si>
    <t>uren / jaar weekend</t>
  </si>
  <si>
    <t>kosten / jaar weekend</t>
  </si>
  <si>
    <t>Prest. (m2 /jaar)</t>
  </si>
  <si>
    <t>uren / jaar</t>
  </si>
  <si>
    <t>kosten / jaar</t>
  </si>
  <si>
    <t>Bouwdeel A</t>
  </si>
  <si>
    <t>bg</t>
  </si>
  <si>
    <t>00.001</t>
  </si>
  <si>
    <t>Coral</t>
  </si>
  <si>
    <t>00.002</t>
  </si>
  <si>
    <t xml:space="preserve">Gang </t>
  </si>
  <si>
    <t>Marmoleum</t>
  </si>
  <si>
    <t>00.003</t>
  </si>
  <si>
    <t>Tochtsluis</t>
  </si>
  <si>
    <t>00.004</t>
  </si>
  <si>
    <t>Studie centrum</t>
  </si>
  <si>
    <t>00.005</t>
  </si>
  <si>
    <t>Kantoor</t>
  </si>
  <si>
    <t>00.005 A</t>
  </si>
  <si>
    <t>00.006</t>
  </si>
  <si>
    <t>Concierge ruimte</t>
  </si>
  <si>
    <t>00.006 A</t>
  </si>
  <si>
    <t>Pantry</t>
  </si>
  <si>
    <t>00.020</t>
  </si>
  <si>
    <t>Aula</t>
  </si>
  <si>
    <t>Patio</t>
  </si>
  <si>
    <t>00.023</t>
  </si>
  <si>
    <t>Sanitair Dames</t>
  </si>
  <si>
    <t>Dht</t>
  </si>
  <si>
    <t>00.024</t>
  </si>
  <si>
    <t>Sanitair Heren</t>
  </si>
  <si>
    <t>00.026</t>
  </si>
  <si>
    <t>Technische ruimte</t>
  </si>
  <si>
    <t>Berging</t>
  </si>
  <si>
    <t>Telefoonruimte</t>
  </si>
  <si>
    <t>00.027</t>
  </si>
  <si>
    <t>Trappenhuis</t>
  </si>
  <si>
    <t>00.028</t>
  </si>
  <si>
    <t>00.029</t>
  </si>
  <si>
    <t>Repro</t>
  </si>
  <si>
    <t>00.030</t>
  </si>
  <si>
    <t>Werkruimte</t>
  </si>
  <si>
    <t>00.031</t>
  </si>
  <si>
    <t>Theorie lokaal</t>
  </si>
  <si>
    <t>00.032</t>
  </si>
  <si>
    <t>00.033</t>
  </si>
  <si>
    <t>00.034</t>
  </si>
  <si>
    <t>00.035</t>
  </si>
  <si>
    <t>00.036</t>
  </si>
  <si>
    <t>00.037</t>
  </si>
  <si>
    <t>Teken lokaal</t>
  </si>
  <si>
    <t>00.038</t>
  </si>
  <si>
    <t>00.039</t>
  </si>
  <si>
    <t>00.040</t>
  </si>
  <si>
    <t>Verzuim Coordinator</t>
  </si>
  <si>
    <t>00.041</t>
  </si>
  <si>
    <t>00.042</t>
  </si>
  <si>
    <t>Hoofd Concierge</t>
  </si>
  <si>
    <t>00.043</t>
  </si>
  <si>
    <t>Magazijn</t>
  </si>
  <si>
    <t>00.044</t>
  </si>
  <si>
    <t>00.045</t>
  </si>
  <si>
    <t xml:space="preserve">Spoelkeuken </t>
  </si>
  <si>
    <t>00.046</t>
  </si>
  <si>
    <t>Keuken</t>
  </si>
  <si>
    <t>00.047</t>
  </si>
  <si>
    <t>Uitgifte Balie</t>
  </si>
  <si>
    <t>00.048</t>
  </si>
  <si>
    <t>00.049</t>
  </si>
  <si>
    <t>Kunstgesch.lokaal</t>
  </si>
  <si>
    <t>00.050</t>
  </si>
  <si>
    <t>Teken Lokaal</t>
  </si>
  <si>
    <t>00.051</t>
  </si>
  <si>
    <t>00.052</t>
  </si>
  <si>
    <t>00.053</t>
  </si>
  <si>
    <t>Handvaardigheid lok</t>
  </si>
  <si>
    <t>00.054</t>
  </si>
  <si>
    <t>Muziek Lokaal</t>
  </si>
  <si>
    <t>00.054 A</t>
  </si>
  <si>
    <t>00.055</t>
  </si>
  <si>
    <t>00.056</t>
  </si>
  <si>
    <t>00.057</t>
  </si>
  <si>
    <t>00.059</t>
  </si>
  <si>
    <t>00.060</t>
  </si>
  <si>
    <t>00.061</t>
  </si>
  <si>
    <t>00.062</t>
  </si>
  <si>
    <t>Lokaal</t>
  </si>
  <si>
    <t>00.063</t>
  </si>
  <si>
    <t>00.065</t>
  </si>
  <si>
    <t>00.066</t>
  </si>
  <si>
    <t>00.067</t>
  </si>
  <si>
    <t>00.068</t>
  </si>
  <si>
    <t>00.069</t>
  </si>
  <si>
    <t>00.070</t>
  </si>
  <si>
    <t>00.072</t>
  </si>
  <si>
    <t>00.073</t>
  </si>
  <si>
    <t/>
  </si>
  <si>
    <t>00.075</t>
  </si>
  <si>
    <t>Vluchtgang</t>
  </si>
  <si>
    <t>Beton</t>
  </si>
  <si>
    <t>00.075 A</t>
  </si>
  <si>
    <t>Containerruimte</t>
  </si>
  <si>
    <t>00.076</t>
  </si>
  <si>
    <t>00.077</t>
  </si>
  <si>
    <t>00.080</t>
  </si>
  <si>
    <t>Bibliotheek</t>
  </si>
  <si>
    <t>00.082</t>
  </si>
  <si>
    <t>00.083</t>
  </si>
  <si>
    <t>1e</t>
  </si>
  <si>
    <t>01.001</t>
  </si>
  <si>
    <t>01.002</t>
  </si>
  <si>
    <t>01.002 A</t>
  </si>
  <si>
    <t>Lift kamer</t>
  </si>
  <si>
    <t>01.004</t>
  </si>
  <si>
    <t>Gang</t>
  </si>
  <si>
    <t>01.005</t>
  </si>
  <si>
    <t>01.006</t>
  </si>
  <si>
    <t>01.007</t>
  </si>
  <si>
    <t>01.008</t>
  </si>
  <si>
    <t>01.009</t>
  </si>
  <si>
    <t>01.009 A</t>
  </si>
  <si>
    <t>01.010</t>
  </si>
  <si>
    <t>Docentenkamer</t>
  </si>
  <si>
    <t>01.011</t>
  </si>
  <si>
    <t>Docenten Toilet</t>
  </si>
  <si>
    <t>01.012</t>
  </si>
  <si>
    <t>01.013</t>
  </si>
  <si>
    <t>Biologie/verzorg Lok</t>
  </si>
  <si>
    <t>01.014</t>
  </si>
  <si>
    <t>01.015</t>
  </si>
  <si>
    <t>01.016</t>
  </si>
  <si>
    <t>Kabinet</t>
  </si>
  <si>
    <t>01.017</t>
  </si>
  <si>
    <t>01.021</t>
  </si>
  <si>
    <t>01.022</t>
  </si>
  <si>
    <t>01.023</t>
  </si>
  <si>
    <t>Kabinet Biologie</t>
  </si>
  <si>
    <t>01.024</t>
  </si>
  <si>
    <t>01.025</t>
  </si>
  <si>
    <t>01.026</t>
  </si>
  <si>
    <t>01.027</t>
  </si>
  <si>
    <t>01.028</t>
  </si>
  <si>
    <t>01.029</t>
  </si>
  <si>
    <t>Coordinator ICT</t>
  </si>
  <si>
    <t>01.030</t>
  </si>
  <si>
    <t>01.031</t>
  </si>
  <si>
    <t>01.032</t>
  </si>
  <si>
    <t>01.033</t>
  </si>
  <si>
    <t>01.034</t>
  </si>
  <si>
    <t>01.035</t>
  </si>
  <si>
    <t>01.036</t>
  </si>
  <si>
    <t>01.037</t>
  </si>
  <si>
    <t>01.038</t>
  </si>
  <si>
    <t>01.060</t>
  </si>
  <si>
    <t>01.061</t>
  </si>
  <si>
    <t>01.062</t>
  </si>
  <si>
    <t>Aardrijkskunde Lok</t>
  </si>
  <si>
    <t>01.063</t>
  </si>
  <si>
    <t>01.064</t>
  </si>
  <si>
    <t>01.065</t>
  </si>
  <si>
    <t>01.066</t>
  </si>
  <si>
    <t>01.068</t>
  </si>
  <si>
    <t>10.069</t>
  </si>
  <si>
    <t>01.070</t>
  </si>
  <si>
    <t>01.072</t>
  </si>
  <si>
    <t>01.073</t>
  </si>
  <si>
    <t>01.074</t>
  </si>
  <si>
    <t>01.076</t>
  </si>
  <si>
    <t>01.077</t>
  </si>
  <si>
    <t>01.079</t>
  </si>
  <si>
    <t>01.080</t>
  </si>
  <si>
    <t>01.081</t>
  </si>
  <si>
    <t>01.082</t>
  </si>
  <si>
    <t>Verkoop Lokaal</t>
  </si>
  <si>
    <t>01.085</t>
  </si>
  <si>
    <t>01.086</t>
  </si>
  <si>
    <t>01.087</t>
  </si>
  <si>
    <t>Bouwdeel B</t>
  </si>
  <si>
    <t>00.000</t>
  </si>
  <si>
    <t>00.007</t>
  </si>
  <si>
    <t>00.008</t>
  </si>
  <si>
    <t>00.009</t>
  </si>
  <si>
    <t>00.010</t>
  </si>
  <si>
    <t>Computer Lokaal</t>
  </si>
  <si>
    <t>00.011</t>
  </si>
  <si>
    <t>Serverruimte</t>
  </si>
  <si>
    <t>00.012</t>
  </si>
  <si>
    <t>Handel/Admini Lok</t>
  </si>
  <si>
    <t>00.013</t>
  </si>
  <si>
    <t>00.014</t>
  </si>
  <si>
    <t>Berging/Kabinet</t>
  </si>
  <si>
    <t>00.015</t>
  </si>
  <si>
    <t>Techniek Lokaal</t>
  </si>
  <si>
    <t>00.016</t>
  </si>
  <si>
    <t>lokaal</t>
  </si>
  <si>
    <t>00.017</t>
  </si>
  <si>
    <t>00.018</t>
  </si>
  <si>
    <t>00.019</t>
  </si>
  <si>
    <t>Bouwdeel C</t>
  </si>
  <si>
    <t>Sportvloer</t>
  </si>
  <si>
    <t>Gang/Vide</t>
  </si>
  <si>
    <t>Toestel Berging</t>
  </si>
  <si>
    <t>Kleedk/Douche/wc</t>
  </si>
  <si>
    <t>Docentenruimte</t>
  </si>
  <si>
    <t>00.013 A</t>
  </si>
  <si>
    <t>Invaliden Toilet</t>
  </si>
  <si>
    <t>01.000</t>
  </si>
  <si>
    <t>Sanitar</t>
  </si>
  <si>
    <t>Pract.Natuur Lok</t>
  </si>
  <si>
    <t>Natuurkunde Kabinet</t>
  </si>
  <si>
    <t>Lab</t>
  </si>
  <si>
    <t>archief</t>
  </si>
  <si>
    <t>Directie kantoor</t>
  </si>
  <si>
    <t>Administratie</t>
  </si>
  <si>
    <t>01.018</t>
  </si>
  <si>
    <t>01.019</t>
  </si>
  <si>
    <t>01.020</t>
  </si>
  <si>
    <t>Techniek</t>
  </si>
  <si>
    <t>Pract.scheik. Lok</t>
  </si>
  <si>
    <t>Scheikunde kabinet</t>
  </si>
  <si>
    <t>Multifuctionele ruimte</t>
  </si>
  <si>
    <t>Overloop</t>
  </si>
  <si>
    <t>BG</t>
  </si>
  <si>
    <t>A.001</t>
  </si>
  <si>
    <t>lino</t>
  </si>
  <si>
    <t>A.002</t>
  </si>
  <si>
    <t>A.003</t>
  </si>
  <si>
    <t>A.004</t>
  </si>
  <si>
    <t>K.001</t>
  </si>
  <si>
    <t>Opslag</t>
  </si>
  <si>
    <t>K.002</t>
  </si>
  <si>
    <t>K.003</t>
  </si>
  <si>
    <t>V.001</t>
  </si>
  <si>
    <t>K.004</t>
  </si>
  <si>
    <t>tapijt</t>
  </si>
  <si>
    <t>X.001</t>
  </si>
  <si>
    <t>S.001</t>
  </si>
  <si>
    <t>Toilet</t>
  </si>
  <si>
    <t>gietvloer</t>
  </si>
  <si>
    <t>V.002</t>
  </si>
  <si>
    <t>V.003</t>
  </si>
  <si>
    <t>inloopmat</t>
  </si>
  <si>
    <t xml:space="preserve">A.005 </t>
  </si>
  <si>
    <t>A.006</t>
  </si>
  <si>
    <t>A.007</t>
  </si>
  <si>
    <t>A.008</t>
  </si>
  <si>
    <t>A.009</t>
  </si>
  <si>
    <t>A.010</t>
  </si>
  <si>
    <t>A.011</t>
  </si>
  <si>
    <t>A.012</t>
  </si>
  <si>
    <t>V.004</t>
  </si>
  <si>
    <t>S.002</t>
  </si>
  <si>
    <t>MIVA</t>
  </si>
  <si>
    <t>S.003</t>
  </si>
  <si>
    <t>V.005</t>
  </si>
  <si>
    <t>beton</t>
  </si>
  <si>
    <t>V.006</t>
  </si>
  <si>
    <t>K.005</t>
  </si>
  <si>
    <t>V.007</t>
  </si>
  <si>
    <t>K.006</t>
  </si>
  <si>
    <t>K.007</t>
  </si>
  <si>
    <t>K.008</t>
  </si>
  <si>
    <t>A.013</t>
  </si>
  <si>
    <t>A.014</t>
  </si>
  <si>
    <t>A.015</t>
  </si>
  <si>
    <t>A.016</t>
  </si>
  <si>
    <t>V.008</t>
  </si>
  <si>
    <t>Mediatheek</t>
  </si>
  <si>
    <t>A.017</t>
  </si>
  <si>
    <t>Kooklokaal</t>
  </si>
  <si>
    <t>A.018</t>
  </si>
  <si>
    <t>Verzorging</t>
  </si>
  <si>
    <t>A.019</t>
  </si>
  <si>
    <t>Computerlokaal</t>
  </si>
  <si>
    <t>V.010</t>
  </si>
  <si>
    <t>S.004</t>
  </si>
  <si>
    <t>Kleedkamer</t>
  </si>
  <si>
    <t>S.005</t>
  </si>
  <si>
    <t>S.006</t>
  </si>
  <si>
    <t>Douche</t>
  </si>
  <si>
    <t>S.007</t>
  </si>
  <si>
    <t>S.008</t>
  </si>
  <si>
    <t>S.009</t>
  </si>
  <si>
    <t>S.010</t>
  </si>
  <si>
    <t>S.011</t>
  </si>
  <si>
    <t>S.012</t>
  </si>
  <si>
    <t>S.013</t>
  </si>
  <si>
    <t>S.014</t>
  </si>
  <si>
    <t>S.015</t>
  </si>
  <si>
    <t>S.016</t>
  </si>
  <si>
    <t>S.017</t>
  </si>
  <si>
    <t>A.020</t>
  </si>
  <si>
    <t>sportvloer</t>
  </si>
  <si>
    <t>A.020a</t>
  </si>
  <si>
    <t>A.021</t>
  </si>
  <si>
    <t>A.021a</t>
  </si>
  <si>
    <t>V.011</t>
  </si>
  <si>
    <t>V.012</t>
  </si>
  <si>
    <t>V.013</t>
  </si>
  <si>
    <t>Pauzeruimte</t>
  </si>
  <si>
    <t>K.012</t>
  </si>
  <si>
    <t>Receptie</t>
  </si>
  <si>
    <t>V.014</t>
  </si>
  <si>
    <t>V.015</t>
  </si>
  <si>
    <t>K.013</t>
  </si>
  <si>
    <t>Conciërge</t>
  </si>
  <si>
    <t>pvc</t>
  </si>
  <si>
    <t>S.018</t>
  </si>
  <si>
    <t>V.016</t>
  </si>
  <si>
    <t>S.019</t>
  </si>
  <si>
    <t>V.017</t>
  </si>
  <si>
    <t>V.018</t>
  </si>
  <si>
    <t>Theaterzaal</t>
  </si>
  <si>
    <t>hout</t>
  </si>
  <si>
    <t>B.001</t>
  </si>
  <si>
    <t>surestep</t>
  </si>
  <si>
    <t>V.019</t>
  </si>
  <si>
    <t>K.014</t>
  </si>
  <si>
    <t>B.002</t>
  </si>
  <si>
    <t>B.003</t>
  </si>
  <si>
    <t>V.020</t>
  </si>
  <si>
    <t>B.004</t>
  </si>
  <si>
    <t>B.005/6</t>
  </si>
  <si>
    <t>B.007</t>
  </si>
  <si>
    <t>B.008</t>
  </si>
  <si>
    <t>S.020</t>
  </si>
  <si>
    <t>V.021</t>
  </si>
  <si>
    <t>S.021</t>
  </si>
  <si>
    <t>S.022</t>
  </si>
  <si>
    <t>B.009</t>
  </si>
  <si>
    <t>V.022</t>
  </si>
  <si>
    <t>B.010</t>
  </si>
  <si>
    <t>TOA-ruimte NABISK</t>
  </si>
  <si>
    <t>V.023</t>
  </si>
  <si>
    <t>V.023a</t>
  </si>
  <si>
    <t>B.011</t>
  </si>
  <si>
    <t>B.012</t>
  </si>
  <si>
    <t>B.013</t>
  </si>
  <si>
    <t>Studiecentrum</t>
  </si>
  <si>
    <t>V.024</t>
  </si>
  <si>
    <t>V.025</t>
  </si>
  <si>
    <t>B.014</t>
  </si>
  <si>
    <t>B.015</t>
  </si>
  <si>
    <t>B.016</t>
  </si>
  <si>
    <t>V.026</t>
  </si>
  <si>
    <t>S.023</t>
  </si>
  <si>
    <t>S.024</t>
  </si>
  <si>
    <t>S.025</t>
  </si>
  <si>
    <t>S.026</t>
  </si>
  <si>
    <t>V.027</t>
  </si>
  <si>
    <t>V.028</t>
  </si>
  <si>
    <t>V.029</t>
  </si>
  <si>
    <t>B.017</t>
  </si>
  <si>
    <t>B.018</t>
  </si>
  <si>
    <t>B.019</t>
  </si>
  <si>
    <t>V.030</t>
  </si>
  <si>
    <t>Opslag / Gang TD</t>
  </si>
  <si>
    <t>V.031</t>
  </si>
  <si>
    <t>TD</t>
  </si>
  <si>
    <t>B.020</t>
  </si>
  <si>
    <t>B.020a</t>
  </si>
  <si>
    <t>B.020b</t>
  </si>
  <si>
    <t>B.020c</t>
  </si>
  <si>
    <t>X.002</t>
  </si>
  <si>
    <t>Opslag muziek</t>
  </si>
  <si>
    <t>X.003</t>
  </si>
  <si>
    <t>X.004</t>
  </si>
  <si>
    <t>X.005</t>
  </si>
  <si>
    <t>A.101</t>
  </si>
  <si>
    <t>A.102</t>
  </si>
  <si>
    <t>A.103</t>
  </si>
  <si>
    <t>A.104</t>
  </si>
  <si>
    <t>K.101</t>
  </si>
  <si>
    <t>K.102</t>
  </si>
  <si>
    <t>V.101</t>
  </si>
  <si>
    <t>K.103</t>
  </si>
  <si>
    <t>V.102</t>
  </si>
  <si>
    <t>V.102a</t>
  </si>
  <si>
    <t>Gang trappenhuis</t>
  </si>
  <si>
    <t>V.102b</t>
  </si>
  <si>
    <t>X.101</t>
  </si>
  <si>
    <t>Achterwachtlokaal</t>
  </si>
  <si>
    <t>X1.02</t>
  </si>
  <si>
    <t>S.101</t>
  </si>
  <si>
    <t>V.103</t>
  </si>
  <si>
    <t>V.103a</t>
  </si>
  <si>
    <t>V.103b</t>
  </si>
  <si>
    <t>A.105</t>
  </si>
  <si>
    <t>A.106</t>
  </si>
  <si>
    <t>A.107</t>
  </si>
  <si>
    <t>A.108</t>
  </si>
  <si>
    <t>A.109</t>
  </si>
  <si>
    <t>A.110</t>
  </si>
  <si>
    <t>A.111</t>
  </si>
  <si>
    <t>A.112</t>
  </si>
  <si>
    <t>S.102</t>
  </si>
  <si>
    <t>S.103</t>
  </si>
  <si>
    <t>A.113</t>
  </si>
  <si>
    <t>A.114</t>
  </si>
  <si>
    <t>A.115</t>
  </si>
  <si>
    <t>A.116</t>
  </si>
  <si>
    <t>K.104</t>
  </si>
  <si>
    <t>V.105</t>
  </si>
  <si>
    <t>K.105</t>
  </si>
  <si>
    <t>K.106</t>
  </si>
  <si>
    <t>X.107</t>
  </si>
  <si>
    <t>X.108</t>
  </si>
  <si>
    <t>V.106</t>
  </si>
  <si>
    <t>A.117</t>
  </si>
  <si>
    <t>V.107</t>
  </si>
  <si>
    <t>X.109</t>
  </si>
  <si>
    <t>X.110</t>
  </si>
  <si>
    <t>X.111</t>
  </si>
  <si>
    <t>X.112</t>
  </si>
  <si>
    <t>S.104</t>
  </si>
  <si>
    <t>V.108</t>
  </si>
  <si>
    <t>A.118</t>
  </si>
  <si>
    <t>A.119/120</t>
  </si>
  <si>
    <t>A.121</t>
  </si>
  <si>
    <t>V.109</t>
  </si>
  <si>
    <t>V.110</t>
  </si>
  <si>
    <t>V.110a</t>
  </si>
  <si>
    <t>B.101</t>
  </si>
  <si>
    <t>B.102/103</t>
  </si>
  <si>
    <t>B.104</t>
  </si>
  <si>
    <t>B.105</t>
  </si>
  <si>
    <t>B.106</t>
  </si>
  <si>
    <t>V.111</t>
  </si>
  <si>
    <t>V.111a</t>
  </si>
  <si>
    <t>S.105</t>
  </si>
  <si>
    <t>S.106</t>
  </si>
  <si>
    <t>B.107/108</t>
  </si>
  <si>
    <t>X.113</t>
  </si>
  <si>
    <t>Bordes A</t>
  </si>
  <si>
    <t>X.114</t>
  </si>
  <si>
    <t>Bordes B</t>
  </si>
  <si>
    <t>X.115</t>
  </si>
  <si>
    <t>B.109</t>
  </si>
  <si>
    <t>Lerarenkamer</t>
  </si>
  <si>
    <t>V.112</t>
  </si>
  <si>
    <t>V.113</t>
  </si>
  <si>
    <t>B.110</t>
  </si>
  <si>
    <t>B.111</t>
  </si>
  <si>
    <t>B.120</t>
  </si>
  <si>
    <t>Lokaal bordes</t>
  </si>
  <si>
    <t>2e</t>
  </si>
  <si>
    <t>S.201</t>
  </si>
  <si>
    <t>V.201</t>
  </si>
  <si>
    <t>Kantoor gang</t>
  </si>
  <si>
    <t>X.201</t>
  </si>
  <si>
    <t>A.201</t>
  </si>
  <si>
    <t>A.202</t>
  </si>
  <si>
    <t>A.203</t>
  </si>
  <si>
    <t>A.204</t>
  </si>
  <si>
    <t>A.205</t>
  </si>
  <si>
    <t>A.206</t>
  </si>
  <si>
    <t>V.202</t>
  </si>
  <si>
    <t>S.202</t>
  </si>
  <si>
    <t>S.203</t>
  </si>
  <si>
    <t>V.203</t>
  </si>
  <si>
    <t>X.202</t>
  </si>
  <si>
    <t>O.201</t>
  </si>
  <si>
    <t>S.204</t>
  </si>
  <si>
    <t>S.205</t>
  </si>
  <si>
    <t>K.201</t>
  </si>
  <si>
    <t>K.202</t>
  </si>
  <si>
    <t>K.203</t>
  </si>
  <si>
    <t>K.204</t>
  </si>
  <si>
    <t>K.205</t>
  </si>
  <si>
    <t>K.206</t>
  </si>
  <si>
    <t>Vergaderzaal</t>
  </si>
  <si>
    <t>K.207</t>
  </si>
  <si>
    <t>K.208</t>
  </si>
  <si>
    <t>K.209</t>
  </si>
  <si>
    <t>K.210</t>
  </si>
  <si>
    <t>K.211</t>
  </si>
  <si>
    <t>K.212</t>
  </si>
  <si>
    <t>K.213</t>
  </si>
  <si>
    <t>K.214</t>
  </si>
  <si>
    <t>V.205</t>
  </si>
  <si>
    <t>V.206</t>
  </si>
  <si>
    <t>natuursteen</t>
  </si>
  <si>
    <t>G.001</t>
  </si>
  <si>
    <t>Kleedruimte</t>
  </si>
  <si>
    <t>G.002</t>
  </si>
  <si>
    <t>G.003</t>
  </si>
  <si>
    <t>G.004</t>
  </si>
  <si>
    <t>G.005</t>
  </si>
  <si>
    <t>G.006</t>
  </si>
  <si>
    <t>G.007</t>
  </si>
  <si>
    <t>G.008</t>
  </si>
  <si>
    <t>G.009</t>
  </si>
  <si>
    <t>Zaal 1</t>
  </si>
  <si>
    <t>G.010</t>
  </si>
  <si>
    <t>Zaal 2</t>
  </si>
  <si>
    <t>G.011</t>
  </si>
  <si>
    <t>G.012</t>
  </si>
  <si>
    <t>G.013</t>
  </si>
  <si>
    <t>Leraar</t>
  </si>
  <si>
    <t>G.014</t>
  </si>
  <si>
    <t>steen</t>
  </si>
  <si>
    <t>G.101</t>
  </si>
  <si>
    <t>G.102</t>
  </si>
  <si>
    <t>G.103</t>
  </si>
  <si>
    <t>G.104</t>
  </si>
  <si>
    <t>G.105</t>
  </si>
  <si>
    <t>G.106</t>
  </si>
  <si>
    <t>Fitness</t>
  </si>
  <si>
    <t>Losstaande pauzeruimte</t>
  </si>
  <si>
    <t>P.001</t>
  </si>
  <si>
    <t>Lockerruimte</t>
  </si>
  <si>
    <t>P.002</t>
  </si>
  <si>
    <t>Kantineruimte 1</t>
  </si>
  <si>
    <t>P.003</t>
  </si>
  <si>
    <t>Kantineruimte 2</t>
  </si>
  <si>
    <t>P.004</t>
  </si>
  <si>
    <t>Multifuncionele ruimte</t>
  </si>
  <si>
    <t>P.005</t>
  </si>
  <si>
    <t>P.006</t>
  </si>
  <si>
    <t>Toilet jongens</t>
  </si>
  <si>
    <t>P.007</t>
  </si>
  <si>
    <t>Toilet Meisjes</t>
  </si>
  <si>
    <t>P.008</t>
  </si>
  <si>
    <t>LBK</t>
  </si>
  <si>
    <t>P.009</t>
  </si>
  <si>
    <t>CV-ruimte</t>
  </si>
  <si>
    <t>P.010</t>
  </si>
  <si>
    <t>Berging Aula</t>
  </si>
  <si>
    <t>Tegels</t>
  </si>
  <si>
    <t>P.011</t>
  </si>
  <si>
    <t>P.012</t>
  </si>
  <si>
    <t>Vloeronderhoud</t>
  </si>
  <si>
    <t>Alle groen gearceerde velden dienen ingevuld te worden, overige cellen mogen niet gewijzigd worden</t>
  </si>
  <si>
    <t>Aan genoemde aantallen kunnen geen rechten worden ontleend. Werkzaamheden worden enkel in overleg met en na opdracht van Opdrachtgever uitgevoerd.</t>
  </si>
  <si>
    <t xml:space="preserve">Opdrachtgever heeft tijdens de gehele contractduur het recht frequenties en uitvoermomenten aan te passen of werkzaamheden aan derden uit te besteden. </t>
  </si>
  <si>
    <t>De opgegeven prijzen zijn tijdens de gehele contractduur van toepassing als all-in afroepprijs.</t>
  </si>
  <si>
    <t>Code Taak</t>
  </si>
  <si>
    <t>Werkzaamheden</t>
  </si>
  <si>
    <t>Prijs</t>
  </si>
  <si>
    <t>Omschrijving</t>
  </si>
  <si>
    <t>2026</t>
  </si>
  <si>
    <t>2027</t>
  </si>
  <si>
    <t>2028</t>
  </si>
  <si>
    <t>2029</t>
  </si>
  <si>
    <t>2030</t>
  </si>
  <si>
    <t>Sprayen/opblokken</t>
  </si>
  <si>
    <t>Prijs per m2 per beurt, incl. in- en uitruimen</t>
  </si>
  <si>
    <t>Topstrippen en conserveren</t>
  </si>
  <si>
    <t>Prijs per m2 per beurt, incl. in- en uitruimen, minimaal 2 lagen, kruislings</t>
  </si>
  <si>
    <t>Diepstrippen, sealen en conserveren</t>
  </si>
  <si>
    <t>Tapijtreinigen, sproei-extractiemethode</t>
  </si>
  <si>
    <t>Tapijtreinigen, poedermethode</t>
  </si>
  <si>
    <t>Schuren en lakken houten vloer</t>
  </si>
  <si>
    <t>Handmatig schrobben en droogzuigen</t>
  </si>
  <si>
    <t>Machinaal schrobben en droogzuigen</t>
  </si>
  <si>
    <t>Natuursteen conserveren, bijv. marmer, travertin of leisteen</t>
  </si>
  <si>
    <t>PU-coating</t>
  </si>
  <si>
    <t>Code Locatie</t>
  </si>
  <si>
    <t>Vloersoort</t>
  </si>
  <si>
    <t>Oppervlakte</t>
  </si>
  <si>
    <t>Frequentie (uitv./jaar)</t>
  </si>
  <si>
    <t>Kosten/jaar excl. BTW</t>
  </si>
  <si>
    <t>Totaal</t>
  </si>
  <si>
    <t>Glasbewassing</t>
  </si>
  <si>
    <t xml:space="preserve">Aan genoemde aantallen kunnen geen rechten worden ontleend. </t>
  </si>
  <si>
    <t>De opgegeven prijzen zijn tijdens de gehele contractduur van toepassing als afroepprijs.</t>
  </si>
  <si>
    <t>Code taak</t>
  </si>
  <si>
    <t>Glassoort/voorziening</t>
  </si>
  <si>
    <t>Prijs excl. BTW</t>
  </si>
  <si>
    <t>Eenheid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</si>
  <si>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</si>
  <si>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</si>
  <si>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</si>
  <si>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</si>
  <si>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</si>
  <si>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</si>
  <si>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</si>
  <si>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</si>
  <si>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</si>
  <si>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H1</t>
  </si>
  <si>
    <t>Hoogwerker buiten max 12 meter</t>
  </si>
  <si>
    <t>Prijs per beurt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</si>
  <si>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</si>
  <si>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</si>
  <si>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</si>
  <si>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</si>
  <si>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</si>
  <si>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</si>
  <si>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</si>
  <si>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</si>
  <si>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</si>
  <si>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Opmerkingen</t>
  </si>
  <si>
    <t>Hier vult u de inzet van eventuele hoogwerkers in</t>
  </si>
  <si>
    <t>Extra Werkzaamheden</t>
  </si>
  <si>
    <t>Toelichting</t>
  </si>
  <si>
    <t>Prijs
Excl. BTW</t>
  </si>
  <si>
    <t>Werkzaamheid</t>
  </si>
  <si>
    <t>Frequentie (uitv. per jaar)</t>
  </si>
  <si>
    <t>Regie- en afroepwerkzaamheden</t>
  </si>
  <si>
    <t>Genoemde aantallen zijn fictief en dienen om een vergelijkingsprijs op te stellen</t>
  </si>
  <si>
    <t>* zie tabblad Werkprogramma voor definities</t>
  </si>
  <si>
    <t>Regie per uur</t>
  </si>
  <si>
    <t>Regiewerkzaamheden (schoonmaakonderhoud, ma-vr. tussen 6:00 en 21:30)</t>
  </si>
  <si>
    <t>Prijs per uur</t>
  </si>
  <si>
    <t>Specialistische regiewerkzaamheden  (ma-vr. tussen 6:00 en 21:30)</t>
  </si>
  <si>
    <t>Servicewerkzaamheden (eenvoudige facilitaire dienstverlening, gastheer/-vrouw etc, ma-vr. tussen 6:00 en 21:30)</t>
  </si>
  <si>
    <t>Cateringwerkzaamheden (ma-vr. tussen 6:00 en 21:30)</t>
  </si>
  <si>
    <t>Klein technisch onderhoud, verhelpen techische gebreken</t>
  </si>
  <si>
    <t>Calamiteitenservice inclusief materialen en middelen</t>
  </si>
  <si>
    <t>Wassen handdoeken</t>
  </si>
  <si>
    <t>Prijs per stuk</t>
  </si>
  <si>
    <t>Wassen theedoeken</t>
  </si>
  <si>
    <t>Prijs per stuk per beurt</t>
  </si>
  <si>
    <t>Vaatwasser inruimen, activeren en uitruimen</t>
  </si>
  <si>
    <t>Reinigen koelkast binnen- en buitenzijde</t>
  </si>
  <si>
    <t>prijs per stuk</t>
  </si>
  <si>
    <t>Reinigen van keukenkastjes binnen- en buitenzijde</t>
  </si>
  <si>
    <t>Reinigen van magnetron binnen- en buitenzijde</t>
  </si>
  <si>
    <t>Reinigen van koffieautomaat binnen- en buitenzijde</t>
  </si>
  <si>
    <t>Buiten</t>
  </si>
  <si>
    <t xml:space="preserve">Vegen van het buitenterrein </t>
  </si>
  <si>
    <t>prijs per m²</t>
  </si>
  <si>
    <t>Verwijderen kauwgom buitenterrein</t>
  </si>
  <si>
    <r>
      <t>Prijs per m</t>
    </r>
    <r>
      <rPr>
        <vertAlign val="superscript"/>
        <sz val="9"/>
        <rFont val="Aptos"/>
        <family val="2"/>
      </rPr>
      <t>2</t>
    </r>
  </si>
  <si>
    <t>Wanden en plafonds</t>
  </si>
  <si>
    <t>Intensief reinigen voegen tegelwanden</t>
  </si>
  <si>
    <r>
      <t>Prijs per m</t>
    </r>
    <r>
      <rPr>
        <vertAlign val="superscript"/>
        <sz val="9"/>
        <rFont val="Aptos"/>
        <family val="2"/>
      </rPr>
      <t xml:space="preserve">2 </t>
    </r>
    <r>
      <rPr>
        <sz val="9"/>
        <rFont val="Aptos"/>
        <family val="2"/>
      </rPr>
      <t>per beurt</t>
    </r>
  </si>
  <si>
    <t>Volledig reinigen kunststofwanden (maximaal 6 meter hoog)</t>
  </si>
  <si>
    <t>Volledig reinigen tegelwanden (maximaal 6 meter hoog)</t>
  </si>
  <si>
    <t>Volledig reinigen geschilderde wanden (maximaal 6 meter hoog)</t>
  </si>
  <si>
    <t xml:space="preserve">Reinigen van plafonds </t>
  </si>
  <si>
    <t>Matten</t>
  </si>
  <si>
    <t>Schoonloopmat klein (85x150) incl. levering en tweewekelijks wisselen</t>
  </si>
  <si>
    <t>Prijs per stuk per jaar</t>
  </si>
  <si>
    <t>Schoonloopmat middel (115x150) incl. levering en tweewekelijks wisselen</t>
  </si>
  <si>
    <t>Schoonloopmat groot (150x200) incl. levering en tweewekelijks wisselen</t>
  </si>
  <si>
    <t>Textiel reinigen</t>
  </si>
  <si>
    <t>Reinigen van vitrage</t>
  </si>
  <si>
    <t>Reinigen van kunststoflamellen</t>
  </si>
  <si>
    <t>Reinigen van stoffenlamellen</t>
  </si>
  <si>
    <t>Reinigen van horizontale kunststoflamellen (luxaflex)</t>
  </si>
  <si>
    <t>Vlek verwijderen textiele bekleding zitvlak stoelen</t>
  </si>
  <si>
    <t>Dieptereiniging sanitair</t>
  </si>
  <si>
    <t xml:space="preserve">Het verwijderen van aanslag per unit incl. (de-)montage </t>
  </si>
  <si>
    <t>prijs per toiletunit*</t>
  </si>
  <si>
    <t>Het desinfecteren van alle sanitaire onderdelen</t>
  </si>
  <si>
    <t>prijs per toiletunit</t>
  </si>
  <si>
    <t>Fantomatten sanitaire ruimte</t>
  </si>
  <si>
    <t>Stoomreinigen sanitaire ruimte</t>
  </si>
  <si>
    <t>Handelingen dieptereiniging per toilet unit</t>
  </si>
  <si>
    <r>
      <t>Sanitaire eenheid:</t>
    </r>
    <r>
      <rPr>
        <sz val="10"/>
        <rFont val="Aptos"/>
        <family val="2"/>
      </rPr>
      <t xml:space="preserve"> bestaat uit 2 toiletpotten (of 1 toiletpot en 1 urinoir) en 1 wastafel</t>
    </r>
  </si>
  <si>
    <t>tegelwand tot 1 meter aan weerszijde van de urninoir(s) tot aan de bovenzijde reinigen</t>
  </si>
  <si>
    <t>vloer tot 1 meter aan weerszijde van de urninoir(s) en 1 meter vanaf de wand reinigen</t>
  </si>
  <si>
    <t>tegelwand tot 1 meter aan weerszijde van de wastafel(s) tot aan bovenzijde reinigen</t>
  </si>
  <si>
    <t>vloer tot 1 meter aan weerszijde van de wastafel(s) en 1 meter vanaf de wand reinigen</t>
  </si>
  <si>
    <t>Totalisatie</t>
  </si>
  <si>
    <r>
      <t>Alle groen gearceerde velden dienen ingevuld te worden, overige cellen mogen niet gewijzigd worden (</t>
    </r>
    <r>
      <rPr>
        <sz val="9"/>
        <rFont val="Aptos"/>
        <family val="2"/>
      </rPr>
      <t>m.u.v. de tabel Rechtsgeldige Ondertekening), waar alle stippellijnen ingevuld dienen te worden)</t>
    </r>
  </si>
  <si>
    <t>Samenvatting schoonmaakonderhoud</t>
  </si>
  <si>
    <t>Oppervlakte i/o</t>
  </si>
  <si>
    <t>Uren / jaar</t>
  </si>
  <si>
    <t>Norm (m2/uur)</t>
  </si>
  <si>
    <t>Kosten / jaar</t>
  </si>
  <si>
    <t>Kosten / m2</t>
  </si>
  <si>
    <t>Totalisatie (excl. BTW)</t>
  </si>
  <si>
    <t>Locaties</t>
  </si>
  <si>
    <t>Schoonmaakonderhoud
Kosten / jaar</t>
  </si>
  <si>
    <t>Vloeronderhoud
Kosten / jaar</t>
  </si>
  <si>
    <t>Glasbewassing
Kosten / jaar</t>
  </si>
  <si>
    <t>Extra Werkzaamheden
Kosten / jaar</t>
  </si>
  <si>
    <t>Totaalprijs
Kosten / jaar</t>
  </si>
  <si>
    <t>Rechtsgeldig ondertekening</t>
  </si>
  <si>
    <t>Naam Inschrijver:</t>
  </si>
  <si>
    <t>……………</t>
  </si>
  <si>
    <t>Plaats, datum</t>
  </si>
  <si>
    <t>Handtekening</t>
  </si>
  <si>
    <t>Ter indicatie, na gunning in te meten</t>
  </si>
  <si>
    <t>Bijlage 4 dient in Excel format te worden toegevoegd, deze pagina dient daarnaast rechtsgeldig ondertekend als PDF te worden toegevoegd.</t>
  </si>
  <si>
    <t>Vanaf 13.30 uur</t>
  </si>
  <si>
    <t>Tussen 10.00 en 11.30 uur</t>
  </si>
  <si>
    <t>inloop/gietvloer</t>
  </si>
  <si>
    <t>Prijs per uur, overgenomen van tariefsopbouw</t>
  </si>
  <si>
    <t>Dagelijkse naloopronde sanitair en/of extra werkzaamheden (zie handeling PvE)</t>
  </si>
  <si>
    <t>Uren</t>
  </si>
  <si>
    <t>Onbepaalde tijd</t>
  </si>
  <si>
    <t>Bepaalde tijd</t>
  </si>
  <si>
    <t>Nee</t>
  </si>
  <si>
    <t>Ja</t>
  </si>
  <si>
    <t>Med. Alg. Schoonmaakonderhoud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</si>
</sst>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  <numFmt numFmtId="185" formatCode="_(* #,##0.0_);_(* \(#,##0.0\);_(* &quot;-&quot;??_);_(@_)"/>
    <numFmt numFmtId="186" formatCode="0.0000%"/>
    <numFmt numFmtId="187" formatCode="#.##000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Geneva"/>
    </font>
    <font>
      <sz val="8"/>
      <name val="Arial"/>
      <family val="2"/>
    </font>
    <font>
      <sz val="9"/>
      <color rgb="FFFFFFFF"/>
      <name val="Aptos"/>
      <family val="2"/>
    </font>
    <font>
      <b/>
      <sz val="9"/>
      <color theme="0"/>
      <name val="Aptos"/>
      <family val="2"/>
    </font>
    <font>
      <sz val="10"/>
      <name val="Aptos"/>
      <family val="2"/>
    </font>
    <font>
      <sz val="9"/>
      <color theme="1"/>
      <name val="Aptos"/>
      <family val="2"/>
    </font>
    <font>
      <sz val="10"/>
      <color indexed="8"/>
      <name val="Aptos"/>
      <family val="2"/>
    </font>
    <font>
      <b/>
      <sz val="12"/>
      <color theme="0"/>
      <name val="Aptos"/>
      <family val="2"/>
    </font>
    <font>
      <sz val="9"/>
      <name val="Aptos"/>
      <family val="2"/>
    </font>
    <font>
      <b/>
      <u/>
      <sz val="12"/>
      <name val="Aptos"/>
      <family val="2"/>
    </font>
    <font>
      <b/>
      <sz val="9"/>
      <name val="Aptos"/>
      <family val="2"/>
    </font>
    <font>
      <sz val="9"/>
      <color theme="0"/>
      <name val="Aptos"/>
      <family val="2"/>
    </font>
    <font>
      <b/>
      <sz val="9"/>
      <color theme="1"/>
      <name val="Aptos"/>
      <family val="2"/>
    </font>
    <font>
      <u/>
      <sz val="9"/>
      <name val="Aptos"/>
      <family val="2"/>
    </font>
    <font>
      <b/>
      <sz val="10"/>
      <name val="Aptos"/>
      <family val="2"/>
    </font>
    <font>
      <sz val="9"/>
      <color indexed="8"/>
      <name val="Aptos"/>
      <family val="2"/>
    </font>
    <font>
      <sz val="9"/>
      <color theme="4"/>
      <name val="Aptos"/>
      <family val="2"/>
    </font>
    <font>
      <b/>
      <u/>
      <sz val="9"/>
      <name val="Aptos"/>
      <family val="2"/>
    </font>
    <font>
      <sz val="9"/>
      <color rgb="FF222222"/>
      <name val="Aptos"/>
      <family val="2"/>
    </font>
    <font>
      <vertAlign val="superscript"/>
      <sz val="9"/>
      <name val="Aptos"/>
      <family val="2"/>
    </font>
    <font>
      <b/>
      <sz val="12"/>
      <name val="Aptos"/>
      <family val="2"/>
    </font>
    <font>
      <u/>
      <sz val="10"/>
      <name val="Aptos"/>
      <family val="2"/>
    </font>
    <font>
      <b/>
      <sz val="9"/>
      <color rgb="FFFF0000"/>
      <name val="Aptos"/>
      <family val="2"/>
    </font>
    <font>
      <sz val="9"/>
      <color rgb="FFFF0000"/>
      <name val="Aptos"/>
      <family val="2"/>
    </font>
    <font>
      <sz val="9"/>
      <color indexed="9"/>
      <name val="Aptos"/>
      <family val="2"/>
    </font>
    <font>
      <sz val="10"/>
      <color theme="1"/>
      <name val="Aptos"/>
      <family val="2"/>
    </font>
    <font>
      <b/>
      <sz val="9"/>
      <color indexed="8"/>
      <name val="Aptos"/>
      <family val="2"/>
    </font>
    <font>
      <sz val="10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2B4155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2" fillId="0" borderId="0"/>
    <xf numFmtId="44" fontId="49" fillId="0" borderId="0" applyFont="0" applyFill="0" applyBorder="0" applyAlignment="0" applyProtection="0"/>
  </cellStyleXfs>
  <cellXfs count="337">
    <xf numFmtId="0" fontId="0" fillId="0" borderId="0" xfId="0"/>
    <xf numFmtId="0" fontId="24" fillId="13" borderId="9" xfId="0" applyFont="1" applyFill="1" applyBorder="1" applyAlignment="1">
      <alignment horizontal="left" vertical="center" wrapText="1"/>
    </xf>
    <xf numFmtId="0" fontId="25" fillId="13" borderId="9" xfId="0" applyFont="1" applyFill="1" applyBorder="1" applyAlignment="1">
      <alignment vertical="center" wrapText="1"/>
    </xf>
    <xf numFmtId="0" fontId="26" fillId="0" borderId="0" xfId="0" applyFont="1"/>
    <xf numFmtId="0" fontId="27" fillId="0" borderId="9" xfId="0" applyFont="1" applyBorder="1" applyAlignment="1">
      <alignment horizontal="right" vertical="center"/>
    </xf>
    <xf numFmtId="14" fontId="27" fillId="0" borderId="9" xfId="0" applyNumberFormat="1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168" fontId="27" fillId="0" borderId="9" xfId="20" applyFont="1" applyBorder="1" applyAlignment="1">
      <alignment horizontal="right" vertical="center"/>
    </xf>
    <xf numFmtId="0" fontId="27" fillId="0" borderId="9" xfId="0" applyFont="1" applyBorder="1" applyAlignment="1">
      <alignment horizontal="center" vertical="center"/>
    </xf>
    <xf numFmtId="184" fontId="27" fillId="0" borderId="9" xfId="45" applyNumberFormat="1" applyFont="1" applyBorder="1" applyAlignment="1">
      <alignment horizontal="center" vertical="center"/>
    </xf>
    <xf numFmtId="44" fontId="27" fillId="0" borderId="9" xfId="45" applyFont="1" applyBorder="1" applyAlignment="1">
      <alignment vertical="center"/>
    </xf>
    <xf numFmtId="185" fontId="27" fillId="0" borderId="9" xfId="20" applyNumberFormat="1" applyFont="1" applyBorder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6" fillId="0" borderId="0" xfId="42" applyFont="1" applyAlignment="1">
      <alignment wrapText="1"/>
    </xf>
    <xf numFmtId="0" fontId="26" fillId="0" borderId="9" xfId="46" applyFont="1" applyBorder="1" applyAlignment="1">
      <alignment horizontal="left" vertical="center" wrapText="1"/>
    </xf>
    <xf numFmtId="49" fontId="28" fillId="0" borderId="9" xfId="46" applyNumberFormat="1" applyFont="1" applyBorder="1" applyAlignment="1" applyProtection="1">
      <alignment horizontal="left" vertical="center" wrapText="1"/>
      <protection hidden="1"/>
    </xf>
    <xf numFmtId="0" fontId="26" fillId="6" borderId="9" xfId="46" applyFont="1" applyFill="1" applyBorder="1" applyAlignment="1">
      <alignment horizontal="left" vertical="center" wrapText="1"/>
    </xf>
    <xf numFmtId="49" fontId="28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28" fillId="0" borderId="9" xfId="46" applyFont="1" applyBorder="1" applyAlignment="1">
      <alignment horizontal="left" vertical="center" wrapText="1"/>
    </xf>
    <xf numFmtId="0" fontId="26" fillId="0" borderId="0" xfId="42" applyFont="1" applyAlignment="1">
      <alignment horizontal="left" vertical="center" wrapText="1"/>
    </xf>
    <xf numFmtId="0" fontId="30" fillId="0" borderId="0" xfId="30" applyFont="1" applyAlignment="1">
      <alignment vertical="center"/>
    </xf>
    <xf numFmtId="170" fontId="30" fillId="5" borderId="9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3" fillId="13" borderId="9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164" fontId="30" fillId="5" borderId="9" xfId="0" applyNumberFormat="1" applyFont="1" applyFill="1" applyBorder="1" applyAlignment="1">
      <alignment horizontal="left" vertical="center"/>
    </xf>
    <xf numFmtId="10" fontId="30" fillId="5" borderId="9" xfId="0" applyNumberFormat="1" applyFont="1" applyFill="1" applyBorder="1" applyAlignment="1">
      <alignment horizontal="center" vertical="center"/>
    </xf>
    <xf numFmtId="173" fontId="30" fillId="0" borderId="9" xfId="0" applyNumberFormat="1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10" fontId="30" fillId="0" borderId="9" xfId="0" applyNumberFormat="1" applyFont="1" applyBorder="1" applyAlignment="1">
      <alignment horizontal="center" vertical="center"/>
    </xf>
    <xf numFmtId="9" fontId="30" fillId="0" borderId="9" xfId="0" applyNumberFormat="1" applyFont="1" applyBorder="1" applyAlignment="1">
      <alignment vertical="center"/>
    </xf>
    <xf numFmtId="170" fontId="27" fillId="11" borderId="9" xfId="0" applyNumberFormat="1" applyFont="1" applyFill="1" applyBorder="1" applyAlignment="1">
      <alignment horizontal="center" vertical="center"/>
    </xf>
    <xf numFmtId="172" fontId="27" fillId="11" borderId="9" xfId="31" applyNumberFormat="1" applyFont="1" applyFill="1" applyBorder="1" applyAlignment="1" applyProtection="1">
      <alignment horizontal="left" vertical="center"/>
      <protection hidden="1"/>
    </xf>
    <xf numFmtId="0" fontId="35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170" fontId="30" fillId="0" borderId="0" xfId="0" applyNumberFormat="1" applyFont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left" vertical="center"/>
    </xf>
    <xf numFmtId="172" fontId="30" fillId="0" borderId="9" xfId="31" applyNumberFormat="1" applyFont="1" applyBorder="1" applyAlignment="1" applyProtection="1">
      <alignment horizontal="left" vertical="center"/>
      <protection hidden="1"/>
    </xf>
    <xf numFmtId="10" fontId="30" fillId="0" borderId="9" xfId="0" applyNumberFormat="1" applyFont="1" applyBorder="1" applyAlignment="1">
      <alignment vertical="center"/>
    </xf>
    <xf numFmtId="183" fontId="30" fillId="0" borderId="9" xfId="0" applyNumberFormat="1" applyFont="1" applyBorder="1" applyAlignment="1">
      <alignment vertical="center"/>
    </xf>
    <xf numFmtId="10" fontId="30" fillId="0" borderId="9" xfId="44" applyNumberFormat="1" applyFont="1" applyBorder="1" applyAlignment="1">
      <alignment vertical="center"/>
    </xf>
    <xf numFmtId="170" fontId="27" fillId="11" borderId="9" xfId="0" applyNumberFormat="1" applyFont="1" applyFill="1" applyBorder="1" applyAlignment="1" applyProtection="1">
      <alignment horizontal="center" vertical="center"/>
      <protection locked="0"/>
    </xf>
    <xf numFmtId="172" fontId="27" fillId="11" borderId="9" xfId="2" applyNumberFormat="1" applyFont="1" applyFill="1" applyBorder="1" applyAlignment="1" applyProtection="1">
      <alignment horizontal="left" vertical="center"/>
      <protection hidden="1"/>
    </xf>
    <xf numFmtId="170" fontId="30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hidden="1"/>
    </xf>
    <xf numFmtId="170" fontId="30" fillId="0" borderId="9" xfId="0" applyNumberFormat="1" applyFont="1" applyBorder="1" applyAlignment="1">
      <alignment horizontal="center" vertical="center"/>
    </xf>
    <xf numFmtId="44" fontId="30" fillId="5" borderId="9" xfId="45" applyFont="1" applyFill="1" applyBorder="1" applyAlignment="1">
      <alignment horizontal="center" vertical="center"/>
    </xf>
    <xf numFmtId="186" fontId="30" fillId="0" borderId="9" xfId="0" applyNumberFormat="1" applyFont="1" applyBorder="1" applyAlignment="1">
      <alignment vertical="center"/>
    </xf>
    <xf numFmtId="186" fontId="30" fillId="0" borderId="9" xfId="44" applyNumberFormat="1" applyFont="1" applyBorder="1" applyAlignment="1">
      <alignment vertical="center"/>
    </xf>
    <xf numFmtId="171" fontId="30" fillId="0" borderId="9" xfId="0" applyNumberFormat="1" applyFont="1" applyBorder="1" applyAlignment="1">
      <alignment vertical="center"/>
    </xf>
    <xf numFmtId="171" fontId="30" fillId="0" borderId="9" xfId="2" applyFont="1" applyBorder="1" applyAlignment="1" applyProtection="1">
      <alignment horizontal="left" vertical="center"/>
      <protection locked="0"/>
    </xf>
    <xf numFmtId="0" fontId="30" fillId="0" borderId="0" xfId="0" applyFont="1" applyAlignment="1">
      <alignment horizontal="center" vertical="center"/>
    </xf>
    <xf numFmtId="170" fontId="30" fillId="0" borderId="0" xfId="0" applyNumberFormat="1" applyFont="1" applyAlignment="1">
      <alignment horizontal="center" vertical="center"/>
    </xf>
    <xf numFmtId="172" fontId="30" fillId="0" borderId="0" xfId="31" applyNumberFormat="1" applyFont="1" applyAlignment="1" applyProtection="1">
      <alignment horizontal="left" vertical="center"/>
      <protection hidden="1"/>
    </xf>
    <xf numFmtId="170" fontId="30" fillId="0" borderId="9" xfId="44" applyNumberFormat="1" applyFont="1" applyFill="1" applyBorder="1" applyAlignment="1">
      <alignment horizontal="center" vertical="center"/>
    </xf>
    <xf numFmtId="171" fontId="27" fillId="11" borderId="9" xfId="2" applyFont="1" applyFill="1" applyBorder="1" applyAlignment="1" applyProtection="1">
      <alignment horizontal="left" vertical="center"/>
      <protection locked="0"/>
    </xf>
    <xf numFmtId="171" fontId="30" fillId="0" borderId="0" xfId="2" applyFont="1" applyAlignment="1" applyProtection="1">
      <alignment horizontal="left" vertical="center"/>
      <protection locked="0"/>
    </xf>
    <xf numFmtId="173" fontId="34" fillId="11" borderId="9" xfId="0" applyNumberFormat="1" applyFont="1" applyFill="1" applyBorder="1" applyAlignment="1">
      <alignment vertical="center"/>
    </xf>
    <xf numFmtId="173" fontId="30" fillId="0" borderId="0" xfId="0" applyNumberFormat="1" applyFont="1" applyAlignment="1">
      <alignment vertical="center"/>
    </xf>
    <xf numFmtId="0" fontId="25" fillId="13" borderId="7" xfId="0" applyFont="1" applyFill="1" applyBorder="1" applyAlignment="1">
      <alignment vertical="center" wrapText="1"/>
    </xf>
    <xf numFmtId="0" fontId="25" fillId="13" borderId="4" xfId="0" applyFont="1" applyFill="1" applyBorder="1" applyAlignment="1">
      <alignment vertical="center" wrapText="1"/>
    </xf>
    <xf numFmtId="10" fontId="33" fillId="13" borderId="9" xfId="0" applyNumberFormat="1" applyFont="1" applyFill="1" applyBorder="1" applyAlignment="1">
      <alignment horizontal="center" vertical="center" wrapText="1"/>
    </xf>
    <xf numFmtId="9" fontId="30" fillId="0" borderId="9" xfId="0" applyNumberFormat="1" applyFont="1" applyBorder="1" applyAlignment="1">
      <alignment horizontal="center" vertical="center"/>
    </xf>
    <xf numFmtId="173" fontId="30" fillId="0" borderId="9" xfId="0" applyNumberFormat="1" applyFont="1" applyBorder="1" applyAlignment="1" applyProtection="1">
      <alignment vertical="center"/>
      <protection locked="0"/>
    </xf>
    <xf numFmtId="173" fontId="30" fillId="0" borderId="9" xfId="2" applyNumberFormat="1" applyFont="1" applyBorder="1" applyAlignment="1" applyProtection="1">
      <alignment horizontal="left" vertical="center"/>
      <protection hidden="1"/>
    </xf>
    <xf numFmtId="0" fontId="30" fillId="6" borderId="0" xfId="0" applyFont="1" applyFill="1" applyAlignment="1">
      <alignment vertical="center"/>
    </xf>
    <xf numFmtId="0" fontId="30" fillId="6" borderId="0" xfId="0" applyFont="1" applyFill="1" applyAlignment="1">
      <alignment horizontal="center" vertical="center"/>
    </xf>
    <xf numFmtId="0" fontId="30" fillId="6" borderId="0" xfId="0" applyFont="1" applyFill="1" applyAlignment="1">
      <alignment horizontal="left" vertical="center"/>
    </xf>
    <xf numFmtId="177" fontId="30" fillId="6" borderId="0" xfId="0" applyNumberFormat="1" applyFont="1" applyFill="1" applyAlignment="1">
      <alignment vertical="center"/>
    </xf>
    <xf numFmtId="177" fontId="30" fillId="6" borderId="0" xfId="0" applyNumberFormat="1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left" vertical="center" wrapText="1"/>
    </xf>
    <xf numFmtId="168" fontId="30" fillId="13" borderId="0" xfId="19" applyFont="1" applyFill="1" applyBorder="1" applyAlignment="1">
      <alignment horizontal="center" vertical="center" wrapText="1"/>
    </xf>
    <xf numFmtId="173" fontId="30" fillId="13" borderId="0" xfId="0" applyNumberFormat="1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vertical="center" wrapText="1"/>
    </xf>
    <xf numFmtId="0" fontId="30" fillId="0" borderId="0" xfId="0" applyFont="1" applyAlignment="1">
      <alignment horizontal="left" vertical="center"/>
    </xf>
    <xf numFmtId="178" fontId="30" fillId="0" borderId="0" xfId="0" applyNumberFormat="1" applyFont="1" applyAlignment="1">
      <alignment vertical="center"/>
    </xf>
    <xf numFmtId="178" fontId="30" fillId="0" borderId="0" xfId="0" applyNumberFormat="1" applyFont="1" applyAlignment="1">
      <alignment horizontal="center" vertical="center"/>
    </xf>
    <xf numFmtId="0" fontId="30" fillId="0" borderId="0" xfId="0" applyFont="1" applyAlignment="1" applyProtection="1">
      <alignment horizontal="center" vertical="center"/>
      <protection hidden="1"/>
    </xf>
    <xf numFmtId="1" fontId="30" fillId="0" borderId="0" xfId="0" applyNumberFormat="1" applyFont="1" applyAlignment="1">
      <alignment horizontal="center" vertical="center"/>
    </xf>
    <xf numFmtId="179" fontId="30" fillId="0" borderId="0" xfId="19" applyNumberFormat="1" applyFont="1" applyFill="1" applyBorder="1" applyAlignment="1" applyProtection="1">
      <alignment horizontal="center" vertical="center"/>
      <protection hidden="1"/>
    </xf>
    <xf numFmtId="2" fontId="30" fillId="0" borderId="0" xfId="0" applyNumberFormat="1" applyFont="1" applyAlignment="1" applyProtection="1">
      <alignment horizontal="center" vertical="center"/>
      <protection hidden="1"/>
    </xf>
    <xf numFmtId="164" fontId="30" fillId="0" borderId="0" xfId="0" applyNumberFormat="1" applyFont="1" applyAlignment="1" applyProtection="1">
      <alignment horizontal="right" vertical="center"/>
      <protection hidden="1"/>
    </xf>
    <xf numFmtId="169" fontId="30" fillId="0" borderId="0" xfId="0" applyNumberFormat="1" applyFont="1" applyAlignment="1" applyProtection="1">
      <alignment horizontal="center" vertical="center"/>
      <protection hidden="1"/>
    </xf>
    <xf numFmtId="168" fontId="30" fillId="0" borderId="0" xfId="19" applyFont="1" applyFill="1" applyBorder="1" applyAlignment="1" applyProtection="1">
      <alignment horizontal="right" vertical="center"/>
      <protection hidden="1"/>
    </xf>
    <xf numFmtId="164" fontId="30" fillId="0" borderId="0" xfId="0" applyNumberFormat="1" applyFont="1" applyAlignment="1">
      <alignment vertical="center"/>
    </xf>
    <xf numFmtId="168" fontId="30" fillId="0" borderId="0" xfId="19" applyFont="1" applyFill="1" applyBorder="1" applyAlignment="1">
      <alignment horizontal="center" vertical="center" wrapText="1"/>
    </xf>
    <xf numFmtId="173" fontId="30" fillId="0" borderId="0" xfId="0" applyNumberFormat="1" applyFont="1" applyAlignment="1">
      <alignment horizontal="center" vertical="center" wrapText="1"/>
    </xf>
    <xf numFmtId="2" fontId="30" fillId="6" borderId="0" xfId="0" applyNumberFormat="1" applyFont="1" applyFill="1" applyAlignment="1" applyProtection="1">
      <alignment vertical="center"/>
      <protection hidden="1"/>
    </xf>
    <xf numFmtId="177" fontId="30" fillId="0" borderId="0" xfId="0" applyNumberFormat="1" applyFont="1" applyAlignment="1">
      <alignment vertical="center"/>
    </xf>
    <xf numFmtId="177" fontId="30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169" fontId="30" fillId="0" borderId="0" xfId="0" applyNumberFormat="1" applyFont="1" applyAlignment="1" applyProtection="1">
      <alignment vertical="center"/>
      <protection hidden="1"/>
    </xf>
    <xf numFmtId="2" fontId="30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168" fontId="30" fillId="0" borderId="0" xfId="19" applyFont="1" applyFill="1" applyBorder="1" applyAlignment="1">
      <alignment vertical="center"/>
    </xf>
    <xf numFmtId="44" fontId="27" fillId="0" borderId="20" xfId="45" applyFont="1" applyFill="1" applyBorder="1" applyAlignment="1">
      <alignment horizontal="left" vertical="center"/>
    </xf>
    <xf numFmtId="0" fontId="26" fillId="0" borderId="0" xfId="30" applyFont="1" applyAlignment="1">
      <alignment vertical="center"/>
    </xf>
    <xf numFmtId="0" fontId="36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0" fillId="0" borderId="9" xfId="46" applyFont="1" applyBorder="1" applyAlignment="1">
      <alignment horizontal="left" vertical="center" wrapText="1"/>
    </xf>
    <xf numFmtId="49" fontId="37" fillId="0" borderId="9" xfId="46" applyNumberFormat="1" applyFont="1" applyBorder="1" applyAlignment="1" applyProtection="1">
      <alignment horizontal="left" vertical="center" wrapText="1"/>
      <protection hidden="1"/>
    </xf>
    <xf numFmtId="0" fontId="30" fillId="6" borderId="9" xfId="46" applyFont="1" applyFill="1" applyBorder="1" applyAlignment="1">
      <alignment horizontal="left" vertical="center" wrapText="1"/>
    </xf>
    <xf numFmtId="49" fontId="37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30" fillId="6" borderId="0" xfId="0" applyFont="1" applyFill="1" applyAlignment="1">
      <alignment horizontal="center"/>
    </xf>
    <xf numFmtId="0" fontId="30" fillId="6" borderId="0" xfId="0" applyFont="1" applyFill="1"/>
    <xf numFmtId="2" fontId="30" fillId="6" borderId="0" xfId="0" applyNumberFormat="1" applyFont="1" applyFill="1"/>
    <xf numFmtId="2" fontId="32" fillId="6" borderId="0" xfId="0" applyNumberFormat="1" applyFont="1" applyFill="1" applyAlignment="1">
      <alignment vertical="center"/>
    </xf>
    <xf numFmtId="2" fontId="25" fillId="13" borderId="15" xfId="0" applyNumberFormat="1" applyFont="1" applyFill="1" applyBorder="1" applyAlignment="1">
      <alignment vertical="center" wrapText="1"/>
    </xf>
    <xf numFmtId="2" fontId="25" fillId="13" borderId="16" xfId="0" applyNumberFormat="1" applyFont="1" applyFill="1" applyBorder="1" applyAlignment="1">
      <alignment vertical="center" wrapText="1"/>
    </xf>
    <xf numFmtId="0" fontId="25" fillId="14" borderId="17" xfId="0" applyFont="1" applyFill="1" applyBorder="1" applyAlignment="1">
      <alignment horizontal="center" vertical="center" wrapText="1"/>
    </xf>
    <xf numFmtId="0" fontId="25" fillId="13" borderId="16" xfId="0" applyFont="1" applyFill="1" applyBorder="1" applyAlignment="1">
      <alignment vertical="center" wrapText="1"/>
    </xf>
    <xf numFmtId="169" fontId="30" fillId="13" borderId="0" xfId="0" applyNumberFormat="1" applyFont="1" applyFill="1" applyAlignment="1">
      <alignment vertical="center"/>
    </xf>
    <xf numFmtId="0" fontId="30" fillId="13" borderId="0" xfId="0" applyFont="1" applyFill="1" applyAlignment="1">
      <alignment vertical="center"/>
    </xf>
    <xf numFmtId="0" fontId="27" fillId="0" borderId="18" xfId="30" applyFont="1" applyBorder="1" applyAlignment="1">
      <alignment horizontal="center" vertical="center"/>
    </xf>
    <xf numFmtId="0" fontId="27" fillId="0" borderId="19" xfId="30" applyFont="1" applyBorder="1" applyAlignment="1">
      <alignment vertical="center"/>
    </xf>
    <xf numFmtId="9" fontId="34" fillId="5" borderId="20" xfId="38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0" fontId="32" fillId="6" borderId="0" xfId="0" applyFont="1" applyFill="1" applyAlignment="1">
      <alignment horizontal="left" vertical="center"/>
    </xf>
    <xf numFmtId="0" fontId="30" fillId="13" borderId="0" xfId="30" applyFont="1" applyFill="1" applyAlignment="1">
      <alignment horizontal="center" vertical="center" wrapText="1"/>
    </xf>
    <xf numFmtId="0" fontId="30" fillId="13" borderId="0" xfId="30" applyFont="1" applyFill="1" applyAlignment="1">
      <alignment vertical="center" wrapText="1"/>
    </xf>
    <xf numFmtId="0" fontId="30" fillId="13" borderId="0" xfId="0" applyFont="1" applyFill="1" applyAlignment="1">
      <alignment vertical="center" wrapText="1"/>
    </xf>
    <xf numFmtId="2" fontId="32" fillId="5" borderId="0" xfId="0" applyNumberFormat="1" applyFont="1" applyFill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0" fontId="30" fillId="6" borderId="0" xfId="0" applyFont="1" applyFill="1" applyAlignment="1">
      <alignment wrapText="1"/>
    </xf>
    <xf numFmtId="0" fontId="30" fillId="6" borderId="0" xfId="0" applyFont="1" applyFill="1" applyAlignment="1">
      <alignment horizontal="center" wrapText="1"/>
    </xf>
    <xf numFmtId="0" fontId="30" fillId="0" borderId="0" xfId="0" applyFont="1" applyAlignment="1">
      <alignment wrapText="1"/>
    </xf>
    <xf numFmtId="2" fontId="32" fillId="6" borderId="0" xfId="0" applyNumberFormat="1" applyFont="1" applyFill="1" applyAlignment="1">
      <alignment horizontal="center" vertical="center"/>
    </xf>
    <xf numFmtId="2" fontId="30" fillId="6" borderId="0" xfId="0" applyNumberFormat="1" applyFont="1" applyFill="1" applyAlignment="1">
      <alignment vertical="center"/>
    </xf>
    <xf numFmtId="2" fontId="32" fillId="0" borderId="0" xfId="0" applyNumberFormat="1" applyFont="1" applyAlignment="1">
      <alignment horizontal="center" vertical="center"/>
    </xf>
    <xf numFmtId="2" fontId="30" fillId="13" borderId="0" xfId="0" applyNumberFormat="1" applyFont="1" applyFill="1" applyAlignment="1">
      <alignment vertical="center" wrapText="1"/>
    </xf>
    <xf numFmtId="2" fontId="30" fillId="13" borderId="0" xfId="0" applyNumberFormat="1" applyFont="1" applyFill="1" applyAlignment="1">
      <alignment horizontal="center" vertical="center" wrapText="1"/>
    </xf>
    <xf numFmtId="0" fontId="38" fillId="13" borderId="0" xfId="0" applyFont="1" applyFill="1" applyAlignment="1">
      <alignment vertical="center" wrapText="1"/>
    </xf>
    <xf numFmtId="0" fontId="39" fillId="0" borderId="0" xfId="30" applyFont="1" applyAlignment="1">
      <alignment horizontal="center" vertical="center"/>
    </xf>
    <xf numFmtId="9" fontId="32" fillId="5" borderId="0" xfId="38" applyFont="1" applyFill="1" applyBorder="1" applyAlignment="1">
      <alignment horizontal="center" vertical="center"/>
    </xf>
    <xf numFmtId="169" fontId="30" fillId="6" borderId="0" xfId="0" applyNumberFormat="1" applyFont="1" applyFill="1"/>
    <xf numFmtId="0" fontId="30" fillId="0" borderId="0" xfId="0" applyFont="1"/>
    <xf numFmtId="1" fontId="27" fillId="8" borderId="0" xfId="30" applyNumberFormat="1" applyFont="1" applyFill="1" applyAlignment="1">
      <alignment horizontal="center" vertical="center"/>
    </xf>
    <xf numFmtId="0" fontId="27" fillId="8" borderId="0" xfId="30" applyFont="1" applyFill="1" applyAlignment="1">
      <alignment horizontal="left" vertical="center"/>
    </xf>
    <xf numFmtId="1" fontId="27" fillId="7" borderId="0" xfId="30" applyNumberFormat="1" applyFont="1" applyFill="1" applyAlignment="1">
      <alignment horizontal="center" vertical="center"/>
    </xf>
    <xf numFmtId="0" fontId="27" fillId="7" borderId="0" xfId="30" applyFont="1" applyFill="1" applyAlignment="1">
      <alignment horizontal="left" vertical="center"/>
    </xf>
    <xf numFmtId="17" fontId="30" fillId="6" borderId="0" xfId="0" applyNumberFormat="1" applyFont="1" applyFill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2" fontId="30" fillId="0" borderId="0" xfId="0" applyNumberFormat="1" applyFont="1"/>
    <xf numFmtId="0" fontId="30" fillId="0" borderId="0" xfId="0" applyFont="1" applyAlignment="1">
      <alignment horizontal="center"/>
    </xf>
    <xf numFmtId="0" fontId="40" fillId="0" borderId="0" xfId="0" applyFont="1"/>
    <xf numFmtId="0" fontId="30" fillId="6" borderId="0" xfId="0" applyFont="1" applyFill="1" applyAlignment="1">
      <alignment horizontal="center" vertical="center" textRotation="90"/>
    </xf>
    <xf numFmtId="0" fontId="30" fillId="0" borderId="0" xfId="0" applyFont="1" applyAlignment="1">
      <alignment horizontal="center" vertical="center" textRotation="90" wrapText="1"/>
    </xf>
    <xf numFmtId="0" fontId="33" fillId="14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173" fontId="30" fillId="5" borderId="0" xfId="0" applyNumberFormat="1" applyFont="1" applyFill="1" applyAlignment="1">
      <alignment vertical="center"/>
    </xf>
    <xf numFmtId="44" fontId="30" fillId="0" borderId="20" xfId="45" applyFont="1" applyFill="1" applyBorder="1" applyAlignment="1">
      <alignment horizontal="left" vertical="center"/>
    </xf>
    <xf numFmtId="44" fontId="30" fillId="0" borderId="20" xfId="0" applyNumberFormat="1" applyFont="1" applyBorder="1" applyAlignment="1">
      <alignment horizontal="left" vertical="center"/>
    </xf>
    <xf numFmtId="44" fontId="30" fillId="0" borderId="0" xfId="0" applyNumberFormat="1" applyFont="1" applyAlignment="1">
      <alignment horizontal="left" vertical="center"/>
    </xf>
    <xf numFmtId="173" fontId="30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center" vertical="center" textRotation="90"/>
    </xf>
    <xf numFmtId="0" fontId="27" fillId="11" borderId="0" xfId="0" applyFont="1" applyFill="1" applyAlignment="1">
      <alignment horizontal="left" vertical="center" wrapText="1"/>
    </xf>
    <xf numFmtId="0" fontId="30" fillId="0" borderId="0" xfId="0" applyFont="1" applyAlignment="1">
      <alignment horizontal="center" vertical="center" textRotation="90"/>
    </xf>
    <xf numFmtId="0" fontId="26" fillId="0" borderId="24" xfId="0" applyFont="1" applyBorder="1" applyAlignment="1">
      <alignment horizontal="center"/>
    </xf>
    <xf numFmtId="0" fontId="42" fillId="0" borderId="2" xfId="0" applyFont="1" applyBorder="1"/>
    <xf numFmtId="0" fontId="26" fillId="0" borderId="25" xfId="0" applyFont="1" applyBorder="1"/>
    <xf numFmtId="0" fontId="26" fillId="0" borderId="26" xfId="0" applyFont="1" applyBorder="1" applyAlignment="1">
      <alignment horizontal="center"/>
    </xf>
    <xf numFmtId="0" fontId="26" fillId="0" borderId="27" xfId="0" applyFont="1" applyBorder="1"/>
    <xf numFmtId="0" fontId="43" fillId="0" borderId="0" xfId="0" applyFont="1"/>
    <xf numFmtId="0" fontId="26" fillId="0" borderId="26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31" fillId="0" borderId="0" xfId="3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2" fontId="46" fillId="0" borderId="0" xfId="0" applyNumberFormat="1" applyFont="1" applyAlignment="1">
      <alignment horizontal="left" vertical="center"/>
    </xf>
    <xf numFmtId="0" fontId="33" fillId="14" borderId="0" xfId="0" applyFont="1" applyFill="1" applyAlignment="1">
      <alignment vertical="center" wrapText="1"/>
    </xf>
    <xf numFmtId="164" fontId="33" fillId="14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164" fontId="27" fillId="5" borderId="0" xfId="0" applyNumberFormat="1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44" fontId="27" fillId="0" borderId="23" xfId="45" applyFont="1" applyFill="1" applyBorder="1" applyAlignment="1">
      <alignment horizontal="left" vertical="center"/>
    </xf>
    <xf numFmtId="4" fontId="30" fillId="0" borderId="0" xfId="0" applyNumberFormat="1" applyFont="1" applyAlignment="1">
      <alignment horizontal="center" vertical="center"/>
    </xf>
    <xf numFmtId="0" fontId="25" fillId="14" borderId="0" xfId="0" applyFont="1" applyFill="1" applyAlignment="1">
      <alignment horizontal="center" vertical="center" wrapText="1"/>
    </xf>
    <xf numFmtId="4" fontId="25" fillId="14" borderId="0" xfId="0" applyNumberFormat="1" applyFont="1" applyFill="1" applyAlignment="1">
      <alignment horizontal="center" vertical="center" wrapText="1"/>
    </xf>
    <xf numFmtId="164" fontId="25" fillId="14" borderId="0" xfId="40" applyFont="1" applyFill="1" applyAlignment="1">
      <alignment horizontal="center" vertical="center" wrapText="1"/>
    </xf>
    <xf numFmtId="4" fontId="25" fillId="14" borderId="5" xfId="40" applyNumberFormat="1" applyFont="1" applyFill="1" applyBorder="1" applyAlignment="1">
      <alignment horizontal="center" vertical="center" wrapText="1"/>
    </xf>
    <xf numFmtId="4" fontId="25" fillId="14" borderId="5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" fontId="27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7" fillId="9" borderId="0" xfId="0" applyFont="1" applyFill="1" applyAlignment="1">
      <alignment horizontal="left" vertical="center"/>
    </xf>
    <xf numFmtId="0" fontId="27" fillId="9" borderId="0" xfId="0" applyFont="1" applyFill="1" applyAlignment="1">
      <alignment vertical="center"/>
    </xf>
    <xf numFmtId="173" fontId="27" fillId="9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right" vertical="center"/>
    </xf>
    <xf numFmtId="164" fontId="30" fillId="0" borderId="0" xfId="8" applyFont="1" applyAlignment="1">
      <alignment horizontal="right" vertical="center"/>
    </xf>
    <xf numFmtId="164" fontId="30" fillId="0" borderId="0" xfId="8" applyFont="1" applyAlignment="1">
      <alignment vertical="center"/>
    </xf>
    <xf numFmtId="2" fontId="46" fillId="0" borderId="0" xfId="0" applyNumberFormat="1" applyFont="1" applyAlignment="1">
      <alignment horizontal="right" vertical="center"/>
    </xf>
    <xf numFmtId="4" fontId="30" fillId="0" borderId="0" xfId="0" applyNumberFormat="1" applyFont="1" applyAlignment="1">
      <alignment horizontal="right" vertical="center"/>
    </xf>
    <xf numFmtId="0" fontId="30" fillId="16" borderId="0" xfId="0" applyFont="1" applyFill="1" applyAlignment="1">
      <alignment vertical="center" wrapText="1"/>
    </xf>
    <xf numFmtId="0" fontId="27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vertical="center"/>
    </xf>
    <xf numFmtId="0" fontId="27" fillId="8" borderId="0" xfId="0" applyFont="1" applyFill="1" applyAlignment="1">
      <alignment horizontal="left" vertical="center"/>
    </xf>
    <xf numFmtId="44" fontId="27" fillId="8" borderId="20" xfId="0" applyNumberFormat="1" applyFont="1" applyFill="1" applyBorder="1" applyAlignment="1">
      <alignment horizontal="left" vertical="center"/>
    </xf>
    <xf numFmtId="0" fontId="27" fillId="7" borderId="0" xfId="0" applyFont="1" applyFill="1" applyAlignment="1">
      <alignment horizontal="center" vertical="center"/>
    </xf>
    <xf numFmtId="0" fontId="27" fillId="7" borderId="0" xfId="0" applyFont="1" applyFill="1" applyAlignment="1">
      <alignment vertical="center"/>
    </xf>
    <xf numFmtId="0" fontId="27" fillId="7" borderId="0" xfId="0" applyFont="1" applyFill="1" applyAlignment="1">
      <alignment horizontal="left" vertical="center"/>
    </xf>
    <xf numFmtId="44" fontId="27" fillId="7" borderId="20" xfId="45" applyFont="1" applyFill="1" applyBorder="1" applyAlignment="1">
      <alignment horizontal="left" vertical="center"/>
    </xf>
    <xf numFmtId="44" fontId="27" fillId="8" borderId="20" xfId="45" applyFont="1" applyFill="1" applyBorder="1" applyAlignment="1">
      <alignment horizontal="left" vertical="center"/>
    </xf>
    <xf numFmtId="4" fontId="27" fillId="7" borderId="0" xfId="0" applyNumberFormat="1" applyFont="1" applyFill="1" applyAlignment="1">
      <alignment horizontal="left" vertical="center"/>
    </xf>
    <xf numFmtId="4" fontId="27" fillId="8" borderId="0" xfId="0" applyNumberFormat="1" applyFont="1" applyFill="1" applyAlignment="1">
      <alignment horizontal="left" vertical="center"/>
    </xf>
    <xf numFmtId="0" fontId="30" fillId="0" borderId="0" xfId="0" applyFont="1" applyAlignment="1">
      <alignment horizontal="center" vertical="center" wrapText="1"/>
    </xf>
    <xf numFmtId="4" fontId="26" fillId="0" borderId="0" xfId="0" applyNumberFormat="1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27" fillId="10" borderId="0" xfId="0" applyFont="1" applyFill="1" applyAlignment="1">
      <alignment horizontal="center" vertical="center"/>
    </xf>
    <xf numFmtId="0" fontId="27" fillId="10" borderId="0" xfId="0" applyFont="1" applyFill="1" applyAlignment="1">
      <alignment horizontal="left" vertical="center"/>
    </xf>
    <xf numFmtId="0" fontId="27" fillId="10" borderId="0" xfId="0" applyFont="1" applyFill="1" applyAlignment="1">
      <alignment vertical="center"/>
    </xf>
    <xf numFmtId="0" fontId="27" fillId="10" borderId="0" xfId="0" applyFont="1" applyFill="1" applyAlignment="1">
      <alignment horizontal="right" vertical="center"/>
    </xf>
    <xf numFmtId="173" fontId="27" fillId="10" borderId="0" xfId="0" applyNumberFormat="1" applyFont="1" applyFill="1" applyAlignment="1">
      <alignment horizontal="center" vertical="center"/>
    </xf>
    <xf numFmtId="0" fontId="32" fillId="0" borderId="0" xfId="0" applyFont="1" applyAlignment="1">
      <alignment vertical="center"/>
    </xf>
    <xf numFmtId="3" fontId="30" fillId="0" borderId="0" xfId="8" applyNumberFormat="1" applyFont="1" applyAlignment="1">
      <alignment vertical="center"/>
    </xf>
    <xf numFmtId="173" fontId="46" fillId="0" borderId="0" xfId="0" applyNumberFormat="1" applyFont="1" applyAlignment="1">
      <alignment horizontal="left" vertical="center"/>
    </xf>
    <xf numFmtId="164" fontId="30" fillId="6" borderId="0" xfId="0" applyNumberFormat="1" applyFont="1" applyFill="1" applyAlignment="1">
      <alignment horizontal="center" vertical="center"/>
    </xf>
    <xf numFmtId="4" fontId="30" fillId="0" borderId="0" xfId="0" applyNumberFormat="1" applyFont="1" applyAlignment="1">
      <alignment horizontal="left" vertical="center"/>
    </xf>
    <xf numFmtId="173" fontId="30" fillId="6" borderId="0" xfId="0" applyNumberFormat="1" applyFont="1" applyFill="1" applyAlignment="1">
      <alignment horizontal="center" vertical="center"/>
    </xf>
    <xf numFmtId="0" fontId="26" fillId="0" borderId="0" xfId="0" applyFont="1" applyAlignment="1">
      <alignment vertical="center"/>
    </xf>
    <xf numFmtId="4" fontId="33" fillId="14" borderId="0" xfId="0" applyNumberFormat="1" applyFont="1" applyFill="1" applyAlignment="1">
      <alignment horizontal="center" vertical="center" wrapText="1"/>
    </xf>
    <xf numFmtId="173" fontId="33" fillId="14" borderId="0" xfId="8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/>
    </xf>
    <xf numFmtId="0" fontId="37" fillId="0" borderId="0" xfId="29" applyFont="1" applyAlignment="1">
      <alignment horizontal="center"/>
    </xf>
    <xf numFmtId="0" fontId="37" fillId="0" borderId="0" xfId="29" applyFont="1"/>
    <xf numFmtId="0" fontId="33" fillId="14" borderId="9" xfId="0" applyFont="1" applyFill="1" applyBorder="1" applyAlignment="1">
      <alignment horizontal="center" vertical="center" wrapText="1"/>
    </xf>
    <xf numFmtId="0" fontId="33" fillId="14" borderId="9" xfId="0" applyFont="1" applyFill="1" applyBorder="1" applyAlignment="1">
      <alignment horizontal="left" vertical="center" wrapText="1"/>
    </xf>
    <xf numFmtId="168" fontId="33" fillId="14" borderId="9" xfId="19" applyFont="1" applyFill="1" applyBorder="1" applyAlignment="1">
      <alignment horizontal="center" vertical="center" wrapText="1"/>
    </xf>
    <xf numFmtId="173" fontId="33" fillId="14" borderId="9" xfId="0" applyNumberFormat="1" applyFont="1" applyFill="1" applyBorder="1" applyAlignment="1">
      <alignment horizontal="center" vertical="center" wrapText="1"/>
    </xf>
    <xf numFmtId="173" fontId="33" fillId="14" borderId="13" xfId="0" applyNumberFormat="1" applyFont="1" applyFill="1" applyBorder="1" applyAlignment="1">
      <alignment horizontal="center" vertical="center" wrapText="1"/>
    </xf>
    <xf numFmtId="0" fontId="37" fillId="0" borderId="0" xfId="29" applyFont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vertical="center"/>
    </xf>
    <xf numFmtId="3" fontId="27" fillId="7" borderId="9" xfId="0" applyNumberFormat="1" applyFont="1" applyFill="1" applyBorder="1" applyAlignment="1">
      <alignment vertical="center"/>
    </xf>
    <xf numFmtId="180" fontId="27" fillId="7" borderId="9" xfId="0" applyNumberFormat="1" applyFont="1" applyFill="1" applyBorder="1" applyAlignment="1">
      <alignment vertical="center"/>
    </xf>
    <xf numFmtId="1" fontId="27" fillId="7" borderId="9" xfId="0" applyNumberFormat="1" applyFont="1" applyFill="1" applyBorder="1" applyAlignment="1">
      <alignment vertical="center"/>
    </xf>
    <xf numFmtId="173" fontId="27" fillId="7" borderId="9" xfId="0" applyNumberFormat="1" applyFont="1" applyFill="1" applyBorder="1" applyAlignment="1">
      <alignment vertical="center"/>
    </xf>
    <xf numFmtId="173" fontId="27" fillId="7" borderId="14" xfId="0" applyNumberFormat="1" applyFont="1" applyFill="1" applyBorder="1" applyAlignment="1">
      <alignment vertical="center"/>
    </xf>
    <xf numFmtId="0" fontId="47" fillId="11" borderId="9" xfId="0" applyFont="1" applyFill="1" applyBorder="1" applyAlignment="1">
      <alignment horizontal="center" vertical="center"/>
    </xf>
    <xf numFmtId="0" fontId="47" fillId="11" borderId="9" xfId="0" applyFont="1" applyFill="1" applyBorder="1" applyAlignment="1">
      <alignment vertical="center"/>
    </xf>
    <xf numFmtId="181" fontId="47" fillId="11" borderId="9" xfId="0" applyNumberFormat="1" applyFont="1" applyFill="1" applyBorder="1" applyAlignment="1">
      <alignment vertical="center"/>
    </xf>
    <xf numFmtId="182" fontId="47" fillId="11" borderId="9" xfId="0" applyNumberFormat="1" applyFont="1" applyFill="1" applyBorder="1" applyAlignment="1">
      <alignment vertical="center"/>
    </xf>
    <xf numFmtId="173" fontId="47" fillId="11" borderId="9" xfId="0" applyNumberFormat="1" applyFont="1" applyFill="1" applyBorder="1" applyAlignment="1">
      <alignment vertical="center"/>
    </xf>
    <xf numFmtId="173" fontId="47" fillId="11" borderId="0" xfId="0" applyNumberFormat="1" applyFont="1" applyFill="1" applyAlignment="1">
      <alignment vertical="center"/>
    </xf>
    <xf numFmtId="0" fontId="48" fillId="0" borderId="0" xfId="29" applyFont="1"/>
    <xf numFmtId="173" fontId="30" fillId="7" borderId="9" xfId="0" applyNumberFormat="1" applyFont="1" applyFill="1" applyBorder="1" applyAlignment="1">
      <alignment vertical="center"/>
    </xf>
    <xf numFmtId="173" fontId="37" fillId="0" borderId="0" xfId="29" applyNumberFormat="1" applyFont="1"/>
    <xf numFmtId="0" fontId="27" fillId="7" borderId="9" xfId="0" applyFont="1" applyFill="1" applyBorder="1" applyAlignment="1">
      <alignment horizontal="left" vertical="center"/>
    </xf>
    <xf numFmtId="0" fontId="27" fillId="8" borderId="9" xfId="0" applyFont="1" applyFill="1" applyBorder="1" applyAlignment="1">
      <alignment horizontal="left" vertical="center"/>
    </xf>
    <xf numFmtId="0" fontId="30" fillId="7" borderId="9" xfId="0" applyFont="1" applyFill="1" applyBorder="1" applyAlignment="1">
      <alignment vertical="center"/>
    </xf>
    <xf numFmtId="183" fontId="30" fillId="7" borderId="9" xfId="0" applyNumberFormat="1" applyFont="1" applyFill="1" applyBorder="1" applyAlignment="1">
      <alignment horizontal="center" vertical="center"/>
    </xf>
    <xf numFmtId="0" fontId="30" fillId="7" borderId="7" xfId="0" applyFont="1" applyFill="1" applyBorder="1" applyAlignment="1">
      <alignment vertical="center"/>
    </xf>
    <xf numFmtId="0" fontId="30" fillId="7" borderId="4" xfId="0" applyFont="1" applyFill="1" applyBorder="1" applyAlignment="1">
      <alignment vertical="center"/>
    </xf>
    <xf numFmtId="0" fontId="30" fillId="7" borderId="14" xfId="0" applyFont="1" applyFill="1" applyBorder="1" applyAlignment="1">
      <alignment vertical="center"/>
    </xf>
    <xf numFmtId="173" fontId="0" fillId="7" borderId="9" xfId="0" applyNumberFormat="1" applyFill="1" applyBorder="1" applyAlignment="1">
      <alignment vertical="center"/>
    </xf>
    <xf numFmtId="2" fontId="30" fillId="5" borderId="0" xfId="0" applyNumberFormat="1" applyFont="1" applyFill="1" applyAlignment="1">
      <alignment horizontal="center" vertical="center"/>
    </xf>
    <xf numFmtId="2" fontId="27" fillId="5" borderId="0" xfId="0" applyNumberFormat="1" applyFont="1" applyFill="1" applyAlignment="1">
      <alignment horizontal="center" vertical="center"/>
    </xf>
    <xf numFmtId="187" fontId="26" fillId="11" borderId="0" xfId="0" applyNumberFormat="1" applyFont="1" applyFill="1"/>
    <xf numFmtId="187" fontId="27" fillId="0" borderId="0" xfId="0" applyNumberFormat="1" applyFont="1" applyAlignment="1">
      <alignment horizontal="center" vertical="center"/>
    </xf>
    <xf numFmtId="44" fontId="27" fillId="0" borderId="0" xfId="47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4" fontId="27" fillId="0" borderId="0" xfId="47" applyFont="1" applyAlignment="1">
      <alignment horizontal="center" vertical="center"/>
    </xf>
    <xf numFmtId="44" fontId="26" fillId="11" borderId="0" xfId="47" applyFont="1" applyFill="1"/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9" fillId="15" borderId="9" xfId="30" applyFont="1" applyFill="1" applyBorder="1" applyAlignment="1">
      <alignment horizontal="center" vertical="center" wrapText="1"/>
    </xf>
    <xf numFmtId="0" fontId="32" fillId="0" borderId="9" xfId="30" applyFont="1" applyBorder="1" applyAlignment="1">
      <alignment horizontal="center" vertical="center"/>
    </xf>
    <xf numFmtId="0" fontId="25" fillId="13" borderId="10" xfId="0" applyFont="1" applyFill="1" applyBorder="1" applyAlignment="1">
      <alignment horizontal="center" vertical="center" wrapText="1"/>
    </xf>
    <xf numFmtId="0" fontId="25" fillId="13" borderId="12" xfId="0" applyFont="1" applyFill="1" applyBorder="1" applyAlignment="1">
      <alignment horizontal="center" vertical="center" wrapText="1"/>
    </xf>
    <xf numFmtId="0" fontId="25" fillId="13" borderId="13" xfId="0" applyFont="1" applyFill="1" applyBorder="1" applyAlignment="1">
      <alignment horizontal="center" vertical="center" wrapText="1"/>
    </xf>
    <xf numFmtId="9" fontId="30" fillId="0" borderId="7" xfId="0" applyNumberFormat="1" applyFont="1" applyBorder="1" applyAlignment="1">
      <alignment horizontal="left" vertical="center" wrapText="1"/>
    </xf>
    <xf numFmtId="9" fontId="30" fillId="0" borderId="14" xfId="0" applyNumberFormat="1" applyFont="1" applyBorder="1" applyAlignment="1">
      <alignment horizontal="left" vertical="center" wrapText="1"/>
    </xf>
    <xf numFmtId="0" fontId="30" fillId="0" borderId="9" xfId="0" applyFont="1" applyBorder="1" applyAlignment="1">
      <alignment vertical="center"/>
    </xf>
    <xf numFmtId="10" fontId="30" fillId="5" borderId="7" xfId="0" applyNumberFormat="1" applyFont="1" applyFill="1" applyBorder="1" applyAlignment="1">
      <alignment horizontal="left" vertical="center"/>
    </xf>
    <xf numFmtId="10" fontId="30" fillId="5" borderId="14" xfId="0" applyNumberFormat="1" applyFont="1" applyFill="1" applyBorder="1" applyAlignment="1">
      <alignment horizontal="left" vertical="center"/>
    </xf>
    <xf numFmtId="0" fontId="34" fillId="11" borderId="9" xfId="0" applyFont="1" applyFill="1" applyBorder="1" applyAlignment="1">
      <alignment horizontal="center" vertical="center"/>
    </xf>
    <xf numFmtId="0" fontId="31" fillId="0" borderId="0" xfId="30" applyFont="1" applyAlignment="1">
      <alignment horizontal="center" vertical="center"/>
    </xf>
    <xf numFmtId="170" fontId="30" fillId="5" borderId="9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left" vertical="center" wrapText="1"/>
    </xf>
    <xf numFmtId="0" fontId="25" fillId="13" borderId="14" xfId="0" applyFont="1" applyFill="1" applyBorder="1" applyAlignment="1">
      <alignment horizontal="left" vertical="center" wrapText="1"/>
    </xf>
    <xf numFmtId="0" fontId="25" fillId="13" borderId="4" xfId="0" applyFont="1" applyFill="1" applyBorder="1" applyAlignment="1">
      <alignment horizontal="left" vertical="center" wrapText="1"/>
    </xf>
    <xf numFmtId="9" fontId="30" fillId="0" borderId="7" xfId="0" applyNumberFormat="1" applyFont="1" applyBorder="1" applyAlignment="1">
      <alignment horizontal="left" vertical="center"/>
    </xf>
    <xf numFmtId="9" fontId="30" fillId="0" borderId="4" xfId="0" applyNumberFormat="1" applyFont="1" applyBorder="1" applyAlignment="1">
      <alignment horizontal="left" vertical="center"/>
    </xf>
    <xf numFmtId="9" fontId="30" fillId="0" borderId="14" xfId="0" applyNumberFormat="1" applyFont="1" applyBorder="1" applyAlignment="1">
      <alignment horizontal="left" vertical="center"/>
    </xf>
    <xf numFmtId="10" fontId="30" fillId="5" borderId="4" xfId="0" applyNumberFormat="1" applyFont="1" applyFill="1" applyBorder="1" applyAlignment="1">
      <alignment horizontal="left" vertical="center"/>
    </xf>
    <xf numFmtId="0" fontId="30" fillId="0" borderId="9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4" fillId="11" borderId="7" xfId="0" applyFont="1" applyFill="1" applyBorder="1" applyAlignment="1">
      <alignment horizontal="left" vertical="center"/>
    </xf>
    <xf numFmtId="0" fontId="34" fillId="11" borderId="4" xfId="0" applyFont="1" applyFill="1" applyBorder="1" applyAlignment="1">
      <alignment horizontal="left" vertical="center"/>
    </xf>
    <xf numFmtId="0" fontId="34" fillId="11" borderId="14" xfId="0" applyFont="1" applyFill="1" applyBorder="1" applyAlignment="1">
      <alignment horizontal="left" vertical="center"/>
    </xf>
    <xf numFmtId="170" fontId="32" fillId="5" borderId="7" xfId="0" applyNumberFormat="1" applyFont="1" applyFill="1" applyBorder="1" applyAlignment="1">
      <alignment horizontal="center" vertical="center"/>
    </xf>
    <xf numFmtId="170" fontId="30" fillId="5" borderId="4" xfId="0" applyNumberFormat="1" applyFont="1" applyFill="1" applyBorder="1" applyAlignment="1">
      <alignment horizontal="center" vertical="center"/>
    </xf>
    <xf numFmtId="0" fontId="31" fillId="0" borderId="6" xfId="30" applyFont="1" applyBorder="1" applyAlignment="1">
      <alignment horizontal="center" vertical="center"/>
    </xf>
    <xf numFmtId="0" fontId="32" fillId="11" borderId="7" xfId="0" applyFont="1" applyFill="1" applyBorder="1" applyAlignment="1">
      <alignment horizontal="center" vertical="center"/>
    </xf>
    <xf numFmtId="0" fontId="32" fillId="11" borderId="4" xfId="0" applyFont="1" applyFill="1" applyBorder="1" applyAlignment="1">
      <alignment horizontal="center" vertical="center"/>
    </xf>
    <xf numFmtId="0" fontId="32" fillId="11" borderId="14" xfId="0" applyFont="1" applyFill="1" applyBorder="1" applyAlignment="1">
      <alignment horizontal="center" vertical="center"/>
    </xf>
    <xf numFmtId="0" fontId="32" fillId="12" borderId="8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1" borderId="8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/>
    </xf>
    <xf numFmtId="170" fontId="32" fillId="5" borderId="9" xfId="0" applyNumberFormat="1" applyFont="1" applyFill="1" applyBorder="1" applyAlignment="1">
      <alignment horizontal="center" vertical="center"/>
    </xf>
    <xf numFmtId="4" fontId="30" fillId="0" borderId="9" xfId="0" applyNumberFormat="1" applyFont="1" applyBorder="1" applyAlignment="1">
      <alignment horizontal="center" vertical="center"/>
    </xf>
    <xf numFmtId="170" fontId="32" fillId="5" borderId="4" xfId="0" applyNumberFormat="1" applyFont="1" applyFill="1" applyBorder="1" applyAlignment="1">
      <alignment horizontal="center" vertical="center"/>
    </xf>
    <xf numFmtId="170" fontId="32" fillId="5" borderId="14" xfId="0" applyNumberFormat="1" applyFont="1" applyFill="1" applyBorder="1" applyAlignment="1">
      <alignment horizontal="center" vertical="center"/>
    </xf>
    <xf numFmtId="170" fontId="30" fillId="5" borderId="7" xfId="0" applyNumberFormat="1" applyFont="1" applyFill="1" applyBorder="1" applyAlignment="1">
      <alignment horizontal="center" vertical="center"/>
    </xf>
    <xf numFmtId="170" fontId="30" fillId="5" borderId="14" xfId="0" applyNumberFormat="1" applyFont="1" applyFill="1" applyBorder="1" applyAlignment="1">
      <alignment horizontal="center" vertical="center"/>
    </xf>
    <xf numFmtId="0" fontId="30" fillId="0" borderId="8" xfId="0" applyFont="1" applyBorder="1" applyAlignment="1">
      <alignment horizontal="center" vertical="center" textRotation="90"/>
    </xf>
    <xf numFmtId="0" fontId="30" fillId="0" borderId="11" xfId="0" applyFont="1" applyBorder="1" applyAlignment="1">
      <alignment horizontal="center" vertical="center" textRotation="90"/>
    </xf>
    <xf numFmtId="0" fontId="30" fillId="0" borderId="12" xfId="0" applyFont="1" applyBorder="1" applyAlignment="1">
      <alignment horizontal="center" vertical="center" textRotation="90"/>
    </xf>
    <xf numFmtId="0" fontId="30" fillId="0" borderId="8" xfId="0" applyFont="1" applyBorder="1" applyAlignment="1">
      <alignment horizontal="center" vertical="center" textRotation="90" wrapText="1"/>
    </xf>
    <xf numFmtId="0" fontId="30" fillId="0" borderId="11" xfId="0" applyFont="1" applyBorder="1" applyAlignment="1">
      <alignment horizontal="center" vertical="center" textRotation="90" wrapText="1"/>
    </xf>
    <xf numFmtId="0" fontId="30" fillId="0" borderId="12" xfId="0" applyFont="1" applyBorder="1" applyAlignment="1">
      <alignment horizontal="center" vertical="center" textRotation="90" wrapText="1"/>
    </xf>
    <xf numFmtId="0" fontId="26" fillId="0" borderId="27" xfId="0" applyFont="1" applyBorder="1" applyAlignment="1">
      <alignment horizontal="left" wrapText="1"/>
    </xf>
    <xf numFmtId="0" fontId="26" fillId="0" borderId="27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2" fontId="25" fillId="13" borderId="7" xfId="0" applyNumberFormat="1" applyFont="1" applyFill="1" applyBorder="1" applyAlignment="1">
      <alignment horizontal="left" vertical="center"/>
    </xf>
    <xf numFmtId="2" fontId="25" fillId="13" borderId="4" xfId="0" applyNumberFormat="1" applyFont="1" applyFill="1" applyBorder="1" applyAlignment="1">
      <alignment horizontal="left" vertical="center"/>
    </xf>
    <xf numFmtId="4" fontId="27" fillId="0" borderId="0" xfId="0" applyNumberFormat="1" applyFont="1" applyFill="1" applyAlignment="1">
      <alignment horizontal="center" vertical="center"/>
    </xf>
  </cellXfs>
  <cellStyles count="48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" xfId="47" builtinId="4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2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numFmt numFmtId="187" formatCode="#.##000"/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solid">
          <bgColor rgb="FF2B415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80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solid">
          <bgColor rgb="FF2B415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name val="Apto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rgb="FF2B415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87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87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numFmt numFmtId="187" formatCode="#.##000"/>
      <fill>
        <patternFill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87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bgColor auto="1"/>
        </patternFill>
      </fill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numFmt numFmtId="187" formatCode="#.##000"/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87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numFmt numFmtId="4" formatCode="#,##0.00"/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numFmt numFmtId="187" formatCode="#.##000"/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87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numFmt numFmtId="4" formatCode="#,##0.00"/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vertAlign val="baseline"/>
        <name val="Aptos"/>
        <family val="2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rgb="FF2B415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name val="Aptos"/>
        <family val="2"/>
        <scheme val="none"/>
      </font>
      <fill>
        <patternFill>
          <bgColor rgb="FF2B415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name val="Aptos"/>
        <family val="2"/>
        <scheme val="none"/>
      </font>
      <fill>
        <patternFill>
          <bgColor rgb="FF2B4155"/>
        </patternFill>
      </fill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name val="Aptos"/>
        <family val="2"/>
        <scheme val="none"/>
      </font>
      <fill>
        <patternFill>
          <bgColor rgb="FF2B4155"/>
        </patternFill>
      </fill>
      <alignment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9"/>
        <name val="Aptos"/>
        <family val="2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rgb="FF2B415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1:D31" totalsRowShown="0" headerRowDxfId="215" dataDxfId="214" headerRowCellStyle="Standaard 4">
  <autoFilter ref="A11:D31" xr:uid="{00000000-0009-0000-0100-000006000000}"/>
  <tableColumns count="4">
    <tableColumn id="1" xr3:uid="{00000000-0010-0000-0000-000001000000}" name="Code" dataDxfId="213" dataCellStyle="Standaard 4"/>
    <tableColumn id="2" xr3:uid="{00000000-0010-0000-0000-000002000000}" name="Ruimte omschrijving" dataDxfId="212" dataCellStyle="Standaard 4"/>
    <tableColumn id="3" xr3:uid="{00000000-0010-0000-0000-000003000000}" name="Norm (5w)" dataDxfId="211"/>
    <tableColumn id="4" xr3:uid="{00000000-0010-0000-0000-000004000000}" name="Inspectiecategorie" dataDxfId="210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InvulExtra" displayName="InvulExtra" ref="A8:I9" totalsRowShown="0" headerRowDxfId="91" dataDxfId="90">
  <autoFilter ref="A8:I9" xr:uid="{00000000-0009-0000-0100-000005000000}"/>
  <tableColumns count="9">
    <tableColumn id="1" xr3:uid="{00000000-0010-0000-0900-000001000000}" name="Code Taak" dataDxfId="89"/>
    <tableColumn id="2" xr3:uid="{00000000-0010-0000-0900-000002000000}" name="Werkzaamheden" dataDxfId="88"/>
    <tableColumn id="3" xr3:uid="{00000000-0010-0000-0900-000003000000}" name="Prijs_x000a_Excl. BTW" dataDxfId="87">
      <calculatedColumnFormula>Tariefsopbouw!E35</calculatedColumnFormula>
    </tableColumn>
    <tableColumn id="4" xr3:uid="{00000000-0010-0000-0900-000004000000}" name="Toelichting" dataDxfId="86"/>
    <tableColumn id="6" xr3:uid="{3FB7F131-71FC-463C-8C00-D6DD0FDF1529}" name="2026" dataDxfId="85" dataCellStyle="Valuta 4">
      <calculatedColumnFormula>InvulExtra[[#This Row],[Prijs
Excl. BTW]]*Tariefsopbouw!I37+Tariefsopbouw!E35</calculatedColumnFormula>
    </tableColumn>
    <tableColumn id="7" xr3:uid="{CED55A0D-B25D-48E4-82C4-67D1CBD29C60}" name="2027" dataDxfId="84">
      <calculatedColumnFormula>InvulExtra[[#This Row],[2026]]*Tariefsopbouw!$K$37+InvulExtra[[#This Row],[2026]]</calculatedColumnFormula>
    </tableColumn>
    <tableColumn id="8" xr3:uid="{F66BBAFC-F378-4A72-A8A0-882B5B42BA69}" name="2028" dataDxfId="83">
      <calculatedColumnFormula>InvulExtra[[#This Row],[2027]]*Tariefsopbouw!$M$37+InvulExtra[[#This Row],[2027]]</calculatedColumnFormula>
    </tableColumn>
    <tableColumn id="9" xr3:uid="{D06F598A-5F46-4D18-8F56-D5615B461E3E}" name="2029" dataDxfId="82">
      <calculatedColumnFormula>InvulExtra[[#This Row],[2028]]*Tariefsopbouw!$O$37+InvulExtra[[#This Row],[2028]]</calculatedColumnFormula>
    </tableColumn>
    <tableColumn id="10" xr3:uid="{ADDE6AC4-A9FB-4C2E-BFEA-AB7183EB36E0}" name="2030" dataDxfId="81">
      <calculatedColumnFormula>InvulExtra[[#This Row],[2029]]*Tariefsopbouw!$Q$37+InvulExtra[[#This Row],[2029]]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OverzichtExtra" displayName="OverzichtExtra" ref="A12:I15" totalsRowCount="1" headerRowDxfId="80" dataDxfId="79" totalsRowDxfId="78">
  <autoFilter ref="A12:I14" xr:uid="{00000000-0009-0000-0100-00000A000000}"/>
  <tableColumns count="9">
    <tableColumn id="9" xr3:uid="{00000000-0010-0000-0A00-000009000000}" name="Code Locatie" dataDxfId="77" totalsRowDxfId="11"/>
    <tableColumn id="1" xr3:uid="{00000000-0010-0000-0A00-000001000000}" name="Locatie" totalsRowLabel="Totaal" dataDxfId="76" totalsRowDxfId="10">
      <calculatedColumnFormula>VLOOKUP(OverzichtExtra[[#This Row],[Code Locatie]],Locaties[],2,0)</calculatedColumnFormula>
    </tableColumn>
    <tableColumn id="3" xr3:uid="{00000000-0010-0000-0A00-000003000000}" name="Code Taak" dataDxfId="75" totalsRowDxfId="9"/>
    <tableColumn id="4" xr3:uid="{00000000-0010-0000-0A00-000004000000}" name="Werkzaamheid" dataDxfId="2" totalsRowDxfId="8">
      <calculatedColumnFormula>IF('Extra werkzaamheden'!$C13&gt;0,VLOOKUP('Extra werkzaamheden'!$C13,$A$8:$B$9,2,0),"")</calculatedColumnFormula>
    </tableColumn>
    <tableColumn id="5" xr3:uid="{00000000-0010-0000-0A00-000005000000}" name="Uren" dataDxfId="1" totalsRowDxfId="7"/>
    <tableColumn id="7" xr3:uid="{00000000-0010-0000-0A00-000007000000}" name="Frequentie (uitv. per jaar)" dataDxfId="0" totalsRowDxfId="6"/>
    <tableColumn id="8" xr3:uid="{00000000-0010-0000-0A00-000008000000}" name="Kosten/jaar excl. BTW" totalsRowFunction="sum" dataDxfId="74" totalsRowDxfId="5">
      <calculatedColumnFormula>VLOOKUP(OverzichtExtra[[#This Row],[Code Taak]],InvulExtra[#All],3,3)*OverzichtExtra[[#This Row],[Uren]]*OverzichtExtra[[#This Row],[Frequentie (uitv. per jaar)]]</calculatedColumnFormula>
    </tableColumn>
    <tableColumn id="2" xr3:uid="{8322BC60-38BB-4778-96EB-51A7D12E9153}" name="Kosten/jaar incl. BTW" totalsRowFunction="sum" dataDxfId="73" totalsRowDxfId="4" totalsRowCellStyle="Valuta">
      <calculatedColumnFormula>OverzichtExtra[[#This Row],[Kosten/jaar excl. BTW]]*1.21</calculatedColumnFormula>
    </tableColumn>
    <tableColumn id="6" xr3:uid="{F11022FB-77E2-4EEC-AC1F-0EF35712D480}" name="Opmerking" dataDxfId="72" totalsRowDxfId="3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41" totalsRowCount="1" headerRowDxfId="71" dataDxfId="70" totalsRowDxfId="69">
  <autoFilter ref="B8:I40" xr:uid="{00000000-0009-0000-0100-00000B000000}"/>
  <tableColumns count="8">
    <tableColumn id="1" xr3:uid="{00000000-0010-0000-0B00-000001000000}" name="Werkzaamheid" totalsRowLabel="Totaal" dataDxfId="68" totalsRowDxfId="67"/>
    <tableColumn id="2" xr3:uid="{00000000-0010-0000-0B00-000002000000}" name="Eenheid" dataDxfId="66" totalsRowDxfId="65"/>
    <tableColumn id="3" xr3:uid="{00000000-0010-0000-0B00-000003000000}" name="Prijs excl. BTW" dataDxfId="64" totalsRowDxfId="63"/>
    <tableColumn id="4" xr3:uid="{20339242-D37F-45D0-B3A9-D5D0277AA005}" name="2026" dataDxfId="62" totalsRowDxfId="61">
      <calculatedColumnFormula>InvulRegie[[#This Row],[Prijs excl. BTW]]*Tariefsopbouw!$I$37+InvulRegie[[#This Row],[Prijs excl. BTW]]</calculatedColumnFormula>
    </tableColumn>
    <tableColumn id="5" xr3:uid="{98710F61-FEB9-4108-AD80-85E42E12F88F}" name="2027" dataDxfId="60" totalsRowDxfId="59">
      <calculatedColumnFormula>InvulRegie[[#This Row],[2026]]*Tariefsopbouw!$K$37+InvulRegie[[#This Row],[2026]]</calculatedColumnFormula>
    </tableColumn>
    <tableColumn id="6" xr3:uid="{DA4A687B-70D0-4179-B678-42FA080B354F}" name="2028" dataDxfId="58" totalsRowDxfId="57">
      <calculatedColumnFormula>InvulRegie[[#This Row],[2027]]*Tariefsopbouw!$M$37+InvulRegie[[#This Row],[2027]]</calculatedColumnFormula>
    </tableColumn>
    <tableColumn id="7" xr3:uid="{FA946E46-8412-420B-AA1A-C1F4D582105F}" name="2029" dataDxfId="56" totalsRowDxfId="55">
      <calculatedColumnFormula>InvulRegie[[#This Row],[2028]]*Tariefsopbouw!$O$37+InvulRegie[[#This Row],[2028]]</calculatedColumnFormula>
    </tableColumn>
    <tableColumn id="8" xr3:uid="{00A92510-BD5B-4E71-BCF5-F352086DB0C7}" name="2030" dataDxfId="54" totalsRowDxfId="53">
      <calculatedColumnFormula>InvulRegie[[#This Row],[2029]]*Tariefsopbouw!$Q$37+InvulRegie[[#This Row],[2029]]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9" totalsRowCount="1" headerRowDxfId="52" dataDxfId="50" totalsRowDxfId="48" headerRowBorderDxfId="51" tableBorderDxfId="49">
  <autoFilter ref="A6:H8" xr:uid="{00000000-0009-0000-0100-00000E000000}"/>
  <tableColumns count="8">
    <tableColumn id="8" xr3:uid="{00000000-0010-0000-0C00-000008000000}" name="Code Locatie" dataDxfId="47" totalsRowDxfId="46"/>
    <tableColumn id="1" xr3:uid="{00000000-0010-0000-0C00-000001000000}" name="Locatie" totalsRowLabel="Totaal" dataDxfId="45" totalsRowDxfId="44">
      <calculatedColumnFormula>VLOOKUP(Samenvattingschoonmaak[[#This Row],[Code Locatie]],Locaties[],2,0)</calculatedColumnFormula>
    </tableColumn>
    <tableColumn id="2" xr3:uid="{00000000-0010-0000-0C00-000002000000}" name="Oppervlakte i/o" totalsRowFunction="sum" dataDxfId="43" totalsRowDxfId="42">
      <calculatedColumnFormula>SUMIF('Ruimtestaat'!$A:$A,Totalisatie!$A7,'Ruimtestaat'!$N:$N)</calculatedColumnFormula>
    </tableColumn>
    <tableColumn id="3" xr3:uid="{00000000-0010-0000-0C00-000003000000}" name="Prest. (m2 /jaar)" totalsRowFunction="sum" dataDxfId="41" totalsRowDxfId="40">
      <calculatedColumnFormula>SUMIF('Ruimtestaat'!$A:$A,Totalisatie!$A7,'Ruimtestaat'!$AE:$AE)</calculatedColumnFormula>
    </tableColumn>
    <tableColumn id="4" xr3:uid="{00000000-0010-0000-0C00-000004000000}" name="Uren / jaar" totalsRowFunction="sum" dataDxfId="39" totalsRowDxfId="38">
      <calculatedColumnFormula>SUMIF('Ruimtestaat'!$A:$A,Totalisatie!$A7,'Ruimtestaat'!$AF:$AF)</calculatedColumnFormula>
    </tableColumn>
    <tableColumn id="5" xr3:uid="{00000000-0010-0000-0C00-000005000000}" name="Norm (m2/uur)" totalsRowFunction="custom" dataDxfId="37" totalsRowDxfId="36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35" totalsRowDxfId="34">
      <calculatedColumnFormula>SUMIF('Ruimtestaat'!$A:$A,Totalisatie!$A7,'Ruimtestaat'!$AG:$AG)</calculatedColumnFormula>
    </tableColumn>
    <tableColumn id="7" xr3:uid="{00000000-0010-0000-0C00-000007000000}" name="Kosten / m2" totalsRowFunction="custom" dataDxfId="33" totalsRowDxfId="32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2:G15" totalsRowCount="1" headerRowDxfId="31" dataDxfId="29" totalsRowDxfId="27" headerRowBorderDxfId="30" tableBorderDxfId="28">
  <autoFilter ref="A12:G14" xr:uid="{00000000-0009-0000-0100-00000F000000}"/>
  <tableColumns count="7">
    <tableColumn id="8" xr3:uid="{00000000-0010-0000-0D00-000008000000}" name="Code Locatie" dataDxfId="26" totalsRowDxfId="25"/>
    <tableColumn id="1" xr3:uid="{00000000-0010-0000-0D00-000001000000}" name="Locaties" totalsRowLabel="Totaal" dataDxfId="24" totalsRowDxfId="23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2" totalsRowDxfId="21">
      <calculatedColumnFormula>SUMIF('Ruimtestaat'!A:A,Totalisatie[[#This Row],[Code Locatie]],'Ruimtestaat'!AG:AG)</calculatedColumnFormula>
    </tableColumn>
    <tableColumn id="2" xr3:uid="{00000000-0010-0000-0D00-000002000000}" name="Vloeronderhoud_x000a_Kosten / jaar" totalsRowFunction="sum" dataDxfId="20" totalsRowDxfId="19">
      <calculatedColumnFormula>SUMIF(Vloeronderhoud!$A$21:$A$34,Totalisatie[[#This Row],[Code Locatie]],Vloeronderhoud!$H$21:$H$34)</calculatedColumnFormula>
    </tableColumn>
    <tableColumn id="5" xr3:uid="{EFE406B1-965E-4AB3-B796-FA03E6AC0770}" name="Glasbewassing_x000a_Kosten / jaar" totalsRowFunction="custom" dataDxfId="18" totalsRowDxfId="17">
      <calculatedColumnFormula>SUMIF(Glasbewassing!$A$23:$A$32,Totalisatie[[#This Row],[Code Locatie]],Glasbewassing!$G$23:$G$32)</calculatedColumnFormula>
      <totalsRowFormula>OverzichtGlas[[#Totals],[Kosten/jaar excl. BTW]]</totalsRowFormula>
    </tableColumn>
    <tableColumn id="3" xr3:uid="{00000000-0010-0000-0D00-000003000000}" name="Extra Werkzaamheden_x000a_Kosten / jaar" totalsRowFunction="sum" dataDxfId="16" totalsRowDxfId="15">
      <calculatedColumnFormula>SUMIF(OverzichtExtra[Code Locatie],Totalisatie[[#This Row],[Code Locatie]],OverzichtExtra[Kosten/jaar excl. BTW])</calculatedColumnFormula>
    </tableColumn>
    <tableColumn id="7" xr3:uid="{00000000-0010-0000-0D00-000007000000}" name="Totaalprijs_x000a_Kosten / jaar" totalsRowFunction="sum" dataDxfId="14" totalsRowDxfId="13">
      <calculatedColumnFormula>SUM(Totalisatie[[#This Row],[Schoonmaakonderhoud
Kosten / jaar]:[Extra Werkzaamheden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4:F39" totalsRowShown="0" headerRowDxfId="209" dataDxfId="208">
  <autoFilter ref="A34:F39" xr:uid="{00000000-0009-0000-0100-000007000000}"/>
  <tableColumns count="6">
    <tableColumn id="1" xr3:uid="{00000000-0010-0000-0100-000001000000}" name="Code" dataDxfId="207"/>
    <tableColumn id="4" xr3:uid="{00000000-0010-0000-0100-000004000000}" name="Naam" dataDxfId="206"/>
    <tableColumn id="5" xr3:uid="{00000000-0010-0000-0100-000005000000}" name="Aanpassing norm" dataDxfId="205" dataCellStyle="Procent"/>
    <tableColumn id="2" xr3:uid="{00000000-0010-0000-0100-000002000000}" name="Vloersoort omschrijving" dataDxfId="204" dataCellStyle="Standaard 4"/>
    <tableColumn id="7" xr3:uid="{00000000-0010-0000-0100-000007000000}" name="." dataDxfId="203" dataCellStyle="Standaard 4"/>
    <tableColumn id="6" xr3:uid="{00000000-0010-0000-0100-000006000000}" name=".." dataDxfId="202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2:C52" totalsRowShown="0" headerRowDxfId="201" dataDxfId="200">
  <autoFilter ref="A42:C52" xr:uid="{00000000-0009-0000-0100-000008000000}"/>
  <tableColumns count="3">
    <tableColumn id="1" xr3:uid="{00000000-0010-0000-0200-000001000000}" name="Code" dataDxfId="199" dataCellStyle="Standaard 4"/>
    <tableColumn id="2" xr3:uid="{00000000-0010-0000-0200-000002000000}" name="Frequentie omschrijving" dataDxfId="198" dataCellStyle="Standaard 4"/>
    <tableColumn id="3" xr3:uid="{00000000-0010-0000-0200-000003000000}" name="Aanpassing norm" dataDxfId="19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8" totalsRowShown="0" headerRowDxfId="196" dataDxfId="195">
  <autoFilter ref="A6:F8" xr:uid="{00000000-0009-0000-0100-00000D000000}"/>
  <tableColumns count="6">
    <tableColumn id="1" xr3:uid="{00000000-0010-0000-0300-000001000000}" name="Code" dataDxfId="194"/>
    <tableColumn id="2" xr3:uid="{00000000-0010-0000-0300-000002000000}" name="Locatie" dataDxfId="193"/>
    <tableColumn id="7" xr3:uid="{00000000-0010-0000-0300-000007000000}" name="Aanpassing norm" dataDxfId="192"/>
    <tableColumn id="3" xr3:uid="{00000000-0010-0000-0300-000003000000}" name="Adres" dataDxfId="191"/>
    <tableColumn id="4" xr3:uid="{00000000-0010-0000-0300-000004000000}" name="Postcode" dataDxfId="190"/>
    <tableColumn id="5" xr3:uid="{00000000-0010-0000-0300-000005000000}" name="Plaats" dataDxfId="189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455" totalsRowShown="0" headerRowDxfId="188" dataDxfId="187">
  <autoFilter ref="A4:AG455" xr:uid="{00000000-0009-0000-0100-000009000000}"/>
  <tableColumns count="33">
    <tableColumn id="32" xr3:uid="{00000000-0010-0000-0400-000020000000}" name="Code" dataDxfId="186"/>
    <tableColumn id="1" xr3:uid="{00000000-0010-0000-0400-000001000000}" name="Locatie" dataDxfId="185"/>
    <tableColumn id="3" xr3:uid="{00000000-0010-0000-0400-000003000000}" name="Adres" dataDxfId="184">
      <calculatedColumnFormula>VLOOKUP(Ruimtestaat[[#This Row],[Code]],Locaties[#All],4,FALSE)</calculatedColumnFormula>
    </tableColumn>
    <tableColumn id="4" xr3:uid="{00000000-0010-0000-0400-000004000000}" name="Postcode" dataDxfId="183">
      <calculatedColumnFormula>VLOOKUP(Ruimtestaat[[#This Row],[Code]],Locaties[#All],5,FALSE)</calculatedColumnFormula>
    </tableColumn>
    <tableColumn id="5" xr3:uid="{00000000-0010-0000-0400-000005000000}" name="Plaats" dataDxfId="182">
      <calculatedColumnFormula>VLOOKUP(Ruimtestaat[[#This Row],[Code]],Locaties[#All],6,FALSE)</calculatedColumnFormula>
    </tableColumn>
    <tableColumn id="2" xr3:uid="{00000000-0010-0000-0400-000002000000}" name="Gebouw gedeelte" dataDxfId="181"/>
    <tableColumn id="6" xr3:uid="{00000000-0010-0000-0400-000006000000}" name="Etage" dataDxfId="180"/>
    <tableColumn id="7" xr3:uid="{00000000-0010-0000-0400-000007000000}" name="Ruimte- nummer" dataDxfId="179"/>
    <tableColumn id="8" xr3:uid="{00000000-0010-0000-0400-000008000000}" name="Ruimte omschrijving" dataDxfId="178"/>
    <tableColumn id="9" xr3:uid="{00000000-0010-0000-0400-000009000000}" name="Ruimte code" dataDxfId="177"/>
    <tableColumn id="10" xr3:uid="{00000000-0010-0000-0400-00000A000000}" name="Ruimtesoort" dataDxfId="176"/>
    <tableColumn id="11" xr3:uid="{00000000-0010-0000-0400-00000B000000}" name="Vloer code" dataDxfId="175"/>
    <tableColumn id="12" xr3:uid="{00000000-0010-0000-0400-00000C000000}" name="Vloer afwerking" dataDxfId="174"/>
    <tableColumn id="13" xr3:uid="{00000000-0010-0000-0400-00000D000000}" name="Oppervlak (netto)" dataDxfId="173"/>
    <tableColumn id="14" xr3:uid="{00000000-0010-0000-0400-00000E000000}" name="Oppervlakte n.i.o." dataDxfId="172"/>
    <tableColumn id="15" xr3:uid="{00000000-0010-0000-0400-00000F000000}" name="Inspectie categorie" dataDxfId="171">
      <calculatedColumnFormula>LEFT(VLOOKUP(Ruimtestaat[[#This Row],[Ruimte code]],Ruimtegroepen[#All],4,1),2)</calculatedColumnFormula>
    </tableColumn>
    <tableColumn id="16" xr3:uid="{00000000-0010-0000-0400-000010000000}" name="Opmerking" dataDxfId="170"/>
    <tableColumn id="17" xr3:uid="{00000000-0010-0000-0400-000011000000}" name="Aantal weken/jr" dataDxfId="169"/>
    <tableColumn id="18" xr3:uid="{00000000-0010-0000-0400-000012000000}" name="Frequentie werkdagen" dataDxfId="168"/>
    <tableColumn id="19" xr3:uid="{00000000-0010-0000-0400-000013000000}" name="Uitvoeringen werkdagen" dataDxfId="167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66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165"/>
    <tableColumn id="22" xr3:uid="{00000000-0010-0000-0400-000016000000}" name="uren / jaar werkdagen" dataDxfId="164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163">
      <calculatedColumnFormula>Ruimtestaat[[#This Row],[uren / jaar werkdagen]]*Tariefsopbouw!$E$35</calculatedColumnFormula>
    </tableColumn>
    <tableColumn id="24" xr3:uid="{00000000-0010-0000-0400-000018000000}" name="Frequentie weekend" dataDxfId="162"/>
    <tableColumn id="38" xr3:uid="{00000000-0010-0000-0400-000026000000}" name="Uitvoeringen weekend" dataDxfId="161">
      <calculatedColumnFormula>IF(Ruimtestaat[[#This Row],[Frequentie weekend]]&gt;0,VALUE(LEFT(Y5,1))*R5,0)</calculatedColumnFormula>
    </tableColumn>
    <tableColumn id="25" xr3:uid="{00000000-0010-0000-0400-000019000000}" name="Norm (m2/uur) weekend" dataDxfId="160">
      <calculatedColumnFormula>IF($Z5&gt;0,VLOOKUP($J5,Ruimtegroepen[],3,FALSE)*VLOOKUP($L5,Vloersoorten[],3,FALSE)*VLOOKUP($Y5,Frequenties[],3,FALSE)*VLOOKUP($A1,Locaties[],3,FALSE),0)</calculatedColumnFormula>
    </tableColumn>
    <tableColumn id="26" xr3:uid="{00000000-0010-0000-0400-00001A000000}" name="Prest. (m2 /jaar) weekend" dataDxfId="159"/>
    <tableColumn id="27" xr3:uid="{00000000-0010-0000-0400-00001B000000}" name="uren / jaar weekend" dataDxfId="158"/>
    <tableColumn id="28" xr3:uid="{00000000-0010-0000-0400-00001C000000}" name="kosten / jaar weekend" dataDxfId="157">
      <calculatedColumnFormula>Ruimtestaat[[#This Row],[uren / jaar weekend]]*Tariefsopbouw!$D$40</calculatedColumnFormula>
    </tableColumn>
    <tableColumn id="29" xr3:uid="{00000000-0010-0000-0400-00001D000000}" name="Prest. (m2 /jaar)" dataDxfId="156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55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54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8" totalsRowShown="0" headerRowDxfId="153" dataDxfId="152">
  <autoFilter ref="A8:I18" xr:uid="{00000000-0009-0000-0100-000001000000}"/>
  <tableColumns count="9">
    <tableColumn id="1" xr3:uid="{00000000-0010-0000-0700-000001000000}" name="Code Taak" dataDxfId="151"/>
    <tableColumn id="2" xr3:uid="{00000000-0010-0000-0700-000002000000}" name="Werkzaamheden" dataDxfId="150"/>
    <tableColumn id="3" xr3:uid="{00000000-0010-0000-0700-000003000000}" name="Prijs" dataDxfId="149"/>
    <tableColumn id="4" xr3:uid="{00000000-0010-0000-0700-000004000000}" name="Omschrijving" dataDxfId="148"/>
    <tableColumn id="5" xr3:uid="{7B224336-2E90-4786-8885-F9B3CAAAC600}" name="2026" dataDxfId="147" dataCellStyle="Valuta 4">
      <calculatedColumnFormula>InvulVloer[[#This Row],[Prijs]]*Tariefsopbouw!$I$37+InvulVloer[[#This Row],[Prijs]]</calculatedColumnFormula>
    </tableColumn>
    <tableColumn id="6" xr3:uid="{0211B985-6953-45B6-8A6A-749D6F313951}" name="2027" dataDxfId="146">
      <calculatedColumnFormula>InvulVloer[[#This Row],[2026]]*Tariefsopbouw!$K$37+InvulVloer[[#This Row],[2026]]</calculatedColumnFormula>
    </tableColumn>
    <tableColumn id="7" xr3:uid="{9E193464-F35C-49B3-A477-D7B0835ABCF2}" name="2028" dataDxfId="145">
      <calculatedColumnFormula>InvulVloer[[#This Row],[2027]]*Tariefsopbouw!$M$37+InvulVloer[[#This Row],[2027]]</calculatedColumnFormula>
    </tableColumn>
    <tableColumn id="8" xr3:uid="{8069DF64-F4BB-49BA-8609-74BCEBC0E84C}" name="2029" dataDxfId="144">
      <calculatedColumnFormula>InvulVloer[[#This Row],[2028]]*Tariefsopbouw!$O$37+InvulVloer[[#This Row],[2028]]</calculatedColumnFormula>
    </tableColumn>
    <tableColumn id="9" xr3:uid="{FCBF02FF-403C-4DC9-8F5B-108F47020EEA}" name="2030" dataDxfId="143">
      <calculatedColumnFormula>InvulVloer[[#This Row],[2029]]*Tariefsopbouw!$Q$37+InvulVloer[[#This Row],[2029]]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34" totalsRowCount="1" headerRowDxfId="142" dataDxfId="141" totalsRowDxfId="140">
  <autoFilter ref="A20:H33" xr:uid="{00000000-0009-0000-0100-000002000000}"/>
  <tableColumns count="8">
    <tableColumn id="11" xr3:uid="{00000000-0010-0000-0800-00000B000000}" name="Code Locatie" dataDxfId="139" totalsRowDxfId="138"/>
    <tableColumn id="1" xr3:uid="{00000000-0010-0000-0800-000001000000}" name="Locatie" totalsRowLabel="Totaal" dataDxfId="137" totalsRowDxfId="136"/>
    <tableColumn id="3" xr3:uid="{00000000-0010-0000-0800-000003000000}" name="Code Taak" dataDxfId="135" totalsRowDxfId="134"/>
    <tableColumn id="4" xr3:uid="{00000000-0010-0000-0800-000004000000}" name="Werkzaamheden" dataDxfId="133" totalsRowDxfId="132">
      <calculatedColumnFormula>IF(Vloeronderhoud!$C21&gt;0,VLOOKUP(Vloeronderhoud!$C21,$A$8:$B$18,2,FALSE),"")</calculatedColumnFormula>
    </tableColumn>
    <tableColumn id="5" xr3:uid="{00000000-0010-0000-0800-000005000000}" name="Vloersoort" dataDxfId="131" totalsRowDxfId="130"/>
    <tableColumn id="6" xr3:uid="{00000000-0010-0000-0800-000006000000}" name="Oppervlakte" dataDxfId="129" totalsRowDxfId="128">
      <calculatedColumnFormula>SUMIFS('Ruimtestaat'!$N:$N,'Ruimtestaat'!L:L,Vloeronderhoud!E21,'Ruimtestaat'!A:A,Vloeronderhoud!A21)</calculatedColumnFormula>
    </tableColumn>
    <tableColumn id="8" xr3:uid="{00000000-0010-0000-0800-000008000000}" name="Frequentie (uitv./jaar)" dataDxfId="127" totalsRowDxfId="126"/>
    <tableColumn id="9" xr3:uid="{00000000-0010-0000-0800-000009000000}" name="Kosten/jaar excl. BTW" totalsRowFunction="sum" dataDxfId="125" totalsRowDxfId="124">
      <calculatedColumnFormula>VLOOKUP(OverzichtVloer[[#This Row],[Code Taak]],InvulVloer[],3,3)*F21*G21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20" totalsRowShown="0" headerRowDxfId="123" dataDxfId="122">
  <autoFilter ref="A8:I20" xr:uid="{3B56DD7F-E31F-4738-A2A6-B6195742F83D}"/>
  <tableColumns count="9">
    <tableColumn id="1" xr3:uid="{E535CE63-335F-4482-A4E0-E125D9A2B340}" name="Code taak" dataDxfId="121"/>
    <tableColumn id="2" xr3:uid="{25BA42B2-ED5A-4BB6-B11D-C43B4833E11E}" name="Glassoort/voorziening" dataDxfId="120"/>
    <tableColumn id="3" xr3:uid="{CF51549B-5B5B-4DAA-9B7E-C0E281B3CE61}" name="Prijs excl. BTW" dataDxfId="119"/>
    <tableColumn id="4" xr3:uid="{6F94C37D-4D34-45AA-883D-F6E668605F2E}" name="Eenheid" dataDxfId="118"/>
    <tableColumn id="5" xr3:uid="{B42CEB27-60B6-49B0-917A-9BE12D2DA665}" name="2026" dataDxfId="117">
      <calculatedColumnFormula>(InvulGlas[[#This Row],[Prijs excl. BTW]]*Tariefsopbouw!$I$37)+InvulGlas[[#This Row],[Prijs excl. BTW]]</calculatedColumnFormula>
    </tableColumn>
    <tableColumn id="6" xr3:uid="{8237F260-0DF8-45FA-8B35-F9EFF1B9C431}" name="2027" dataDxfId="116">
      <calculatedColumnFormula>(InvulGlas[[#This Row],[2026]]*Tariefsopbouw!$K$37)+InvulGlas[[#This Row],[2026]]</calculatedColumnFormula>
    </tableColumn>
    <tableColumn id="7" xr3:uid="{55531EE1-56B0-423A-AC5D-7780403A0A80}" name="2028" dataDxfId="115">
      <calculatedColumnFormula>(InvulGlas[[#This Row],[2027]]*Tariefsopbouw!$M$37)+InvulGlas[[#This Row],[2027]]</calculatedColumnFormula>
    </tableColumn>
    <tableColumn id="8" xr3:uid="{419C290D-2527-48A8-999A-C82B165194BA}" name="2029" dataDxfId="114">
      <calculatedColumnFormula>(InvulGlas[[#This Row],[2028]]*Tariefsopbouw!$O$37)+InvulGlas[[#This Row],[2028]]</calculatedColumnFormula>
    </tableColumn>
    <tableColumn id="9" xr3:uid="{E4E2B8F8-E445-4912-8989-9751C8DD6970}" name="2030" dataDxfId="113">
      <calculatedColumnFormula>(InvulGlas[[#This Row],[2029]]*Tariefsopbouw!$Q$37)+InvulGlas[[#This Row],[2029]]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2:I33" totalsRowCount="1" headerRowDxfId="112" dataDxfId="111" totalsRowDxfId="110">
  <autoFilter ref="A22:I32" xr:uid="{620012B9-E2E3-462E-92FA-D2ECE74E3DC6}"/>
  <sortState xmlns:xlrd2="http://schemas.microsoft.com/office/spreadsheetml/2017/richdata2" ref="A23:G27">
    <sortCondition ref="A23:A27"/>
  </sortState>
  <tableColumns count="9">
    <tableColumn id="1" xr3:uid="{2536BA71-4E9E-4699-B1D3-AD672C5D2A84}" name="Code Locatie" totalsRowLabel="Totaal" dataDxfId="109" totalsRowDxfId="108"/>
    <tableColumn id="2" xr3:uid="{50EE039F-714D-4763-852C-089B9B9C7380}" name="Locatie" dataDxfId="107" totalsRowDxfId="106">
      <calculatedColumnFormula>VLOOKUP(OverzichtGlas[[#This Row],[Code Locatie]],Samenvattingschoonmaak[[#All],[Code Locatie]:[Locatie]],2,FALSE)</calculatedColumnFormula>
    </tableColumn>
    <tableColumn id="3" xr3:uid="{D15C2F41-1594-45D7-9803-C8C7AEECECF7}" name="Code taak" dataDxfId="105" totalsRowDxfId="104"/>
    <tableColumn id="4" xr3:uid="{642A0D23-31BA-42AE-8CB0-DC6E3B12DFB6}" name="Glassoort/voorziening" dataDxfId="103" totalsRowDxfId="102"/>
    <tableColumn id="5" xr3:uid="{C9661328-A370-44DF-8207-78449C8D44D2}" name="Oppervlakte of dagen" dataDxfId="101" totalsRowDxfId="100"/>
    <tableColumn id="7" xr3:uid="{BDAD6D23-D82B-43C1-9D0E-6A2C6CAB4C1A}" name="Frequentie" dataDxfId="99" totalsRowDxfId="98"/>
    <tableColumn id="8" xr3:uid="{BDB7ACE8-E58D-4776-9BBB-A8732570A475}" name="Kosten/jaar excl. BTW" totalsRowFunction="sum" dataDxfId="97" totalsRowDxfId="96">
      <calculatedColumnFormula>IF(C23&gt;0,VLOOKUP(OverzichtGlas[[#This Row],[Code taak]],InvulGlas[],3,0)*E23*F23,0)</calculatedColumnFormula>
    </tableColumn>
    <tableColumn id="9" xr3:uid="{8F415E75-25DE-41FA-86DA-16C5EB0A9299}" name="Kosten/jaar incl. BTW" totalsRowFunction="sum" dataDxfId="95" totalsRowDxfId="94">
      <calculatedColumnFormula>OverzichtGlas[[#This Row],[Kosten/jaar excl. BTW]]*1.21</calculatedColumnFormula>
    </tableColumn>
    <tableColumn id="10" xr3:uid="{8B05202D-C69A-4C8D-9EBD-9530B2C0368D}" name="Opmerkingen" dataDxfId="93" totalsRowDxfId="9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09B8-0238-4DFF-ADF9-B212427B222E}">
  <sheetPr>
    <tabColor theme="0" tint="-0.14999847407452621"/>
  </sheetPr>
  <dimension ref="A1:R15"/>
  <sheetViews>
    <sheetView workbookViewId="0">
      <selection activeCell="C2" sqref="C2"/>
    </sheetView>
  </sheetViews>
  <sheetFormatPr defaultColWidth="9.140625" defaultRowHeight="13.5"/>
  <cols>
    <col min="1" max="1" width="6" style="12" customWidth="1"/>
    <col min="2" max="2" width="11.5703125" style="12" customWidth="1"/>
    <col min="3" max="3" width="13.85546875" style="12" customWidth="1"/>
    <col min="4" max="4" width="14.7109375" style="12" bestFit="1" customWidth="1"/>
    <col min="5" max="5" width="15.42578125" style="12" bestFit="1" customWidth="1"/>
    <col min="6" max="6" width="14" style="12" bestFit="1" customWidth="1"/>
    <col min="7" max="7" width="10.42578125" style="13" bestFit="1" customWidth="1"/>
    <col min="8" max="8" width="27.5703125" style="12" customWidth="1"/>
    <col min="9" max="9" width="13" style="13" customWidth="1"/>
    <col min="10" max="10" width="13.7109375" style="13" customWidth="1"/>
    <col min="11" max="11" width="9" style="12" bestFit="1" customWidth="1"/>
    <col min="12" max="12" width="12.28515625" style="12" bestFit="1" customWidth="1"/>
    <col min="13" max="13" width="10.7109375" style="12" customWidth="1"/>
    <col min="14" max="14" width="11.7109375" style="12" customWidth="1"/>
    <col min="15" max="15" width="14.140625" style="12" bestFit="1" customWidth="1"/>
    <col min="16" max="16" width="17.7109375" style="12" customWidth="1"/>
    <col min="17" max="17" width="15.85546875" style="13" bestFit="1" customWidth="1"/>
    <col min="18" max="18" width="27.140625" style="12" bestFit="1" customWidth="1"/>
    <col min="19" max="16384" width="9.140625" style="3"/>
  </cols>
  <sheetData>
    <row r="1" spans="1:18" ht="36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>
      <c r="A2" s="4">
        <v>1</v>
      </c>
      <c r="B2" s="5">
        <v>21974</v>
      </c>
      <c r="C2" s="5">
        <v>43891</v>
      </c>
      <c r="D2" s="5">
        <v>34310</v>
      </c>
      <c r="E2" s="6" t="s">
        <v>1025</v>
      </c>
      <c r="F2" s="7">
        <v>12.5</v>
      </c>
      <c r="G2" s="8" t="s">
        <v>1028</v>
      </c>
      <c r="H2" s="6" t="s">
        <v>1029</v>
      </c>
      <c r="I2" s="8" t="s">
        <v>149</v>
      </c>
      <c r="J2" s="8">
        <v>1</v>
      </c>
      <c r="K2" s="9">
        <v>16.059999999999999</v>
      </c>
      <c r="L2" s="10" t="s">
        <v>149</v>
      </c>
      <c r="M2" s="10" t="s">
        <v>149</v>
      </c>
      <c r="N2" s="10" t="s">
        <v>149</v>
      </c>
      <c r="O2" s="8" t="s">
        <v>1027</v>
      </c>
      <c r="P2" s="8" t="s">
        <v>149</v>
      </c>
      <c r="Q2" s="8" t="s">
        <v>1027</v>
      </c>
      <c r="R2" s="6" t="s">
        <v>242</v>
      </c>
    </row>
    <row r="3" spans="1:18">
      <c r="A3" s="4">
        <v>2</v>
      </c>
      <c r="B3" s="5">
        <v>29167</v>
      </c>
      <c r="C3" s="5">
        <v>45300</v>
      </c>
      <c r="D3" s="5">
        <v>45300</v>
      </c>
      <c r="E3" s="6" t="s">
        <v>1026</v>
      </c>
      <c r="F3" s="7">
        <v>15</v>
      </c>
      <c r="G3" s="8" t="s">
        <v>1028</v>
      </c>
      <c r="H3" s="6" t="s">
        <v>1029</v>
      </c>
      <c r="I3" s="8" t="s">
        <v>149</v>
      </c>
      <c r="J3" s="8">
        <v>1</v>
      </c>
      <c r="K3" s="9">
        <v>15.58</v>
      </c>
      <c r="L3" s="10" t="s">
        <v>149</v>
      </c>
      <c r="M3" s="10" t="s">
        <v>149</v>
      </c>
      <c r="N3" s="10" t="s">
        <v>149</v>
      </c>
      <c r="O3" s="8" t="s">
        <v>1027</v>
      </c>
      <c r="P3" s="8" t="s">
        <v>149</v>
      </c>
      <c r="Q3" s="8" t="s">
        <v>1027</v>
      </c>
      <c r="R3" s="6" t="s">
        <v>242</v>
      </c>
    </row>
    <row r="4" spans="1:18">
      <c r="A4" s="4">
        <v>3</v>
      </c>
      <c r="B4" s="5">
        <v>31481</v>
      </c>
      <c r="C4" s="5">
        <v>45600</v>
      </c>
      <c r="D4" s="5">
        <v>45600</v>
      </c>
      <c r="E4" s="6" t="s">
        <v>1026</v>
      </c>
      <c r="F4" s="7">
        <v>15</v>
      </c>
      <c r="G4" s="8" t="s">
        <v>1027</v>
      </c>
      <c r="H4" s="6" t="s">
        <v>1029</v>
      </c>
      <c r="I4" s="8" t="s">
        <v>149</v>
      </c>
      <c r="J4" s="8">
        <v>1</v>
      </c>
      <c r="K4" s="9">
        <v>15.12</v>
      </c>
      <c r="L4" s="10" t="s">
        <v>149</v>
      </c>
      <c r="M4" s="10" t="s">
        <v>149</v>
      </c>
      <c r="N4" s="10" t="s">
        <v>149</v>
      </c>
      <c r="O4" s="8" t="s">
        <v>1027</v>
      </c>
      <c r="P4" s="8" t="s">
        <v>149</v>
      </c>
      <c r="Q4" s="8" t="s">
        <v>1027</v>
      </c>
      <c r="R4" s="6" t="s">
        <v>242</v>
      </c>
    </row>
    <row r="5" spans="1:18">
      <c r="A5" s="4">
        <v>4</v>
      </c>
      <c r="B5" s="5">
        <v>35350</v>
      </c>
      <c r="C5" s="5">
        <v>44986</v>
      </c>
      <c r="D5" s="5">
        <v>44636</v>
      </c>
      <c r="E5" s="6" t="s">
        <v>1025</v>
      </c>
      <c r="F5" s="7">
        <v>30</v>
      </c>
      <c r="G5" s="8" t="s">
        <v>1028</v>
      </c>
      <c r="H5" s="6" t="s">
        <v>1029</v>
      </c>
      <c r="I5" s="8" t="s">
        <v>149</v>
      </c>
      <c r="J5" s="8">
        <v>1</v>
      </c>
      <c r="K5" s="9">
        <v>16.059999999999999</v>
      </c>
      <c r="L5" s="10" t="s">
        <v>149</v>
      </c>
      <c r="M5" s="10" t="s">
        <v>149</v>
      </c>
      <c r="N5" s="10" t="s">
        <v>149</v>
      </c>
      <c r="O5" s="8" t="s">
        <v>1028</v>
      </c>
      <c r="P5" s="8" t="s">
        <v>149</v>
      </c>
      <c r="Q5" s="8" t="s">
        <v>1027</v>
      </c>
      <c r="R5" s="6" t="s">
        <v>242</v>
      </c>
    </row>
    <row r="6" spans="1:18">
      <c r="A6" s="4">
        <v>5</v>
      </c>
      <c r="B6" s="5">
        <v>24654</v>
      </c>
      <c r="C6" s="5">
        <v>43678</v>
      </c>
      <c r="D6" s="5">
        <v>34255</v>
      </c>
      <c r="E6" s="6" t="s">
        <v>1025</v>
      </c>
      <c r="F6" s="7">
        <v>11.25</v>
      </c>
      <c r="G6" s="8" t="s">
        <v>1028</v>
      </c>
      <c r="H6" s="6" t="s">
        <v>1029</v>
      </c>
      <c r="I6" s="8" t="s">
        <v>149</v>
      </c>
      <c r="J6" s="8">
        <v>1</v>
      </c>
      <c r="K6" s="9">
        <v>16.059999999999999</v>
      </c>
      <c r="L6" s="10" t="s">
        <v>149</v>
      </c>
      <c r="M6" s="10" t="s">
        <v>149</v>
      </c>
      <c r="N6" s="10" t="s">
        <v>149</v>
      </c>
      <c r="O6" s="8" t="s">
        <v>1027</v>
      </c>
      <c r="P6" s="8" t="s">
        <v>149</v>
      </c>
      <c r="Q6" s="8" t="s">
        <v>1028</v>
      </c>
      <c r="R6" s="6" t="s">
        <v>242</v>
      </c>
    </row>
    <row r="7" spans="1:18">
      <c r="A7" s="4">
        <v>6</v>
      </c>
      <c r="B7" s="5">
        <v>25512</v>
      </c>
      <c r="C7" s="5">
        <v>44341</v>
      </c>
      <c r="D7" s="5">
        <v>44341</v>
      </c>
      <c r="E7" s="6" t="s">
        <v>1025</v>
      </c>
      <c r="F7" s="7">
        <v>15</v>
      </c>
      <c r="G7" s="8" t="s">
        <v>1028</v>
      </c>
      <c r="H7" s="6" t="s">
        <v>1029</v>
      </c>
      <c r="I7" s="8" t="s">
        <v>149</v>
      </c>
      <c r="J7" s="8">
        <v>1</v>
      </c>
      <c r="K7" s="9">
        <v>16.059999999999999</v>
      </c>
      <c r="L7" s="10" t="s">
        <v>149</v>
      </c>
      <c r="M7" s="10" t="s">
        <v>149</v>
      </c>
      <c r="N7" s="10" t="s">
        <v>149</v>
      </c>
      <c r="O7" s="8" t="s">
        <v>1028</v>
      </c>
      <c r="P7" s="8" t="s">
        <v>149</v>
      </c>
      <c r="Q7" s="8" t="s">
        <v>1028</v>
      </c>
      <c r="R7" s="6" t="s">
        <v>242</v>
      </c>
    </row>
    <row r="8" spans="1:18">
      <c r="A8" s="4">
        <v>7</v>
      </c>
      <c r="B8" s="5">
        <v>25753</v>
      </c>
      <c r="C8" s="5">
        <v>43108</v>
      </c>
      <c r="D8" s="5">
        <v>43108</v>
      </c>
      <c r="E8" s="6" t="s">
        <v>1025</v>
      </c>
      <c r="F8" s="7">
        <v>15</v>
      </c>
      <c r="G8" s="8" t="s">
        <v>1028</v>
      </c>
      <c r="H8" s="6" t="s">
        <v>1029</v>
      </c>
      <c r="I8" s="8" t="s">
        <v>149</v>
      </c>
      <c r="J8" s="8">
        <v>1</v>
      </c>
      <c r="K8" s="9">
        <v>16.059999999999999</v>
      </c>
      <c r="L8" s="10" t="s">
        <v>149</v>
      </c>
      <c r="M8" s="10" t="s">
        <v>149</v>
      </c>
      <c r="N8" s="10" t="s">
        <v>149</v>
      </c>
      <c r="O8" s="8" t="s">
        <v>1027</v>
      </c>
      <c r="P8" s="8" t="s">
        <v>149</v>
      </c>
      <c r="Q8" s="8" t="s">
        <v>1028</v>
      </c>
      <c r="R8" s="6" t="s">
        <v>242</v>
      </c>
    </row>
    <row r="9" spans="1:18">
      <c r="A9" s="4">
        <v>8</v>
      </c>
      <c r="B9" s="5">
        <v>23248</v>
      </c>
      <c r="C9" s="5">
        <v>43891</v>
      </c>
      <c r="D9" s="5">
        <v>33019</v>
      </c>
      <c r="E9" s="6" t="s">
        <v>1025</v>
      </c>
      <c r="F9" s="7">
        <v>20</v>
      </c>
      <c r="G9" s="8" t="s">
        <v>1028</v>
      </c>
      <c r="H9" s="6" t="s">
        <v>1029</v>
      </c>
      <c r="I9" s="8" t="s">
        <v>149</v>
      </c>
      <c r="J9" s="8">
        <v>1</v>
      </c>
      <c r="K9" s="9">
        <v>16.059999999999999</v>
      </c>
      <c r="L9" s="10" t="s">
        <v>149</v>
      </c>
      <c r="M9" s="10" t="s">
        <v>149</v>
      </c>
      <c r="N9" s="10" t="s">
        <v>149</v>
      </c>
      <c r="O9" s="8" t="s">
        <v>1027</v>
      </c>
      <c r="P9" s="8" t="s">
        <v>149</v>
      </c>
      <c r="Q9" s="8" t="s">
        <v>1028</v>
      </c>
      <c r="R9" s="6" t="s">
        <v>242</v>
      </c>
    </row>
    <row r="10" spans="1:18">
      <c r="A10" s="4">
        <v>9</v>
      </c>
      <c r="B10" s="5">
        <v>31890</v>
      </c>
      <c r="C10" s="5">
        <v>44436</v>
      </c>
      <c r="D10" s="5">
        <v>44436</v>
      </c>
      <c r="E10" s="6" t="s">
        <v>1025</v>
      </c>
      <c r="F10" s="7">
        <v>15</v>
      </c>
      <c r="G10" s="8" t="s">
        <v>1027</v>
      </c>
      <c r="H10" s="6" t="s">
        <v>1029</v>
      </c>
      <c r="I10" s="8"/>
      <c r="J10" s="8">
        <v>1</v>
      </c>
      <c r="K10" s="9">
        <v>16.059999999999999</v>
      </c>
      <c r="L10" s="11"/>
      <c r="M10" s="6"/>
      <c r="N10" s="6"/>
      <c r="O10" s="8" t="s">
        <v>1027</v>
      </c>
      <c r="P10" s="8"/>
      <c r="Q10" s="8" t="s">
        <v>1028</v>
      </c>
      <c r="R10" s="6" t="s">
        <v>238</v>
      </c>
    </row>
    <row r="11" spans="1:18">
      <c r="A11" s="4">
        <v>10</v>
      </c>
      <c r="B11" s="5">
        <v>30581</v>
      </c>
      <c r="C11" s="5">
        <v>45537</v>
      </c>
      <c r="D11" s="5">
        <v>45537</v>
      </c>
      <c r="E11" s="6" t="s">
        <v>1026</v>
      </c>
      <c r="F11" s="7">
        <v>15</v>
      </c>
      <c r="G11" s="8" t="s">
        <v>1027</v>
      </c>
      <c r="H11" s="6" t="s">
        <v>1029</v>
      </c>
      <c r="I11" s="8"/>
      <c r="J11" s="8">
        <v>1</v>
      </c>
      <c r="K11" s="9">
        <v>15.12</v>
      </c>
      <c r="L11" s="10"/>
      <c r="M11" s="6"/>
      <c r="N11" s="6"/>
      <c r="O11" s="8" t="s">
        <v>1027</v>
      </c>
      <c r="P11" s="8"/>
      <c r="Q11" s="8" t="s">
        <v>1027</v>
      </c>
      <c r="R11" s="6" t="s">
        <v>238</v>
      </c>
    </row>
    <row r="12" spans="1:18">
      <c r="A12" s="4">
        <v>11</v>
      </c>
      <c r="B12" s="5">
        <v>36760</v>
      </c>
      <c r="C12" s="5">
        <v>45378</v>
      </c>
      <c r="D12" s="5">
        <v>45378</v>
      </c>
      <c r="E12" s="6" t="s">
        <v>1026</v>
      </c>
      <c r="F12" s="7">
        <v>15</v>
      </c>
      <c r="G12" s="8" t="s">
        <v>1027</v>
      </c>
      <c r="H12" s="6" t="s">
        <v>1029</v>
      </c>
      <c r="I12" s="8"/>
      <c r="J12" s="8">
        <v>1</v>
      </c>
      <c r="K12" s="9">
        <v>15.12</v>
      </c>
      <c r="L12" s="11"/>
      <c r="M12" s="6"/>
      <c r="N12" s="6"/>
      <c r="O12" s="8" t="s">
        <v>1028</v>
      </c>
      <c r="P12" s="8"/>
      <c r="Q12" s="8" t="s">
        <v>1027</v>
      </c>
      <c r="R12" s="6" t="s">
        <v>238</v>
      </c>
    </row>
    <row r="13" spans="1:18">
      <c r="A13" s="4">
        <v>12</v>
      </c>
      <c r="B13" s="5">
        <v>24654</v>
      </c>
      <c r="C13" s="5">
        <v>43678</v>
      </c>
      <c r="D13" s="5">
        <v>34255</v>
      </c>
      <c r="E13" s="6" t="s">
        <v>1025</v>
      </c>
      <c r="F13" s="7">
        <v>15</v>
      </c>
      <c r="G13" s="8" t="s">
        <v>1028</v>
      </c>
      <c r="H13" s="6" t="s">
        <v>1029</v>
      </c>
      <c r="I13" s="8"/>
      <c r="J13" s="8">
        <v>1</v>
      </c>
      <c r="K13" s="9">
        <v>16.059999999999999</v>
      </c>
      <c r="L13" s="11"/>
      <c r="M13" s="6"/>
      <c r="N13" s="6"/>
      <c r="O13" s="8" t="s">
        <v>1027</v>
      </c>
      <c r="P13" s="8"/>
      <c r="Q13" s="8" t="s">
        <v>1028</v>
      </c>
      <c r="R13" s="6" t="s">
        <v>238</v>
      </c>
    </row>
    <row r="14" spans="1:18">
      <c r="A14" s="4">
        <v>13</v>
      </c>
      <c r="B14" s="5">
        <v>24684</v>
      </c>
      <c r="C14" s="5">
        <v>45376</v>
      </c>
      <c r="D14" s="5">
        <v>45376</v>
      </c>
      <c r="E14" s="6" t="s">
        <v>1026</v>
      </c>
      <c r="F14" s="7">
        <v>17.5</v>
      </c>
      <c r="G14" s="8" t="s">
        <v>1027</v>
      </c>
      <c r="H14" s="6" t="s">
        <v>1029</v>
      </c>
      <c r="I14" s="8"/>
      <c r="J14" s="8">
        <v>1</v>
      </c>
      <c r="K14" s="9">
        <v>16.059999999999999</v>
      </c>
      <c r="L14" s="11"/>
      <c r="M14" s="6"/>
      <c r="N14" s="6"/>
      <c r="O14" s="8" t="s">
        <v>1028</v>
      </c>
      <c r="P14" s="8"/>
      <c r="Q14" s="8" t="s">
        <v>1027</v>
      </c>
      <c r="R14" s="6" t="s">
        <v>238</v>
      </c>
    </row>
    <row r="15" spans="1:18">
      <c r="A15" s="4">
        <v>14</v>
      </c>
      <c r="B15" s="5">
        <v>27342</v>
      </c>
      <c r="C15" s="5">
        <v>43976</v>
      </c>
      <c r="D15" s="5">
        <v>43976</v>
      </c>
      <c r="E15" s="6" t="s">
        <v>1025</v>
      </c>
      <c r="F15" s="7">
        <v>15</v>
      </c>
      <c r="G15" s="8" t="s">
        <v>1028</v>
      </c>
      <c r="H15" s="6" t="s">
        <v>1029</v>
      </c>
      <c r="I15" s="8"/>
      <c r="J15" s="8">
        <v>1</v>
      </c>
      <c r="K15" s="9">
        <v>16.059999999999999</v>
      </c>
      <c r="L15" s="11"/>
      <c r="M15" s="6"/>
      <c r="N15" s="6"/>
      <c r="O15" s="8" t="s">
        <v>1027</v>
      </c>
      <c r="P15" s="8"/>
      <c r="Q15" s="8" t="s">
        <v>1028</v>
      </c>
      <c r="R15" s="6" t="s">
        <v>238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K76"/>
  <sheetViews>
    <sheetView showGridLines="0" view="pageBreakPreview" zoomScaleNormal="100" zoomScaleSheetLayoutView="100" workbookViewId="0">
      <selection activeCell="F9" sqref="F9"/>
    </sheetView>
  </sheetViews>
  <sheetFormatPr defaultColWidth="9.140625" defaultRowHeight="15" customHeight="1"/>
  <cols>
    <col min="1" max="1" width="9.42578125" style="23" customWidth="1"/>
    <col min="2" max="2" width="55.42578125" style="23" customWidth="1"/>
    <col min="3" max="3" width="13" style="23" customWidth="1"/>
    <col min="4" max="4" width="60.7109375" style="53" customWidth="1"/>
    <col min="5" max="5" width="16.7109375" style="23" customWidth="1"/>
    <col min="6" max="6" width="17.7109375" style="205" bestFit="1" customWidth="1"/>
    <col min="7" max="7" width="20.28515625" style="23" bestFit="1" customWidth="1"/>
    <col min="8" max="8" width="18" style="60" bestFit="1" customWidth="1"/>
    <col min="9" max="9" width="19.42578125" style="23" bestFit="1" customWidth="1"/>
    <col min="10" max="10" width="17.7109375" style="23" bestFit="1" customWidth="1"/>
    <col min="11" max="16384" width="9.140625" style="23"/>
  </cols>
  <sheetData>
    <row r="1" spans="1:11" s="21" customFormat="1" ht="22.5" customHeight="1">
      <c r="A1" s="308" t="s">
        <v>935</v>
      </c>
      <c r="B1" s="308"/>
      <c r="C1" s="308"/>
      <c r="D1" s="308"/>
      <c r="E1" s="308"/>
      <c r="F1" s="308"/>
      <c r="G1" s="308"/>
      <c r="H1" s="308"/>
      <c r="I1" s="174"/>
    </row>
    <row r="2" spans="1:11" s="21" customFormat="1" ht="15" customHeight="1">
      <c r="A2" s="322" t="s">
        <v>874</v>
      </c>
      <c r="B2" s="307"/>
      <c r="C2" s="307"/>
      <c r="D2" s="307"/>
      <c r="E2" s="307"/>
      <c r="F2" s="307"/>
      <c r="G2" s="307"/>
      <c r="H2" s="323"/>
    </row>
    <row r="3" spans="1:11" ht="15" customHeight="1">
      <c r="B3" s="53"/>
      <c r="D3" s="23"/>
    </row>
    <row r="4" spans="1:11" ht="15" customHeight="1">
      <c r="A4" s="23" t="s">
        <v>906</v>
      </c>
      <c r="B4" s="53"/>
      <c r="D4" s="23"/>
    </row>
    <row r="5" spans="1:11" ht="15" customHeight="1">
      <c r="A5" s="23" t="s">
        <v>876</v>
      </c>
      <c r="B5" s="53"/>
      <c r="D5" s="23"/>
    </row>
    <row r="6" spans="1:11" ht="15" customHeight="1">
      <c r="A6" s="23" t="s">
        <v>907</v>
      </c>
      <c r="B6" s="53"/>
      <c r="D6" s="23"/>
    </row>
    <row r="7" spans="1:11" ht="15" customHeight="1">
      <c r="B7" s="95"/>
      <c r="C7" s="95"/>
      <c r="D7" s="177"/>
      <c r="E7" s="177"/>
      <c r="G7" s="178"/>
      <c r="H7" s="228"/>
    </row>
    <row r="8" spans="1:11" s="25" customFormat="1" ht="26.25" customHeight="1">
      <c r="A8" s="156" t="s">
        <v>878</v>
      </c>
      <c r="B8" s="156" t="s">
        <v>879</v>
      </c>
      <c r="C8" s="180" t="s">
        <v>937</v>
      </c>
      <c r="D8" s="156" t="s">
        <v>936</v>
      </c>
      <c r="E8" s="156" t="s">
        <v>882</v>
      </c>
      <c r="F8" s="156" t="s">
        <v>883</v>
      </c>
      <c r="G8" s="156" t="s">
        <v>884</v>
      </c>
      <c r="H8" s="156" t="s">
        <v>885</v>
      </c>
      <c r="I8" s="156" t="s">
        <v>886</v>
      </c>
    </row>
    <row r="9" spans="1:11" ht="24">
      <c r="A9" s="181">
        <v>1</v>
      </c>
      <c r="B9" s="274" t="s">
        <v>1023</v>
      </c>
      <c r="C9" s="273">
        <f>Tariefsopbouw!E35</f>
        <v>0</v>
      </c>
      <c r="D9" s="184" t="s">
        <v>1022</v>
      </c>
      <c r="E9" s="100" t="e">
        <f>InvulExtra[[#This Row],[Prijs
Excl. BTW]]*Tariefsopbouw!I37+Tariefsopbouw!E35</f>
        <v>#DIV/0!</v>
      </c>
      <c r="F9" s="100" t="e">
        <f>InvulExtra[[#This Row],[2026]]*Tariefsopbouw!$K$37+InvulExtra[[#This Row],[2026]]</f>
        <v>#DIV/0!</v>
      </c>
      <c r="G9" s="100" t="e">
        <f>InvulExtra[[#This Row],[2027]]*Tariefsopbouw!$M$37+InvulExtra[[#This Row],[2027]]</f>
        <v>#DIV/0!</v>
      </c>
      <c r="H9" s="100" t="e">
        <f>InvulExtra[[#This Row],[2028]]*Tariefsopbouw!$O$37+InvulExtra[[#This Row],[2028]]</f>
        <v>#DIV/0!</v>
      </c>
      <c r="I9" s="100" t="e">
        <f>InvulExtra[[#This Row],[2029]]*Tariefsopbouw!$Q$37+InvulExtra[[#This Row],[2029]]</f>
        <v>#DIV/0!</v>
      </c>
    </row>
    <row r="10" spans="1:11" ht="15" customHeight="1">
      <c r="B10" s="53"/>
      <c r="C10" s="53"/>
      <c r="D10" s="23"/>
      <c r="E10" s="229"/>
      <c r="G10" s="230"/>
      <c r="H10" s="231"/>
      <c r="I10" s="229"/>
    </row>
    <row r="11" spans="1:11" ht="15" customHeight="1">
      <c r="C11" s="186"/>
      <c r="D11" s="186"/>
      <c r="K11" s="232"/>
    </row>
    <row r="12" spans="1:11" s="218" customFormat="1" ht="26.25" customHeight="1">
      <c r="A12" s="156" t="s">
        <v>899</v>
      </c>
      <c r="B12" s="156" t="s">
        <v>16</v>
      </c>
      <c r="C12" s="156" t="s">
        <v>878</v>
      </c>
      <c r="D12" s="233" t="s">
        <v>938</v>
      </c>
      <c r="E12" s="233" t="s">
        <v>1024</v>
      </c>
      <c r="F12" s="233" t="s">
        <v>939</v>
      </c>
      <c r="G12" s="234" t="s">
        <v>903</v>
      </c>
      <c r="H12" s="234" t="s">
        <v>932</v>
      </c>
      <c r="I12" s="234" t="s">
        <v>330</v>
      </c>
      <c r="J12" s="235"/>
    </row>
    <row r="13" spans="1:11" ht="15" customHeight="1">
      <c r="A13" s="181">
        <v>1</v>
      </c>
      <c r="B13" s="184" t="str">
        <f>VLOOKUP(OverzichtExtra[[#This Row],[Code Locatie]],Locaties[],2,0)</f>
        <v>Ir. Lely Lyceum</v>
      </c>
      <c r="C13" s="181">
        <v>1</v>
      </c>
      <c r="D13" s="177" t="str">
        <f>IF('Extra werkzaamheden'!$C13&gt;0,VLOOKUP('Extra werkzaamheden'!$C13,$A$8:$B$9,2,0),"")</f>
        <v>Dagelijkse naloopronde sanitair en/of extra werkzaamheden (zie handeling PvE)</v>
      </c>
      <c r="E13" s="336">
        <v>1</v>
      </c>
      <c r="F13" s="236">
        <v>200</v>
      </c>
      <c r="G13" s="195">
        <f>VLOOKUP(OverzichtExtra[[#This Row],[Code Taak]],InvulExtra[#All],3,3)*OverzichtExtra[[#This Row],[Uren]]*OverzichtExtra[[#This Row],[Frequentie (uitv. per jaar)]]</f>
        <v>0</v>
      </c>
      <c r="H13" s="275">
        <f>OverzichtExtra[[#This Row],[Kosten/jaar excl. BTW]]*1.21</f>
        <v>0</v>
      </c>
      <c r="I13" s="272" t="s">
        <v>1019</v>
      </c>
      <c r="J13" s="232"/>
    </row>
    <row r="14" spans="1:11" ht="15" customHeight="1">
      <c r="A14" s="181">
        <v>2</v>
      </c>
      <c r="B14" s="184" t="str">
        <f>VLOOKUP(OverzichtExtra[[#This Row],[Code Locatie]],Locaties[],2,0)</f>
        <v>Open Schoolgemeenschap Bijlmer</v>
      </c>
      <c r="C14" s="181">
        <v>1</v>
      </c>
      <c r="D14" s="177" t="str">
        <f>IF('Extra werkzaamheden'!$C14&gt;0,VLOOKUP('Extra werkzaamheden'!$C14,$A$8:$B$9,2,0),"")</f>
        <v>Dagelijkse naloopronde sanitair en/of extra werkzaamheden (zie handeling PvE)</v>
      </c>
      <c r="E14" s="336">
        <v>1.5</v>
      </c>
      <c r="F14" s="236">
        <v>200</v>
      </c>
      <c r="G14" s="195">
        <f>VLOOKUP(OverzichtExtra[[#This Row],[Code Taak]],InvulExtra[#All],3,3)*OverzichtExtra[[#This Row],[Uren]]*OverzichtExtra[[#This Row],[Frequentie (uitv. per jaar)]]</f>
        <v>0</v>
      </c>
      <c r="H14" s="275">
        <f>OverzichtExtra[[#This Row],[Kosten/jaar excl. BTW]]*1.21</f>
        <v>0</v>
      </c>
      <c r="I14" s="272" t="s">
        <v>1020</v>
      </c>
      <c r="J14" s="232"/>
    </row>
    <row r="15" spans="1:11" ht="15" customHeight="1">
      <c r="A15" s="197"/>
      <c r="B15" s="198" t="s">
        <v>904</v>
      </c>
      <c r="C15" s="197"/>
      <c r="D15" s="199"/>
      <c r="E15" s="197"/>
      <c r="F15" s="197"/>
      <c r="G15" s="200">
        <f>SUBTOTAL(109,OverzichtExtra[Kosten/jaar excl. BTW])</f>
        <v>0</v>
      </c>
      <c r="H15" s="276">
        <f>SUBTOTAL(109,OverzichtExtra[Kosten/jaar incl. BTW])</f>
        <v>0</v>
      </c>
      <c r="I15" s="271"/>
    </row>
    <row r="16" spans="1:11" ht="15" customHeight="1">
      <c r="C16" s="53"/>
      <c r="D16" s="23"/>
    </row>
    <row r="17" spans="3:4" ht="15" customHeight="1">
      <c r="C17" s="53"/>
      <c r="D17" s="23"/>
    </row>
    <row r="18" spans="3:4" ht="15" customHeight="1">
      <c r="C18" s="53"/>
      <c r="D18" s="23"/>
    </row>
    <row r="19" spans="3:4" ht="15" customHeight="1">
      <c r="C19" s="53"/>
      <c r="D19" s="23"/>
    </row>
    <row r="20" spans="3:4" ht="15" customHeight="1">
      <c r="C20" s="53"/>
      <c r="D20" s="23"/>
    </row>
    <row r="21" spans="3:4" ht="15" customHeight="1">
      <c r="C21" s="53"/>
      <c r="D21" s="23"/>
    </row>
    <row r="22" spans="3:4" ht="15" customHeight="1">
      <c r="C22" s="53"/>
      <c r="D22" s="23"/>
    </row>
    <row r="23" spans="3:4" ht="15" customHeight="1">
      <c r="C23" s="53"/>
      <c r="D23" s="23"/>
    </row>
    <row r="24" spans="3:4" ht="15" customHeight="1">
      <c r="C24" s="53"/>
      <c r="D24" s="23"/>
    </row>
    <row r="25" spans="3:4" ht="15" customHeight="1">
      <c r="C25" s="53"/>
      <c r="D25" s="23"/>
    </row>
    <row r="26" spans="3:4" ht="15" customHeight="1">
      <c r="C26" s="53"/>
      <c r="D26" s="23"/>
    </row>
    <row r="27" spans="3:4" ht="15" customHeight="1">
      <c r="C27" s="53"/>
      <c r="D27" s="23"/>
    </row>
    <row r="28" spans="3:4" ht="15" customHeight="1">
      <c r="C28" s="53"/>
      <c r="D28" s="23"/>
    </row>
    <row r="29" spans="3:4" ht="15" customHeight="1">
      <c r="C29" s="53"/>
      <c r="D29" s="23"/>
    </row>
    <row r="30" spans="3:4" ht="15" customHeight="1">
      <c r="C30" s="53"/>
      <c r="D30" s="23"/>
    </row>
    <row r="31" spans="3:4" ht="15" customHeight="1">
      <c r="C31" s="53"/>
      <c r="D31" s="23"/>
    </row>
    <row r="32" spans="3:4" ht="15" customHeight="1">
      <c r="C32" s="53"/>
      <c r="D32" s="23"/>
    </row>
    <row r="33" spans="3:4" ht="15" customHeight="1">
      <c r="C33" s="53"/>
      <c r="D33" s="23"/>
    </row>
    <row r="34" spans="3:4" ht="15" customHeight="1">
      <c r="C34" s="53"/>
      <c r="D34" s="23"/>
    </row>
    <row r="35" spans="3:4" ht="15" customHeight="1">
      <c r="C35" s="53"/>
      <c r="D35" s="23"/>
    </row>
    <row r="36" spans="3:4" ht="15" customHeight="1">
      <c r="C36" s="53"/>
      <c r="D36" s="23"/>
    </row>
    <row r="37" spans="3:4" ht="15" customHeight="1">
      <c r="C37" s="53"/>
      <c r="D37" s="23"/>
    </row>
    <row r="38" spans="3:4" ht="15" customHeight="1">
      <c r="C38" s="53"/>
      <c r="D38" s="23"/>
    </row>
    <row r="39" spans="3:4" ht="15" customHeight="1">
      <c r="C39" s="53"/>
      <c r="D39" s="23"/>
    </row>
    <row r="40" spans="3:4" ht="15" customHeight="1">
      <c r="C40" s="53"/>
      <c r="D40" s="23"/>
    </row>
    <row r="41" spans="3:4" ht="15" customHeight="1">
      <c r="C41" s="53"/>
      <c r="D41" s="23"/>
    </row>
    <row r="42" spans="3:4" ht="15" customHeight="1">
      <c r="C42" s="53"/>
      <c r="D42" s="23"/>
    </row>
    <row r="43" spans="3:4" ht="15" customHeight="1">
      <c r="C43" s="53"/>
      <c r="D43" s="23"/>
    </row>
    <row r="44" spans="3:4" ht="15" customHeight="1">
      <c r="C44" s="53"/>
      <c r="D44" s="23"/>
    </row>
    <row r="45" spans="3:4" ht="15" customHeight="1">
      <c r="C45" s="53"/>
      <c r="D45" s="23"/>
    </row>
    <row r="46" spans="3:4" ht="15" customHeight="1">
      <c r="C46" s="53"/>
      <c r="D46" s="23"/>
    </row>
    <row r="47" spans="3:4" ht="15" customHeight="1">
      <c r="C47" s="53"/>
      <c r="D47" s="23"/>
    </row>
    <row r="48" spans="3:4" ht="15" customHeight="1">
      <c r="C48" s="53"/>
      <c r="D48" s="23"/>
    </row>
    <row r="49" spans="3:4" ht="15" customHeight="1">
      <c r="C49" s="53"/>
      <c r="D49" s="23"/>
    </row>
    <row r="50" spans="3:4" ht="15" customHeight="1">
      <c r="C50" s="53"/>
      <c r="D50" s="23"/>
    </row>
    <row r="51" spans="3:4" ht="15" customHeight="1">
      <c r="C51" s="53"/>
      <c r="D51" s="23"/>
    </row>
    <row r="52" spans="3:4" ht="15" customHeight="1">
      <c r="C52" s="53"/>
      <c r="D52" s="23"/>
    </row>
    <row r="53" spans="3:4" ht="15" customHeight="1">
      <c r="C53" s="53"/>
      <c r="D53" s="23"/>
    </row>
    <row r="54" spans="3:4" ht="15" customHeight="1">
      <c r="C54" s="53"/>
      <c r="D54" s="23"/>
    </row>
    <row r="55" spans="3:4" ht="15" customHeight="1">
      <c r="C55" s="53"/>
      <c r="D55" s="23"/>
    </row>
    <row r="56" spans="3:4" ht="15" customHeight="1">
      <c r="C56" s="53"/>
      <c r="D56" s="23"/>
    </row>
    <row r="57" spans="3:4" ht="15" customHeight="1">
      <c r="C57" s="53"/>
      <c r="D57" s="23"/>
    </row>
    <row r="58" spans="3:4" ht="15" customHeight="1">
      <c r="C58" s="53"/>
      <c r="D58" s="23"/>
    </row>
    <row r="59" spans="3:4" ht="15" customHeight="1">
      <c r="C59" s="53"/>
      <c r="D59" s="23"/>
    </row>
    <row r="60" spans="3:4" ht="15" customHeight="1">
      <c r="C60" s="53"/>
      <c r="D60" s="23"/>
    </row>
    <row r="61" spans="3:4" ht="15" customHeight="1">
      <c r="C61" s="53"/>
      <c r="D61" s="23"/>
    </row>
    <row r="62" spans="3:4" ht="15" customHeight="1">
      <c r="C62" s="53"/>
      <c r="D62" s="23"/>
    </row>
    <row r="63" spans="3:4" ht="15" customHeight="1">
      <c r="C63" s="53"/>
      <c r="D63" s="23"/>
    </row>
    <row r="64" spans="3:4" ht="15" customHeight="1">
      <c r="C64" s="53"/>
      <c r="D64" s="23"/>
    </row>
    <row r="65" spans="3:4" ht="15" customHeight="1">
      <c r="C65" s="53"/>
      <c r="D65" s="23"/>
    </row>
    <row r="66" spans="3:4" ht="15" customHeight="1">
      <c r="C66" s="53"/>
      <c r="D66" s="23"/>
    </row>
    <row r="67" spans="3:4" ht="15" customHeight="1">
      <c r="C67" s="53"/>
      <c r="D67" s="23"/>
    </row>
    <row r="68" spans="3:4" ht="15" customHeight="1">
      <c r="C68" s="53"/>
      <c r="D68" s="23"/>
    </row>
    <row r="69" spans="3:4" ht="15" customHeight="1">
      <c r="C69" s="53"/>
      <c r="D69" s="23"/>
    </row>
    <row r="70" spans="3:4" ht="15" customHeight="1">
      <c r="C70" s="53"/>
      <c r="D70" s="23"/>
    </row>
    <row r="71" spans="3:4" ht="15" customHeight="1">
      <c r="C71" s="53"/>
      <c r="D71" s="23"/>
    </row>
    <row r="72" spans="3:4" ht="15" customHeight="1">
      <c r="C72" s="53"/>
      <c r="D72" s="23"/>
    </row>
    <row r="73" spans="3:4" ht="15" customHeight="1">
      <c r="C73" s="53"/>
      <c r="D73" s="23"/>
    </row>
    <row r="74" spans="3:4" ht="15" customHeight="1">
      <c r="C74" s="53"/>
      <c r="D74" s="23"/>
    </row>
    <row r="75" spans="3:4" ht="15" customHeight="1">
      <c r="C75" s="53"/>
      <c r="D75" s="23"/>
    </row>
    <row r="76" spans="3:4" ht="15" customHeight="1">
      <c r="C76" s="53"/>
      <c r="D76" s="23"/>
    </row>
  </sheetData>
  <mergeCells count="2">
    <mergeCell ref="A2:H2"/>
    <mergeCell ref="A1:H1"/>
  </mergeCells>
  <pageMargins left="0.70866141732283472" right="0.70866141732283472" top="0.35433070866141736" bottom="0.47244094488188981" header="0.31496062992125984" footer="0.31496062992125984"/>
  <pageSetup paperSize="9" scale="53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82"/>
  <sheetViews>
    <sheetView view="pageBreakPreview" zoomScaleNormal="100" zoomScaleSheetLayoutView="100" workbookViewId="0">
      <selection activeCell="C5" sqref="C5"/>
    </sheetView>
  </sheetViews>
  <sheetFormatPr defaultColWidth="9.140625" defaultRowHeight="18.75" customHeight="1"/>
  <cols>
    <col min="1" max="1" width="9.140625" style="165"/>
    <col min="2" max="2" width="107.85546875" style="143" bestFit="1" customWidth="1"/>
    <col min="3" max="3" width="23.42578125" style="143" customWidth="1"/>
    <col min="4" max="4" width="15.140625" style="143" customWidth="1"/>
    <col min="5" max="9" width="17.7109375" style="143" bestFit="1" customWidth="1"/>
    <col min="10" max="16384" width="9.140625" style="143"/>
  </cols>
  <sheetData>
    <row r="1" spans="1:9" s="21" customFormat="1" ht="26.25" customHeight="1">
      <c r="A1" s="308" t="s">
        <v>940</v>
      </c>
      <c r="B1" s="308"/>
      <c r="C1" s="308"/>
      <c r="D1" s="308"/>
    </row>
    <row r="2" spans="1:9" s="21" customFormat="1" ht="18.75" customHeight="1">
      <c r="A2" s="322" t="s">
        <v>874</v>
      </c>
      <c r="B2" s="307"/>
      <c r="C2" s="307"/>
      <c r="D2" s="307"/>
    </row>
    <row r="3" spans="1:9" s="67" customFormat="1" ht="18.75" customHeight="1">
      <c r="A3" s="154"/>
    </row>
    <row r="4" spans="1:9" s="67" customFormat="1" ht="18.75" customHeight="1">
      <c r="A4" s="67" t="s">
        <v>906</v>
      </c>
    </row>
    <row r="5" spans="1:9" s="67" customFormat="1" ht="18.75" customHeight="1">
      <c r="A5" s="67" t="s">
        <v>941</v>
      </c>
    </row>
    <row r="6" spans="1:9" s="67" customFormat="1" ht="18.75" customHeight="1">
      <c r="A6" s="67" t="s">
        <v>942</v>
      </c>
    </row>
    <row r="7" spans="1:9" s="67" customFormat="1" ht="18.75" customHeight="1">
      <c r="A7" s="154"/>
    </row>
    <row r="8" spans="1:9" s="133" customFormat="1" ht="26.25" customHeight="1">
      <c r="A8" s="155"/>
      <c r="B8" s="73" t="s">
        <v>938</v>
      </c>
      <c r="C8" s="73" t="s">
        <v>911</v>
      </c>
      <c r="D8" s="72" t="s">
        <v>910</v>
      </c>
      <c r="E8" s="156" t="s">
        <v>882</v>
      </c>
      <c r="F8" s="156" t="s">
        <v>883</v>
      </c>
      <c r="G8" s="156" t="s">
        <v>884</v>
      </c>
      <c r="H8" s="156" t="s">
        <v>885</v>
      </c>
      <c r="I8" s="156" t="s">
        <v>886</v>
      </c>
    </row>
    <row r="9" spans="1:9" ht="18.75" customHeight="1">
      <c r="A9" s="324" t="s">
        <v>943</v>
      </c>
      <c r="B9" s="157" t="s">
        <v>944</v>
      </c>
      <c r="C9" s="157" t="s">
        <v>945</v>
      </c>
      <c r="D9" s="158">
        <v>0</v>
      </c>
      <c r="E9" s="159" t="e">
        <f>InvulRegie[[#This Row],[Prijs excl. BTW]]*Tariefsopbouw!$I$37+InvulRegie[[#This Row],[Prijs excl. BTW]]</f>
        <v>#DIV/0!</v>
      </c>
      <c r="F9" s="160" t="e">
        <f>InvulRegie[[#This Row],[2026]]*Tariefsopbouw!$K$37+InvulRegie[[#This Row],[2026]]</f>
        <v>#DIV/0!</v>
      </c>
      <c r="G9" s="160" t="e">
        <f>InvulRegie[[#This Row],[2027]]*Tariefsopbouw!$M$37+InvulRegie[[#This Row],[2027]]</f>
        <v>#DIV/0!</v>
      </c>
      <c r="H9" s="160" t="e">
        <f>InvulRegie[[#This Row],[2028]]*Tariefsopbouw!$O$37+InvulRegie[[#This Row],[2028]]</f>
        <v>#DIV/0!</v>
      </c>
      <c r="I9" s="160" t="e">
        <f>InvulRegie[[#This Row],[2029]]*Tariefsopbouw!$Q$37+InvulRegie[[#This Row],[2029]]</f>
        <v>#DIV/0!</v>
      </c>
    </row>
    <row r="10" spans="1:9" ht="18.75" customHeight="1">
      <c r="A10" s="325"/>
      <c r="B10" s="157" t="s">
        <v>946</v>
      </c>
      <c r="C10" s="157" t="s">
        <v>945</v>
      </c>
      <c r="D10" s="158">
        <v>0</v>
      </c>
      <c r="E10" s="159" t="e">
        <f>InvulRegie[[#This Row],[Prijs excl. BTW]]*Tariefsopbouw!$I$37+InvulRegie[[#This Row],[Prijs excl. BTW]]</f>
        <v>#DIV/0!</v>
      </c>
      <c r="F10" s="159" t="e">
        <f>InvulRegie[[#This Row],[2026]]*Tariefsopbouw!$K$37+InvulRegie[[#This Row],[2026]]</f>
        <v>#DIV/0!</v>
      </c>
      <c r="G10" s="159" t="e">
        <f>InvulRegie[[#This Row],[2027]]*Tariefsopbouw!$M$37+InvulRegie[[#This Row],[2027]]</f>
        <v>#DIV/0!</v>
      </c>
      <c r="H10" s="159" t="e">
        <f>InvulRegie[[#This Row],[2028]]*Tariefsopbouw!$O$37+InvulRegie[[#This Row],[2028]]</f>
        <v>#DIV/0!</v>
      </c>
      <c r="I10" s="159" t="e">
        <f>InvulRegie[[#This Row],[2029]]*Tariefsopbouw!$Q$37+InvulRegie[[#This Row],[2029]]</f>
        <v>#DIV/0!</v>
      </c>
    </row>
    <row r="11" spans="1:9" ht="18.75" customHeight="1">
      <c r="A11" s="325"/>
      <c r="B11" s="157" t="s">
        <v>947</v>
      </c>
      <c r="C11" s="157" t="s">
        <v>945</v>
      </c>
      <c r="D11" s="158">
        <v>0</v>
      </c>
      <c r="E11" s="159" t="e">
        <f>InvulRegie[[#This Row],[Prijs excl. BTW]]*Tariefsopbouw!$I$37+InvulRegie[[#This Row],[Prijs excl. BTW]]</f>
        <v>#DIV/0!</v>
      </c>
      <c r="F11" s="159" t="e">
        <f>InvulRegie[[#This Row],[2026]]*Tariefsopbouw!$K$37+InvulRegie[[#This Row],[2026]]</f>
        <v>#DIV/0!</v>
      </c>
      <c r="G11" s="159" t="e">
        <f>InvulRegie[[#This Row],[2027]]*Tariefsopbouw!$M$37+InvulRegie[[#This Row],[2027]]</f>
        <v>#DIV/0!</v>
      </c>
      <c r="H11" s="159" t="e">
        <f>InvulRegie[[#This Row],[2028]]*Tariefsopbouw!$O$37+InvulRegie[[#This Row],[2028]]</f>
        <v>#DIV/0!</v>
      </c>
      <c r="I11" s="159" t="e">
        <f>InvulRegie[[#This Row],[2029]]*Tariefsopbouw!$Q$37+InvulRegie[[#This Row],[2029]]</f>
        <v>#DIV/0!</v>
      </c>
    </row>
    <row r="12" spans="1:9" ht="18.75" customHeight="1">
      <c r="A12" s="325"/>
      <c r="B12" s="78" t="s">
        <v>948</v>
      </c>
      <c r="C12" s="157" t="s">
        <v>945</v>
      </c>
      <c r="D12" s="158">
        <v>0</v>
      </c>
      <c r="E12" s="159" t="e">
        <f>InvulRegie[[#This Row],[Prijs excl. BTW]]*Tariefsopbouw!$I$37+InvulRegie[[#This Row],[Prijs excl. BTW]]</f>
        <v>#DIV/0!</v>
      </c>
      <c r="F12" s="159" t="e">
        <f>InvulRegie[[#This Row],[2026]]*Tariefsopbouw!$K$37+InvulRegie[[#This Row],[2026]]</f>
        <v>#DIV/0!</v>
      </c>
      <c r="G12" s="159" t="e">
        <f>InvulRegie[[#This Row],[2027]]*Tariefsopbouw!$M$37+InvulRegie[[#This Row],[2027]]</f>
        <v>#DIV/0!</v>
      </c>
      <c r="H12" s="159" t="e">
        <f>InvulRegie[[#This Row],[2028]]*Tariefsopbouw!$O$37+InvulRegie[[#This Row],[2028]]</f>
        <v>#DIV/0!</v>
      </c>
      <c r="I12" s="159" t="e">
        <f>InvulRegie[[#This Row],[2029]]*Tariefsopbouw!$Q$37+InvulRegie[[#This Row],[2029]]</f>
        <v>#DIV/0!</v>
      </c>
    </row>
    <row r="13" spans="1:9" ht="18.75" customHeight="1">
      <c r="A13" s="325"/>
      <c r="B13" s="78" t="s">
        <v>949</v>
      </c>
      <c r="C13" s="157" t="s">
        <v>945</v>
      </c>
      <c r="D13" s="158">
        <v>0</v>
      </c>
      <c r="E13" s="161" t="e">
        <f>InvulRegie[[#This Row],[Prijs excl. BTW]]*Tariefsopbouw!$I$37+InvulRegie[[#This Row],[Prijs excl. BTW]]</f>
        <v>#DIV/0!</v>
      </c>
      <c r="F13" s="161" t="e">
        <f>InvulRegie[[#This Row],[2026]]*Tariefsopbouw!$K$37+InvulRegie[[#This Row],[2026]]</f>
        <v>#DIV/0!</v>
      </c>
      <c r="G13" s="161" t="e">
        <f>InvulRegie[[#This Row],[2027]]*Tariefsopbouw!$M$37+InvulRegie[[#This Row],[2027]]</f>
        <v>#DIV/0!</v>
      </c>
      <c r="H13" s="161" t="e">
        <f>InvulRegie[[#This Row],[2028]]*Tariefsopbouw!$O$37+InvulRegie[[#This Row],[2028]]</f>
        <v>#DIV/0!</v>
      </c>
      <c r="I13" s="161" t="e">
        <f>InvulRegie[[#This Row],[2029]]*Tariefsopbouw!$Q$37+InvulRegie[[#This Row],[2029]]</f>
        <v>#DIV/0!</v>
      </c>
    </row>
    <row r="14" spans="1:9" ht="18.75" customHeight="1">
      <c r="A14" s="326"/>
      <c r="B14" s="157" t="s">
        <v>950</v>
      </c>
      <c r="C14" s="157" t="s">
        <v>945</v>
      </c>
      <c r="D14" s="158">
        <v>0</v>
      </c>
      <c r="E14" s="161" t="e">
        <f>InvulRegie[[#This Row],[Prijs excl. BTW]]*Tariefsopbouw!$I$37+InvulRegie[[#This Row],[Prijs excl. BTW]]</f>
        <v>#DIV/0!</v>
      </c>
      <c r="F14" s="161" t="e">
        <f>InvulRegie[[#This Row],[2026]]*Tariefsopbouw!$K$37+InvulRegie[[#This Row],[2026]]</f>
        <v>#DIV/0!</v>
      </c>
      <c r="G14" s="161" t="e">
        <f>InvulRegie[[#This Row],[2027]]*Tariefsopbouw!$M$37+InvulRegie[[#This Row],[2027]]</f>
        <v>#DIV/0!</v>
      </c>
      <c r="H14" s="161" t="e">
        <f>InvulRegie[[#This Row],[2028]]*Tariefsopbouw!$O$37+InvulRegie[[#This Row],[2028]]</f>
        <v>#DIV/0!</v>
      </c>
      <c r="I14" s="161" t="e">
        <f>InvulRegie[[#This Row],[2029]]*Tariefsopbouw!$Q$37+InvulRegie[[#This Row],[2029]]</f>
        <v>#DIV/0!</v>
      </c>
    </row>
    <row r="15" spans="1:9" ht="18.75" customHeight="1">
      <c r="A15" s="324" t="s">
        <v>364</v>
      </c>
      <c r="B15" s="157" t="s">
        <v>951</v>
      </c>
      <c r="C15" s="157" t="s">
        <v>952</v>
      </c>
      <c r="D15" s="158">
        <v>0</v>
      </c>
      <c r="E15" s="161" t="e">
        <f>InvulRegie[[#This Row],[Prijs excl. BTW]]*Tariefsopbouw!$I$37+InvulRegie[[#This Row],[Prijs excl. BTW]]</f>
        <v>#DIV/0!</v>
      </c>
      <c r="F15" s="161" t="e">
        <f>InvulRegie[[#This Row],[2026]]*Tariefsopbouw!$K$37+InvulRegie[[#This Row],[2026]]</f>
        <v>#DIV/0!</v>
      </c>
      <c r="G15" s="161" t="e">
        <f>InvulRegie[[#This Row],[2027]]*Tariefsopbouw!$M$37+InvulRegie[[#This Row],[2027]]</f>
        <v>#DIV/0!</v>
      </c>
      <c r="H15" s="161" t="e">
        <f>InvulRegie[[#This Row],[2028]]*Tariefsopbouw!$O$37+InvulRegie[[#This Row],[2028]]</f>
        <v>#DIV/0!</v>
      </c>
      <c r="I15" s="161" t="e">
        <f>InvulRegie[[#This Row],[2029]]*Tariefsopbouw!$Q$37+InvulRegie[[#This Row],[2029]]</f>
        <v>#DIV/0!</v>
      </c>
    </row>
    <row r="16" spans="1:9" ht="18.75" customHeight="1">
      <c r="A16" s="325"/>
      <c r="B16" s="157" t="s">
        <v>953</v>
      </c>
      <c r="C16" s="157" t="s">
        <v>954</v>
      </c>
      <c r="D16" s="158">
        <v>0</v>
      </c>
      <c r="E16" s="161" t="e">
        <f>InvulRegie[[#This Row],[Prijs excl. BTW]]*Tariefsopbouw!$I$37+InvulRegie[[#This Row],[Prijs excl. BTW]]</f>
        <v>#DIV/0!</v>
      </c>
      <c r="F16" s="161" t="e">
        <f>InvulRegie[[#This Row],[2026]]*Tariefsopbouw!$K$37+InvulRegie[[#This Row],[2026]]</f>
        <v>#DIV/0!</v>
      </c>
      <c r="G16" s="161" t="e">
        <f>InvulRegie[[#This Row],[2027]]*Tariefsopbouw!$M$37+InvulRegie[[#This Row],[2027]]</f>
        <v>#DIV/0!</v>
      </c>
      <c r="H16" s="161" t="e">
        <f>InvulRegie[[#This Row],[2028]]*Tariefsopbouw!$O$37+InvulRegie[[#This Row],[2028]]</f>
        <v>#DIV/0!</v>
      </c>
      <c r="I16" s="161" t="e">
        <f>InvulRegie[[#This Row],[2029]]*Tariefsopbouw!$Q$37+InvulRegie[[#This Row],[2029]]</f>
        <v>#DIV/0!</v>
      </c>
    </row>
    <row r="17" spans="1:9" ht="18.75" customHeight="1">
      <c r="A17" s="325"/>
      <c r="B17" s="157" t="s">
        <v>955</v>
      </c>
      <c r="C17" s="157" t="s">
        <v>954</v>
      </c>
      <c r="D17" s="158">
        <v>0</v>
      </c>
      <c r="E17" s="161" t="e">
        <f>InvulRegie[[#This Row],[Prijs excl. BTW]]*Tariefsopbouw!$I$37+InvulRegie[[#This Row],[Prijs excl. BTW]]</f>
        <v>#DIV/0!</v>
      </c>
      <c r="F17" s="161" t="e">
        <f>InvulRegie[[#This Row],[2026]]*Tariefsopbouw!$K$37+InvulRegie[[#This Row],[2026]]</f>
        <v>#DIV/0!</v>
      </c>
      <c r="G17" s="161" t="e">
        <f>InvulRegie[[#This Row],[2027]]*Tariefsopbouw!$M$37+InvulRegie[[#This Row],[2027]]</f>
        <v>#DIV/0!</v>
      </c>
      <c r="H17" s="161" t="e">
        <f>InvulRegie[[#This Row],[2028]]*Tariefsopbouw!$O$37+InvulRegie[[#This Row],[2028]]</f>
        <v>#DIV/0!</v>
      </c>
      <c r="I17" s="161" t="e">
        <f>InvulRegie[[#This Row],[2029]]*Tariefsopbouw!$Q$37+InvulRegie[[#This Row],[2029]]</f>
        <v>#DIV/0!</v>
      </c>
    </row>
    <row r="18" spans="1:9" ht="18.75" customHeight="1">
      <c r="A18" s="325"/>
      <c r="B18" s="157" t="s">
        <v>956</v>
      </c>
      <c r="C18" s="157" t="s">
        <v>957</v>
      </c>
      <c r="D18" s="158">
        <v>0</v>
      </c>
      <c r="E18" s="161" t="e">
        <f>InvulRegie[[#This Row],[Prijs excl. BTW]]*Tariefsopbouw!$I$37+InvulRegie[[#This Row],[Prijs excl. BTW]]</f>
        <v>#DIV/0!</v>
      </c>
      <c r="F18" s="161" t="e">
        <f>InvulRegie[[#This Row],[2026]]*Tariefsopbouw!$K$37+InvulRegie[[#This Row],[2026]]</f>
        <v>#DIV/0!</v>
      </c>
      <c r="G18" s="161" t="e">
        <f>InvulRegie[[#This Row],[2027]]*Tariefsopbouw!$M$37+InvulRegie[[#This Row],[2027]]</f>
        <v>#DIV/0!</v>
      </c>
      <c r="H18" s="161" t="e">
        <f>InvulRegie[[#This Row],[2028]]*Tariefsopbouw!$O$37+InvulRegie[[#This Row],[2028]]</f>
        <v>#DIV/0!</v>
      </c>
      <c r="I18" s="161" t="e">
        <f>InvulRegie[[#This Row],[2029]]*Tariefsopbouw!$Q$37+InvulRegie[[#This Row],[2029]]</f>
        <v>#DIV/0!</v>
      </c>
    </row>
    <row r="19" spans="1:9" ht="18.75" customHeight="1">
      <c r="A19" s="325"/>
      <c r="B19" s="157" t="s">
        <v>958</v>
      </c>
      <c r="C19" s="157" t="s">
        <v>957</v>
      </c>
      <c r="D19" s="158">
        <v>0</v>
      </c>
      <c r="E19" s="161" t="e">
        <f>InvulRegie[[#This Row],[Prijs excl. BTW]]*Tariefsopbouw!$I$37+InvulRegie[[#This Row],[Prijs excl. BTW]]</f>
        <v>#DIV/0!</v>
      </c>
      <c r="F19" s="161" t="e">
        <f>InvulRegie[[#This Row],[2026]]*Tariefsopbouw!$K$37+InvulRegie[[#This Row],[2026]]</f>
        <v>#DIV/0!</v>
      </c>
      <c r="G19" s="161" t="e">
        <f>InvulRegie[[#This Row],[2027]]*Tariefsopbouw!$M$37+InvulRegie[[#This Row],[2027]]</f>
        <v>#DIV/0!</v>
      </c>
      <c r="H19" s="161" t="e">
        <f>InvulRegie[[#This Row],[2028]]*Tariefsopbouw!$O$37+InvulRegie[[#This Row],[2028]]</f>
        <v>#DIV/0!</v>
      </c>
      <c r="I19" s="161" t="e">
        <f>InvulRegie[[#This Row],[2029]]*Tariefsopbouw!$Q$37+InvulRegie[[#This Row],[2029]]</f>
        <v>#DIV/0!</v>
      </c>
    </row>
    <row r="20" spans="1:9" ht="18.75" customHeight="1">
      <c r="A20" s="325"/>
      <c r="B20" s="157" t="s">
        <v>959</v>
      </c>
      <c r="C20" s="157" t="s">
        <v>957</v>
      </c>
      <c r="D20" s="158">
        <v>0</v>
      </c>
      <c r="E20" s="161" t="e">
        <f>InvulRegie[[#This Row],[Prijs excl. BTW]]*Tariefsopbouw!$I$37+InvulRegie[[#This Row],[Prijs excl. BTW]]</f>
        <v>#DIV/0!</v>
      </c>
      <c r="F20" s="161" t="e">
        <f>InvulRegie[[#This Row],[2026]]*Tariefsopbouw!$K$37+InvulRegie[[#This Row],[2026]]</f>
        <v>#DIV/0!</v>
      </c>
      <c r="G20" s="161" t="e">
        <f>InvulRegie[[#This Row],[2027]]*Tariefsopbouw!$M$37+InvulRegie[[#This Row],[2027]]</f>
        <v>#DIV/0!</v>
      </c>
      <c r="H20" s="161" t="e">
        <f>InvulRegie[[#This Row],[2028]]*Tariefsopbouw!$O$37+InvulRegie[[#This Row],[2028]]</f>
        <v>#DIV/0!</v>
      </c>
      <c r="I20" s="161" t="e">
        <f>InvulRegie[[#This Row],[2029]]*Tariefsopbouw!$Q$37+InvulRegie[[#This Row],[2029]]</f>
        <v>#DIV/0!</v>
      </c>
    </row>
    <row r="21" spans="1:9" ht="18.75" customHeight="1">
      <c r="A21" s="326"/>
      <c r="B21" s="157" t="s">
        <v>960</v>
      </c>
      <c r="C21" s="157" t="s">
        <v>957</v>
      </c>
      <c r="D21" s="158">
        <v>0</v>
      </c>
      <c r="E21" s="161" t="e">
        <f>InvulRegie[[#This Row],[Prijs excl. BTW]]*Tariefsopbouw!$I$37+InvulRegie[[#This Row],[Prijs excl. BTW]]</f>
        <v>#DIV/0!</v>
      </c>
      <c r="F21" s="161" t="e">
        <f>InvulRegie[[#This Row],[2026]]*Tariefsopbouw!$K$37+InvulRegie[[#This Row],[2026]]</f>
        <v>#DIV/0!</v>
      </c>
      <c r="G21" s="161" t="e">
        <f>InvulRegie[[#This Row],[2027]]*Tariefsopbouw!$M$37+InvulRegie[[#This Row],[2027]]</f>
        <v>#DIV/0!</v>
      </c>
      <c r="H21" s="161" t="e">
        <f>InvulRegie[[#This Row],[2028]]*Tariefsopbouw!$O$37+InvulRegie[[#This Row],[2028]]</f>
        <v>#DIV/0!</v>
      </c>
      <c r="I21" s="161" t="e">
        <f>InvulRegie[[#This Row],[2029]]*Tariefsopbouw!$Q$37+InvulRegie[[#This Row],[2029]]</f>
        <v>#DIV/0!</v>
      </c>
    </row>
    <row r="22" spans="1:9" ht="18.75" customHeight="1">
      <c r="A22" s="324" t="s">
        <v>961</v>
      </c>
      <c r="B22" s="157" t="s">
        <v>962</v>
      </c>
      <c r="C22" s="157" t="s">
        <v>963</v>
      </c>
      <c r="D22" s="158">
        <v>0</v>
      </c>
      <c r="E22" s="161" t="e">
        <f>InvulRegie[[#This Row],[Prijs excl. BTW]]*Tariefsopbouw!$I$37+InvulRegie[[#This Row],[Prijs excl. BTW]]</f>
        <v>#DIV/0!</v>
      </c>
      <c r="F22" s="161" t="e">
        <f>InvulRegie[[#This Row],[2026]]*Tariefsopbouw!$K$37+InvulRegie[[#This Row],[2026]]</f>
        <v>#DIV/0!</v>
      </c>
      <c r="G22" s="161" t="e">
        <f>InvulRegie[[#This Row],[2027]]*Tariefsopbouw!$M$37+InvulRegie[[#This Row],[2027]]</f>
        <v>#DIV/0!</v>
      </c>
      <c r="H22" s="161" t="e">
        <f>InvulRegie[[#This Row],[2028]]*Tariefsopbouw!$O$37+InvulRegie[[#This Row],[2028]]</f>
        <v>#DIV/0!</v>
      </c>
      <c r="I22" s="161" t="e">
        <f>InvulRegie[[#This Row],[2029]]*Tariefsopbouw!$Q$37+InvulRegie[[#This Row],[2029]]</f>
        <v>#DIV/0!</v>
      </c>
    </row>
    <row r="23" spans="1:9" ht="18.75" customHeight="1">
      <c r="A23" s="326"/>
      <c r="B23" s="157" t="s">
        <v>964</v>
      </c>
      <c r="C23" s="157" t="s">
        <v>965</v>
      </c>
      <c r="D23" s="158">
        <v>0</v>
      </c>
      <c r="E23" s="161" t="e">
        <f>InvulRegie[[#This Row],[Prijs excl. BTW]]*Tariefsopbouw!$I$37+InvulRegie[[#This Row],[Prijs excl. BTW]]</f>
        <v>#DIV/0!</v>
      </c>
      <c r="F23" s="161" t="e">
        <f>InvulRegie[[#This Row],[2026]]*Tariefsopbouw!$K$37+InvulRegie[[#This Row],[2026]]</f>
        <v>#DIV/0!</v>
      </c>
      <c r="G23" s="161" t="e">
        <f>InvulRegie[[#This Row],[2027]]*Tariefsopbouw!$M$37+InvulRegie[[#This Row],[2027]]</f>
        <v>#DIV/0!</v>
      </c>
      <c r="H23" s="161" t="e">
        <f>InvulRegie[[#This Row],[2028]]*Tariefsopbouw!$O$37+InvulRegie[[#This Row],[2028]]</f>
        <v>#DIV/0!</v>
      </c>
      <c r="I23" s="161" t="e">
        <f>InvulRegie[[#This Row],[2029]]*Tariefsopbouw!$Q$37+InvulRegie[[#This Row],[2029]]</f>
        <v>#DIV/0!</v>
      </c>
    </row>
    <row r="24" spans="1:9" ht="18.75" customHeight="1">
      <c r="A24" s="324" t="s">
        <v>966</v>
      </c>
      <c r="B24" s="157" t="s">
        <v>967</v>
      </c>
      <c r="C24" s="157" t="s">
        <v>968</v>
      </c>
      <c r="D24" s="158">
        <v>0</v>
      </c>
      <c r="E24" s="161" t="e">
        <f>InvulRegie[[#This Row],[Prijs excl. BTW]]*Tariefsopbouw!$I$37+InvulRegie[[#This Row],[Prijs excl. BTW]]</f>
        <v>#DIV/0!</v>
      </c>
      <c r="F24" s="161" t="e">
        <f>InvulRegie[[#This Row],[2026]]*Tariefsopbouw!$K$37+InvulRegie[[#This Row],[2026]]</f>
        <v>#DIV/0!</v>
      </c>
      <c r="G24" s="161" t="e">
        <f>InvulRegie[[#This Row],[2027]]*Tariefsopbouw!$M$37+InvulRegie[[#This Row],[2027]]</f>
        <v>#DIV/0!</v>
      </c>
      <c r="H24" s="161" t="e">
        <f>InvulRegie[[#This Row],[2028]]*Tariefsopbouw!$O$37+InvulRegie[[#This Row],[2028]]</f>
        <v>#DIV/0!</v>
      </c>
      <c r="I24" s="161" t="e">
        <f>InvulRegie[[#This Row],[2029]]*Tariefsopbouw!$Q$37+InvulRegie[[#This Row],[2029]]</f>
        <v>#DIV/0!</v>
      </c>
    </row>
    <row r="25" spans="1:9" ht="18.75" customHeight="1">
      <c r="A25" s="325"/>
      <c r="B25" s="157" t="s">
        <v>969</v>
      </c>
      <c r="C25" s="157" t="s">
        <v>968</v>
      </c>
      <c r="D25" s="158">
        <v>0</v>
      </c>
      <c r="E25" s="161" t="e">
        <f>InvulRegie[[#This Row],[Prijs excl. BTW]]*Tariefsopbouw!$I$37+InvulRegie[[#This Row],[Prijs excl. BTW]]</f>
        <v>#DIV/0!</v>
      </c>
      <c r="F25" s="161" t="e">
        <f>InvulRegie[[#This Row],[2026]]*Tariefsopbouw!$K$37+InvulRegie[[#This Row],[2026]]</f>
        <v>#DIV/0!</v>
      </c>
      <c r="G25" s="161" t="e">
        <f>InvulRegie[[#This Row],[2027]]*Tariefsopbouw!$M$37+InvulRegie[[#This Row],[2027]]</f>
        <v>#DIV/0!</v>
      </c>
      <c r="H25" s="161" t="e">
        <f>InvulRegie[[#This Row],[2028]]*Tariefsopbouw!$O$37+InvulRegie[[#This Row],[2028]]</f>
        <v>#DIV/0!</v>
      </c>
      <c r="I25" s="161" t="e">
        <f>InvulRegie[[#This Row],[2029]]*Tariefsopbouw!$Q$37+InvulRegie[[#This Row],[2029]]</f>
        <v>#DIV/0!</v>
      </c>
    </row>
    <row r="26" spans="1:9" ht="18.75" customHeight="1">
      <c r="A26" s="325"/>
      <c r="B26" s="157" t="s">
        <v>970</v>
      </c>
      <c r="C26" s="157" t="s">
        <v>968</v>
      </c>
      <c r="D26" s="158">
        <v>0</v>
      </c>
      <c r="E26" s="161" t="e">
        <f>InvulRegie[[#This Row],[Prijs excl. BTW]]*Tariefsopbouw!$I$37+InvulRegie[[#This Row],[Prijs excl. BTW]]</f>
        <v>#DIV/0!</v>
      </c>
      <c r="F26" s="161" t="e">
        <f>InvulRegie[[#This Row],[2026]]*Tariefsopbouw!$K$37+InvulRegie[[#This Row],[2026]]</f>
        <v>#DIV/0!</v>
      </c>
      <c r="G26" s="161" t="e">
        <f>InvulRegie[[#This Row],[2027]]*Tariefsopbouw!$M$37+InvulRegie[[#This Row],[2027]]</f>
        <v>#DIV/0!</v>
      </c>
      <c r="H26" s="161" t="e">
        <f>InvulRegie[[#This Row],[2028]]*Tariefsopbouw!$O$37+InvulRegie[[#This Row],[2028]]</f>
        <v>#DIV/0!</v>
      </c>
      <c r="I26" s="161" t="e">
        <f>InvulRegie[[#This Row],[2029]]*Tariefsopbouw!$Q$37+InvulRegie[[#This Row],[2029]]</f>
        <v>#DIV/0!</v>
      </c>
    </row>
    <row r="27" spans="1:9" ht="18.75" customHeight="1">
      <c r="A27" s="325"/>
      <c r="B27" s="157" t="s">
        <v>971</v>
      </c>
      <c r="C27" s="157" t="s">
        <v>968</v>
      </c>
      <c r="D27" s="158">
        <v>0</v>
      </c>
      <c r="E27" s="161" t="e">
        <f>InvulRegie[[#This Row],[Prijs excl. BTW]]*Tariefsopbouw!$I$37+InvulRegie[[#This Row],[Prijs excl. BTW]]</f>
        <v>#DIV/0!</v>
      </c>
      <c r="F27" s="161" t="e">
        <f>InvulRegie[[#This Row],[2026]]*Tariefsopbouw!$K$37+InvulRegie[[#This Row],[2026]]</f>
        <v>#DIV/0!</v>
      </c>
      <c r="G27" s="161" t="e">
        <f>InvulRegie[[#This Row],[2027]]*Tariefsopbouw!$M$37+InvulRegie[[#This Row],[2027]]</f>
        <v>#DIV/0!</v>
      </c>
      <c r="H27" s="161" t="e">
        <f>InvulRegie[[#This Row],[2028]]*Tariefsopbouw!$O$37+InvulRegie[[#This Row],[2028]]</f>
        <v>#DIV/0!</v>
      </c>
      <c r="I27" s="161" t="e">
        <f>InvulRegie[[#This Row],[2029]]*Tariefsopbouw!$Q$37+InvulRegie[[#This Row],[2029]]</f>
        <v>#DIV/0!</v>
      </c>
    </row>
    <row r="28" spans="1:9" ht="18.75" customHeight="1">
      <c r="A28" s="326"/>
      <c r="B28" s="157" t="s">
        <v>972</v>
      </c>
      <c r="C28" s="157" t="s">
        <v>968</v>
      </c>
      <c r="D28" s="158">
        <v>0</v>
      </c>
      <c r="E28" s="161" t="e">
        <f>InvulRegie[[#This Row],[Prijs excl. BTW]]*Tariefsopbouw!$I$37+InvulRegie[[#This Row],[Prijs excl. BTW]]</f>
        <v>#DIV/0!</v>
      </c>
      <c r="F28" s="161" t="e">
        <f>InvulRegie[[#This Row],[2026]]*Tariefsopbouw!$K$37+InvulRegie[[#This Row],[2026]]</f>
        <v>#DIV/0!</v>
      </c>
      <c r="G28" s="161" t="e">
        <f>InvulRegie[[#This Row],[2027]]*Tariefsopbouw!$M$37+InvulRegie[[#This Row],[2027]]</f>
        <v>#DIV/0!</v>
      </c>
      <c r="H28" s="161" t="e">
        <f>InvulRegie[[#This Row],[2028]]*Tariefsopbouw!$O$37+InvulRegie[[#This Row],[2028]]</f>
        <v>#DIV/0!</v>
      </c>
      <c r="I28" s="161" t="e">
        <f>InvulRegie[[#This Row],[2029]]*Tariefsopbouw!$Q$37+InvulRegie[[#This Row],[2029]]</f>
        <v>#DIV/0!</v>
      </c>
    </row>
    <row r="29" spans="1:9" ht="18.75" customHeight="1">
      <c r="A29" s="324" t="s">
        <v>973</v>
      </c>
      <c r="B29" s="78" t="s">
        <v>974</v>
      </c>
      <c r="C29" s="157" t="s">
        <v>975</v>
      </c>
      <c r="D29" s="158">
        <v>0</v>
      </c>
      <c r="E29" s="161" t="e">
        <f>InvulRegie[[#This Row],[Prijs excl. BTW]]*Tariefsopbouw!$I$37+InvulRegie[[#This Row],[Prijs excl. BTW]]</f>
        <v>#DIV/0!</v>
      </c>
      <c r="F29" s="162" t="e">
        <f>InvulRegie[[#This Row],[2026]]*Tariefsopbouw!$K$37+InvulRegie[[#This Row],[2026]]</f>
        <v>#DIV/0!</v>
      </c>
      <c r="G29" s="161" t="e">
        <f>InvulRegie[[#This Row],[2027]]*Tariefsopbouw!$M$37+InvulRegie[[#This Row],[2027]]</f>
        <v>#DIV/0!</v>
      </c>
      <c r="H29" s="161" t="e">
        <f>InvulRegie[[#This Row],[2028]]*Tariefsopbouw!$O$37+InvulRegie[[#This Row],[2028]]</f>
        <v>#DIV/0!</v>
      </c>
      <c r="I29" s="161" t="e">
        <f>InvulRegie[[#This Row],[2029]]*Tariefsopbouw!$Q$37+InvulRegie[[#This Row],[2029]]</f>
        <v>#DIV/0!</v>
      </c>
    </row>
    <row r="30" spans="1:9" ht="18.75" customHeight="1">
      <c r="A30" s="325"/>
      <c r="B30" s="78" t="s">
        <v>976</v>
      </c>
      <c r="C30" s="157" t="s">
        <v>975</v>
      </c>
      <c r="D30" s="158">
        <v>0</v>
      </c>
      <c r="E30" s="161" t="e">
        <f>InvulRegie[[#This Row],[Prijs excl. BTW]]*Tariefsopbouw!$I$37+InvulRegie[[#This Row],[Prijs excl. BTW]]</f>
        <v>#DIV/0!</v>
      </c>
      <c r="F30" s="162" t="e">
        <f>InvulRegie[[#This Row],[2026]]*Tariefsopbouw!$K$37+InvulRegie[[#This Row],[2026]]</f>
        <v>#DIV/0!</v>
      </c>
      <c r="G30" s="161" t="e">
        <f>InvulRegie[[#This Row],[2027]]*Tariefsopbouw!$M$37+InvulRegie[[#This Row],[2027]]</f>
        <v>#DIV/0!</v>
      </c>
      <c r="H30" s="161" t="e">
        <f>InvulRegie[[#This Row],[2028]]*Tariefsopbouw!$O$37+InvulRegie[[#This Row],[2028]]</f>
        <v>#DIV/0!</v>
      </c>
      <c r="I30" s="161" t="e">
        <f>InvulRegie[[#This Row],[2029]]*Tariefsopbouw!$Q$37+InvulRegie[[#This Row],[2029]]</f>
        <v>#DIV/0!</v>
      </c>
    </row>
    <row r="31" spans="1:9" ht="18.75" customHeight="1">
      <c r="A31" s="326"/>
      <c r="B31" s="78" t="s">
        <v>977</v>
      </c>
      <c r="C31" s="157" t="s">
        <v>975</v>
      </c>
      <c r="D31" s="158">
        <v>0</v>
      </c>
      <c r="E31" s="161" t="e">
        <f>InvulRegie[[#This Row],[Prijs excl. BTW]]*Tariefsopbouw!$I$37+InvulRegie[[#This Row],[Prijs excl. BTW]]</f>
        <v>#DIV/0!</v>
      </c>
      <c r="F31" s="162" t="e">
        <f>InvulRegie[[#This Row],[2026]]*Tariefsopbouw!$K$37+InvulRegie[[#This Row],[2026]]</f>
        <v>#DIV/0!</v>
      </c>
      <c r="G31" s="161" t="e">
        <f>InvulRegie[[#This Row],[2027]]*Tariefsopbouw!$M$37+InvulRegie[[#This Row],[2027]]</f>
        <v>#DIV/0!</v>
      </c>
      <c r="H31" s="161" t="e">
        <f>InvulRegie[[#This Row],[2028]]*Tariefsopbouw!$O$37+InvulRegie[[#This Row],[2028]]</f>
        <v>#DIV/0!</v>
      </c>
      <c r="I31" s="161" t="e">
        <f>InvulRegie[[#This Row],[2029]]*Tariefsopbouw!$Q$37+InvulRegie[[#This Row],[2029]]</f>
        <v>#DIV/0!</v>
      </c>
    </row>
    <row r="32" spans="1:9" ht="18.75" customHeight="1">
      <c r="A32" s="324" t="s">
        <v>978</v>
      </c>
      <c r="B32" s="157" t="s">
        <v>979</v>
      </c>
      <c r="C32" s="157" t="s">
        <v>963</v>
      </c>
      <c r="D32" s="158">
        <v>0</v>
      </c>
      <c r="E32" s="161" t="e">
        <f>InvulRegie[[#This Row],[Prijs excl. BTW]]*Tariefsopbouw!$I$37+InvulRegie[[#This Row],[Prijs excl. BTW]]</f>
        <v>#DIV/0!</v>
      </c>
      <c r="F32" s="161" t="e">
        <f>InvulRegie[[#This Row],[2026]]*Tariefsopbouw!$K$37+InvulRegie[[#This Row],[2026]]</f>
        <v>#DIV/0!</v>
      </c>
      <c r="G32" s="161" t="e">
        <f>InvulRegie[[#This Row],[2027]]*Tariefsopbouw!$M$37+InvulRegie[[#This Row],[2027]]</f>
        <v>#DIV/0!</v>
      </c>
      <c r="H32" s="161" t="e">
        <f>InvulRegie[[#This Row],[2028]]*Tariefsopbouw!$O$37+InvulRegie[[#This Row],[2028]]</f>
        <v>#DIV/0!</v>
      </c>
      <c r="I32" s="161" t="e">
        <f>InvulRegie[[#This Row],[2029]]*Tariefsopbouw!$Q$37+InvulRegie[[#This Row],[2029]]</f>
        <v>#DIV/0!</v>
      </c>
    </row>
    <row r="33" spans="1:9" ht="18.75" customHeight="1">
      <c r="A33" s="325"/>
      <c r="B33" s="157" t="s">
        <v>980</v>
      </c>
      <c r="C33" s="157" t="s">
        <v>963</v>
      </c>
      <c r="D33" s="158">
        <v>0</v>
      </c>
      <c r="E33" s="161" t="e">
        <f>InvulRegie[[#This Row],[Prijs excl. BTW]]*Tariefsopbouw!$I$37+InvulRegie[[#This Row],[Prijs excl. BTW]]</f>
        <v>#DIV/0!</v>
      </c>
      <c r="F33" s="161" t="e">
        <f>InvulRegie[[#This Row],[2026]]*Tariefsopbouw!$K$37+InvulRegie[[#This Row],[2026]]</f>
        <v>#DIV/0!</v>
      </c>
      <c r="G33" s="161" t="e">
        <f>InvulRegie[[#This Row],[2027]]*Tariefsopbouw!$M$37+InvulRegie[[#This Row],[2027]]</f>
        <v>#DIV/0!</v>
      </c>
      <c r="H33" s="161" t="e">
        <f>InvulRegie[[#This Row],[2028]]*Tariefsopbouw!$O$37+InvulRegie[[#This Row],[2028]]</f>
        <v>#DIV/0!</v>
      </c>
      <c r="I33" s="161" t="e">
        <f>InvulRegie[[#This Row],[2029]]*Tariefsopbouw!$Q$37+InvulRegie[[#This Row],[2029]]</f>
        <v>#DIV/0!</v>
      </c>
    </row>
    <row r="34" spans="1:9" ht="18.75" customHeight="1">
      <c r="A34" s="325"/>
      <c r="B34" s="157" t="s">
        <v>981</v>
      </c>
      <c r="C34" s="157" t="s">
        <v>963</v>
      </c>
      <c r="D34" s="158">
        <v>0</v>
      </c>
      <c r="E34" s="161" t="e">
        <f>InvulRegie[[#This Row],[Prijs excl. BTW]]*Tariefsopbouw!$I$37+InvulRegie[[#This Row],[Prijs excl. BTW]]</f>
        <v>#DIV/0!</v>
      </c>
      <c r="F34" s="161" t="e">
        <f>InvulRegie[[#This Row],[2026]]*Tariefsopbouw!$K$37+InvulRegie[[#This Row],[2026]]</f>
        <v>#DIV/0!</v>
      </c>
      <c r="G34" s="161" t="e">
        <f>InvulRegie[[#This Row],[2027]]*Tariefsopbouw!$M$37+InvulRegie[[#This Row],[2027]]</f>
        <v>#DIV/0!</v>
      </c>
      <c r="H34" s="161" t="e">
        <f>InvulRegie[[#This Row],[2028]]*Tariefsopbouw!$O$37+InvulRegie[[#This Row],[2028]]</f>
        <v>#DIV/0!</v>
      </c>
      <c r="I34" s="161" t="e">
        <f>InvulRegie[[#This Row],[2029]]*Tariefsopbouw!$Q$37+InvulRegie[[#This Row],[2029]]</f>
        <v>#DIV/0!</v>
      </c>
    </row>
    <row r="35" spans="1:9" ht="18.75" customHeight="1">
      <c r="A35" s="325"/>
      <c r="B35" s="157" t="s">
        <v>982</v>
      </c>
      <c r="C35" s="157" t="s">
        <v>963</v>
      </c>
      <c r="D35" s="158">
        <v>0</v>
      </c>
      <c r="E35" s="161" t="e">
        <f>InvulRegie[[#This Row],[Prijs excl. BTW]]*Tariefsopbouw!$I$37+InvulRegie[[#This Row],[Prijs excl. BTW]]</f>
        <v>#DIV/0!</v>
      </c>
      <c r="F35" s="161" t="e">
        <f>InvulRegie[[#This Row],[2026]]*Tariefsopbouw!$K$37+InvulRegie[[#This Row],[2026]]</f>
        <v>#DIV/0!</v>
      </c>
      <c r="G35" s="161" t="e">
        <f>InvulRegie[[#This Row],[2027]]*Tariefsopbouw!$M$37+InvulRegie[[#This Row],[2027]]</f>
        <v>#DIV/0!</v>
      </c>
      <c r="H35" s="161" t="e">
        <f>InvulRegie[[#This Row],[2028]]*Tariefsopbouw!$O$37+InvulRegie[[#This Row],[2028]]</f>
        <v>#DIV/0!</v>
      </c>
      <c r="I35" s="161" t="e">
        <f>InvulRegie[[#This Row],[2029]]*Tariefsopbouw!$Q$37+InvulRegie[[#This Row],[2029]]</f>
        <v>#DIV/0!</v>
      </c>
    </row>
    <row r="36" spans="1:9" ht="18.75" customHeight="1">
      <c r="A36" s="326"/>
      <c r="B36" s="157" t="s">
        <v>983</v>
      </c>
      <c r="C36" s="157" t="s">
        <v>923</v>
      </c>
      <c r="D36" s="158">
        <v>0</v>
      </c>
      <c r="E36" s="161" t="e">
        <f>InvulRegie[[#This Row],[Prijs excl. BTW]]*Tariefsopbouw!$I$37+InvulRegie[[#This Row],[Prijs excl. BTW]]</f>
        <v>#DIV/0!</v>
      </c>
      <c r="F36" s="161" t="e">
        <f>InvulRegie[[#This Row],[2026]]*Tariefsopbouw!$K$37+InvulRegie[[#This Row],[2026]]</f>
        <v>#DIV/0!</v>
      </c>
      <c r="G36" s="161" t="e">
        <f>InvulRegie[[#This Row],[2027]]*Tariefsopbouw!$M$37+InvulRegie[[#This Row],[2027]]</f>
        <v>#DIV/0!</v>
      </c>
      <c r="H36" s="161" t="e">
        <f>InvulRegie[[#This Row],[2028]]*Tariefsopbouw!$O$37+InvulRegie[[#This Row],[2028]]</f>
        <v>#DIV/0!</v>
      </c>
      <c r="I36" s="161" t="e">
        <f>InvulRegie[[#This Row],[2029]]*Tariefsopbouw!$Q$37+InvulRegie[[#This Row],[2029]]</f>
        <v>#DIV/0!</v>
      </c>
    </row>
    <row r="37" spans="1:9" ht="18.75" customHeight="1">
      <c r="A37" s="327" t="s">
        <v>984</v>
      </c>
      <c r="B37" s="157" t="s">
        <v>985</v>
      </c>
      <c r="C37" s="157" t="s">
        <v>986</v>
      </c>
      <c r="D37" s="158">
        <v>0</v>
      </c>
      <c r="E37" s="161" t="e">
        <f>InvulRegie[[#This Row],[Prijs excl. BTW]]*Tariefsopbouw!$I$37+InvulRegie[[#This Row],[Prijs excl. BTW]]</f>
        <v>#DIV/0!</v>
      </c>
      <c r="F37" s="161" t="e">
        <f>InvulRegie[[#This Row],[2026]]*Tariefsopbouw!$K$37+InvulRegie[[#This Row],[2026]]</f>
        <v>#DIV/0!</v>
      </c>
      <c r="G37" s="161" t="e">
        <f>InvulRegie[[#This Row],[2027]]*Tariefsopbouw!$M$37+InvulRegie[[#This Row],[2027]]</f>
        <v>#DIV/0!</v>
      </c>
      <c r="H37" s="161" t="e">
        <f>InvulRegie[[#This Row],[2028]]*Tariefsopbouw!$O$37+InvulRegie[[#This Row],[2028]]</f>
        <v>#DIV/0!</v>
      </c>
      <c r="I37" s="161" t="e">
        <f>InvulRegie[[#This Row],[2029]]*Tariefsopbouw!$Q$37+InvulRegie[[#This Row],[2029]]</f>
        <v>#DIV/0!</v>
      </c>
    </row>
    <row r="38" spans="1:9" ht="18.75" customHeight="1">
      <c r="A38" s="328"/>
      <c r="B38" s="157" t="s">
        <v>987</v>
      </c>
      <c r="C38" s="157" t="s">
        <v>988</v>
      </c>
      <c r="D38" s="158">
        <v>0</v>
      </c>
      <c r="E38" s="161" t="e">
        <f>InvulRegie[[#This Row],[Prijs excl. BTW]]*Tariefsopbouw!$I$37+InvulRegie[[#This Row],[Prijs excl. BTW]]</f>
        <v>#DIV/0!</v>
      </c>
      <c r="F38" s="161" t="e">
        <f>InvulRegie[[#This Row],[2026]]*Tariefsopbouw!$K$37+InvulRegie[[#This Row],[2026]]</f>
        <v>#DIV/0!</v>
      </c>
      <c r="G38" s="161" t="e">
        <f>InvulRegie[[#This Row],[2027]]*Tariefsopbouw!$M$37+InvulRegie[[#This Row],[2027]]</f>
        <v>#DIV/0!</v>
      </c>
      <c r="H38" s="161" t="e">
        <f>InvulRegie[[#This Row],[2028]]*Tariefsopbouw!$O$37+InvulRegie[[#This Row],[2028]]</f>
        <v>#DIV/0!</v>
      </c>
      <c r="I38" s="161" t="e">
        <f>InvulRegie[[#This Row],[2029]]*Tariefsopbouw!$Q$37+InvulRegie[[#This Row],[2029]]</f>
        <v>#DIV/0!</v>
      </c>
    </row>
    <row r="39" spans="1:9" ht="18.75" customHeight="1">
      <c r="A39" s="328"/>
      <c r="B39" s="157" t="s">
        <v>989</v>
      </c>
      <c r="C39" s="157" t="s">
        <v>988</v>
      </c>
      <c r="D39" s="158">
        <v>0</v>
      </c>
      <c r="E39" s="161" t="e">
        <f>InvulRegie[[#This Row],[Prijs excl. BTW]]*Tariefsopbouw!$I$37+InvulRegie[[#This Row],[Prijs excl. BTW]]</f>
        <v>#DIV/0!</v>
      </c>
      <c r="F39" s="161" t="e">
        <f>InvulRegie[[#This Row],[2026]]*Tariefsopbouw!$K$37+InvulRegie[[#This Row],[2026]]</f>
        <v>#DIV/0!</v>
      </c>
      <c r="G39" s="161" t="e">
        <f>InvulRegie[[#This Row],[2027]]*Tariefsopbouw!$M$37+InvulRegie[[#This Row],[2027]]</f>
        <v>#DIV/0!</v>
      </c>
      <c r="H39" s="161" t="e">
        <f>InvulRegie[[#This Row],[2028]]*Tariefsopbouw!$O$37+InvulRegie[[#This Row],[2028]]</f>
        <v>#DIV/0!</v>
      </c>
      <c r="I39" s="161" t="e">
        <f>InvulRegie[[#This Row],[2029]]*Tariefsopbouw!$Q$37+InvulRegie[[#This Row],[2029]]</f>
        <v>#DIV/0!</v>
      </c>
    </row>
    <row r="40" spans="1:9" ht="18.75" customHeight="1">
      <c r="A40" s="329"/>
      <c r="B40" s="157" t="s">
        <v>990</v>
      </c>
      <c r="C40" s="157" t="s">
        <v>988</v>
      </c>
      <c r="D40" s="158">
        <v>0</v>
      </c>
      <c r="E40" s="161" t="e">
        <f>InvulRegie[[#This Row],[Prijs excl. BTW]]*Tariefsopbouw!$I$37+InvulRegie[[#This Row],[Prijs excl. BTW]]</f>
        <v>#DIV/0!</v>
      </c>
      <c r="F40" s="161" t="e">
        <f>InvulRegie[[#This Row],[2026]]*Tariefsopbouw!$K$37+InvulRegie[[#This Row],[2026]]</f>
        <v>#DIV/0!</v>
      </c>
      <c r="G40" s="161" t="e">
        <f>InvulRegie[[#This Row],[2027]]*Tariefsopbouw!$M$37+InvulRegie[[#This Row],[2027]]</f>
        <v>#DIV/0!</v>
      </c>
      <c r="H40" s="161" t="e">
        <f>InvulRegie[[#This Row],[2028]]*Tariefsopbouw!$O$37+InvulRegie[[#This Row],[2028]]</f>
        <v>#DIV/0!</v>
      </c>
      <c r="I40" s="161" t="e">
        <f>InvulRegie[[#This Row],[2029]]*Tariefsopbouw!$Q$37+InvulRegie[[#This Row],[2029]]</f>
        <v>#DIV/0!</v>
      </c>
    </row>
    <row r="41" spans="1:9" s="12" customFormat="1" ht="26.25" customHeight="1">
      <c r="A41" s="163"/>
      <c r="B41" s="164" t="s">
        <v>904</v>
      </c>
      <c r="C41" s="164"/>
      <c r="D41" s="164"/>
      <c r="E41" s="164"/>
      <c r="F41" s="164"/>
      <c r="G41" s="164"/>
      <c r="H41" s="164"/>
      <c r="I41" s="164"/>
    </row>
    <row r="42" spans="1:9" ht="18.75" customHeight="1" thickBot="1"/>
    <row r="43" spans="1:9" ht="15.75">
      <c r="A43" s="166"/>
      <c r="B43" s="167" t="s">
        <v>991</v>
      </c>
      <c r="C43" s="167"/>
      <c r="D43" s="168"/>
    </row>
    <row r="44" spans="1:9" ht="13.5">
      <c r="A44" s="169"/>
      <c r="B44" s="3"/>
      <c r="C44" s="3"/>
      <c r="D44" s="170"/>
    </row>
    <row r="45" spans="1:9" ht="13.5">
      <c r="A45" s="169"/>
      <c r="B45" s="171" t="s">
        <v>992</v>
      </c>
      <c r="C45" s="3"/>
      <c r="D45" s="170"/>
    </row>
    <row r="46" spans="1:9" ht="13.5">
      <c r="A46" s="169"/>
      <c r="B46" s="3"/>
      <c r="C46" s="3"/>
      <c r="D46" s="170"/>
    </row>
    <row r="47" spans="1:9" ht="13.5">
      <c r="A47" s="169"/>
      <c r="B47" s="102" t="s">
        <v>148</v>
      </c>
      <c r="C47" s="3"/>
      <c r="D47" s="170"/>
    </row>
    <row r="48" spans="1:9" ht="13.5">
      <c r="A48" s="169"/>
      <c r="B48" s="3"/>
      <c r="C48" s="3"/>
      <c r="D48" s="170"/>
    </row>
    <row r="49" spans="1:4" ht="13.5">
      <c r="A49" s="172" t="s">
        <v>149</v>
      </c>
      <c r="B49" s="277" t="s">
        <v>150</v>
      </c>
      <c r="C49" s="277"/>
      <c r="D49" s="330"/>
    </row>
    <row r="50" spans="1:4" ht="13.5">
      <c r="A50" s="172" t="s">
        <v>149</v>
      </c>
      <c r="B50" s="277" t="s">
        <v>151</v>
      </c>
      <c r="C50" s="277" t="s">
        <v>151</v>
      </c>
      <c r="D50" s="330" t="s">
        <v>151</v>
      </c>
    </row>
    <row r="51" spans="1:4" ht="13.5">
      <c r="A51" s="172" t="s">
        <v>149</v>
      </c>
      <c r="B51" s="277" t="s">
        <v>152</v>
      </c>
      <c r="C51" s="277" t="s">
        <v>152</v>
      </c>
      <c r="D51" s="330" t="s">
        <v>152</v>
      </c>
    </row>
    <row r="52" spans="1:4" ht="13.5">
      <c r="A52" s="172" t="s">
        <v>149</v>
      </c>
      <c r="B52" s="277" t="s">
        <v>153</v>
      </c>
      <c r="C52" s="277" t="s">
        <v>153</v>
      </c>
      <c r="D52" s="330" t="s">
        <v>153</v>
      </c>
    </row>
    <row r="53" spans="1:4" ht="13.5">
      <c r="A53" s="172" t="s">
        <v>149</v>
      </c>
      <c r="B53" s="277" t="s">
        <v>154</v>
      </c>
      <c r="C53" s="277" t="s">
        <v>154</v>
      </c>
      <c r="D53" s="330" t="s">
        <v>154</v>
      </c>
    </row>
    <row r="54" spans="1:4" ht="13.5">
      <c r="A54" s="172" t="s">
        <v>149</v>
      </c>
      <c r="B54" s="277" t="s">
        <v>155</v>
      </c>
      <c r="C54" s="277" t="s">
        <v>155</v>
      </c>
      <c r="D54" s="330" t="s">
        <v>155</v>
      </c>
    </row>
    <row r="55" spans="1:4" ht="13.5">
      <c r="A55" s="172" t="s">
        <v>149</v>
      </c>
      <c r="B55" s="277" t="s">
        <v>156</v>
      </c>
      <c r="C55" s="277" t="s">
        <v>156</v>
      </c>
      <c r="D55" s="330" t="s">
        <v>156</v>
      </c>
    </row>
    <row r="56" spans="1:4" ht="13.5">
      <c r="A56" s="172" t="s">
        <v>149</v>
      </c>
      <c r="B56" s="277" t="s">
        <v>157</v>
      </c>
      <c r="C56" s="277" t="s">
        <v>157</v>
      </c>
      <c r="D56" s="330" t="s">
        <v>157</v>
      </c>
    </row>
    <row r="57" spans="1:4" ht="13.5">
      <c r="A57" s="172" t="s">
        <v>149</v>
      </c>
      <c r="B57" s="277" t="s">
        <v>158</v>
      </c>
      <c r="C57" s="277" t="s">
        <v>158</v>
      </c>
      <c r="D57" s="330" t="s">
        <v>158</v>
      </c>
    </row>
    <row r="58" spans="1:4" ht="13.5">
      <c r="A58" s="172" t="s">
        <v>149</v>
      </c>
      <c r="B58" s="277" t="s">
        <v>159</v>
      </c>
      <c r="C58" s="277" t="s">
        <v>159</v>
      </c>
      <c r="D58" s="330" t="s">
        <v>159</v>
      </c>
    </row>
    <row r="59" spans="1:4" ht="13.5">
      <c r="A59" s="172" t="s">
        <v>149</v>
      </c>
      <c r="B59" s="277" t="s">
        <v>160</v>
      </c>
      <c r="C59" s="277" t="s">
        <v>160</v>
      </c>
      <c r="D59" s="330" t="s">
        <v>160</v>
      </c>
    </row>
    <row r="60" spans="1:4" ht="13.5">
      <c r="A60" s="172" t="s">
        <v>149</v>
      </c>
      <c r="B60" s="277" t="s">
        <v>174</v>
      </c>
      <c r="C60" s="277" t="s">
        <v>174</v>
      </c>
      <c r="D60" s="330" t="s">
        <v>174</v>
      </c>
    </row>
    <row r="61" spans="1:4" ht="13.5">
      <c r="A61" s="169"/>
      <c r="B61" s="105"/>
      <c r="C61" s="3"/>
      <c r="D61" s="170"/>
    </row>
    <row r="62" spans="1:4" ht="13.5">
      <c r="A62" s="169"/>
      <c r="B62" s="106" t="s">
        <v>161</v>
      </c>
      <c r="C62" s="3"/>
      <c r="D62" s="170"/>
    </row>
    <row r="63" spans="1:4" ht="13.5">
      <c r="A63" s="169"/>
      <c r="B63" s="105"/>
      <c r="C63" s="3"/>
      <c r="D63" s="170"/>
    </row>
    <row r="64" spans="1:4" ht="24" customHeight="1">
      <c r="A64" s="172" t="s">
        <v>149</v>
      </c>
      <c r="B64" s="277" t="s">
        <v>162</v>
      </c>
      <c r="C64" s="277" t="s">
        <v>162</v>
      </c>
      <c r="D64" s="330" t="s">
        <v>162</v>
      </c>
    </row>
    <row r="65" spans="1:4" ht="13.5">
      <c r="A65" s="172" t="s">
        <v>149</v>
      </c>
      <c r="B65" s="277" t="s">
        <v>163</v>
      </c>
      <c r="C65" s="277" t="s">
        <v>163</v>
      </c>
      <c r="D65" s="330" t="s">
        <v>163</v>
      </c>
    </row>
    <row r="66" spans="1:4" ht="13.5">
      <c r="A66" s="172" t="s">
        <v>149</v>
      </c>
      <c r="B66" s="277" t="s">
        <v>164</v>
      </c>
      <c r="C66" s="277" t="s">
        <v>164</v>
      </c>
      <c r="D66" s="330" t="s">
        <v>164</v>
      </c>
    </row>
    <row r="67" spans="1:4" ht="13.5">
      <c r="A67" s="172" t="s">
        <v>149</v>
      </c>
      <c r="B67" s="277" t="s">
        <v>159</v>
      </c>
      <c r="C67" s="277" t="s">
        <v>159</v>
      </c>
      <c r="D67" s="330" t="s">
        <v>159</v>
      </c>
    </row>
    <row r="68" spans="1:4" ht="13.5">
      <c r="A68" s="172" t="s">
        <v>149</v>
      </c>
      <c r="B68" s="277" t="s">
        <v>165</v>
      </c>
      <c r="C68" s="277" t="s">
        <v>165</v>
      </c>
      <c r="D68" s="330" t="s">
        <v>165</v>
      </c>
    </row>
    <row r="69" spans="1:4" ht="13.5">
      <c r="A69" s="172" t="s">
        <v>149</v>
      </c>
      <c r="B69" s="277" t="s">
        <v>166</v>
      </c>
      <c r="C69" s="277" t="s">
        <v>166</v>
      </c>
      <c r="D69" s="330" t="s">
        <v>166</v>
      </c>
    </row>
    <row r="70" spans="1:4" ht="13.5">
      <c r="A70" s="172" t="s">
        <v>149</v>
      </c>
      <c r="B70" s="277" t="s">
        <v>167</v>
      </c>
      <c r="C70" s="277" t="s">
        <v>167</v>
      </c>
      <c r="D70" s="330" t="s">
        <v>167</v>
      </c>
    </row>
    <row r="71" spans="1:4" ht="13.5">
      <c r="A71" s="172" t="s">
        <v>149</v>
      </c>
      <c r="B71" s="277" t="s">
        <v>993</v>
      </c>
      <c r="C71" s="277" t="s">
        <v>993</v>
      </c>
      <c r="D71" s="330" t="s">
        <v>993</v>
      </c>
    </row>
    <row r="72" spans="1:4" ht="13.5">
      <c r="A72" s="172" t="s">
        <v>149</v>
      </c>
      <c r="B72" s="277" t="s">
        <v>994</v>
      </c>
      <c r="C72" s="277" t="s">
        <v>994</v>
      </c>
      <c r="D72" s="330" t="s">
        <v>994</v>
      </c>
    </row>
    <row r="73" spans="1:4" ht="13.5">
      <c r="A73" s="169"/>
      <c r="B73" s="3"/>
      <c r="C73" s="3"/>
      <c r="D73" s="170"/>
    </row>
    <row r="74" spans="1:4" ht="13.5">
      <c r="A74" s="169"/>
      <c r="B74" s="106" t="s">
        <v>122</v>
      </c>
      <c r="C74" s="3"/>
      <c r="D74" s="170"/>
    </row>
    <row r="75" spans="1:4" ht="13.5">
      <c r="A75" s="169"/>
      <c r="B75" s="105"/>
      <c r="C75" s="3"/>
      <c r="D75" s="170"/>
    </row>
    <row r="76" spans="1:4" ht="13.5">
      <c r="A76" s="172" t="s">
        <v>149</v>
      </c>
      <c r="B76" s="278" t="s">
        <v>168</v>
      </c>
      <c r="C76" s="278" t="s">
        <v>168</v>
      </c>
      <c r="D76" s="331" t="s">
        <v>168</v>
      </c>
    </row>
    <row r="77" spans="1:4" ht="13.5">
      <c r="A77" s="172" t="s">
        <v>149</v>
      </c>
      <c r="B77" s="278" t="s">
        <v>169</v>
      </c>
      <c r="C77" s="278" t="s">
        <v>169</v>
      </c>
      <c r="D77" s="331" t="s">
        <v>169</v>
      </c>
    </row>
    <row r="78" spans="1:4" ht="13.5">
      <c r="A78" s="172" t="s">
        <v>149</v>
      </c>
      <c r="B78" s="278" t="s">
        <v>170</v>
      </c>
      <c r="C78" s="278" t="s">
        <v>170</v>
      </c>
      <c r="D78" s="331" t="s">
        <v>170</v>
      </c>
    </row>
    <row r="79" spans="1:4" ht="13.5">
      <c r="A79" s="172" t="s">
        <v>149</v>
      </c>
      <c r="B79" s="278" t="s">
        <v>171</v>
      </c>
      <c r="C79" s="278" t="s">
        <v>171</v>
      </c>
      <c r="D79" s="331" t="s">
        <v>171</v>
      </c>
    </row>
    <row r="80" spans="1:4" ht="13.5">
      <c r="A80" s="172" t="s">
        <v>149</v>
      </c>
      <c r="B80" s="278" t="s">
        <v>172</v>
      </c>
      <c r="C80" s="278" t="s">
        <v>172</v>
      </c>
      <c r="D80" s="331" t="s">
        <v>172</v>
      </c>
    </row>
    <row r="81" spans="1:4" ht="13.5">
      <c r="A81" s="172" t="s">
        <v>149</v>
      </c>
      <c r="B81" s="278" t="s">
        <v>995</v>
      </c>
      <c r="C81" s="278" t="s">
        <v>995</v>
      </c>
      <c r="D81" s="331" t="s">
        <v>995</v>
      </c>
    </row>
    <row r="82" spans="1:4" ht="14.25" thickBot="1">
      <c r="A82" s="173" t="s">
        <v>149</v>
      </c>
      <c r="B82" s="332" t="s">
        <v>996</v>
      </c>
      <c r="C82" s="332" t="s">
        <v>996</v>
      </c>
      <c r="D82" s="333" t="s">
        <v>996</v>
      </c>
    </row>
  </sheetData>
  <mergeCells count="37">
    <mergeCell ref="B80:D80"/>
    <mergeCell ref="B81:D81"/>
    <mergeCell ref="B82:D82"/>
    <mergeCell ref="B72:D72"/>
    <mergeCell ref="B76:D76"/>
    <mergeCell ref="B77:D77"/>
    <mergeCell ref="B78:D78"/>
    <mergeCell ref="B79:D79"/>
    <mergeCell ref="B67:D67"/>
    <mergeCell ref="B68:D68"/>
    <mergeCell ref="B69:D69"/>
    <mergeCell ref="B70:D70"/>
    <mergeCell ref="B71:D71"/>
    <mergeCell ref="B59:D59"/>
    <mergeCell ref="B60:D60"/>
    <mergeCell ref="B64:D64"/>
    <mergeCell ref="B65:D65"/>
    <mergeCell ref="B66:D66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A9:A14"/>
    <mergeCell ref="A1:D1"/>
    <mergeCell ref="A2:D2"/>
    <mergeCell ref="A32:A36"/>
    <mergeCell ref="A37:A40"/>
    <mergeCell ref="A24:A28"/>
    <mergeCell ref="A29:A31"/>
    <mergeCell ref="A15:A21"/>
    <mergeCell ref="A22:A2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 alignWithMargins="0">
    <oddFooter>&amp;L&amp;F&amp;C&amp;D&amp;R&amp;A</oddFooter>
  </headerFooter>
  <rowBreaks count="1" manualBreakCount="1">
    <brk id="83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I23"/>
  <sheetViews>
    <sheetView showGridLines="0" tabSelected="1" view="pageBreakPreview" zoomScaleNormal="100" zoomScaleSheetLayoutView="100" workbookViewId="0">
      <selection activeCell="C3" sqref="C3"/>
    </sheetView>
  </sheetViews>
  <sheetFormatPr defaultColWidth="9.140625" defaultRowHeight="18.75" customHeight="1"/>
  <cols>
    <col min="1" max="1" width="13.7109375" style="238" customWidth="1"/>
    <col min="2" max="2" width="40.5703125" style="237" customWidth="1"/>
    <col min="3" max="7" width="23.28515625" style="238" customWidth="1"/>
    <col min="8" max="8" width="20.140625" style="238" bestFit="1" customWidth="1"/>
    <col min="9" max="10" width="15.85546875" style="238" customWidth="1"/>
    <col min="11" max="16384" width="9.140625" style="238"/>
  </cols>
  <sheetData>
    <row r="1" spans="1:9" s="21" customFormat="1" ht="25.5" customHeight="1">
      <c r="A1" s="290" t="s">
        <v>997</v>
      </c>
      <c r="B1" s="290"/>
      <c r="C1" s="290"/>
      <c r="D1" s="290"/>
      <c r="E1" s="290"/>
      <c r="F1" s="290"/>
      <c r="G1" s="290"/>
      <c r="H1" s="290"/>
    </row>
    <row r="2" spans="1:9" s="21" customFormat="1" ht="15" customHeight="1">
      <c r="A2" s="318" t="s">
        <v>998</v>
      </c>
      <c r="B2" s="291"/>
      <c r="C2" s="291"/>
      <c r="D2" s="291"/>
      <c r="E2" s="291"/>
      <c r="F2" s="291"/>
      <c r="G2" s="291"/>
      <c r="H2" s="291"/>
    </row>
    <row r="3" spans="1:9" s="23" customFormat="1" ht="12" customHeight="1">
      <c r="B3" s="53"/>
    </row>
    <row r="4" spans="1:9" ht="12" customHeight="1">
      <c r="A4" s="237"/>
      <c r="B4" s="238"/>
    </row>
    <row r="5" spans="1:9" ht="26.25" customHeight="1">
      <c r="A5" s="114" t="s">
        <v>999</v>
      </c>
      <c r="B5" s="238"/>
    </row>
    <row r="6" spans="1:9" s="244" customFormat="1" ht="25.5" customHeight="1">
      <c r="A6" s="239" t="s">
        <v>899</v>
      </c>
      <c r="B6" s="240" t="s">
        <v>16</v>
      </c>
      <c r="C6" s="239" t="s">
        <v>1000</v>
      </c>
      <c r="D6" s="241" t="s">
        <v>344</v>
      </c>
      <c r="E6" s="241" t="s">
        <v>1001</v>
      </c>
      <c r="F6" s="239" t="s">
        <v>1002</v>
      </c>
      <c r="G6" s="242" t="s">
        <v>1003</v>
      </c>
      <c r="H6" s="243" t="s">
        <v>1004</v>
      </c>
    </row>
    <row r="7" spans="1:9" ht="18.75" customHeight="1">
      <c r="A7" s="245">
        <v>1</v>
      </c>
      <c r="B7" s="246" t="str">
        <f>VLOOKUP(Samenvattingschoonmaak[[#This Row],[Code Locatie]],Locaties[],2,0)</f>
        <v>Ir. Lely Lyceum</v>
      </c>
      <c r="C7" s="247">
        <f>SUMIF('Ruimtestaat'!$A:$A,Totalisatie!$A7,'Ruimtestaat'!$N:$N)</f>
        <v>9861.6499999999978</v>
      </c>
      <c r="D7" s="247">
        <f>SUMIF('Ruimtestaat'!$A:$A,Totalisatie!$A7,'Ruimtestaat'!$AE:$AE)</f>
        <v>1947702</v>
      </c>
      <c r="E7" s="248">
        <f>SUMIF('Ruimtestaat'!$A:$A,Totalisatie!$A7,'Ruimtestaat'!$AF:$AF)</f>
        <v>0</v>
      </c>
      <c r="F7" s="249" t="e">
        <f t="shared" ref="F7" si="0">D7/E7</f>
        <v>#DIV/0!</v>
      </c>
      <c r="G7" s="250">
        <f>SUMIF('Ruimtestaat'!$A:$A,Totalisatie!$A7,'Ruimtestaat'!$AG:$AG)</f>
        <v>0</v>
      </c>
      <c r="H7" s="251">
        <f t="shared" ref="H7" si="1">G7/C7</f>
        <v>0</v>
      </c>
    </row>
    <row r="8" spans="1:9" ht="18.75" customHeight="1">
      <c r="A8" s="245">
        <v>2</v>
      </c>
      <c r="B8" s="246" t="str">
        <f>VLOOKUP(Samenvattingschoonmaak[[#This Row],[Code Locatie]],Locaties[],2,0)</f>
        <v>Open Schoolgemeenschap Bijlmer</v>
      </c>
      <c r="C8" s="247">
        <f>SUMIF('Ruimtestaat'!$A:$A,Totalisatie!$A8,'Ruimtestaat'!$N:$N)</f>
        <v>13709.720550000011</v>
      </c>
      <c r="D8" s="247">
        <f>SUMIF('Ruimtestaat'!$A:$A,Totalisatie!$A8,'Ruimtestaat'!$AE:$AE)</f>
        <v>2813252.11</v>
      </c>
      <c r="E8" s="248">
        <f>SUMIF('Ruimtestaat'!$A:$A,Totalisatie!$A8,'Ruimtestaat'!$AF:$AF)</f>
        <v>0</v>
      </c>
      <c r="F8" s="249" t="e">
        <f>D8/E8</f>
        <v>#DIV/0!</v>
      </c>
      <c r="G8" s="250">
        <f>SUMIF('Ruimtestaat'!$A:$A,Totalisatie!$A8,'Ruimtestaat'!$AG:$AG)</f>
        <v>0</v>
      </c>
      <c r="H8" s="251">
        <f t="shared" ref="H8" si="2">G8/C8</f>
        <v>0</v>
      </c>
    </row>
    <row r="9" spans="1:9" s="244" customFormat="1" ht="18.75" customHeight="1">
      <c r="A9" s="252"/>
      <c r="B9" s="253" t="s">
        <v>904</v>
      </c>
      <c r="C9" s="254">
        <f>SUBTOTAL(109,Samenvattingschoonmaak[Oppervlakte i/o])</f>
        <v>23571.370550000007</v>
      </c>
      <c r="D9" s="254">
        <f>SUBTOTAL(109,Samenvattingschoonmaak[Prest. (m2 /jaar)])</f>
        <v>4760954.1099999994</v>
      </c>
      <c r="E9" s="255">
        <f>SUBTOTAL(109,Samenvattingschoonmaak[Uren / jaar])</f>
        <v>0</v>
      </c>
      <c r="F9" s="254" t="e">
        <f>Samenvattingschoonmaak[[#Totals],[Prest. (m2 /jaar)]]/Samenvattingschoonmaak[[#Totals],[Uren / jaar]]</f>
        <v>#DIV/0!</v>
      </c>
      <c r="G9" s="256">
        <f>SUBTOTAL(109,Samenvattingschoonmaak[Kosten / jaar])</f>
        <v>0</v>
      </c>
      <c r="H9" s="257">
        <f>Samenvattingschoonmaak[[#Totals],[Kosten / jaar]]/Samenvattingschoonmaak[[#Totals],[Oppervlakte i/o]]</f>
        <v>0</v>
      </c>
    </row>
    <row r="10" spans="1:9" ht="18.75" customHeight="1">
      <c r="A10" s="237"/>
      <c r="B10" s="238"/>
    </row>
    <row r="11" spans="1:9" ht="18.75" customHeight="1">
      <c r="A11" s="114" t="s">
        <v>1005</v>
      </c>
      <c r="B11" s="258"/>
      <c r="C11" s="258"/>
      <c r="D11" s="258"/>
      <c r="E11" s="258"/>
      <c r="F11" s="258"/>
      <c r="G11" s="258"/>
      <c r="H11" s="258"/>
    </row>
    <row r="12" spans="1:9" ht="25.5" customHeight="1">
      <c r="A12" s="239" t="s">
        <v>899</v>
      </c>
      <c r="B12" s="240" t="s">
        <v>1006</v>
      </c>
      <c r="C12" s="239" t="s">
        <v>1007</v>
      </c>
      <c r="D12" s="242" t="s">
        <v>1008</v>
      </c>
      <c r="E12" s="242" t="s">
        <v>1009</v>
      </c>
      <c r="F12" s="242" t="s">
        <v>1010</v>
      </c>
      <c r="G12" s="242" t="s">
        <v>1011</v>
      </c>
    </row>
    <row r="13" spans="1:9" ht="18.75" customHeight="1">
      <c r="A13" s="245">
        <v>1</v>
      </c>
      <c r="B13" s="246" t="str">
        <f>VLOOKUP(Totalisatie[[#This Row],[Code Locatie]],Locaties[],2,0)</f>
        <v>Ir. Lely Lyceum</v>
      </c>
      <c r="C13" s="250">
        <f>SUMIF('Ruimtestaat'!A:A,Totalisatie[[#This Row],[Code Locatie]],'Ruimtestaat'!AG:AG)</f>
        <v>0</v>
      </c>
      <c r="D13" s="259">
        <f>SUMIF(Vloeronderhoud!$A$21:$A$34,Totalisatie[[#This Row],[Code Locatie]],Vloeronderhoud!$H$21:$H$34)</f>
        <v>0</v>
      </c>
      <c r="E13" s="268">
        <f>SUMIF(Glasbewassing!$A$23:$A$32,Totalisatie[[#This Row],[Code Locatie]],Glasbewassing!$G$23:$G$32)</f>
        <v>0</v>
      </c>
      <c r="F13" s="250">
        <f>SUMIF(OverzichtExtra[Code Locatie],Totalisatie[[#This Row],[Code Locatie]],OverzichtExtra[Kosten/jaar excl. BTW])</f>
        <v>0</v>
      </c>
      <c r="G13" s="250">
        <f>SUM(Totalisatie[[#This Row],[Schoonmaakonderhoud
Kosten / jaar]:[Extra Werkzaamheden
Kosten / jaar]])</f>
        <v>0</v>
      </c>
      <c r="I13" s="260"/>
    </row>
    <row r="14" spans="1:9" ht="18.75" customHeight="1">
      <c r="A14" s="245">
        <v>2</v>
      </c>
      <c r="B14" s="246" t="str">
        <f>VLOOKUP(Totalisatie[[#This Row],[Code Locatie]],Locaties[],2,0)</f>
        <v>Open Schoolgemeenschap Bijlmer</v>
      </c>
      <c r="C14" s="250">
        <f>SUMIF('Ruimtestaat'!A:A,Totalisatie[[#This Row],[Code Locatie]],'Ruimtestaat'!AG:AG)</f>
        <v>0</v>
      </c>
      <c r="D14" s="259">
        <f>SUMIF(Vloeronderhoud!$A$21:$A$34,Totalisatie[[#This Row],[Code Locatie]],Vloeronderhoud!$H$21:$H$34)</f>
        <v>0</v>
      </c>
      <c r="E14" s="268">
        <f>SUMIF(Glasbewassing!$A$23:$A$32,Totalisatie[[#This Row],[Code Locatie]],Glasbewassing!$G$23:$G$32)</f>
        <v>0</v>
      </c>
      <c r="F14" s="250">
        <f>SUMIF(OverzichtExtra[Code Locatie],Totalisatie[[#This Row],[Code Locatie]],OverzichtExtra[Kosten/jaar excl. BTW])</f>
        <v>0</v>
      </c>
      <c r="G14" s="250">
        <f>SUM(Totalisatie[[#This Row],[Schoonmaakonderhoud
Kosten / jaar]:[Extra Werkzaamheden
Kosten / jaar]])</f>
        <v>0</v>
      </c>
      <c r="I14" s="260"/>
    </row>
    <row r="15" spans="1:9" ht="18.75" customHeight="1">
      <c r="A15" s="252"/>
      <c r="B15" s="253" t="s">
        <v>904</v>
      </c>
      <c r="C15" s="256">
        <f>SUBTOTAL(109,Totalisatie[Schoonmaakonderhoud
Kosten / jaar])</f>
        <v>0</v>
      </c>
      <c r="D15" s="256">
        <f>SUBTOTAL(109,Totalisatie[Vloeronderhoud
Kosten / jaar])</f>
        <v>0</v>
      </c>
      <c r="E15" s="256">
        <f>OverzichtGlas[[#Totals],[Kosten/jaar excl. BTW]]</f>
        <v>0</v>
      </c>
      <c r="F15" s="256">
        <f>SUBTOTAL(109,Totalisatie[Extra Werkzaamheden
Kosten / jaar])</f>
        <v>0</v>
      </c>
      <c r="G15" s="256">
        <f>SUBTOTAL(109,Totalisatie[Totaalprijs
Kosten / jaar])</f>
        <v>0</v>
      </c>
    </row>
    <row r="16" spans="1:9" ht="18.75" customHeight="1">
      <c r="A16" s="237"/>
      <c r="B16" s="238"/>
      <c r="H16" s="258"/>
    </row>
    <row r="17" spans="1:8" ht="37.5" customHeight="1">
      <c r="A17" s="114" t="s">
        <v>1012</v>
      </c>
      <c r="B17" s="238"/>
      <c r="H17" s="232"/>
    </row>
    <row r="18" spans="1:8" ht="26.25" customHeight="1">
      <c r="A18" s="334" t="s">
        <v>1013</v>
      </c>
      <c r="B18" s="335"/>
      <c r="C18" s="318"/>
      <c r="D18" s="291"/>
      <c r="E18" s="291"/>
      <c r="F18" s="291"/>
      <c r="G18" s="291"/>
    </row>
    <row r="19" spans="1:8" ht="18.75" customHeight="1">
      <c r="A19" s="261" t="s">
        <v>276</v>
      </c>
      <c r="B19" s="318"/>
      <c r="C19" s="291"/>
      <c r="D19" s="261" t="s">
        <v>276</v>
      </c>
      <c r="E19" s="318" t="s">
        <v>1014</v>
      </c>
      <c r="F19" s="291"/>
      <c r="G19" s="291"/>
    </row>
    <row r="20" spans="1:8" ht="18.75" customHeight="1">
      <c r="A20" s="262" t="s">
        <v>6</v>
      </c>
      <c r="B20" s="318"/>
      <c r="C20" s="291"/>
      <c r="D20" s="262" t="s">
        <v>6</v>
      </c>
      <c r="E20" s="318" t="s">
        <v>1014</v>
      </c>
      <c r="F20" s="291"/>
      <c r="G20" s="291"/>
    </row>
    <row r="21" spans="1:8" ht="18.75" customHeight="1">
      <c r="A21" s="261" t="s">
        <v>1015</v>
      </c>
      <c r="B21" s="318"/>
      <c r="C21" s="291"/>
      <c r="D21" s="261" t="s">
        <v>1015</v>
      </c>
      <c r="E21" s="318" t="s">
        <v>1014</v>
      </c>
      <c r="F21" s="291"/>
      <c r="G21" s="291"/>
    </row>
    <row r="22" spans="1:8" ht="84.75" customHeight="1">
      <c r="A22" s="262" t="s">
        <v>1016</v>
      </c>
      <c r="B22" s="318" t="s">
        <v>1014</v>
      </c>
      <c r="C22" s="291"/>
      <c r="D22" s="262" t="s">
        <v>1016</v>
      </c>
      <c r="E22" s="318" t="s">
        <v>1014</v>
      </c>
      <c r="F22" s="291"/>
      <c r="G22" s="291"/>
    </row>
    <row r="23" spans="1:8" ht="18.75" customHeight="1">
      <c r="A23" s="261" t="s">
        <v>1018</v>
      </c>
      <c r="B23" s="263"/>
      <c r="C23" s="264"/>
      <c r="D23" s="265"/>
      <c r="E23" s="266"/>
      <c r="F23" s="266"/>
      <c r="G23" s="267"/>
    </row>
  </sheetData>
  <mergeCells count="12">
    <mergeCell ref="A1:H1"/>
    <mergeCell ref="A2:H2"/>
    <mergeCell ref="E19:G19"/>
    <mergeCell ref="E20:G20"/>
    <mergeCell ref="E21:G21"/>
    <mergeCell ref="E22:G22"/>
    <mergeCell ref="A18:B18"/>
    <mergeCell ref="C18:G18"/>
    <mergeCell ref="B19:C19"/>
    <mergeCell ref="B20:C20"/>
    <mergeCell ref="B21:C21"/>
    <mergeCell ref="B22:C2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Normal="100" zoomScaleSheetLayoutView="100" workbookViewId="0">
      <selection activeCell="C19" sqref="C19"/>
    </sheetView>
  </sheetViews>
  <sheetFormatPr defaultColWidth="9" defaultRowHeight="15" customHeight="1"/>
  <cols>
    <col min="1" max="1" width="29.5703125" style="20" customWidth="1"/>
    <col min="2" max="2" width="33.28515625" style="20" customWidth="1"/>
    <col min="3" max="3" width="45.42578125" style="20" bestFit="1" customWidth="1"/>
    <col min="4" max="4" width="54" style="20" customWidth="1"/>
    <col min="5" max="16384" width="9" style="14"/>
  </cols>
  <sheetData>
    <row r="1" spans="1:4" ht="13.5">
      <c r="A1" s="2" t="s">
        <v>17</v>
      </c>
      <c r="B1" s="2"/>
      <c r="C1" s="2"/>
      <c r="D1" s="2"/>
    </row>
    <row r="2" spans="1:4" ht="13.5">
      <c r="A2" s="2" t="s">
        <v>18</v>
      </c>
      <c r="B2" s="2" t="s">
        <v>19</v>
      </c>
      <c r="C2" s="2" t="s">
        <v>20</v>
      </c>
      <c r="D2" s="2" t="s">
        <v>21</v>
      </c>
    </row>
    <row r="3" spans="1:4" ht="13.5">
      <c r="A3" s="2"/>
      <c r="B3" s="2"/>
      <c r="C3" s="2"/>
      <c r="D3" s="2" t="s">
        <v>22</v>
      </c>
    </row>
    <row r="4" spans="1:4" ht="13.5">
      <c r="A4" s="2" t="s">
        <v>23</v>
      </c>
      <c r="B4" s="2"/>
      <c r="C4" s="2"/>
      <c r="D4" s="2"/>
    </row>
    <row r="5" spans="1:4" ht="27">
      <c r="A5" s="15" t="s">
        <v>24</v>
      </c>
      <c r="B5" s="15"/>
      <c r="C5" s="16" t="s">
        <v>25</v>
      </c>
      <c r="D5" s="16"/>
    </row>
    <row r="6" spans="1:4" ht="27">
      <c r="A6" s="15" t="s">
        <v>26</v>
      </c>
      <c r="B6" s="15" t="s">
        <v>27</v>
      </c>
      <c r="C6" s="16" t="s">
        <v>28</v>
      </c>
      <c r="D6" s="16" t="s">
        <v>29</v>
      </c>
    </row>
    <row r="7" spans="1:4" ht="27">
      <c r="A7" s="15" t="s">
        <v>30</v>
      </c>
      <c r="B7" s="15" t="s">
        <v>31</v>
      </c>
      <c r="C7" s="16" t="s">
        <v>28</v>
      </c>
      <c r="D7" s="16" t="s">
        <v>32</v>
      </c>
    </row>
    <row r="8" spans="1:4" ht="13.5">
      <c r="A8" s="15" t="s">
        <v>33</v>
      </c>
      <c r="B8" s="15" t="s">
        <v>31</v>
      </c>
      <c r="C8" s="16" t="s">
        <v>28</v>
      </c>
      <c r="D8" s="16" t="s">
        <v>34</v>
      </c>
    </row>
    <row r="9" spans="1:4" ht="27">
      <c r="A9" s="15" t="s">
        <v>35</v>
      </c>
      <c r="B9" s="15" t="s">
        <v>36</v>
      </c>
      <c r="C9" s="16" t="s">
        <v>37</v>
      </c>
      <c r="D9" s="16" t="s">
        <v>38</v>
      </c>
    </row>
    <row r="10" spans="1:4" ht="27">
      <c r="A10" s="15" t="s">
        <v>35</v>
      </c>
      <c r="B10" s="15" t="s">
        <v>27</v>
      </c>
      <c r="C10" s="16" t="s">
        <v>39</v>
      </c>
      <c r="D10" s="16" t="s">
        <v>38</v>
      </c>
    </row>
    <row r="11" spans="1:4" ht="13.5">
      <c r="A11" s="15" t="s">
        <v>40</v>
      </c>
      <c r="B11" s="15" t="s">
        <v>27</v>
      </c>
      <c r="C11" s="16" t="s">
        <v>41</v>
      </c>
      <c r="D11" s="16"/>
    </row>
    <row r="12" spans="1:4" ht="30" customHeight="1">
      <c r="A12" s="15" t="s">
        <v>42</v>
      </c>
      <c r="B12" s="15" t="s">
        <v>31</v>
      </c>
      <c r="C12" s="16" t="s">
        <v>28</v>
      </c>
      <c r="D12" s="16" t="s">
        <v>43</v>
      </c>
    </row>
    <row r="13" spans="1:4" ht="13.5">
      <c r="A13" s="15" t="s">
        <v>44</v>
      </c>
      <c r="B13" s="15" t="s">
        <v>31</v>
      </c>
      <c r="C13" s="16" t="s">
        <v>28</v>
      </c>
      <c r="D13" s="15" t="s">
        <v>45</v>
      </c>
    </row>
    <row r="14" spans="1:4" ht="13.5">
      <c r="A14" s="17" t="s">
        <v>46</v>
      </c>
      <c r="B14" s="17" t="s">
        <v>31</v>
      </c>
      <c r="C14" s="18" t="s">
        <v>28</v>
      </c>
      <c r="D14" s="18" t="s">
        <v>47</v>
      </c>
    </row>
    <row r="15" spans="1:4" ht="27">
      <c r="A15" s="15" t="s">
        <v>48</v>
      </c>
      <c r="B15" s="15" t="s">
        <v>31</v>
      </c>
      <c r="C15" s="16" t="s">
        <v>28</v>
      </c>
      <c r="D15" s="16" t="s">
        <v>49</v>
      </c>
    </row>
    <row r="16" spans="1:4" ht="27">
      <c r="A16" s="15" t="s">
        <v>50</v>
      </c>
      <c r="B16" s="15" t="s">
        <v>27</v>
      </c>
      <c r="C16" s="16" t="s">
        <v>28</v>
      </c>
      <c r="D16" s="16" t="s">
        <v>51</v>
      </c>
    </row>
    <row r="17" spans="1:4" ht="27">
      <c r="A17" s="15" t="s">
        <v>52</v>
      </c>
      <c r="B17" s="15" t="s">
        <v>31</v>
      </c>
      <c r="C17" s="16" t="s">
        <v>28</v>
      </c>
      <c r="D17" s="19" t="s">
        <v>53</v>
      </c>
    </row>
    <row r="18" spans="1:4" ht="13.5">
      <c r="A18" s="15" t="s">
        <v>54</v>
      </c>
      <c r="B18" s="15" t="s">
        <v>31</v>
      </c>
      <c r="C18" s="16" t="s">
        <v>28</v>
      </c>
      <c r="D18" s="19" t="s">
        <v>55</v>
      </c>
    </row>
    <row r="19" spans="1:4" ht="27">
      <c r="A19" s="15" t="s">
        <v>56</v>
      </c>
      <c r="B19" s="15" t="s">
        <v>27</v>
      </c>
      <c r="C19" s="16" t="s">
        <v>28</v>
      </c>
      <c r="D19" s="19" t="s">
        <v>49</v>
      </c>
    </row>
    <row r="20" spans="1:4" ht="13.5">
      <c r="A20" s="15" t="s">
        <v>57</v>
      </c>
      <c r="B20" s="15" t="s">
        <v>31</v>
      </c>
      <c r="C20" s="16" t="s">
        <v>28</v>
      </c>
      <c r="D20" s="19" t="s">
        <v>55</v>
      </c>
    </row>
    <row r="21" spans="1:4" ht="13.5">
      <c r="A21" s="15" t="s">
        <v>58</v>
      </c>
      <c r="B21" s="15" t="s">
        <v>59</v>
      </c>
      <c r="C21" s="16" t="s">
        <v>60</v>
      </c>
      <c r="D21" s="19"/>
    </row>
    <row r="22" spans="1:4" ht="27">
      <c r="A22" s="15" t="s">
        <v>58</v>
      </c>
      <c r="B22" s="15" t="s">
        <v>27</v>
      </c>
      <c r="C22" s="16" t="s">
        <v>28</v>
      </c>
      <c r="D22" s="19" t="s">
        <v>53</v>
      </c>
    </row>
    <row r="23" spans="1:4" ht="27">
      <c r="A23" s="15" t="s">
        <v>61</v>
      </c>
      <c r="B23" s="15" t="s">
        <v>31</v>
      </c>
      <c r="C23" s="16" t="s">
        <v>28</v>
      </c>
      <c r="D23" s="19" t="s">
        <v>62</v>
      </c>
    </row>
    <row r="24" spans="1:4" ht="27">
      <c r="A24" s="15" t="s">
        <v>63</v>
      </c>
      <c r="B24" s="15" t="s">
        <v>31</v>
      </c>
      <c r="C24" s="16" t="s">
        <v>28</v>
      </c>
      <c r="D24" s="19" t="s">
        <v>64</v>
      </c>
    </row>
    <row r="25" spans="1:4" ht="27">
      <c r="A25" s="15" t="s">
        <v>65</v>
      </c>
      <c r="B25" s="15" t="s">
        <v>31</v>
      </c>
      <c r="C25" s="16" t="s">
        <v>28</v>
      </c>
      <c r="D25" s="19" t="s">
        <v>66</v>
      </c>
    </row>
    <row r="26" spans="1:4" ht="27">
      <c r="A26" s="15" t="s">
        <v>67</v>
      </c>
      <c r="B26" s="15" t="s">
        <v>31</v>
      </c>
      <c r="C26" s="16" t="s">
        <v>28</v>
      </c>
      <c r="D26" s="19" t="s">
        <v>62</v>
      </c>
    </row>
    <row r="27" spans="1:4" ht="27">
      <c r="A27" s="15" t="s">
        <v>68</v>
      </c>
      <c r="B27" s="15" t="s">
        <v>27</v>
      </c>
      <c r="C27" s="16" t="s">
        <v>28</v>
      </c>
      <c r="D27" s="19" t="s">
        <v>69</v>
      </c>
    </row>
    <row r="28" spans="1:4" ht="27">
      <c r="A28" s="15" t="s">
        <v>70</v>
      </c>
      <c r="B28" s="15" t="s">
        <v>27</v>
      </c>
      <c r="C28" s="16" t="s">
        <v>28</v>
      </c>
      <c r="D28" s="19" t="s">
        <v>53</v>
      </c>
    </row>
    <row r="29" spans="1:4" ht="27">
      <c r="A29" s="15" t="s">
        <v>71</v>
      </c>
      <c r="B29" s="15" t="s">
        <v>31</v>
      </c>
      <c r="C29" s="16" t="s">
        <v>28</v>
      </c>
      <c r="D29" s="19" t="s">
        <v>53</v>
      </c>
    </row>
    <row r="30" spans="1:4" ht="27">
      <c r="A30" s="15" t="s">
        <v>72</v>
      </c>
      <c r="B30" s="15" t="s">
        <v>27</v>
      </c>
      <c r="C30" s="16" t="s">
        <v>28</v>
      </c>
      <c r="D30" s="19" t="s">
        <v>53</v>
      </c>
    </row>
    <row r="31" spans="1:4" ht="13.5">
      <c r="A31" s="2" t="s">
        <v>18</v>
      </c>
      <c r="B31" s="2" t="s">
        <v>19</v>
      </c>
      <c r="C31" s="2" t="s">
        <v>20</v>
      </c>
      <c r="D31" s="2" t="s">
        <v>21</v>
      </c>
    </row>
    <row r="32" spans="1:4" ht="13.5">
      <c r="A32" s="2"/>
      <c r="B32" s="2"/>
      <c r="C32" s="2"/>
      <c r="D32" s="2" t="s">
        <v>22</v>
      </c>
    </row>
    <row r="33" spans="1:4" ht="13.5">
      <c r="A33" s="2" t="s">
        <v>73</v>
      </c>
      <c r="B33" s="2"/>
      <c r="C33" s="2"/>
      <c r="D33" s="2"/>
    </row>
    <row r="34" spans="1:4" ht="27">
      <c r="A34" s="15" t="s">
        <v>24</v>
      </c>
      <c r="B34" s="15"/>
      <c r="C34" s="16" t="s">
        <v>74</v>
      </c>
      <c r="D34" s="19"/>
    </row>
    <row r="35" spans="1:4" ht="27">
      <c r="A35" s="15" t="s">
        <v>75</v>
      </c>
      <c r="B35" s="15" t="s">
        <v>27</v>
      </c>
      <c r="C35" s="16" t="s">
        <v>28</v>
      </c>
      <c r="D35" s="19" t="s">
        <v>76</v>
      </c>
    </row>
    <row r="36" spans="1:4" ht="13.5">
      <c r="A36" s="15" t="s">
        <v>77</v>
      </c>
      <c r="B36" s="15" t="s">
        <v>27</v>
      </c>
      <c r="C36" s="16" t="s">
        <v>28</v>
      </c>
      <c r="D36" s="19" t="s">
        <v>78</v>
      </c>
    </row>
    <row r="37" spans="1:4" ht="27">
      <c r="A37" s="15" t="s">
        <v>79</v>
      </c>
      <c r="B37" s="15" t="s">
        <v>31</v>
      </c>
      <c r="C37" s="16" t="s">
        <v>28</v>
      </c>
      <c r="D37" s="19" t="s">
        <v>80</v>
      </c>
    </row>
    <row r="38" spans="1:4" ht="27">
      <c r="A38" s="15" t="s">
        <v>50</v>
      </c>
      <c r="B38" s="15" t="s">
        <v>27</v>
      </c>
      <c r="C38" s="16" t="s">
        <v>28</v>
      </c>
      <c r="D38" s="16" t="s">
        <v>51</v>
      </c>
    </row>
    <row r="39" spans="1:4" ht="27">
      <c r="A39" s="15" t="s">
        <v>81</v>
      </c>
      <c r="B39" s="15" t="s">
        <v>27</v>
      </c>
      <c r="C39" s="16" t="s">
        <v>28</v>
      </c>
      <c r="D39" s="16" t="s">
        <v>76</v>
      </c>
    </row>
    <row r="40" spans="1:4" ht="27">
      <c r="A40" s="15" t="s">
        <v>82</v>
      </c>
      <c r="B40" s="15" t="s">
        <v>27</v>
      </c>
      <c r="C40" s="16" t="s">
        <v>28</v>
      </c>
      <c r="D40" s="16" t="s">
        <v>83</v>
      </c>
    </row>
    <row r="41" spans="1:4" ht="27">
      <c r="A41" s="15" t="s">
        <v>84</v>
      </c>
      <c r="B41" s="15" t="s">
        <v>27</v>
      </c>
      <c r="C41" s="16" t="s">
        <v>28</v>
      </c>
      <c r="D41" s="16" t="s">
        <v>85</v>
      </c>
    </row>
    <row r="42" spans="1:4" ht="13.5">
      <c r="A42" s="15" t="s">
        <v>86</v>
      </c>
      <c r="B42" s="15" t="s">
        <v>31</v>
      </c>
      <c r="C42" s="16" t="s">
        <v>28</v>
      </c>
      <c r="D42" s="19" t="s">
        <v>45</v>
      </c>
    </row>
    <row r="43" spans="1:4" ht="27">
      <c r="A43" s="15" t="s">
        <v>87</v>
      </c>
      <c r="B43" s="15" t="s">
        <v>31</v>
      </c>
      <c r="C43" s="16" t="s">
        <v>28</v>
      </c>
      <c r="D43" s="19" t="s">
        <v>53</v>
      </c>
    </row>
    <row r="44" spans="1:4" ht="27">
      <c r="A44" s="15" t="s">
        <v>88</v>
      </c>
      <c r="B44" s="15" t="s">
        <v>27</v>
      </c>
      <c r="C44" s="16" t="s">
        <v>28</v>
      </c>
      <c r="D44" s="19" t="s">
        <v>89</v>
      </c>
    </row>
    <row r="45" spans="1:4" ht="27">
      <c r="A45" s="15" t="s">
        <v>90</v>
      </c>
      <c r="B45" s="15" t="s">
        <v>27</v>
      </c>
      <c r="C45" s="16" t="s">
        <v>28</v>
      </c>
      <c r="D45" s="19" t="s">
        <v>91</v>
      </c>
    </row>
    <row r="46" spans="1:4" ht="27">
      <c r="A46" s="15" t="s">
        <v>92</v>
      </c>
      <c r="B46" s="15" t="s">
        <v>27</v>
      </c>
      <c r="C46" s="16" t="s">
        <v>28</v>
      </c>
      <c r="D46" s="16" t="s">
        <v>93</v>
      </c>
    </row>
    <row r="47" spans="1:4" ht="27">
      <c r="A47" s="15" t="s">
        <v>94</v>
      </c>
      <c r="B47" s="15" t="s">
        <v>27</v>
      </c>
      <c r="C47" s="16" t="s">
        <v>28</v>
      </c>
      <c r="D47" s="19" t="s">
        <v>53</v>
      </c>
    </row>
    <row r="48" spans="1:4" ht="13.5">
      <c r="A48" s="15" t="s">
        <v>95</v>
      </c>
      <c r="B48" s="15" t="s">
        <v>31</v>
      </c>
      <c r="C48" s="16" t="s">
        <v>28</v>
      </c>
      <c r="D48" s="19" t="s">
        <v>45</v>
      </c>
    </row>
    <row r="49" spans="1:4" ht="27">
      <c r="A49" s="15" t="s">
        <v>96</v>
      </c>
      <c r="B49" s="15" t="s">
        <v>31</v>
      </c>
      <c r="C49" s="16" t="s">
        <v>28</v>
      </c>
      <c r="D49" s="19" t="s">
        <v>51</v>
      </c>
    </row>
    <row r="50" spans="1:4" ht="27">
      <c r="A50" s="15" t="s">
        <v>97</v>
      </c>
      <c r="B50" s="15" t="s">
        <v>27</v>
      </c>
      <c r="C50" s="16" t="s">
        <v>98</v>
      </c>
      <c r="D50" s="19" t="s">
        <v>99</v>
      </c>
    </row>
    <row r="51" spans="1:4" ht="40.5">
      <c r="A51" s="15" t="s">
        <v>100</v>
      </c>
      <c r="B51" s="15" t="s">
        <v>27</v>
      </c>
      <c r="C51" s="16" t="s">
        <v>28</v>
      </c>
      <c r="D51" s="19" t="s">
        <v>101</v>
      </c>
    </row>
    <row r="52" spans="1:4" ht="13.5">
      <c r="A52" s="2" t="s">
        <v>18</v>
      </c>
      <c r="B52" s="2" t="s">
        <v>19</v>
      </c>
      <c r="C52" s="2" t="s">
        <v>20</v>
      </c>
      <c r="D52" s="2" t="s">
        <v>21</v>
      </c>
    </row>
    <row r="53" spans="1:4" ht="13.5">
      <c r="A53" s="2"/>
      <c r="B53" s="2"/>
      <c r="C53" s="2"/>
      <c r="D53" s="2" t="s">
        <v>22</v>
      </c>
    </row>
    <row r="54" spans="1:4" ht="13.5">
      <c r="A54" s="2" t="s">
        <v>102</v>
      </c>
      <c r="B54" s="2"/>
      <c r="C54" s="2"/>
      <c r="D54" s="2"/>
    </row>
    <row r="55" spans="1:4" ht="40.5">
      <c r="A55" s="15" t="s">
        <v>24</v>
      </c>
      <c r="B55" s="15"/>
      <c r="C55" s="16" t="s">
        <v>103</v>
      </c>
      <c r="D55" s="16"/>
    </row>
    <row r="56" spans="1:4" ht="27">
      <c r="A56" s="15" t="s">
        <v>104</v>
      </c>
      <c r="B56" s="15" t="s">
        <v>27</v>
      </c>
      <c r="C56" s="16" t="s">
        <v>105</v>
      </c>
      <c r="D56" s="19" t="s">
        <v>106</v>
      </c>
    </row>
    <row r="57" spans="1:4" ht="27">
      <c r="A57" s="15" t="s">
        <v>107</v>
      </c>
      <c r="B57" s="15" t="s">
        <v>27</v>
      </c>
      <c r="C57" s="16" t="s">
        <v>28</v>
      </c>
      <c r="D57" s="19" t="s">
        <v>108</v>
      </c>
    </row>
    <row r="58" spans="1:4" ht="13.5">
      <c r="A58" s="15" t="s">
        <v>109</v>
      </c>
      <c r="B58" s="15" t="s">
        <v>27</v>
      </c>
      <c r="C58" s="16" t="s">
        <v>28</v>
      </c>
      <c r="D58" s="19" t="s">
        <v>110</v>
      </c>
    </row>
    <row r="59" spans="1:4" ht="13.5">
      <c r="A59" s="15" t="s">
        <v>109</v>
      </c>
      <c r="B59" s="15" t="s">
        <v>27</v>
      </c>
      <c r="C59" s="16" t="s">
        <v>111</v>
      </c>
      <c r="D59" s="19"/>
    </row>
    <row r="60" spans="1:4" ht="13.5">
      <c r="A60" s="15" t="s">
        <v>112</v>
      </c>
      <c r="B60" s="15" t="s">
        <v>27</v>
      </c>
      <c r="C60" s="16" t="s">
        <v>28</v>
      </c>
      <c r="D60" s="19" t="s">
        <v>110</v>
      </c>
    </row>
    <row r="61" spans="1:4" ht="27">
      <c r="A61" s="15" t="s">
        <v>113</v>
      </c>
      <c r="B61" s="15" t="s">
        <v>27</v>
      </c>
      <c r="C61" s="16" t="s">
        <v>28</v>
      </c>
      <c r="D61" s="19" t="s">
        <v>53</v>
      </c>
    </row>
    <row r="62" spans="1:4" ht="13.5">
      <c r="A62" s="15" t="s">
        <v>114</v>
      </c>
      <c r="B62" s="15" t="s">
        <v>27</v>
      </c>
      <c r="C62" s="16" t="s">
        <v>28</v>
      </c>
      <c r="D62" s="19" t="s">
        <v>110</v>
      </c>
    </row>
    <row r="63" spans="1:4" ht="13.5">
      <c r="A63" s="15" t="s">
        <v>114</v>
      </c>
      <c r="B63" s="15" t="s">
        <v>27</v>
      </c>
      <c r="C63" s="16" t="s">
        <v>111</v>
      </c>
      <c r="D63" s="19"/>
    </row>
    <row r="64" spans="1:4" ht="27">
      <c r="A64" s="15" t="s">
        <v>115</v>
      </c>
      <c r="B64" s="15" t="s">
        <v>27</v>
      </c>
      <c r="C64" s="16" t="s">
        <v>28</v>
      </c>
      <c r="D64" s="19" t="s">
        <v>116</v>
      </c>
    </row>
    <row r="65" spans="1:4" ht="13.5">
      <c r="A65" s="15" t="s">
        <v>115</v>
      </c>
      <c r="B65" s="15" t="s">
        <v>27</v>
      </c>
      <c r="C65" s="16" t="s">
        <v>111</v>
      </c>
      <c r="D65" s="19"/>
    </row>
    <row r="66" spans="1:4" ht="13.5">
      <c r="A66" s="15" t="s">
        <v>117</v>
      </c>
      <c r="B66" s="15" t="s">
        <v>27</v>
      </c>
      <c r="C66" s="16" t="s">
        <v>28</v>
      </c>
      <c r="D66" s="19" t="s">
        <v>118</v>
      </c>
    </row>
    <row r="67" spans="1:4" ht="13.5">
      <c r="A67" s="15" t="s">
        <v>117</v>
      </c>
      <c r="B67" s="15" t="s">
        <v>27</v>
      </c>
      <c r="C67" s="16" t="s">
        <v>111</v>
      </c>
      <c r="D67" s="19"/>
    </row>
    <row r="68" spans="1:4" ht="27">
      <c r="A68" s="15" t="s">
        <v>119</v>
      </c>
      <c r="B68" s="15" t="s">
        <v>27</v>
      </c>
      <c r="C68" s="16" t="s">
        <v>28</v>
      </c>
      <c r="D68" s="19" t="s">
        <v>120</v>
      </c>
    </row>
    <row r="69" spans="1:4" ht="27">
      <c r="A69" s="15" t="s">
        <v>121</v>
      </c>
      <c r="B69" s="15" t="s">
        <v>27</v>
      </c>
      <c r="C69" s="16" t="s">
        <v>28</v>
      </c>
      <c r="D69" s="19" t="s">
        <v>64</v>
      </c>
    </row>
    <row r="70" spans="1:4" ht="13.5">
      <c r="A70" s="15" t="s">
        <v>121</v>
      </c>
      <c r="B70" s="15" t="s">
        <v>27</v>
      </c>
      <c r="C70" s="16" t="s">
        <v>111</v>
      </c>
      <c r="D70" s="19"/>
    </row>
    <row r="71" spans="1:4" ht="13.5">
      <c r="A71" s="15" t="s">
        <v>122</v>
      </c>
      <c r="B71" s="15" t="s">
        <v>27</v>
      </c>
      <c r="C71" s="16" t="s">
        <v>123</v>
      </c>
      <c r="D71" s="19" t="s">
        <v>78</v>
      </c>
    </row>
    <row r="72" spans="1:4" ht="13.5">
      <c r="A72" s="15" t="s">
        <v>122</v>
      </c>
      <c r="B72" s="15" t="s">
        <v>27</v>
      </c>
      <c r="C72" s="16" t="s">
        <v>111</v>
      </c>
      <c r="D72" s="19"/>
    </row>
    <row r="73" spans="1:4" ht="13.5">
      <c r="A73" s="2" t="s">
        <v>18</v>
      </c>
      <c r="B73" s="2" t="s">
        <v>19</v>
      </c>
      <c r="C73" s="2" t="s">
        <v>20</v>
      </c>
      <c r="D73" s="2" t="s">
        <v>21</v>
      </c>
    </row>
    <row r="74" spans="1:4" ht="13.5">
      <c r="A74" s="2"/>
      <c r="B74" s="2"/>
      <c r="C74" s="2"/>
      <c r="D74" s="2" t="s">
        <v>22</v>
      </c>
    </row>
    <row r="75" spans="1:4" ht="13.5">
      <c r="A75" s="2" t="s">
        <v>124</v>
      </c>
      <c r="B75" s="2"/>
      <c r="C75" s="2"/>
      <c r="D75" s="2"/>
    </row>
    <row r="76" spans="1:4" ht="27">
      <c r="A76" s="15" t="s">
        <v>24</v>
      </c>
      <c r="B76" s="15"/>
      <c r="C76" s="16" t="s">
        <v>125</v>
      </c>
      <c r="D76" s="16"/>
    </row>
    <row r="77" spans="1:4" ht="13.5">
      <c r="A77" s="2" t="s">
        <v>126</v>
      </c>
      <c r="B77" s="2"/>
      <c r="C77" s="2"/>
      <c r="D77" s="2"/>
    </row>
    <row r="78" spans="1:4" ht="27">
      <c r="A78" s="15" t="s">
        <v>127</v>
      </c>
      <c r="B78" s="15" t="s">
        <v>27</v>
      </c>
      <c r="C78" s="16" t="s">
        <v>128</v>
      </c>
      <c r="D78" s="19" t="s">
        <v>99</v>
      </c>
    </row>
    <row r="79" spans="1:4" ht="27">
      <c r="A79" s="15" t="s">
        <v>129</v>
      </c>
      <c r="B79" s="15" t="s">
        <v>27</v>
      </c>
      <c r="C79" s="16" t="s">
        <v>128</v>
      </c>
      <c r="D79" s="19" t="s">
        <v>99</v>
      </c>
    </row>
    <row r="80" spans="1:4" ht="27">
      <c r="A80" s="15" t="s">
        <v>130</v>
      </c>
      <c r="B80" s="15" t="s">
        <v>27</v>
      </c>
      <c r="C80" s="16" t="s">
        <v>128</v>
      </c>
      <c r="D80" s="19" t="s">
        <v>131</v>
      </c>
    </row>
    <row r="81" spans="1:4" ht="27">
      <c r="A81" s="15" t="s">
        <v>132</v>
      </c>
      <c r="B81" s="15" t="s">
        <v>27</v>
      </c>
      <c r="C81" s="16" t="s">
        <v>128</v>
      </c>
      <c r="D81" s="19" t="s">
        <v>133</v>
      </c>
    </row>
    <row r="82" spans="1:4" ht="27">
      <c r="A82" s="15" t="s">
        <v>134</v>
      </c>
      <c r="B82" s="15" t="s">
        <v>27</v>
      </c>
      <c r="C82" s="16" t="s">
        <v>128</v>
      </c>
      <c r="D82" s="19" t="s">
        <v>133</v>
      </c>
    </row>
    <row r="83" spans="1:4" ht="13.5">
      <c r="A83" s="2" t="s">
        <v>135</v>
      </c>
      <c r="B83" s="2"/>
      <c r="C83" s="2"/>
      <c r="D83" s="2"/>
    </row>
    <row r="84" spans="1:4" ht="27">
      <c r="A84" s="15" t="s">
        <v>127</v>
      </c>
      <c r="B84" s="15" t="s">
        <v>27</v>
      </c>
      <c r="C84" s="16" t="s">
        <v>128</v>
      </c>
      <c r="D84" s="19" t="s">
        <v>99</v>
      </c>
    </row>
    <row r="85" spans="1:4" ht="27">
      <c r="A85" s="15" t="s">
        <v>129</v>
      </c>
      <c r="B85" s="15" t="s">
        <v>27</v>
      </c>
      <c r="C85" s="16" t="s">
        <v>128</v>
      </c>
      <c r="D85" s="19" t="s">
        <v>99</v>
      </c>
    </row>
    <row r="86" spans="1:4" ht="27">
      <c r="A86" s="15" t="s">
        <v>130</v>
      </c>
      <c r="B86" s="15" t="s">
        <v>27</v>
      </c>
      <c r="C86" s="16" t="s">
        <v>128</v>
      </c>
      <c r="D86" s="19" t="s">
        <v>131</v>
      </c>
    </row>
    <row r="87" spans="1:4" ht="27">
      <c r="A87" s="15" t="s">
        <v>132</v>
      </c>
      <c r="B87" s="15" t="s">
        <v>27</v>
      </c>
      <c r="C87" s="16" t="s">
        <v>128</v>
      </c>
      <c r="D87" s="19" t="s">
        <v>133</v>
      </c>
    </row>
    <row r="88" spans="1:4" ht="27">
      <c r="A88" s="15" t="s">
        <v>134</v>
      </c>
      <c r="B88" s="15" t="s">
        <v>27</v>
      </c>
      <c r="C88" s="16" t="s">
        <v>128</v>
      </c>
      <c r="D88" s="19" t="s">
        <v>133</v>
      </c>
    </row>
    <row r="89" spans="1:4" ht="13.5">
      <c r="A89" s="2" t="s">
        <v>136</v>
      </c>
      <c r="B89" s="2"/>
      <c r="C89" s="2"/>
      <c r="D89" s="2"/>
    </row>
    <row r="90" spans="1:4" ht="27">
      <c r="A90" s="15" t="s">
        <v>127</v>
      </c>
      <c r="B90" s="15" t="s">
        <v>27</v>
      </c>
      <c r="C90" s="16" t="s">
        <v>137</v>
      </c>
      <c r="D90" s="19" t="s">
        <v>99</v>
      </c>
    </row>
    <row r="91" spans="1:4" ht="27">
      <c r="A91" s="15" t="s">
        <v>129</v>
      </c>
      <c r="B91" s="15" t="s">
        <v>27</v>
      </c>
      <c r="C91" s="16" t="s">
        <v>137</v>
      </c>
      <c r="D91" s="19" t="s">
        <v>99</v>
      </c>
    </row>
    <row r="92" spans="1:4" ht="27">
      <c r="A92" s="15" t="s">
        <v>130</v>
      </c>
      <c r="B92" s="15" t="s">
        <v>27</v>
      </c>
      <c r="C92" s="16" t="s">
        <v>137</v>
      </c>
      <c r="D92" s="19" t="s">
        <v>131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zoomScaleNormal="100" zoomScaleSheetLayoutView="100" workbookViewId="0"/>
  </sheetViews>
  <sheetFormatPr defaultColWidth="9" defaultRowHeight="13.5"/>
  <cols>
    <col min="1" max="1" width="52" style="20" customWidth="1"/>
    <col min="2" max="2" width="16.42578125" style="20" bestFit="1" customWidth="1"/>
    <col min="3" max="3" width="37.42578125" style="20" bestFit="1" customWidth="1"/>
    <col min="4" max="16384" width="9" style="14"/>
  </cols>
  <sheetData>
    <row r="1" spans="1:3" ht="24">
      <c r="A1" s="2" t="s">
        <v>138</v>
      </c>
      <c r="B1" s="2"/>
      <c r="C1" s="2"/>
    </row>
    <row r="2" spans="1:3">
      <c r="A2" s="2" t="s">
        <v>18</v>
      </c>
      <c r="B2" s="2" t="s">
        <v>19</v>
      </c>
      <c r="C2" s="2" t="s">
        <v>139</v>
      </c>
    </row>
    <row r="3" spans="1:3">
      <c r="A3" s="2" t="s">
        <v>23</v>
      </c>
      <c r="B3" s="2"/>
      <c r="C3" s="2"/>
    </row>
    <row r="4" spans="1:3">
      <c r="A4" s="107" t="s">
        <v>30</v>
      </c>
      <c r="B4" s="107" t="s">
        <v>31</v>
      </c>
      <c r="C4" s="108" t="s">
        <v>140</v>
      </c>
    </row>
    <row r="5" spans="1:3">
      <c r="A5" s="107" t="s">
        <v>35</v>
      </c>
      <c r="B5" s="107" t="s">
        <v>31</v>
      </c>
      <c r="C5" s="108" t="s">
        <v>140</v>
      </c>
    </row>
    <row r="6" spans="1:3">
      <c r="A6" s="107" t="s">
        <v>42</v>
      </c>
      <c r="B6" s="107" t="s">
        <v>31</v>
      </c>
      <c r="C6" s="108" t="s">
        <v>140</v>
      </c>
    </row>
    <row r="7" spans="1:3">
      <c r="A7" s="107" t="s">
        <v>44</v>
      </c>
      <c r="B7" s="107" t="s">
        <v>31</v>
      </c>
      <c r="C7" s="108" t="s">
        <v>140</v>
      </c>
    </row>
    <row r="8" spans="1:3">
      <c r="A8" s="109" t="s">
        <v>46</v>
      </c>
      <c r="B8" s="109" t="s">
        <v>31</v>
      </c>
      <c r="C8" s="110" t="s">
        <v>140</v>
      </c>
    </row>
    <row r="9" spans="1:3">
      <c r="A9" s="107" t="s">
        <v>48</v>
      </c>
      <c r="B9" s="107" t="s">
        <v>31</v>
      </c>
      <c r="C9" s="108" t="s">
        <v>140</v>
      </c>
    </row>
    <row r="10" spans="1:3">
      <c r="A10" s="107" t="s">
        <v>50</v>
      </c>
      <c r="B10" s="107" t="s">
        <v>27</v>
      </c>
      <c r="C10" s="108" t="s">
        <v>140</v>
      </c>
    </row>
    <row r="11" spans="1:3">
      <c r="A11" s="107" t="s">
        <v>52</v>
      </c>
      <c r="B11" s="107" t="s">
        <v>31</v>
      </c>
      <c r="C11" s="108" t="s">
        <v>140</v>
      </c>
    </row>
    <row r="12" spans="1:3">
      <c r="A12" s="107" t="s">
        <v>54</v>
      </c>
      <c r="B12" s="107" t="s">
        <v>31</v>
      </c>
      <c r="C12" s="108" t="s">
        <v>140</v>
      </c>
    </row>
    <row r="13" spans="1:3">
      <c r="A13" s="107" t="s">
        <v>56</v>
      </c>
      <c r="B13" s="107" t="s">
        <v>27</v>
      </c>
      <c r="C13" s="108" t="s">
        <v>140</v>
      </c>
    </row>
    <row r="14" spans="1:3">
      <c r="A14" s="107" t="s">
        <v>57</v>
      </c>
      <c r="B14" s="107" t="s">
        <v>31</v>
      </c>
      <c r="C14" s="108" t="s">
        <v>140</v>
      </c>
    </row>
    <row r="15" spans="1:3">
      <c r="A15" s="107" t="s">
        <v>58</v>
      </c>
      <c r="B15" s="107" t="s">
        <v>31</v>
      </c>
      <c r="C15" s="108" t="s">
        <v>140</v>
      </c>
    </row>
    <row r="16" spans="1:3">
      <c r="A16" s="107" t="s">
        <v>63</v>
      </c>
      <c r="B16" s="107" t="s">
        <v>31</v>
      </c>
      <c r="C16" s="108" t="s">
        <v>140</v>
      </c>
    </row>
    <row r="17" spans="1:3">
      <c r="A17" s="107" t="s">
        <v>65</v>
      </c>
      <c r="B17" s="107" t="s">
        <v>27</v>
      </c>
      <c r="C17" s="108" t="s">
        <v>140</v>
      </c>
    </row>
    <row r="18" spans="1:3">
      <c r="A18" s="107" t="s">
        <v>141</v>
      </c>
      <c r="B18" s="107" t="s">
        <v>27</v>
      </c>
      <c r="C18" s="108" t="s">
        <v>140</v>
      </c>
    </row>
    <row r="19" spans="1:3">
      <c r="A19" s="107" t="s">
        <v>68</v>
      </c>
      <c r="B19" s="107" t="s">
        <v>27</v>
      </c>
      <c r="C19" s="108" t="s">
        <v>140</v>
      </c>
    </row>
    <row r="20" spans="1:3">
      <c r="A20" s="107" t="s">
        <v>70</v>
      </c>
      <c r="B20" s="107" t="s">
        <v>27</v>
      </c>
      <c r="C20" s="108" t="s">
        <v>140</v>
      </c>
    </row>
    <row r="21" spans="1:3">
      <c r="A21" s="107" t="s">
        <v>71</v>
      </c>
      <c r="B21" s="107" t="s">
        <v>31</v>
      </c>
      <c r="C21" s="108" t="s">
        <v>140</v>
      </c>
    </row>
    <row r="22" spans="1:3">
      <c r="A22" s="107" t="s">
        <v>72</v>
      </c>
      <c r="B22" s="107" t="s">
        <v>27</v>
      </c>
      <c r="C22" s="108" t="s">
        <v>140</v>
      </c>
    </row>
    <row r="23" spans="1:3">
      <c r="A23" s="107" t="s">
        <v>82</v>
      </c>
      <c r="B23" s="107" t="s">
        <v>27</v>
      </c>
      <c r="C23" s="108" t="s">
        <v>140</v>
      </c>
    </row>
    <row r="24" spans="1:3">
      <c r="A24" s="107" t="s">
        <v>86</v>
      </c>
      <c r="B24" s="107" t="s">
        <v>31</v>
      </c>
      <c r="C24" s="108" t="s">
        <v>140</v>
      </c>
    </row>
    <row r="25" spans="1:3">
      <c r="A25" s="107" t="s">
        <v>88</v>
      </c>
      <c r="B25" s="107" t="s">
        <v>27</v>
      </c>
      <c r="C25" s="108" t="s">
        <v>140</v>
      </c>
    </row>
    <row r="26" spans="1:3">
      <c r="A26" s="107" t="s">
        <v>100</v>
      </c>
      <c r="B26" s="107" t="s">
        <v>27</v>
      </c>
      <c r="C26" s="108" t="s">
        <v>140</v>
      </c>
    </row>
    <row r="27" spans="1:3">
      <c r="A27" s="107" t="s">
        <v>90</v>
      </c>
      <c r="B27" s="107" t="s">
        <v>27</v>
      </c>
      <c r="C27" s="108" t="s">
        <v>140</v>
      </c>
    </row>
    <row r="28" spans="1:3">
      <c r="A28" s="107" t="s">
        <v>142</v>
      </c>
      <c r="B28" s="107" t="s">
        <v>31</v>
      </c>
      <c r="C28" s="108" t="s">
        <v>140</v>
      </c>
    </row>
    <row r="29" spans="1:3">
      <c r="A29" s="2" t="s">
        <v>102</v>
      </c>
      <c r="B29" s="2"/>
      <c r="C29" s="2"/>
    </row>
    <row r="30" spans="1:3">
      <c r="A30" s="107" t="s">
        <v>109</v>
      </c>
      <c r="B30" s="107" t="s">
        <v>27</v>
      </c>
      <c r="C30" s="108" t="s">
        <v>140</v>
      </c>
    </row>
    <row r="31" spans="1:3">
      <c r="A31" s="107" t="s">
        <v>112</v>
      </c>
      <c r="B31" s="107" t="s">
        <v>27</v>
      </c>
      <c r="C31" s="108" t="s">
        <v>140</v>
      </c>
    </row>
    <row r="32" spans="1:3">
      <c r="A32" s="107" t="s">
        <v>114</v>
      </c>
      <c r="B32" s="107" t="s">
        <v>27</v>
      </c>
      <c r="C32" s="108" t="s">
        <v>140</v>
      </c>
    </row>
    <row r="33" spans="1:3">
      <c r="A33" s="107" t="s">
        <v>115</v>
      </c>
      <c r="B33" s="107" t="s">
        <v>27</v>
      </c>
      <c r="C33" s="108" t="s">
        <v>140</v>
      </c>
    </row>
    <row r="34" spans="1:3">
      <c r="A34" s="107" t="s">
        <v>117</v>
      </c>
      <c r="B34" s="107" t="s">
        <v>27</v>
      </c>
      <c r="C34" s="108" t="s">
        <v>140</v>
      </c>
    </row>
    <row r="35" spans="1:3">
      <c r="A35" s="107" t="s">
        <v>119</v>
      </c>
      <c r="B35" s="107" t="s">
        <v>27</v>
      </c>
      <c r="C35" s="108" t="s">
        <v>140</v>
      </c>
    </row>
    <row r="36" spans="1:3">
      <c r="A36" s="107" t="s">
        <v>143</v>
      </c>
      <c r="B36" s="107" t="s">
        <v>27</v>
      </c>
      <c r="C36" s="108" t="s">
        <v>140</v>
      </c>
    </row>
    <row r="37" spans="1:3">
      <c r="A37" s="107" t="s">
        <v>121</v>
      </c>
      <c r="B37" s="107" t="s">
        <v>27</v>
      </c>
      <c r="C37" s="108" t="s">
        <v>140</v>
      </c>
    </row>
    <row r="38" spans="1:3">
      <c r="A38" s="107" t="s">
        <v>122</v>
      </c>
      <c r="B38" s="107" t="s">
        <v>27</v>
      </c>
      <c r="C38" s="108" t="s">
        <v>140</v>
      </c>
    </row>
    <row r="39" spans="1:3">
      <c r="A39" s="107" t="s">
        <v>144</v>
      </c>
      <c r="B39" s="107" t="s">
        <v>27</v>
      </c>
      <c r="C39" s="108" t="s">
        <v>145</v>
      </c>
    </row>
    <row r="40" spans="1:3">
      <c r="A40" s="2" t="s">
        <v>124</v>
      </c>
      <c r="B40" s="2"/>
      <c r="C40" s="2"/>
    </row>
    <row r="41" spans="1:3">
      <c r="A41" s="107" t="s">
        <v>126</v>
      </c>
      <c r="B41" s="107" t="s">
        <v>27</v>
      </c>
      <c r="C41" s="108" t="s">
        <v>146</v>
      </c>
    </row>
    <row r="42" spans="1:3">
      <c r="A42" s="107" t="s">
        <v>135</v>
      </c>
      <c r="B42" s="107" t="s">
        <v>27</v>
      </c>
      <c r="C42" s="108" t="s">
        <v>146</v>
      </c>
    </row>
    <row r="43" spans="1:3">
      <c r="A43" s="107" t="s">
        <v>136</v>
      </c>
      <c r="B43" s="107" t="s">
        <v>27</v>
      </c>
      <c r="C43" s="108" t="s">
        <v>146</v>
      </c>
    </row>
    <row r="44" spans="1:3">
      <c r="A44" s="15"/>
      <c r="B44" s="15"/>
      <c r="C44" s="16"/>
    </row>
  </sheetData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8842-8AB5-4D7C-944A-669331F94BB4}">
  <sheetPr>
    <tabColor theme="0" tint="-0.14999847407452621"/>
  </sheetPr>
  <dimension ref="A1:D34"/>
  <sheetViews>
    <sheetView showGridLines="0" view="pageBreakPreview" zoomScaleNormal="100" zoomScaleSheetLayoutView="100" workbookViewId="0">
      <selection activeCell="B13" sqref="B13:D13"/>
    </sheetView>
  </sheetViews>
  <sheetFormatPr defaultColWidth="9.140625" defaultRowHeight="15" customHeight="1"/>
  <cols>
    <col min="1" max="1" width="4.5703125" style="101" customWidth="1"/>
    <col min="2" max="2" width="148.140625" style="101" customWidth="1"/>
    <col min="3" max="3" width="125.42578125" style="101" customWidth="1"/>
    <col min="4" max="4" width="7.5703125" style="101" customWidth="1"/>
    <col min="5" max="5" width="29" style="101" bestFit="1" customWidth="1"/>
    <col min="6" max="6" width="5.7109375" style="101" customWidth="1"/>
    <col min="7" max="7" width="9.140625" style="101"/>
    <col min="8" max="8" width="17.85546875" style="101" bestFit="1" customWidth="1"/>
    <col min="9" max="11" width="9.140625" style="101"/>
    <col min="12" max="12" width="19.7109375" style="101" customWidth="1"/>
    <col min="13" max="16384" width="9.140625" style="101"/>
  </cols>
  <sheetData>
    <row r="1" spans="1:4" ht="15" customHeight="1">
      <c r="A1" s="279" t="s">
        <v>147</v>
      </c>
      <c r="B1" s="279"/>
    </row>
    <row r="2" spans="1:4" ht="15" customHeight="1">
      <c r="A2" s="279"/>
      <c r="B2" s="279"/>
    </row>
    <row r="3" spans="1:4" ht="15" customHeight="1">
      <c r="B3" s="102" t="s">
        <v>148</v>
      </c>
      <c r="C3" s="3"/>
      <c r="D3" s="3"/>
    </row>
    <row r="4" spans="1:4" ht="15" customHeight="1">
      <c r="A4" s="103" t="s">
        <v>149</v>
      </c>
      <c r="B4" s="277" t="s">
        <v>150</v>
      </c>
      <c r="C4" s="277"/>
      <c r="D4" s="277"/>
    </row>
    <row r="5" spans="1:4" ht="15" customHeight="1">
      <c r="A5" s="103" t="s">
        <v>149</v>
      </c>
      <c r="B5" s="277" t="s">
        <v>151</v>
      </c>
      <c r="C5" s="277" t="s">
        <v>151</v>
      </c>
      <c r="D5" s="277" t="s">
        <v>151</v>
      </c>
    </row>
    <row r="6" spans="1:4" ht="15" customHeight="1">
      <c r="A6" s="103" t="s">
        <v>149</v>
      </c>
      <c r="B6" s="277" t="s">
        <v>152</v>
      </c>
      <c r="C6" s="277" t="s">
        <v>152</v>
      </c>
      <c r="D6" s="277" t="s">
        <v>152</v>
      </c>
    </row>
    <row r="7" spans="1:4" ht="15" customHeight="1">
      <c r="A7" s="103" t="s">
        <v>149</v>
      </c>
      <c r="B7" s="277" t="s">
        <v>153</v>
      </c>
      <c r="C7" s="277" t="s">
        <v>153</v>
      </c>
      <c r="D7" s="277" t="s">
        <v>153</v>
      </c>
    </row>
    <row r="8" spans="1:4" ht="15" customHeight="1">
      <c r="A8" s="103" t="s">
        <v>149</v>
      </c>
      <c r="B8" s="277" t="s">
        <v>154</v>
      </c>
      <c r="C8" s="277" t="s">
        <v>154</v>
      </c>
      <c r="D8" s="277" t="s">
        <v>154</v>
      </c>
    </row>
    <row r="9" spans="1:4" ht="15" customHeight="1">
      <c r="A9" s="103" t="s">
        <v>149</v>
      </c>
      <c r="B9" s="277" t="s">
        <v>155</v>
      </c>
      <c r="C9" s="277" t="s">
        <v>155</v>
      </c>
      <c r="D9" s="277" t="s">
        <v>155</v>
      </c>
    </row>
    <row r="10" spans="1:4" ht="15" customHeight="1">
      <c r="A10" s="103" t="s">
        <v>149</v>
      </c>
      <c r="B10" s="277" t="s">
        <v>156</v>
      </c>
      <c r="C10" s="277" t="s">
        <v>156</v>
      </c>
      <c r="D10" s="277" t="s">
        <v>156</v>
      </c>
    </row>
    <row r="11" spans="1:4" ht="15" customHeight="1">
      <c r="A11" s="103" t="s">
        <v>149</v>
      </c>
      <c r="B11" s="277" t="s">
        <v>157</v>
      </c>
      <c r="C11" s="277" t="s">
        <v>157</v>
      </c>
      <c r="D11" s="277" t="s">
        <v>157</v>
      </c>
    </row>
    <row r="12" spans="1:4" ht="15" customHeight="1">
      <c r="A12" s="103" t="s">
        <v>149</v>
      </c>
      <c r="B12" s="277" t="s">
        <v>158</v>
      </c>
      <c r="C12" s="277" t="s">
        <v>158</v>
      </c>
      <c r="D12" s="277" t="s">
        <v>158</v>
      </c>
    </row>
    <row r="13" spans="1:4" ht="15" customHeight="1">
      <c r="A13" s="103" t="s">
        <v>149</v>
      </c>
      <c r="B13" s="277" t="s">
        <v>159</v>
      </c>
      <c r="C13" s="277" t="s">
        <v>159</v>
      </c>
      <c r="D13" s="277" t="s">
        <v>159</v>
      </c>
    </row>
    <row r="14" spans="1:4" ht="15" customHeight="1">
      <c r="A14" s="103" t="s">
        <v>149</v>
      </c>
      <c r="B14" s="277" t="s">
        <v>160</v>
      </c>
      <c r="C14" s="277" t="s">
        <v>160</v>
      </c>
      <c r="D14" s="277" t="s">
        <v>160</v>
      </c>
    </row>
    <row r="15" spans="1:4" ht="15" customHeight="1">
      <c r="A15" s="104"/>
      <c r="B15" s="105"/>
      <c r="C15" s="3"/>
      <c r="D15" s="3"/>
    </row>
    <row r="16" spans="1:4" ht="15" customHeight="1">
      <c r="A16" s="104"/>
      <c r="B16" s="106" t="s">
        <v>161</v>
      </c>
      <c r="C16" s="3"/>
      <c r="D16" s="3"/>
    </row>
    <row r="17" spans="1:4" ht="15" customHeight="1">
      <c r="A17" s="103" t="s">
        <v>149</v>
      </c>
      <c r="B17" s="277" t="s">
        <v>162</v>
      </c>
      <c r="C17" s="277" t="s">
        <v>162</v>
      </c>
      <c r="D17" s="277" t="s">
        <v>162</v>
      </c>
    </row>
    <row r="18" spans="1:4" ht="15" customHeight="1">
      <c r="A18" s="103" t="s">
        <v>149</v>
      </c>
      <c r="B18" s="277" t="s">
        <v>163</v>
      </c>
      <c r="C18" s="277" t="s">
        <v>163</v>
      </c>
      <c r="D18" s="277" t="s">
        <v>163</v>
      </c>
    </row>
    <row r="19" spans="1:4" ht="15" customHeight="1">
      <c r="A19" s="103" t="s">
        <v>149</v>
      </c>
      <c r="B19" s="277" t="s">
        <v>164</v>
      </c>
      <c r="C19" s="277" t="s">
        <v>164</v>
      </c>
      <c r="D19" s="277" t="s">
        <v>164</v>
      </c>
    </row>
    <row r="20" spans="1:4" ht="15" customHeight="1">
      <c r="A20" s="103" t="s">
        <v>149</v>
      </c>
      <c r="B20" s="277" t="s">
        <v>159</v>
      </c>
      <c r="C20" s="277" t="s">
        <v>159</v>
      </c>
      <c r="D20" s="277" t="s">
        <v>159</v>
      </c>
    </row>
    <row r="21" spans="1:4" ht="15" customHeight="1">
      <c r="A21" s="103" t="s">
        <v>149</v>
      </c>
      <c r="B21" s="277" t="s">
        <v>165</v>
      </c>
      <c r="C21" s="277" t="s">
        <v>165</v>
      </c>
      <c r="D21" s="277" t="s">
        <v>165</v>
      </c>
    </row>
    <row r="22" spans="1:4" ht="15" customHeight="1">
      <c r="A22" s="103" t="s">
        <v>149</v>
      </c>
      <c r="B22" s="277" t="s">
        <v>166</v>
      </c>
      <c r="C22" s="277" t="s">
        <v>166</v>
      </c>
      <c r="D22" s="277" t="s">
        <v>166</v>
      </c>
    </row>
    <row r="23" spans="1:4" ht="15" customHeight="1">
      <c r="A23" s="103" t="s">
        <v>149</v>
      </c>
      <c r="B23" s="277" t="s">
        <v>167</v>
      </c>
      <c r="C23" s="277" t="s">
        <v>167</v>
      </c>
      <c r="D23" s="277" t="s">
        <v>167</v>
      </c>
    </row>
    <row r="24" spans="1:4" ht="15" customHeight="1">
      <c r="A24" s="104"/>
      <c r="B24" s="3"/>
      <c r="C24" s="3"/>
      <c r="D24" s="3"/>
    </row>
    <row r="25" spans="1:4" ht="15" customHeight="1">
      <c r="A25" s="104"/>
      <c r="B25" s="106" t="s">
        <v>122</v>
      </c>
      <c r="C25" s="3"/>
      <c r="D25" s="3"/>
    </row>
    <row r="26" spans="1:4" ht="15" customHeight="1">
      <c r="A26" s="103" t="s">
        <v>149</v>
      </c>
      <c r="B26" s="278" t="s">
        <v>168</v>
      </c>
      <c r="C26" s="278" t="s">
        <v>168</v>
      </c>
      <c r="D26" s="278" t="s">
        <v>168</v>
      </c>
    </row>
    <row r="27" spans="1:4" ht="15" customHeight="1">
      <c r="A27" s="103" t="s">
        <v>149</v>
      </c>
      <c r="B27" s="278" t="s">
        <v>169</v>
      </c>
      <c r="C27" s="278" t="s">
        <v>169</v>
      </c>
      <c r="D27" s="278" t="s">
        <v>169</v>
      </c>
    </row>
    <row r="28" spans="1:4" ht="15" customHeight="1">
      <c r="A28" s="103" t="s">
        <v>149</v>
      </c>
      <c r="B28" s="278" t="s">
        <v>170</v>
      </c>
      <c r="C28" s="278" t="s">
        <v>170</v>
      </c>
      <c r="D28" s="278" t="s">
        <v>170</v>
      </c>
    </row>
    <row r="29" spans="1:4" ht="15" customHeight="1">
      <c r="A29" s="103" t="s">
        <v>149</v>
      </c>
      <c r="B29" s="278" t="s">
        <v>171</v>
      </c>
      <c r="C29" s="278" t="s">
        <v>171</v>
      </c>
      <c r="D29" s="278" t="s">
        <v>171</v>
      </c>
    </row>
    <row r="30" spans="1:4" ht="15" customHeight="1">
      <c r="A30" s="103" t="s">
        <v>149</v>
      </c>
      <c r="B30" s="278" t="s">
        <v>172</v>
      </c>
      <c r="C30" s="278" t="s">
        <v>172</v>
      </c>
      <c r="D30" s="278" t="s">
        <v>172</v>
      </c>
    </row>
    <row r="32" spans="1:4" ht="15" customHeight="1">
      <c r="A32" s="104"/>
      <c r="B32" s="106" t="s">
        <v>24</v>
      </c>
      <c r="C32" s="3"/>
      <c r="D32" s="3"/>
    </row>
    <row r="33" spans="1:4" ht="15" customHeight="1">
      <c r="A33" s="103" t="s">
        <v>149</v>
      </c>
      <c r="B33" s="277" t="s">
        <v>173</v>
      </c>
      <c r="C33" s="277" t="s">
        <v>174</v>
      </c>
      <c r="D33" s="277" t="s">
        <v>174</v>
      </c>
    </row>
    <row r="34" spans="1:4" ht="15" customHeight="1">
      <c r="A34" s="103" t="s">
        <v>149</v>
      </c>
      <c r="B34" s="101" t="s">
        <v>175</v>
      </c>
    </row>
  </sheetData>
  <sheetProtection algorithmName="SHA-512" hashValue="4IgkCEz+VJ0dIcWPw93V6YOhzHsI8+9kyH84aFkTwmUJfRteD5+uFEOPH3fQcCC4XSNblGAH/3V4FP2eCE7hgg==" saltValue="FUPHxUObu0IVK9e7Y0Bz4Q==" spinCount="100000" sheet="1" objects="1" scenarios="1" sort="0" autoFilter="0"/>
  <dataConsolidate link="1"/>
  <mergeCells count="25">
    <mergeCell ref="B8:D8"/>
    <mergeCell ref="A1:B2"/>
    <mergeCell ref="B4:D4"/>
    <mergeCell ref="B5:D5"/>
    <mergeCell ref="B6:D6"/>
    <mergeCell ref="B7:D7"/>
    <mergeCell ref="B22:D22"/>
    <mergeCell ref="B9:D9"/>
    <mergeCell ref="B10:D10"/>
    <mergeCell ref="B11:D11"/>
    <mergeCell ref="B12:D12"/>
    <mergeCell ref="B13:D13"/>
    <mergeCell ref="B14:D14"/>
    <mergeCell ref="B17:D17"/>
    <mergeCell ref="B18:D18"/>
    <mergeCell ref="B19:D19"/>
    <mergeCell ref="B20:D20"/>
    <mergeCell ref="B21:D21"/>
    <mergeCell ref="B33:D33"/>
    <mergeCell ref="B23:D23"/>
    <mergeCell ref="B26:D26"/>
    <mergeCell ref="B27:D27"/>
    <mergeCell ref="B28:D28"/>
    <mergeCell ref="B29:D29"/>
    <mergeCell ref="B30:D30"/>
  </mergeCells>
  <pageMargins left="0.2" right="0.21" top="0.57999999999999996" bottom="0.59" header="0.5" footer="0.5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topLeftCell="A11" zoomScaleNormal="100" zoomScaleSheetLayoutView="100" workbookViewId="0">
      <selection activeCell="I32" sqref="I32"/>
    </sheetView>
  </sheetViews>
  <sheetFormatPr defaultColWidth="7.85546875" defaultRowHeight="15" customHeight="1"/>
  <cols>
    <col min="1" max="1" width="15.140625" style="23" bestFit="1" customWidth="1"/>
    <col min="2" max="2" width="26" style="23" customWidth="1"/>
    <col min="3" max="3" width="18.28515625" style="23" customWidth="1"/>
    <col min="4" max="4" width="17.7109375" style="23" bestFit="1" customWidth="1"/>
    <col min="5" max="5" width="18.28515625" style="36" customWidth="1"/>
    <col min="6" max="6" width="2.85546875" style="23" customWidth="1"/>
    <col min="7" max="7" width="11" style="23" bestFit="1" customWidth="1"/>
    <col min="8" max="8" width="12" style="23" bestFit="1" customWidth="1"/>
    <col min="9" max="9" width="17.7109375" style="23" bestFit="1" customWidth="1"/>
    <col min="10" max="10" width="12" style="23" bestFit="1" customWidth="1"/>
    <col min="11" max="11" width="17.7109375" style="23" bestFit="1" customWidth="1"/>
    <col min="12" max="12" width="12" style="23" bestFit="1" customWidth="1"/>
    <col min="13" max="13" width="17.7109375" style="23" bestFit="1" customWidth="1"/>
    <col min="14" max="14" width="12" style="23" bestFit="1" customWidth="1"/>
    <col min="15" max="15" width="17.7109375" style="23" bestFit="1" customWidth="1"/>
    <col min="16" max="16" width="12" style="23" bestFit="1" customWidth="1"/>
    <col min="17" max="17" width="17.7109375" style="23" bestFit="1" customWidth="1"/>
    <col min="18" max="16384" width="7.85546875" style="23"/>
  </cols>
  <sheetData>
    <row r="1" spans="1:17" s="21" customFormat="1" ht="26.25" customHeight="1">
      <c r="A1" s="290" t="s">
        <v>176</v>
      </c>
      <c r="B1" s="290"/>
      <c r="C1" s="290"/>
      <c r="D1" s="290"/>
      <c r="E1" s="290"/>
    </row>
    <row r="2" spans="1:17" s="21" customFormat="1" ht="15" customHeight="1">
      <c r="A2" s="291" t="s">
        <v>177</v>
      </c>
      <c r="B2" s="291"/>
      <c r="C2" s="291"/>
      <c r="D2" s="291"/>
      <c r="E2" s="291"/>
      <c r="G2" s="280" t="s">
        <v>178</v>
      </c>
      <c r="H2" s="280"/>
      <c r="I2" s="280"/>
      <c r="J2" s="280"/>
      <c r="K2" s="280"/>
      <c r="L2" s="280"/>
      <c r="M2" s="280"/>
      <c r="N2" s="280"/>
      <c r="O2" s="280"/>
      <c r="P2" s="280"/>
      <c r="Q2" s="280"/>
    </row>
    <row r="3" spans="1:17" ht="15" customHeight="1">
      <c r="E3" s="23"/>
      <c r="G3" s="2"/>
      <c r="H3" s="281">
        <v>2026</v>
      </c>
      <c r="I3" s="281"/>
      <c r="J3" s="282">
        <v>2027</v>
      </c>
      <c r="K3" s="283"/>
      <c r="L3" s="282">
        <v>2028</v>
      </c>
      <c r="M3" s="283"/>
      <c r="N3" s="282">
        <v>2029</v>
      </c>
      <c r="O3" s="283"/>
      <c r="P3" s="282">
        <v>2030</v>
      </c>
      <c r="Q3" s="283"/>
    </row>
    <row r="4" spans="1:17" s="25" customFormat="1" ht="26.25" customHeight="1">
      <c r="A4" s="292" t="s">
        <v>179</v>
      </c>
      <c r="B4" s="293"/>
      <c r="C4" s="24" t="s">
        <v>180</v>
      </c>
      <c r="D4" s="24" t="s">
        <v>181</v>
      </c>
      <c r="E4" s="24" t="s">
        <v>182</v>
      </c>
      <c r="G4" s="2" t="s">
        <v>183</v>
      </c>
      <c r="H4" s="2" t="s">
        <v>184</v>
      </c>
      <c r="I4" s="2" t="s">
        <v>185</v>
      </c>
      <c r="J4" s="2" t="s">
        <v>184</v>
      </c>
      <c r="K4" s="2" t="s">
        <v>185</v>
      </c>
      <c r="L4" s="2" t="s">
        <v>184</v>
      </c>
      <c r="M4" s="2" t="s">
        <v>185</v>
      </c>
      <c r="N4" s="2" t="s">
        <v>184</v>
      </c>
      <c r="O4" s="2" t="s">
        <v>185</v>
      </c>
      <c r="P4" s="2" t="s">
        <v>184</v>
      </c>
      <c r="Q4" s="2" t="s">
        <v>185</v>
      </c>
    </row>
    <row r="5" spans="1:17" ht="15" customHeight="1">
      <c r="A5" s="284" t="s">
        <v>186</v>
      </c>
      <c r="B5" s="285"/>
      <c r="C5" s="26">
        <v>0</v>
      </c>
      <c r="D5" s="27">
        <v>0</v>
      </c>
      <c r="E5" s="28">
        <f>C5*D5</f>
        <v>0</v>
      </c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 ht="15" customHeight="1">
      <c r="A6" s="284" t="s">
        <v>187</v>
      </c>
      <c r="B6" s="285"/>
      <c r="C6" s="26">
        <v>0</v>
      </c>
      <c r="D6" s="27">
        <v>0</v>
      </c>
      <c r="E6" s="28">
        <f>C6*D6</f>
        <v>0</v>
      </c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ht="15" customHeight="1">
      <c r="A7" s="287"/>
      <c r="B7" s="288"/>
      <c r="C7" s="26">
        <v>0</v>
      </c>
      <c r="D7" s="27">
        <v>0</v>
      </c>
      <c r="E7" s="28">
        <f>C7*D7</f>
        <v>0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15" customHeight="1">
      <c r="A8" s="300" t="s">
        <v>188</v>
      </c>
      <c r="B8" s="301"/>
      <c r="C8" s="26">
        <v>0</v>
      </c>
      <c r="D8" s="27">
        <v>0</v>
      </c>
      <c r="E8" s="28">
        <f>C8*D8</f>
        <v>0</v>
      </c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</row>
    <row r="9" spans="1:17" ht="15" customHeight="1">
      <c r="A9" s="295" t="s">
        <v>189</v>
      </c>
      <c r="B9" s="296"/>
      <c r="C9" s="297"/>
      <c r="D9" s="30">
        <f>SUM(D5:D8)</f>
        <v>0</v>
      </c>
      <c r="E9" s="28" t="str">
        <f>IF(SUM($D$5:$D$8)=100%,SUM(E5:E8),"    GEEN 100%")</f>
        <v xml:space="preserve">    GEEN 100%</v>
      </c>
      <c r="G9" s="29"/>
      <c r="H9" s="31"/>
      <c r="I9" s="29"/>
      <c r="J9" s="29"/>
      <c r="K9" s="29"/>
      <c r="L9" s="29"/>
      <c r="M9" s="29"/>
      <c r="N9" s="29"/>
      <c r="O9" s="29"/>
      <c r="P9" s="29"/>
      <c r="Q9" s="29"/>
    </row>
    <row r="10" spans="1:17" ht="15" customHeight="1">
      <c r="A10" s="289" t="s">
        <v>190</v>
      </c>
      <c r="B10" s="289"/>
      <c r="C10" s="289"/>
      <c r="D10" s="32" t="s">
        <v>191</v>
      </c>
      <c r="E10" s="33">
        <f>SUM(E9:E9)</f>
        <v>0</v>
      </c>
      <c r="G10" s="29" t="s">
        <v>192</v>
      </c>
      <c r="H10" s="31"/>
      <c r="I10" s="33">
        <f>(E10*H10)+E10</f>
        <v>0</v>
      </c>
      <c r="J10" s="31">
        <v>0</v>
      </c>
      <c r="K10" s="33">
        <f>(I10*J10)+I10</f>
        <v>0</v>
      </c>
      <c r="L10" s="31">
        <v>0</v>
      </c>
      <c r="M10" s="33">
        <f>(K10*L10)+K10</f>
        <v>0</v>
      </c>
      <c r="N10" s="31">
        <v>0</v>
      </c>
      <c r="O10" s="33">
        <f>(M10*N10)+M10</f>
        <v>0</v>
      </c>
      <c r="P10" s="31">
        <v>0</v>
      </c>
      <c r="Q10" s="33">
        <f>(O10*P10)+O10</f>
        <v>0</v>
      </c>
    </row>
    <row r="11" spans="1:17" ht="15" customHeight="1">
      <c r="A11" s="34"/>
      <c r="B11" s="35"/>
      <c r="C11" s="35"/>
      <c r="D11" s="35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</row>
    <row r="12" spans="1:17" s="25" customFormat="1" ht="26.25" customHeight="1">
      <c r="A12" s="292" t="s">
        <v>193</v>
      </c>
      <c r="B12" s="294"/>
      <c r="C12" s="293"/>
      <c r="D12" s="37" t="s">
        <v>194</v>
      </c>
      <c r="E12" s="24" t="s">
        <v>182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1:17" ht="15" customHeight="1">
      <c r="A13" s="299" t="s">
        <v>195</v>
      </c>
      <c r="B13" s="286"/>
      <c r="C13" s="286"/>
      <c r="D13" s="22">
        <v>0</v>
      </c>
      <c r="E13" s="39">
        <f>SUM($E$10*D13)</f>
        <v>0</v>
      </c>
      <c r="G13" s="29" t="s">
        <v>196</v>
      </c>
      <c r="H13" s="40"/>
      <c r="I13" s="41">
        <f>(E13*H13)+E13</f>
        <v>0</v>
      </c>
      <c r="J13" s="42"/>
      <c r="K13" s="41">
        <f>(I13*J13)+I13</f>
        <v>0</v>
      </c>
      <c r="L13" s="42"/>
      <c r="M13" s="41">
        <f>(K13*L13)+K13</f>
        <v>0</v>
      </c>
      <c r="N13" s="42"/>
      <c r="O13" s="41">
        <f>(M13*N13)+M13</f>
        <v>0</v>
      </c>
      <c r="P13" s="42"/>
      <c r="Q13" s="41">
        <f>(O13*P13)+O13</f>
        <v>0</v>
      </c>
    </row>
    <row r="14" spans="1:17" ht="15" customHeight="1">
      <c r="A14" s="286" t="s">
        <v>197</v>
      </c>
      <c r="B14" s="286"/>
      <c r="C14" s="286"/>
      <c r="D14" s="22">
        <v>0</v>
      </c>
      <c r="E14" s="39">
        <f>SUM($E$10*D14)</f>
        <v>0</v>
      </c>
      <c r="G14" s="29" t="s">
        <v>196</v>
      </c>
      <c r="H14" s="40"/>
      <c r="I14" s="41">
        <f>(E14*H14)+E14</f>
        <v>0</v>
      </c>
      <c r="J14" s="42"/>
      <c r="K14" s="41">
        <f>(I14*J14)+I14</f>
        <v>0</v>
      </c>
      <c r="L14" s="42"/>
      <c r="M14" s="41">
        <f>(K14*L14)+K14</f>
        <v>0</v>
      </c>
      <c r="N14" s="42"/>
      <c r="O14" s="41">
        <f>(M14*N14)+M14</f>
        <v>0</v>
      </c>
      <c r="P14" s="42"/>
      <c r="Q14" s="41">
        <f>(O14*P14)+O14</f>
        <v>0</v>
      </c>
    </row>
    <row r="15" spans="1:17" ht="15" customHeight="1">
      <c r="A15" s="286" t="s">
        <v>198</v>
      </c>
      <c r="B15" s="286"/>
      <c r="C15" s="286"/>
      <c r="D15" s="22">
        <v>0</v>
      </c>
      <c r="E15" s="39">
        <f>SUM($E$10*D15)</f>
        <v>0</v>
      </c>
      <c r="G15" s="29" t="s">
        <v>196</v>
      </c>
      <c r="H15" s="40"/>
      <c r="I15" s="41">
        <f>(E15*H15)+E15</f>
        <v>0</v>
      </c>
      <c r="J15" s="42"/>
      <c r="K15" s="41">
        <f>(I15*J15)+I15</f>
        <v>0</v>
      </c>
      <c r="L15" s="42"/>
      <c r="M15" s="41">
        <f>(K15*L15)+K15</f>
        <v>0</v>
      </c>
      <c r="N15" s="42"/>
      <c r="O15" s="41">
        <f>(M15*N15)+M15</f>
        <v>0</v>
      </c>
      <c r="P15" s="42"/>
      <c r="Q15" s="41">
        <f>(O15*P15)+O15</f>
        <v>0</v>
      </c>
    </row>
    <row r="16" spans="1:17" ht="15" customHeight="1">
      <c r="A16" s="286" t="s">
        <v>199</v>
      </c>
      <c r="B16" s="286"/>
      <c r="C16" s="286"/>
      <c r="D16" s="22">
        <v>0</v>
      </c>
      <c r="E16" s="39">
        <f>SUM($E$10*D16)</f>
        <v>0</v>
      </c>
      <c r="G16" s="29" t="s">
        <v>196</v>
      </c>
      <c r="H16" s="40"/>
      <c r="I16" s="41">
        <f>(E16*H16)+E16</f>
        <v>0</v>
      </c>
      <c r="J16" s="42"/>
      <c r="K16" s="41">
        <f>(I16*J16)+I16</f>
        <v>0</v>
      </c>
      <c r="L16" s="42"/>
      <c r="M16" s="41">
        <f>(K16*L16)+K16</f>
        <v>0</v>
      </c>
      <c r="N16" s="42"/>
      <c r="O16" s="41">
        <f>(M16*N16)+M16</f>
        <v>0</v>
      </c>
      <c r="P16" s="42"/>
      <c r="Q16" s="41">
        <f>(O16*P16)+O16</f>
        <v>0</v>
      </c>
    </row>
    <row r="17" spans="1:17" ht="15" customHeight="1">
      <c r="A17" s="287" t="s">
        <v>200</v>
      </c>
      <c r="B17" s="298"/>
      <c r="C17" s="288"/>
      <c r="D17" s="22">
        <v>0</v>
      </c>
      <c r="E17" s="39">
        <f>SUM($E$10*D17)</f>
        <v>0</v>
      </c>
      <c r="G17" s="29" t="s">
        <v>196</v>
      </c>
      <c r="H17" s="40"/>
      <c r="I17" s="41">
        <f>(E17*H17)+E17</f>
        <v>0</v>
      </c>
      <c r="J17" s="42"/>
      <c r="K17" s="41">
        <f>(I17*J17)+I17</f>
        <v>0</v>
      </c>
      <c r="L17" s="42"/>
      <c r="M17" s="41">
        <f>(K17*L17)+K17</f>
        <v>0</v>
      </c>
      <c r="N17" s="42"/>
      <c r="O17" s="41">
        <f>(M17*N17)+M17</f>
        <v>0</v>
      </c>
      <c r="P17" s="42"/>
      <c r="Q17" s="41">
        <f>(O17*P17)+O17</f>
        <v>0</v>
      </c>
    </row>
    <row r="18" spans="1:17" ht="15" customHeight="1">
      <c r="A18" s="289" t="s">
        <v>201</v>
      </c>
      <c r="B18" s="289"/>
      <c r="C18" s="289"/>
      <c r="D18" s="43"/>
      <c r="E18" s="44">
        <f>SUM(E13:E17)</f>
        <v>0</v>
      </c>
      <c r="G18" s="29"/>
      <c r="H18" s="40"/>
      <c r="I18" s="44">
        <f>SUM(I13:I17)</f>
        <v>0</v>
      </c>
      <c r="J18" s="40"/>
      <c r="K18" s="44">
        <f>SUM(K13:K17)</f>
        <v>0</v>
      </c>
      <c r="L18" s="40"/>
      <c r="M18" s="44">
        <f>SUM(M13:M17)</f>
        <v>0</v>
      </c>
      <c r="N18" s="40"/>
      <c r="O18" s="44">
        <f>SUM(O13:O17)</f>
        <v>0</v>
      </c>
      <c r="P18" s="40"/>
      <c r="Q18" s="44">
        <f>SUM(Q13:Q17)</f>
        <v>0</v>
      </c>
    </row>
    <row r="19" spans="1:17" ht="15" customHeight="1">
      <c r="D19" s="45"/>
      <c r="E19" s="46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s="25" customFormat="1" ht="26.25" customHeight="1">
      <c r="A20" s="292" t="s">
        <v>202</v>
      </c>
      <c r="B20" s="294"/>
      <c r="C20" s="293"/>
      <c r="D20" s="37" t="s">
        <v>203</v>
      </c>
      <c r="E20" s="24" t="s">
        <v>182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ht="15" customHeight="1">
      <c r="A21" s="286" t="s">
        <v>204</v>
      </c>
      <c r="B21" s="286"/>
      <c r="C21" s="286"/>
      <c r="D21" s="47" t="e">
        <f>E21/$E$35</f>
        <v>#DIV/0!</v>
      </c>
      <c r="E21" s="48">
        <v>0</v>
      </c>
      <c r="G21" s="29" t="s">
        <v>196</v>
      </c>
      <c r="H21" s="49"/>
      <c r="I21" s="41">
        <f>(E21*H21)+E21</f>
        <v>0</v>
      </c>
      <c r="J21" s="50"/>
      <c r="K21" s="41">
        <f>(I21*J21)+I21</f>
        <v>0</v>
      </c>
      <c r="L21" s="50"/>
      <c r="M21" s="41">
        <f>(K21*L21)+K21</f>
        <v>0</v>
      </c>
      <c r="N21" s="50"/>
      <c r="O21" s="41">
        <f>(M21*N21)+M21</f>
        <v>0</v>
      </c>
      <c r="P21" s="50"/>
      <c r="Q21" s="41">
        <f>(O21*P21)+O21</f>
        <v>0</v>
      </c>
    </row>
    <row r="22" spans="1:17" ht="15" customHeight="1">
      <c r="A22" s="299" t="s">
        <v>205</v>
      </c>
      <c r="B22" s="286"/>
      <c r="C22" s="286"/>
      <c r="D22" s="47" t="e">
        <f>E22/$E$35</f>
        <v>#DIV/0!</v>
      </c>
      <c r="E22" s="48">
        <v>0</v>
      </c>
      <c r="G22" s="29" t="s">
        <v>196</v>
      </c>
      <c r="H22" s="49"/>
      <c r="I22" s="41">
        <f>(E22*H22)+E22</f>
        <v>0</v>
      </c>
      <c r="J22" s="50"/>
      <c r="K22" s="41">
        <f>(I22*J22)+I22</f>
        <v>0</v>
      </c>
      <c r="L22" s="50"/>
      <c r="M22" s="41">
        <f>(K22*L22)+K22</f>
        <v>0</v>
      </c>
      <c r="N22" s="50"/>
      <c r="O22" s="41">
        <f>(M22*N22)+M22</f>
        <v>0</v>
      </c>
      <c r="P22" s="50"/>
      <c r="Q22" s="41">
        <f>(O22*P22)+O22</f>
        <v>0</v>
      </c>
    </row>
    <row r="23" spans="1:17" ht="15" customHeight="1">
      <c r="A23" s="286" t="s">
        <v>206</v>
      </c>
      <c r="B23" s="286"/>
      <c r="C23" s="286"/>
      <c r="D23" s="47" t="e">
        <f>E23/$E$35</f>
        <v>#DIV/0!</v>
      </c>
      <c r="E23" s="48">
        <v>0</v>
      </c>
      <c r="G23" s="29" t="s">
        <v>196</v>
      </c>
      <c r="H23" s="49"/>
      <c r="I23" s="51">
        <f>(E23*H23)+E23</f>
        <v>0</v>
      </c>
      <c r="J23" s="50"/>
      <c r="K23" s="41">
        <f>(I23*J23)+I23</f>
        <v>0</v>
      </c>
      <c r="L23" s="50"/>
      <c r="M23" s="41">
        <f>(K23*L23)+K23</f>
        <v>0</v>
      </c>
      <c r="N23" s="50"/>
      <c r="O23" s="41">
        <f>(M23*N23)+M23</f>
        <v>0</v>
      </c>
      <c r="P23" s="50"/>
      <c r="Q23" s="41">
        <f>(O23*P23)+O23</f>
        <v>0</v>
      </c>
    </row>
    <row r="24" spans="1:17" ht="15" customHeight="1">
      <c r="A24" s="300" t="s">
        <v>207</v>
      </c>
      <c r="B24" s="302"/>
      <c r="C24" s="301"/>
      <c r="D24" s="22">
        <v>0</v>
      </c>
      <c r="E24" s="52">
        <f>D24*$E$10</f>
        <v>0</v>
      </c>
      <c r="G24" s="29" t="s">
        <v>192</v>
      </c>
      <c r="H24" s="49"/>
      <c r="I24" s="41">
        <f>(E24*H24)+E24</f>
        <v>0</v>
      </c>
      <c r="J24" s="50"/>
      <c r="K24" s="41">
        <f>(I24*J24)+I24</f>
        <v>0</v>
      </c>
      <c r="L24" s="50"/>
      <c r="M24" s="41">
        <f>(K24*L24)+K24</f>
        <v>0</v>
      </c>
      <c r="N24" s="50"/>
      <c r="O24" s="41">
        <f>(M24*N24)+M24</f>
        <v>0</v>
      </c>
      <c r="P24" s="50"/>
      <c r="Q24" s="41">
        <f>(O24*P24)+O24</f>
        <v>0</v>
      </c>
    </row>
    <row r="25" spans="1:17" ht="15" customHeight="1">
      <c r="A25" s="287" t="s">
        <v>208</v>
      </c>
      <c r="B25" s="298"/>
      <c r="C25" s="288"/>
      <c r="D25" s="47" t="e">
        <f>E25/$E$35</f>
        <v>#DIV/0!</v>
      </c>
      <c r="E25" s="48">
        <v>0</v>
      </c>
      <c r="G25" s="29" t="s">
        <v>196</v>
      </c>
      <c r="H25" s="49"/>
      <c r="I25" s="51">
        <f>(E25*H25)+E25</f>
        <v>0</v>
      </c>
      <c r="J25" s="50"/>
      <c r="K25" s="41">
        <f>(I25*J25)+I25</f>
        <v>0</v>
      </c>
      <c r="L25" s="50"/>
      <c r="M25" s="41">
        <f>(K25*L25)+K25</f>
        <v>0</v>
      </c>
      <c r="N25" s="50"/>
      <c r="O25" s="41">
        <f>(M25*N25)+M25</f>
        <v>0</v>
      </c>
      <c r="P25" s="50"/>
      <c r="Q25" s="41">
        <f>(O25*P25)+O25</f>
        <v>0</v>
      </c>
    </row>
    <row r="26" spans="1:17" ht="15" customHeight="1">
      <c r="A26" s="289" t="s">
        <v>209</v>
      </c>
      <c r="B26" s="289"/>
      <c r="C26" s="289"/>
      <c r="D26" s="32" t="s">
        <v>191</v>
      </c>
      <c r="E26" s="33">
        <f>SUM(E21:E25)</f>
        <v>0</v>
      </c>
      <c r="G26" s="29"/>
      <c r="H26" s="49"/>
      <c r="I26" s="33">
        <f>SUM(I21:I25)</f>
        <v>0</v>
      </c>
      <c r="J26" s="49"/>
      <c r="K26" s="33">
        <f>SUM(K21:K25)</f>
        <v>0</v>
      </c>
      <c r="L26" s="49"/>
      <c r="M26" s="33">
        <f>SUM(M21:M25)</f>
        <v>0</v>
      </c>
      <c r="N26" s="49"/>
      <c r="O26" s="33">
        <f>SUM(O21:O25)</f>
        <v>0</v>
      </c>
      <c r="P26" s="49"/>
      <c r="Q26" s="33">
        <f>SUM(Q21:Q25)</f>
        <v>0</v>
      </c>
    </row>
    <row r="27" spans="1:17" ht="15" customHeight="1">
      <c r="A27" s="53"/>
      <c r="B27" s="53"/>
      <c r="C27" s="53"/>
      <c r="D27" s="54"/>
      <c r="E27" s="55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s="25" customFormat="1" ht="26.25" customHeight="1">
      <c r="A28" s="292" t="s">
        <v>210</v>
      </c>
      <c r="B28" s="294"/>
      <c r="C28" s="293"/>
      <c r="D28" s="37" t="s">
        <v>203</v>
      </c>
      <c r="E28" s="24" t="s">
        <v>182</v>
      </c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5" customHeight="1">
      <c r="A29" s="299" t="s">
        <v>211</v>
      </c>
      <c r="B29" s="286"/>
      <c r="C29" s="286"/>
      <c r="D29" s="22">
        <v>0</v>
      </c>
      <c r="E29" s="52">
        <f>D29*($E$18+$E$10)</f>
        <v>0</v>
      </c>
      <c r="G29" s="29" t="s">
        <v>196</v>
      </c>
      <c r="H29" s="49"/>
      <c r="I29" s="41">
        <f>(E29*H29)+E29</f>
        <v>0</v>
      </c>
      <c r="J29" s="50"/>
      <c r="K29" s="41">
        <f>(I29*J29)+I29</f>
        <v>0</v>
      </c>
      <c r="L29" s="50"/>
      <c r="M29" s="41">
        <f>(K29*L29)+K29</f>
        <v>0</v>
      </c>
      <c r="N29" s="50"/>
      <c r="O29" s="41">
        <f>(M29*N29)+M29</f>
        <v>0</v>
      </c>
      <c r="P29" s="50"/>
      <c r="Q29" s="41">
        <f>(O29*P29)+O29</f>
        <v>0</v>
      </c>
    </row>
    <row r="30" spans="1:17" ht="15" customHeight="1">
      <c r="A30" s="299" t="s">
        <v>212</v>
      </c>
      <c r="B30" s="286"/>
      <c r="C30" s="286"/>
      <c r="D30" s="56" t="e">
        <f>E30/$E$35</f>
        <v>#DIV/0!</v>
      </c>
      <c r="E30" s="48">
        <v>0</v>
      </c>
      <c r="G30" s="29" t="s">
        <v>196</v>
      </c>
      <c r="H30" s="49"/>
      <c r="I30" s="51">
        <f>(E30*H30)+E30</f>
        <v>0</v>
      </c>
      <c r="J30" s="50"/>
      <c r="K30" s="41">
        <f>(I30*J30)+I30</f>
        <v>0</v>
      </c>
      <c r="L30" s="50"/>
      <c r="M30" s="41">
        <f>(K30*L30)+K30</f>
        <v>0</v>
      </c>
      <c r="N30" s="50"/>
      <c r="O30" s="41">
        <f>(M30*N30)+M30</f>
        <v>0</v>
      </c>
      <c r="P30" s="50"/>
      <c r="Q30" s="41">
        <f>(O30*P30)+O30</f>
        <v>0</v>
      </c>
    </row>
    <row r="31" spans="1:17" ht="15" customHeight="1">
      <c r="A31" s="287" t="s">
        <v>213</v>
      </c>
      <c r="B31" s="298"/>
      <c r="C31" s="288"/>
      <c r="D31" s="47" t="e">
        <f>E31/$E$35</f>
        <v>#DIV/0!</v>
      </c>
      <c r="E31" s="48">
        <v>0</v>
      </c>
      <c r="G31" s="29" t="s">
        <v>196</v>
      </c>
      <c r="H31" s="40"/>
      <c r="I31" s="51">
        <f>(E31*H31)+E31</f>
        <v>0</v>
      </c>
      <c r="J31" s="50"/>
      <c r="K31" s="41">
        <f>(I31*J31)+I31</f>
        <v>0</v>
      </c>
      <c r="L31" s="50"/>
      <c r="M31" s="41">
        <f>(K31*L31)+K31</f>
        <v>0</v>
      </c>
      <c r="N31" s="50"/>
      <c r="O31" s="41">
        <f>(M31*N31)+M31</f>
        <v>0</v>
      </c>
      <c r="P31" s="50"/>
      <c r="Q31" s="41">
        <f>(O31*P31)+O31</f>
        <v>0</v>
      </c>
    </row>
    <row r="32" spans="1:17" ht="15" customHeight="1">
      <c r="A32" s="286" t="s">
        <v>214</v>
      </c>
      <c r="B32" s="286"/>
      <c r="C32" s="286"/>
      <c r="D32" s="56" t="e">
        <f>E32/$E$35</f>
        <v>#DIV/0!</v>
      </c>
      <c r="E32" s="48">
        <v>0</v>
      </c>
      <c r="G32" s="29" t="s">
        <v>196</v>
      </c>
      <c r="H32" s="49"/>
      <c r="I32" s="51">
        <f>(E32*H32)+E32</f>
        <v>0</v>
      </c>
      <c r="J32" s="50"/>
      <c r="K32" s="41">
        <f>(I32*J32)+I32</f>
        <v>0</v>
      </c>
      <c r="L32" s="50"/>
      <c r="M32" s="41">
        <f>(K32*L32)+K32</f>
        <v>0</v>
      </c>
      <c r="N32" s="50"/>
      <c r="O32" s="41">
        <f>(M32*N32)+M32</f>
        <v>0</v>
      </c>
      <c r="P32" s="50"/>
      <c r="Q32" s="41">
        <f>(O32*P32)+O32</f>
        <v>0</v>
      </c>
    </row>
    <row r="33" spans="1:17" ht="15" customHeight="1">
      <c r="A33" s="289" t="s">
        <v>215</v>
      </c>
      <c r="B33" s="289"/>
      <c r="C33" s="289"/>
      <c r="D33" s="32"/>
      <c r="E33" s="57">
        <f>SUM(E29:E32)</f>
        <v>0</v>
      </c>
      <c r="G33" s="29"/>
      <c r="H33" s="49"/>
      <c r="I33" s="57">
        <f>SUM(I29:I32)</f>
        <v>0</v>
      </c>
      <c r="J33" s="49"/>
      <c r="K33" s="57">
        <f>SUM(K29:K32)</f>
        <v>0</v>
      </c>
      <c r="L33" s="49"/>
      <c r="M33" s="57">
        <f>SUM(M29:M32)</f>
        <v>0</v>
      </c>
      <c r="N33" s="49"/>
      <c r="O33" s="57">
        <f>SUM(O29:O32)</f>
        <v>0</v>
      </c>
      <c r="P33" s="49"/>
      <c r="Q33" s="57">
        <f>SUM(Q29:Q32)</f>
        <v>0</v>
      </c>
    </row>
    <row r="34" spans="1:17" ht="15" customHeight="1">
      <c r="A34" s="53"/>
      <c r="B34" s="53"/>
      <c r="C34" s="53"/>
      <c r="D34" s="54"/>
      <c r="E34" s="58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7" ht="26.25" customHeight="1">
      <c r="A35" s="303" t="s">
        <v>216</v>
      </c>
      <c r="B35" s="304"/>
      <c r="C35" s="304"/>
      <c r="D35" s="305"/>
      <c r="E35" s="59">
        <f>E33+E26+E18+E10</f>
        <v>0</v>
      </c>
      <c r="G35" s="60"/>
      <c r="H35" s="29"/>
      <c r="I35" s="59">
        <f>I33+I26+I18+I10</f>
        <v>0</v>
      </c>
      <c r="J35" s="29"/>
      <c r="K35" s="59">
        <f>K33+K26+K18+K10</f>
        <v>0</v>
      </c>
      <c r="L35" s="29"/>
      <c r="M35" s="59">
        <f>M33+M26+M18+M10</f>
        <v>0</v>
      </c>
      <c r="N35" s="29"/>
      <c r="O35" s="59">
        <f>O33+O26+O18+O10</f>
        <v>0</v>
      </c>
      <c r="P35" s="29"/>
      <c r="Q35" s="59">
        <f>Q33+Q26+Q18+Q10</f>
        <v>0</v>
      </c>
    </row>
    <row r="36" spans="1:17" ht="15" customHeight="1">
      <c r="D36" s="45"/>
      <c r="E36" s="46"/>
    </row>
    <row r="37" spans="1:17" ht="26.25" customHeight="1">
      <c r="A37" s="61" t="s">
        <v>217</v>
      </c>
      <c r="B37" s="62"/>
      <c r="C37" s="37" t="s">
        <v>218</v>
      </c>
      <c r="D37" s="37" t="s">
        <v>219</v>
      </c>
      <c r="E37" s="37" t="s">
        <v>220</v>
      </c>
      <c r="H37" s="37" t="s">
        <v>221</v>
      </c>
      <c r="I37" s="63" t="e">
        <f>(I35/E35)-100%</f>
        <v>#DIV/0!</v>
      </c>
      <c r="J37" s="37"/>
      <c r="K37" s="63" t="e">
        <f>(K35/I35)-100%</f>
        <v>#DIV/0!</v>
      </c>
      <c r="L37" s="37"/>
      <c r="M37" s="63" t="e">
        <f>(M35/K35)-100%</f>
        <v>#DIV/0!</v>
      </c>
      <c r="N37" s="37"/>
      <c r="O37" s="63" t="e">
        <f>(O35/M35)-100%</f>
        <v>#DIV/0!</v>
      </c>
      <c r="P37" s="37"/>
      <c r="Q37" s="63" t="e">
        <f>(Q35/O35)-100%</f>
        <v>#DIV/0!</v>
      </c>
    </row>
    <row r="38" spans="1:17" ht="15" customHeight="1">
      <c r="A38" s="29" t="s">
        <v>222</v>
      </c>
      <c r="B38" s="29" t="s">
        <v>223</v>
      </c>
      <c r="C38" s="64">
        <v>0</v>
      </c>
      <c r="D38" s="65">
        <f>+E35</f>
        <v>0</v>
      </c>
      <c r="E38" s="66">
        <f>D38*121%</f>
        <v>0</v>
      </c>
      <c r="F38" s="60"/>
      <c r="H38" s="29"/>
      <c r="I38" s="28" t="e">
        <f>(D38*$I$37)+D38</f>
        <v>#DIV/0!</v>
      </c>
      <c r="J38" s="29"/>
      <c r="K38" s="28" t="e">
        <f>(I38*$K$37)+I38</f>
        <v>#DIV/0!</v>
      </c>
      <c r="L38" s="29"/>
      <c r="M38" s="28" t="e">
        <f>(K38*$M$37)+K38</f>
        <v>#DIV/0!</v>
      </c>
      <c r="N38" s="29"/>
      <c r="O38" s="28" t="e">
        <f>(M38*$O$37)+M38</f>
        <v>#DIV/0!</v>
      </c>
      <c r="P38" s="29"/>
      <c r="Q38" s="28" t="e">
        <f>(O38*$Q$37)+O38</f>
        <v>#DIV/0!</v>
      </c>
    </row>
    <row r="39" spans="1:17" ht="15" customHeight="1">
      <c r="A39" s="29" t="s">
        <v>224</v>
      </c>
      <c r="B39" s="29" t="s">
        <v>225</v>
      </c>
      <c r="C39" s="64">
        <v>0.3</v>
      </c>
      <c r="D39" s="65">
        <f>SUM($E$10,$E$18,$E$26,$E$33)+(C39*($E$18+$E$10))</f>
        <v>0</v>
      </c>
      <c r="E39" s="66">
        <f>D39*121%</f>
        <v>0</v>
      </c>
      <c r="F39" s="60"/>
      <c r="H39" s="28"/>
      <c r="I39" s="28" t="e">
        <f>(D39*$I$37)+D39</f>
        <v>#DIV/0!</v>
      </c>
      <c r="J39" s="29"/>
      <c r="K39" s="28" t="e">
        <f>(I39*$K$37)+I39</f>
        <v>#DIV/0!</v>
      </c>
      <c r="L39" s="29"/>
      <c r="M39" s="28" t="e">
        <f>(K39*$M$37)+K39</f>
        <v>#DIV/0!</v>
      </c>
      <c r="N39" s="29"/>
      <c r="O39" s="28" t="e">
        <f>(M39*$O$37)+M39</f>
        <v>#DIV/0!</v>
      </c>
      <c r="P39" s="29"/>
      <c r="Q39" s="28" t="e">
        <f>(O39*$Q$37)+O39</f>
        <v>#DIV/0!</v>
      </c>
    </row>
    <row r="40" spans="1:17" ht="15" customHeight="1">
      <c r="A40" s="29" t="s">
        <v>226</v>
      </c>
      <c r="B40" s="29" t="s">
        <v>227</v>
      </c>
      <c r="C40" s="64">
        <v>0.5</v>
      </c>
      <c r="D40" s="65">
        <f>SUM($E$10,$E$18,$E$26,$E$33)+(C40*($E$18+$E$10))</f>
        <v>0</v>
      </c>
      <c r="E40" s="66">
        <f>D40*121%</f>
        <v>0</v>
      </c>
      <c r="F40" s="60"/>
      <c r="H40" s="29"/>
      <c r="I40" s="28" t="e">
        <f>(D40*$I$37)+D40</f>
        <v>#DIV/0!</v>
      </c>
      <c r="J40" s="29"/>
      <c r="K40" s="28" t="e">
        <f>(I40*$K$37)+I40</f>
        <v>#DIV/0!</v>
      </c>
      <c r="L40" s="29"/>
      <c r="M40" s="28" t="e">
        <f>(K40*$M$37)+K40</f>
        <v>#DIV/0!</v>
      </c>
      <c r="N40" s="29"/>
      <c r="O40" s="28" t="e">
        <f>(M40*$O$37)+M40</f>
        <v>#DIV/0!</v>
      </c>
      <c r="P40" s="29"/>
      <c r="Q40" s="28" t="e">
        <f>(O40*$Q$37)+O40</f>
        <v>#DIV/0!</v>
      </c>
    </row>
    <row r="41" spans="1:17" ht="15" customHeight="1">
      <c r="A41" s="29" t="s">
        <v>228</v>
      </c>
      <c r="B41" s="38" t="s">
        <v>229</v>
      </c>
      <c r="C41" s="64">
        <v>1.5</v>
      </c>
      <c r="D41" s="65">
        <f>SUM($E$10,$E$18,$E$26,$E$33)+(C41*($E$18+$E$10))</f>
        <v>0</v>
      </c>
      <c r="E41" s="66">
        <f>D41*121%</f>
        <v>0</v>
      </c>
      <c r="F41" s="60"/>
      <c r="H41" s="29"/>
      <c r="I41" s="28" t="e">
        <f>(D41*$I$37)+D41</f>
        <v>#DIV/0!</v>
      </c>
      <c r="J41" s="29"/>
      <c r="K41" s="28" t="e">
        <f>(I41*$K$37)+I41</f>
        <v>#DIV/0!</v>
      </c>
      <c r="L41" s="29"/>
      <c r="M41" s="28" t="e">
        <f>(K41*$M$37)+K41</f>
        <v>#DIV/0!</v>
      </c>
      <c r="N41" s="29"/>
      <c r="O41" s="28" t="e">
        <f>(M41*$O$37)+M41</f>
        <v>#DIV/0!</v>
      </c>
      <c r="P41" s="29"/>
      <c r="Q41" s="28" t="e">
        <f>(O41*$Q$37)+O41</f>
        <v>#DIV/0!</v>
      </c>
    </row>
    <row r="42" spans="1:17" ht="15" customHeight="1">
      <c r="E42" s="23"/>
    </row>
    <row r="43" spans="1:17" ht="15" customHeight="1">
      <c r="E43" s="23"/>
    </row>
    <row r="44" spans="1:17" ht="15" customHeight="1">
      <c r="E44" s="23"/>
    </row>
    <row r="45" spans="1:17" ht="15" customHeight="1">
      <c r="E45" s="23"/>
    </row>
    <row r="46" spans="1:17" ht="15" customHeight="1">
      <c r="E46" s="23"/>
    </row>
    <row r="47" spans="1:17" ht="15" customHeight="1">
      <c r="E47" s="23"/>
    </row>
    <row r="48" spans="1:17" ht="15" customHeight="1">
      <c r="E48" s="23"/>
    </row>
    <row r="49" s="23" customFormat="1" ht="15" customHeight="1"/>
    <row r="50" s="23" customFormat="1" ht="15" customHeight="1"/>
    <row r="51" s="23" customFormat="1" ht="15" customHeight="1"/>
    <row r="52" s="23" customFormat="1" ht="15" customHeight="1"/>
    <row r="53" s="23" customFormat="1" ht="15" customHeight="1"/>
    <row r="54" s="23" customFormat="1" ht="15" customHeight="1"/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12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1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5"/>
  <sheetViews>
    <sheetView view="pageBreakPreview" zoomScaleNormal="100" zoomScaleSheetLayoutView="100" workbookViewId="0">
      <selection activeCell="F17" sqref="F17"/>
    </sheetView>
  </sheetViews>
  <sheetFormatPr defaultColWidth="14.140625" defaultRowHeight="15" customHeight="1"/>
  <cols>
    <col min="1" max="1" width="14.140625" style="150"/>
    <col min="2" max="2" width="33.28515625" style="143" customWidth="1"/>
    <col min="3" max="3" width="14.140625" style="143"/>
    <col min="4" max="4" width="32" style="151" customWidth="1"/>
    <col min="5" max="6" width="23.7109375" style="143" customWidth="1"/>
    <col min="7" max="7" width="14.140625" style="152"/>
    <col min="8" max="16384" width="14.140625" style="143"/>
  </cols>
  <sheetData>
    <row r="1" spans="1:10" s="21" customFormat="1" ht="26.25" customHeight="1">
      <c r="A1" s="308" t="s">
        <v>230</v>
      </c>
      <c r="B1" s="308"/>
      <c r="C1" s="308"/>
      <c r="D1" s="308"/>
      <c r="E1" s="308"/>
      <c r="F1" s="308"/>
    </row>
    <row r="2" spans="1:10" s="21" customFormat="1" ht="15" customHeight="1">
      <c r="A2" s="306" t="s">
        <v>231</v>
      </c>
      <c r="B2" s="307"/>
      <c r="C2" s="307"/>
      <c r="D2" s="307"/>
      <c r="E2" s="307"/>
      <c r="F2" s="307"/>
    </row>
    <row r="3" spans="1:10" s="112" customFormat="1" ht="15" customHeight="1">
      <c r="A3" s="111"/>
      <c r="E3" s="113"/>
      <c r="F3" s="113"/>
      <c r="G3" s="111"/>
      <c r="H3" s="111"/>
    </row>
    <row r="4" spans="1:10" s="112" customFormat="1" ht="15" customHeight="1">
      <c r="A4" s="111"/>
      <c r="E4" s="113"/>
      <c r="F4" s="113"/>
      <c r="G4" s="111"/>
      <c r="H4" s="111"/>
    </row>
    <row r="5" spans="1:10" s="112" customFormat="1" ht="26.25" customHeight="1">
      <c r="A5" s="114" t="s">
        <v>232</v>
      </c>
      <c r="B5" s="114"/>
      <c r="C5" s="114"/>
      <c r="D5" s="114"/>
      <c r="E5" s="67"/>
      <c r="F5" s="67"/>
      <c r="G5" s="111"/>
      <c r="H5" s="111"/>
    </row>
    <row r="6" spans="1:10" s="112" customFormat="1" ht="26.25" customHeight="1" thickBot="1">
      <c r="A6" s="115" t="s">
        <v>233</v>
      </c>
      <c r="B6" s="116" t="s">
        <v>16</v>
      </c>
      <c r="C6" s="117" t="s">
        <v>234</v>
      </c>
      <c r="D6" s="118" t="s">
        <v>235</v>
      </c>
      <c r="E6" s="119" t="s">
        <v>236</v>
      </c>
      <c r="F6" s="120" t="s">
        <v>237</v>
      </c>
      <c r="G6" s="111"/>
      <c r="H6" s="111"/>
    </row>
    <row r="7" spans="1:10" s="112" customFormat="1" ht="15" customHeight="1" thickTop="1">
      <c r="A7" s="121">
        <v>1</v>
      </c>
      <c r="B7" s="122" t="s">
        <v>238</v>
      </c>
      <c r="C7" s="123">
        <v>1</v>
      </c>
      <c r="D7" s="122" t="s">
        <v>239</v>
      </c>
      <c r="E7" s="153" t="s">
        <v>240</v>
      </c>
      <c r="F7" s="153" t="s">
        <v>241</v>
      </c>
      <c r="G7" s="111"/>
      <c r="H7" s="111"/>
    </row>
    <row r="8" spans="1:10" s="112" customFormat="1" ht="15" customHeight="1">
      <c r="A8" s="124">
        <v>2</v>
      </c>
      <c r="B8" s="122" t="s">
        <v>242</v>
      </c>
      <c r="C8" s="123">
        <v>1</v>
      </c>
      <c r="D8" s="21" t="s">
        <v>243</v>
      </c>
      <c r="E8" s="23" t="s">
        <v>244</v>
      </c>
      <c r="F8" s="23" t="s">
        <v>245</v>
      </c>
      <c r="G8" s="111"/>
      <c r="H8" s="111"/>
    </row>
    <row r="9" spans="1:10" s="112" customFormat="1" ht="15" customHeight="1">
      <c r="A9" s="111"/>
      <c r="E9" s="113"/>
      <c r="F9" s="113"/>
      <c r="G9" s="111"/>
      <c r="H9" s="111"/>
    </row>
    <row r="10" spans="1:10" s="112" customFormat="1" ht="26.25" customHeight="1">
      <c r="A10" s="125" t="s">
        <v>246</v>
      </c>
      <c r="B10" s="67"/>
      <c r="C10" s="67"/>
      <c r="D10" s="67"/>
      <c r="E10" s="113"/>
      <c r="F10" s="113"/>
      <c r="G10" s="111"/>
      <c r="H10" s="111"/>
    </row>
    <row r="11" spans="1:10" s="112" customFormat="1" ht="26.25" customHeight="1">
      <c r="A11" s="126" t="s">
        <v>233</v>
      </c>
      <c r="B11" s="127" t="s">
        <v>247</v>
      </c>
      <c r="C11" s="128" t="s">
        <v>248</v>
      </c>
      <c r="D11" s="126" t="s">
        <v>249</v>
      </c>
      <c r="E11" s="113"/>
      <c r="F11" s="113"/>
      <c r="G11" s="111"/>
      <c r="H11" s="111"/>
    </row>
    <row r="12" spans="1:10" s="112" customFormat="1" ht="15" customHeight="1">
      <c r="A12" s="124">
        <v>1</v>
      </c>
      <c r="B12" s="21" t="s">
        <v>250</v>
      </c>
      <c r="C12" s="129"/>
      <c r="D12" s="130" t="s">
        <v>251</v>
      </c>
      <c r="E12" s="113"/>
      <c r="F12" s="113"/>
      <c r="G12" s="111"/>
      <c r="H12" s="111"/>
    </row>
    <row r="13" spans="1:10" s="67" customFormat="1" ht="15" customHeight="1">
      <c r="A13" s="124">
        <v>2</v>
      </c>
      <c r="B13" s="21" t="s">
        <v>252</v>
      </c>
      <c r="C13" s="129"/>
      <c r="D13" s="130" t="s">
        <v>253</v>
      </c>
      <c r="G13" s="68"/>
      <c r="H13" s="68"/>
      <c r="I13" s="68"/>
    </row>
    <row r="14" spans="1:10" s="133" customFormat="1" ht="15" customHeight="1">
      <c r="A14" s="124">
        <v>3</v>
      </c>
      <c r="B14" s="21" t="s">
        <v>254</v>
      </c>
      <c r="C14" s="129"/>
      <c r="D14" s="130" t="s">
        <v>251</v>
      </c>
      <c r="E14" s="131"/>
      <c r="F14" s="131"/>
      <c r="G14" s="132"/>
      <c r="H14" s="132"/>
      <c r="I14" s="132"/>
      <c r="J14" s="132"/>
    </row>
    <row r="15" spans="1:10" s="23" customFormat="1" ht="15" customHeight="1">
      <c r="A15" s="124">
        <v>4</v>
      </c>
      <c r="B15" s="21" t="s">
        <v>255</v>
      </c>
      <c r="C15" s="129"/>
      <c r="D15" s="130" t="s">
        <v>253</v>
      </c>
      <c r="E15" s="134"/>
      <c r="F15" s="67"/>
      <c r="G15" s="68"/>
      <c r="H15" s="68"/>
      <c r="I15" s="68"/>
      <c r="J15" s="68"/>
    </row>
    <row r="16" spans="1:10" s="23" customFormat="1" ht="15" customHeight="1">
      <c r="A16" s="124">
        <v>5</v>
      </c>
      <c r="B16" s="21" t="s">
        <v>256</v>
      </c>
      <c r="C16" s="129"/>
      <c r="D16" s="130" t="s">
        <v>257</v>
      </c>
      <c r="E16" s="134"/>
      <c r="F16" s="67"/>
      <c r="G16" s="68"/>
      <c r="H16" s="68"/>
      <c r="I16" s="68"/>
      <c r="J16" s="68"/>
    </row>
    <row r="17" spans="1:10" s="23" customFormat="1" ht="15" customHeight="1">
      <c r="A17" s="124">
        <v>6</v>
      </c>
      <c r="B17" s="21" t="s">
        <v>258</v>
      </c>
      <c r="C17" s="129"/>
      <c r="D17" s="130" t="s">
        <v>251</v>
      </c>
      <c r="E17" s="134"/>
      <c r="F17" s="67"/>
      <c r="G17" s="68"/>
      <c r="H17" s="68"/>
      <c r="I17" s="68"/>
      <c r="J17" s="68"/>
    </row>
    <row r="18" spans="1:10" s="23" customFormat="1" ht="15" customHeight="1">
      <c r="A18" s="124">
        <v>7</v>
      </c>
      <c r="B18" s="21" t="s">
        <v>259</v>
      </c>
      <c r="C18" s="129"/>
      <c r="D18" s="130" t="s">
        <v>251</v>
      </c>
      <c r="E18" s="134"/>
      <c r="F18" s="67"/>
      <c r="G18" s="68"/>
      <c r="H18" s="68"/>
      <c r="I18" s="68"/>
      <c r="J18" s="68"/>
    </row>
    <row r="19" spans="1:10" s="23" customFormat="1" ht="15" customHeight="1">
      <c r="A19" s="124">
        <v>8</v>
      </c>
      <c r="B19" s="21" t="s">
        <v>260</v>
      </c>
      <c r="C19" s="129"/>
      <c r="D19" s="130" t="s">
        <v>261</v>
      </c>
      <c r="E19" s="134"/>
      <c r="F19" s="135"/>
      <c r="G19" s="68"/>
      <c r="H19" s="68"/>
      <c r="I19" s="68"/>
      <c r="J19" s="68"/>
    </row>
    <row r="20" spans="1:10" s="23" customFormat="1" ht="15" customHeight="1">
      <c r="A20" s="124">
        <v>9</v>
      </c>
      <c r="B20" s="21" t="s">
        <v>262</v>
      </c>
      <c r="C20" s="129"/>
      <c r="D20" s="130" t="s">
        <v>251</v>
      </c>
      <c r="E20" s="134"/>
      <c r="F20" s="135"/>
      <c r="G20" s="68"/>
      <c r="H20" s="68"/>
      <c r="I20" s="68"/>
      <c r="J20" s="68"/>
    </row>
    <row r="21" spans="1:10" s="23" customFormat="1" ht="15" customHeight="1">
      <c r="A21" s="124">
        <v>10</v>
      </c>
      <c r="B21" s="21" t="s">
        <v>263</v>
      </c>
      <c r="C21" s="129"/>
      <c r="D21" s="130" t="s">
        <v>251</v>
      </c>
      <c r="E21" s="135"/>
      <c r="F21" s="67"/>
      <c r="G21" s="68"/>
      <c r="H21" s="68"/>
      <c r="I21" s="68"/>
      <c r="J21" s="67"/>
    </row>
    <row r="22" spans="1:10" s="23" customFormat="1" ht="15" customHeight="1">
      <c r="A22" s="124">
        <v>11</v>
      </c>
      <c r="B22" s="21" t="s">
        <v>264</v>
      </c>
      <c r="C22" s="129"/>
      <c r="D22" s="130" t="s">
        <v>261</v>
      </c>
      <c r="E22" s="135"/>
      <c r="F22" s="67"/>
      <c r="G22" s="68"/>
      <c r="H22" s="68"/>
      <c r="I22" s="68"/>
      <c r="J22" s="67"/>
    </row>
    <row r="23" spans="1:10" s="23" customFormat="1" ht="15" customHeight="1">
      <c r="A23" s="124">
        <v>12</v>
      </c>
      <c r="B23" s="21" t="s">
        <v>265</v>
      </c>
      <c r="C23" s="129"/>
      <c r="D23" s="130" t="s">
        <v>251</v>
      </c>
      <c r="E23" s="135"/>
      <c r="F23" s="67"/>
      <c r="G23" s="68"/>
      <c r="H23" s="68"/>
      <c r="I23" s="68"/>
      <c r="J23" s="67"/>
    </row>
    <row r="24" spans="1:10" s="23" customFormat="1" ht="15" customHeight="1">
      <c r="A24" s="124">
        <v>13</v>
      </c>
      <c r="B24" s="21" t="s">
        <v>266</v>
      </c>
      <c r="C24" s="129"/>
      <c r="D24" s="130" t="s">
        <v>261</v>
      </c>
      <c r="E24" s="135"/>
      <c r="F24" s="67"/>
      <c r="G24" s="68"/>
      <c r="H24" s="68"/>
      <c r="I24" s="68"/>
      <c r="J24" s="67"/>
    </row>
    <row r="25" spans="1:10" s="23" customFormat="1" ht="15" customHeight="1">
      <c r="A25" s="124">
        <v>14</v>
      </c>
      <c r="B25" s="21" t="s">
        <v>267</v>
      </c>
      <c r="C25" s="129"/>
      <c r="D25" s="130" t="s">
        <v>261</v>
      </c>
      <c r="E25" s="135"/>
      <c r="F25" s="67"/>
      <c r="G25" s="68"/>
      <c r="H25" s="68"/>
      <c r="I25" s="67"/>
      <c r="J25" s="67"/>
    </row>
    <row r="26" spans="1:10" s="23" customFormat="1" ht="15" customHeight="1">
      <c r="A26" s="124">
        <v>15</v>
      </c>
      <c r="B26" s="21" t="s">
        <v>268</v>
      </c>
      <c r="C26" s="129"/>
      <c r="D26" s="130" t="s">
        <v>251</v>
      </c>
      <c r="E26" s="135"/>
      <c r="F26" s="67"/>
      <c r="G26" s="68"/>
      <c r="H26" s="68"/>
      <c r="I26" s="67"/>
      <c r="J26" s="67"/>
    </row>
    <row r="27" spans="1:10" s="23" customFormat="1" ht="15" customHeight="1">
      <c r="A27" s="124">
        <v>16</v>
      </c>
      <c r="B27" s="21" t="s">
        <v>269</v>
      </c>
      <c r="C27" s="129"/>
      <c r="D27" s="130" t="s">
        <v>261</v>
      </c>
      <c r="E27" s="135"/>
      <c r="F27" s="67"/>
      <c r="G27" s="68"/>
      <c r="H27" s="68"/>
      <c r="I27" s="67"/>
      <c r="J27" s="67"/>
    </row>
    <row r="28" spans="1:10" s="23" customFormat="1" ht="15" customHeight="1">
      <c r="A28" s="124">
        <v>17</v>
      </c>
      <c r="B28" s="21" t="s">
        <v>270</v>
      </c>
      <c r="C28" s="129"/>
      <c r="D28" s="130" t="s">
        <v>271</v>
      </c>
      <c r="E28" s="135"/>
      <c r="F28" s="67"/>
      <c r="G28" s="68"/>
      <c r="H28" s="68"/>
      <c r="I28" s="67"/>
      <c r="J28" s="67"/>
    </row>
    <row r="29" spans="1:10" s="23" customFormat="1" ht="15" customHeight="1">
      <c r="A29" s="124">
        <v>18</v>
      </c>
      <c r="B29" s="21" t="s">
        <v>272</v>
      </c>
      <c r="C29" s="129"/>
      <c r="D29" s="130" t="s">
        <v>271</v>
      </c>
      <c r="E29" s="135"/>
      <c r="F29" s="67"/>
      <c r="G29" s="68"/>
      <c r="H29" s="68"/>
      <c r="I29" s="67"/>
      <c r="J29" s="67"/>
    </row>
    <row r="30" spans="1:10" s="23" customFormat="1" ht="15" customHeight="1">
      <c r="A30" s="124">
        <v>19</v>
      </c>
      <c r="B30" s="21" t="s">
        <v>273</v>
      </c>
      <c r="C30" s="129"/>
      <c r="D30" s="130" t="s">
        <v>251</v>
      </c>
      <c r="E30" s="135"/>
      <c r="F30" s="67"/>
      <c r="G30" s="68"/>
      <c r="H30" s="68"/>
      <c r="I30" s="67"/>
      <c r="J30" s="67"/>
    </row>
    <row r="31" spans="1:10" s="23" customFormat="1" ht="15" customHeight="1">
      <c r="A31" s="124">
        <v>20</v>
      </c>
      <c r="B31" s="21" t="s">
        <v>274</v>
      </c>
      <c r="C31" s="136"/>
      <c r="D31" s="136"/>
      <c r="E31" s="135"/>
      <c r="F31" s="67"/>
      <c r="G31" s="68"/>
      <c r="H31" s="68"/>
      <c r="I31" s="67"/>
      <c r="J31" s="67"/>
    </row>
    <row r="32" spans="1:10" s="23" customFormat="1" ht="15" customHeight="1">
      <c r="A32" s="67"/>
      <c r="B32" s="67"/>
      <c r="C32" s="67"/>
      <c r="D32" s="67"/>
      <c r="E32" s="135"/>
      <c r="F32" s="67"/>
      <c r="G32" s="68"/>
      <c r="H32" s="68"/>
      <c r="I32" s="67"/>
      <c r="J32" s="67"/>
    </row>
    <row r="33" spans="1:12" s="23" customFormat="1" ht="26.25" customHeight="1">
      <c r="A33" s="114" t="s">
        <v>275</v>
      </c>
      <c r="B33" s="114"/>
      <c r="C33" s="67"/>
      <c r="D33" s="67"/>
      <c r="E33" s="135"/>
      <c r="F33" s="67"/>
      <c r="G33" s="68"/>
      <c r="H33" s="68"/>
      <c r="I33" s="67"/>
      <c r="J33" s="67"/>
    </row>
    <row r="34" spans="1:12" s="23" customFormat="1" ht="26.25" customHeight="1">
      <c r="A34" s="137" t="s">
        <v>233</v>
      </c>
      <c r="B34" s="138" t="s">
        <v>276</v>
      </c>
      <c r="C34" s="72" t="s">
        <v>234</v>
      </c>
      <c r="D34" s="128" t="s">
        <v>277</v>
      </c>
      <c r="E34" s="139" t="s">
        <v>278</v>
      </c>
      <c r="F34" s="139" t="s">
        <v>279</v>
      </c>
      <c r="G34" s="68"/>
      <c r="H34" s="68"/>
      <c r="I34" s="68"/>
      <c r="J34" s="68"/>
      <c r="K34" s="67"/>
      <c r="L34" s="67"/>
    </row>
    <row r="35" spans="1:12" s="23" customFormat="1" ht="15" customHeight="1">
      <c r="A35" s="140" t="s">
        <v>280</v>
      </c>
      <c r="B35" s="124" t="s">
        <v>281</v>
      </c>
      <c r="C35" s="141">
        <v>1</v>
      </c>
      <c r="D35" s="21" t="s">
        <v>282</v>
      </c>
      <c r="E35" s="21"/>
      <c r="F35" s="21"/>
      <c r="G35" s="68"/>
      <c r="H35" s="68"/>
      <c r="I35" s="68"/>
      <c r="J35" s="68"/>
      <c r="K35" s="67"/>
      <c r="L35" s="67"/>
    </row>
    <row r="36" spans="1:12" s="23" customFormat="1" ht="15" customHeight="1">
      <c r="A36" s="140" t="s">
        <v>283</v>
      </c>
      <c r="B36" s="124" t="s">
        <v>136</v>
      </c>
      <c r="C36" s="141">
        <v>1</v>
      </c>
      <c r="D36" s="21" t="s">
        <v>284</v>
      </c>
      <c r="E36" s="21"/>
      <c r="F36" s="21"/>
      <c r="G36" s="68"/>
      <c r="H36" s="68"/>
      <c r="I36" s="68"/>
      <c r="J36" s="68"/>
      <c r="K36" s="67"/>
      <c r="L36" s="67"/>
    </row>
    <row r="37" spans="1:12" s="23" customFormat="1" ht="15" customHeight="1">
      <c r="A37" s="140" t="s">
        <v>285</v>
      </c>
      <c r="B37" s="124" t="s">
        <v>286</v>
      </c>
      <c r="C37" s="141">
        <v>1</v>
      </c>
      <c r="D37" s="21" t="s">
        <v>287</v>
      </c>
      <c r="E37" s="21"/>
      <c r="F37" s="21"/>
      <c r="G37" s="68"/>
      <c r="H37" s="68"/>
      <c r="I37" s="68"/>
      <c r="J37" s="68"/>
      <c r="K37" s="67"/>
      <c r="L37" s="67"/>
    </row>
    <row r="38" spans="1:12" s="23" customFormat="1" ht="15" customHeight="1">
      <c r="A38" s="140" t="s">
        <v>288</v>
      </c>
      <c r="B38" s="124" t="s">
        <v>289</v>
      </c>
      <c r="C38" s="141">
        <v>1</v>
      </c>
      <c r="D38" s="21" t="s">
        <v>290</v>
      </c>
      <c r="E38" s="21"/>
      <c r="F38" s="21"/>
      <c r="G38" s="68"/>
      <c r="H38" s="68"/>
      <c r="I38" s="68"/>
      <c r="J38" s="68"/>
      <c r="K38" s="67"/>
      <c r="L38" s="67"/>
    </row>
    <row r="39" spans="1:12" s="23" customFormat="1" ht="15" customHeight="1">
      <c r="A39" s="140" t="s">
        <v>291</v>
      </c>
      <c r="B39" s="124" t="s">
        <v>292</v>
      </c>
      <c r="C39" s="141">
        <v>1</v>
      </c>
      <c r="D39" s="21" t="s">
        <v>293</v>
      </c>
      <c r="E39" s="21"/>
      <c r="F39" s="21"/>
      <c r="G39" s="68"/>
      <c r="H39" s="68"/>
      <c r="I39" s="68"/>
      <c r="J39" s="68"/>
      <c r="K39" s="67"/>
      <c r="L39" s="67"/>
    </row>
    <row r="40" spans="1:12" s="23" customFormat="1" ht="15" customHeight="1">
      <c r="A40" s="67"/>
      <c r="B40" s="67"/>
      <c r="C40" s="67"/>
      <c r="D40" s="67"/>
      <c r="E40" s="135"/>
      <c r="F40" s="67"/>
      <c r="G40" s="68"/>
      <c r="H40" s="68"/>
      <c r="I40" s="67"/>
      <c r="J40" s="67"/>
    </row>
    <row r="41" spans="1:12" s="112" customFormat="1" ht="26.25" customHeight="1">
      <c r="A41" s="114" t="s">
        <v>294</v>
      </c>
      <c r="B41" s="67"/>
      <c r="C41" s="67"/>
      <c r="D41" s="68"/>
      <c r="G41" s="111"/>
    </row>
    <row r="42" spans="1:12" ht="26.25" customHeight="1">
      <c r="A42" s="137" t="s">
        <v>233</v>
      </c>
      <c r="B42" s="128" t="s">
        <v>295</v>
      </c>
      <c r="C42" s="72" t="s">
        <v>234</v>
      </c>
      <c r="D42" s="112"/>
      <c r="E42" s="112"/>
      <c r="F42" s="142"/>
      <c r="G42" s="112"/>
      <c r="H42" s="112"/>
    </row>
    <row r="43" spans="1:12" ht="15" customHeight="1">
      <c r="A43" s="144" t="s">
        <v>296</v>
      </c>
      <c r="B43" s="145" t="s">
        <v>297</v>
      </c>
      <c r="C43" s="141">
        <v>1</v>
      </c>
      <c r="D43" s="112"/>
      <c r="E43" s="112"/>
      <c r="F43" s="142"/>
      <c r="G43" s="112"/>
      <c r="H43" s="112"/>
    </row>
    <row r="44" spans="1:12" ht="15" customHeight="1">
      <c r="A44" s="146" t="s">
        <v>298</v>
      </c>
      <c r="B44" s="147" t="s">
        <v>299</v>
      </c>
      <c r="C44" s="141">
        <v>1</v>
      </c>
      <c r="D44" s="112"/>
      <c r="E44" s="112"/>
      <c r="F44" s="142"/>
      <c r="G44" s="112"/>
      <c r="H44" s="112"/>
    </row>
    <row r="45" spans="1:12" ht="15" customHeight="1">
      <c r="A45" s="144" t="s">
        <v>300</v>
      </c>
      <c r="B45" s="145" t="s">
        <v>301</v>
      </c>
      <c r="C45" s="141">
        <v>1</v>
      </c>
      <c r="D45" s="112"/>
      <c r="E45" s="112"/>
      <c r="F45" s="142"/>
      <c r="G45" s="112"/>
      <c r="H45" s="112"/>
    </row>
    <row r="46" spans="1:12" ht="15" customHeight="1">
      <c r="A46" s="146" t="s">
        <v>302</v>
      </c>
      <c r="B46" s="147" t="s">
        <v>303</v>
      </c>
      <c r="C46" s="141">
        <v>1</v>
      </c>
      <c r="D46" s="112"/>
      <c r="E46" s="112"/>
      <c r="F46" s="142"/>
      <c r="G46" s="112"/>
      <c r="H46" s="112"/>
    </row>
    <row r="47" spans="1:12" ht="15" customHeight="1">
      <c r="A47" s="144" t="s">
        <v>304</v>
      </c>
      <c r="B47" s="145" t="s">
        <v>305</v>
      </c>
      <c r="C47" s="141">
        <v>1</v>
      </c>
      <c r="D47" s="112"/>
      <c r="E47" s="112"/>
      <c r="F47" s="142"/>
      <c r="G47" s="112"/>
      <c r="H47" s="112"/>
    </row>
    <row r="48" spans="1:12" ht="15" customHeight="1">
      <c r="A48" s="146" t="s">
        <v>306</v>
      </c>
      <c r="B48" s="147" t="s">
        <v>307</v>
      </c>
      <c r="C48" s="141">
        <v>1</v>
      </c>
      <c r="D48" s="112"/>
      <c r="E48" s="112"/>
      <c r="F48" s="142"/>
      <c r="G48" s="112"/>
      <c r="H48" s="112"/>
    </row>
    <row r="49" spans="1:10" ht="15" customHeight="1">
      <c r="A49" s="144" t="s">
        <v>308</v>
      </c>
      <c r="B49" s="145" t="s">
        <v>309</v>
      </c>
      <c r="C49" s="141">
        <v>1</v>
      </c>
      <c r="D49" s="112"/>
      <c r="E49" s="112"/>
      <c r="F49" s="142"/>
      <c r="G49" s="112"/>
      <c r="H49" s="112"/>
    </row>
    <row r="50" spans="1:10" ht="15" customHeight="1">
      <c r="A50" s="146" t="s">
        <v>310</v>
      </c>
      <c r="B50" s="147" t="s">
        <v>311</v>
      </c>
      <c r="C50" s="141">
        <v>1</v>
      </c>
      <c r="D50" s="112"/>
      <c r="E50" s="112"/>
      <c r="F50" s="142"/>
      <c r="G50" s="112"/>
      <c r="H50" s="112"/>
    </row>
    <row r="51" spans="1:10" ht="15" customHeight="1">
      <c r="A51" s="144" t="s">
        <v>312</v>
      </c>
      <c r="B51" s="145" t="s">
        <v>313</v>
      </c>
      <c r="C51" s="141">
        <v>1</v>
      </c>
      <c r="D51" s="112"/>
      <c r="E51" s="112"/>
      <c r="F51" s="142"/>
      <c r="G51" s="112"/>
      <c r="H51" s="112"/>
    </row>
    <row r="52" spans="1:10" ht="15" customHeight="1">
      <c r="A52" s="146" t="s">
        <v>314</v>
      </c>
      <c r="B52" s="147" t="s">
        <v>315</v>
      </c>
      <c r="C52" s="141">
        <v>1</v>
      </c>
      <c r="D52" s="112"/>
      <c r="E52" s="112"/>
      <c r="F52" s="142"/>
      <c r="G52" s="112"/>
      <c r="H52" s="112"/>
    </row>
    <row r="53" spans="1:10" ht="15" customHeight="1">
      <c r="A53" s="148"/>
      <c r="B53" s="68"/>
      <c r="C53" s="68"/>
      <c r="D53" s="68"/>
      <c r="E53" s="112"/>
      <c r="F53" s="112"/>
      <c r="G53" s="111"/>
      <c r="H53" s="112"/>
      <c r="I53" s="112"/>
      <c r="J53" s="112"/>
    </row>
    <row r="54" spans="1:10" ht="15" customHeight="1">
      <c r="A54" s="149"/>
      <c r="B54" s="112"/>
      <c r="C54" s="112"/>
      <c r="D54" s="113"/>
      <c r="E54" s="112"/>
      <c r="F54" s="112"/>
      <c r="G54" s="111"/>
      <c r="H54" s="112"/>
      <c r="I54" s="112"/>
      <c r="J54" s="112"/>
    </row>
    <row r="55" spans="1:10" ht="15" customHeight="1">
      <c r="A55" s="149"/>
      <c r="B55" s="112"/>
      <c r="C55" s="112"/>
      <c r="D55" s="113"/>
      <c r="E55" s="112"/>
      <c r="F55" s="112"/>
      <c r="G55" s="111"/>
      <c r="H55" s="112"/>
      <c r="I55" s="112"/>
      <c r="J55" s="112"/>
    </row>
    <row r="56" spans="1:10" ht="15" customHeight="1">
      <c r="A56" s="149"/>
      <c r="B56" s="112"/>
      <c r="C56" s="112"/>
      <c r="D56" s="113"/>
      <c r="E56" s="112"/>
      <c r="F56" s="112"/>
      <c r="G56" s="111"/>
      <c r="H56" s="112"/>
      <c r="I56" s="112"/>
      <c r="J56" s="112"/>
    </row>
    <row r="57" spans="1:10" ht="15" customHeight="1">
      <c r="A57" s="149"/>
      <c r="B57" s="112"/>
      <c r="C57" s="112"/>
      <c r="D57" s="113"/>
      <c r="E57" s="112"/>
      <c r="F57" s="112"/>
      <c r="G57" s="111"/>
      <c r="H57" s="112"/>
      <c r="I57" s="112"/>
      <c r="J57" s="112"/>
    </row>
    <row r="58" spans="1:10" ht="15" customHeight="1">
      <c r="F58" s="112"/>
      <c r="G58" s="111"/>
      <c r="H58" s="112"/>
      <c r="I58" s="112"/>
      <c r="J58" s="112"/>
    </row>
    <row r="59" spans="1:10" ht="15" customHeight="1">
      <c r="F59" s="112"/>
      <c r="G59" s="111"/>
      <c r="H59" s="112"/>
      <c r="I59" s="112"/>
      <c r="J59" s="112"/>
    </row>
    <row r="60" spans="1:10" ht="15" customHeight="1">
      <c r="F60" s="112"/>
      <c r="G60" s="111"/>
      <c r="H60" s="112"/>
      <c r="I60" s="112"/>
      <c r="J60" s="112"/>
    </row>
    <row r="61" spans="1:10" ht="15" customHeight="1">
      <c r="F61" s="112"/>
      <c r="G61" s="111"/>
      <c r="H61" s="112"/>
      <c r="I61" s="112"/>
      <c r="J61" s="112"/>
    </row>
    <row r="62" spans="1:10" ht="15" customHeight="1">
      <c r="F62" s="112"/>
      <c r="G62" s="111"/>
      <c r="H62" s="112"/>
      <c r="I62" s="112"/>
      <c r="J62" s="112"/>
    </row>
    <row r="63" spans="1:10" ht="15" customHeight="1">
      <c r="F63" s="112"/>
      <c r="G63" s="111"/>
      <c r="H63" s="112"/>
      <c r="I63" s="112"/>
      <c r="J63" s="112"/>
    </row>
    <row r="64" spans="1:10" ht="15" customHeight="1">
      <c r="F64" s="112"/>
      <c r="G64" s="111"/>
      <c r="H64" s="112"/>
      <c r="I64" s="112"/>
      <c r="J64" s="112"/>
    </row>
    <row r="65" spans="6:10" ht="15" customHeight="1">
      <c r="F65" s="112"/>
      <c r="G65" s="111"/>
      <c r="H65" s="112"/>
      <c r="I65" s="112"/>
      <c r="J65" s="112"/>
    </row>
    <row r="66" spans="6:10" ht="15" customHeight="1">
      <c r="F66" s="112"/>
      <c r="G66" s="111"/>
      <c r="H66" s="112"/>
      <c r="I66" s="112"/>
      <c r="J66" s="112"/>
    </row>
    <row r="67" spans="6:10" ht="15" customHeight="1">
      <c r="F67" s="112"/>
      <c r="G67" s="111"/>
      <c r="H67" s="112"/>
      <c r="I67" s="112"/>
      <c r="J67" s="112"/>
    </row>
    <row r="68" spans="6:10" ht="15" customHeight="1">
      <c r="F68" s="112"/>
      <c r="G68" s="111"/>
      <c r="H68" s="112"/>
      <c r="I68" s="112"/>
      <c r="J68" s="112"/>
    </row>
    <row r="69" spans="6:10" ht="15" customHeight="1">
      <c r="F69" s="112"/>
      <c r="G69" s="111"/>
      <c r="H69" s="112"/>
      <c r="I69" s="112"/>
      <c r="J69" s="112"/>
    </row>
    <row r="70" spans="6:10" ht="15" customHeight="1">
      <c r="F70" s="112"/>
      <c r="G70" s="111"/>
      <c r="H70" s="112"/>
      <c r="I70" s="112"/>
      <c r="J70" s="112"/>
    </row>
    <row r="71" spans="6:10" ht="15" customHeight="1">
      <c r="F71" s="112"/>
      <c r="G71" s="111"/>
      <c r="H71" s="112"/>
      <c r="I71" s="112"/>
      <c r="J71" s="112"/>
    </row>
    <row r="72" spans="6:10" ht="15" customHeight="1">
      <c r="F72" s="112"/>
      <c r="G72" s="111"/>
      <c r="H72" s="112"/>
      <c r="I72" s="112"/>
      <c r="J72" s="112"/>
    </row>
    <row r="73" spans="6:10" ht="15" customHeight="1">
      <c r="F73" s="112"/>
      <c r="G73" s="111"/>
      <c r="H73" s="112"/>
      <c r="I73" s="112"/>
      <c r="J73" s="112"/>
    </row>
    <row r="74" spans="6:10" ht="15" customHeight="1">
      <c r="F74" s="112"/>
      <c r="G74" s="111"/>
      <c r="H74" s="112"/>
      <c r="I74" s="112"/>
      <c r="J74" s="112"/>
    </row>
    <row r="75" spans="6:10" ht="15" customHeight="1">
      <c r="F75" s="112"/>
      <c r="G75" s="111"/>
      <c r="H75" s="112"/>
      <c r="I75" s="112"/>
      <c r="J75" s="112"/>
    </row>
    <row r="76" spans="6:10" ht="15" customHeight="1">
      <c r="F76" s="112"/>
      <c r="G76" s="111"/>
      <c r="H76" s="112"/>
      <c r="I76" s="112"/>
      <c r="J76" s="112"/>
    </row>
    <row r="77" spans="6:10" ht="15" customHeight="1">
      <c r="F77" s="112"/>
      <c r="G77" s="111"/>
      <c r="H77" s="112"/>
      <c r="I77" s="112"/>
      <c r="J77" s="112"/>
    </row>
    <row r="78" spans="6:10" ht="15" customHeight="1">
      <c r="F78" s="112"/>
      <c r="G78" s="111"/>
      <c r="H78" s="112"/>
      <c r="I78" s="112"/>
      <c r="J78" s="112"/>
    </row>
    <row r="79" spans="6:10" ht="15" customHeight="1">
      <c r="F79" s="112"/>
      <c r="G79" s="111"/>
      <c r="H79" s="112"/>
      <c r="I79" s="112"/>
      <c r="J79" s="112"/>
    </row>
    <row r="80" spans="6:10" ht="15" customHeight="1">
      <c r="F80" s="112"/>
      <c r="G80" s="111"/>
      <c r="H80" s="112"/>
      <c r="I80" s="112"/>
      <c r="J80" s="112"/>
    </row>
    <row r="81" spans="6:10" ht="15" customHeight="1">
      <c r="F81" s="112"/>
      <c r="G81" s="111"/>
      <c r="H81" s="112"/>
      <c r="I81" s="112"/>
      <c r="J81" s="112"/>
    </row>
    <row r="82" spans="6:10" ht="15" customHeight="1">
      <c r="F82" s="112"/>
      <c r="G82" s="111"/>
      <c r="H82" s="112"/>
      <c r="I82" s="112"/>
      <c r="J82" s="112"/>
    </row>
    <row r="83" spans="6:10" ht="15" customHeight="1">
      <c r="F83" s="112"/>
      <c r="G83" s="111"/>
      <c r="H83" s="112"/>
      <c r="I83" s="112"/>
      <c r="J83" s="112"/>
    </row>
    <row r="84" spans="6:10" ht="15" customHeight="1">
      <c r="F84" s="112"/>
      <c r="G84" s="111"/>
      <c r="H84" s="112"/>
      <c r="I84" s="112"/>
      <c r="J84" s="112"/>
    </row>
    <row r="85" spans="6:10" ht="15" customHeight="1">
      <c r="F85" s="112"/>
      <c r="G85" s="111"/>
      <c r="H85" s="112"/>
      <c r="I85" s="112"/>
      <c r="J85" s="112"/>
    </row>
    <row r="86" spans="6:10" ht="15" customHeight="1">
      <c r="F86" s="112"/>
      <c r="G86" s="111"/>
      <c r="H86" s="112"/>
      <c r="I86" s="112"/>
      <c r="J86" s="112"/>
    </row>
    <row r="87" spans="6:10" ht="15" customHeight="1">
      <c r="F87" s="112"/>
      <c r="G87" s="111"/>
      <c r="H87" s="112"/>
      <c r="I87" s="112"/>
      <c r="J87" s="112"/>
    </row>
    <row r="88" spans="6:10" ht="15" customHeight="1">
      <c r="F88" s="112"/>
      <c r="G88" s="111"/>
      <c r="H88" s="112"/>
      <c r="I88" s="112"/>
      <c r="J88" s="112"/>
    </row>
    <row r="89" spans="6:10" ht="15" customHeight="1">
      <c r="F89" s="112"/>
      <c r="G89" s="111"/>
      <c r="H89" s="112"/>
      <c r="I89" s="112"/>
      <c r="J89" s="112"/>
    </row>
    <row r="90" spans="6:10" ht="15" customHeight="1">
      <c r="F90" s="112"/>
      <c r="G90" s="111"/>
      <c r="H90" s="112"/>
      <c r="I90" s="112"/>
      <c r="J90" s="112"/>
    </row>
    <row r="91" spans="6:10" ht="15" customHeight="1">
      <c r="F91" s="112"/>
      <c r="G91" s="111"/>
      <c r="H91" s="112"/>
      <c r="I91" s="112"/>
      <c r="J91" s="112"/>
    </row>
    <row r="92" spans="6:10" ht="15" customHeight="1">
      <c r="F92" s="112"/>
      <c r="G92" s="111"/>
      <c r="H92" s="112"/>
      <c r="I92" s="112"/>
      <c r="J92" s="112"/>
    </row>
    <row r="93" spans="6:10" ht="15" customHeight="1">
      <c r="F93" s="112"/>
      <c r="G93" s="111"/>
      <c r="H93" s="112"/>
      <c r="I93" s="112"/>
      <c r="J93" s="112"/>
    </row>
    <row r="94" spans="6:10" ht="15" customHeight="1">
      <c r="F94" s="112"/>
      <c r="G94" s="111"/>
      <c r="H94" s="112"/>
      <c r="I94" s="112"/>
      <c r="J94" s="112"/>
    </row>
    <row r="95" spans="6:10" ht="15" customHeight="1">
      <c r="F95" s="112"/>
      <c r="G95" s="111"/>
      <c r="H95" s="112"/>
      <c r="I95" s="112"/>
      <c r="J95" s="112"/>
    </row>
    <row r="96" spans="6:10" ht="15" customHeight="1">
      <c r="F96" s="112"/>
      <c r="G96" s="111"/>
      <c r="H96" s="112"/>
      <c r="I96" s="112"/>
      <c r="J96" s="112"/>
    </row>
    <row r="97" spans="6:10" ht="15" customHeight="1">
      <c r="F97" s="112"/>
      <c r="G97" s="111"/>
      <c r="H97" s="112"/>
      <c r="I97" s="112"/>
      <c r="J97" s="112"/>
    </row>
    <row r="98" spans="6:10" ht="15" customHeight="1">
      <c r="F98" s="112"/>
      <c r="G98" s="111"/>
      <c r="H98" s="112"/>
      <c r="I98" s="112"/>
      <c r="J98" s="112"/>
    </row>
    <row r="99" spans="6:10" ht="15" customHeight="1">
      <c r="F99" s="112"/>
      <c r="G99" s="111"/>
      <c r="H99" s="112"/>
      <c r="I99" s="112"/>
      <c r="J99" s="112"/>
    </row>
    <row r="100" spans="6:10" ht="15" customHeight="1">
      <c r="F100" s="112"/>
      <c r="G100" s="111"/>
      <c r="H100" s="112"/>
      <c r="I100" s="112"/>
      <c r="J100" s="112"/>
    </row>
    <row r="101" spans="6:10" ht="15" customHeight="1">
      <c r="F101" s="112"/>
      <c r="G101" s="111"/>
      <c r="H101" s="112"/>
      <c r="I101" s="112"/>
      <c r="J101" s="112"/>
    </row>
    <row r="102" spans="6:10" ht="15" customHeight="1">
      <c r="F102" s="112"/>
      <c r="G102" s="111"/>
      <c r="H102" s="112"/>
      <c r="I102" s="112"/>
      <c r="J102" s="112"/>
    </row>
    <row r="103" spans="6:10" ht="15" customHeight="1">
      <c r="F103" s="112"/>
      <c r="G103" s="111"/>
      <c r="H103" s="112"/>
      <c r="I103" s="112"/>
      <c r="J103" s="112"/>
    </row>
    <row r="104" spans="6:10" ht="15" customHeight="1">
      <c r="F104" s="112"/>
      <c r="G104" s="111"/>
      <c r="H104" s="112"/>
      <c r="I104" s="112"/>
      <c r="J104" s="112"/>
    </row>
    <row r="105" spans="6:10" ht="15" customHeight="1">
      <c r="F105" s="112"/>
      <c r="G105" s="111"/>
      <c r="H105" s="112"/>
      <c r="I105" s="112"/>
      <c r="J105" s="112"/>
    </row>
    <row r="106" spans="6:10" ht="15" customHeight="1">
      <c r="F106" s="112"/>
      <c r="G106" s="111"/>
      <c r="H106" s="112"/>
      <c r="I106" s="112"/>
      <c r="J106" s="112"/>
    </row>
    <row r="107" spans="6:10" ht="15" customHeight="1">
      <c r="F107" s="112"/>
      <c r="G107" s="111"/>
      <c r="H107" s="112"/>
      <c r="I107" s="112"/>
      <c r="J107" s="112"/>
    </row>
    <row r="108" spans="6:10" ht="15" customHeight="1">
      <c r="F108" s="112"/>
      <c r="G108" s="111"/>
      <c r="H108" s="112"/>
      <c r="I108" s="112"/>
      <c r="J108" s="112"/>
    </row>
    <row r="109" spans="6:10" ht="15" customHeight="1">
      <c r="F109" s="112"/>
      <c r="G109" s="111"/>
      <c r="H109" s="112"/>
      <c r="I109" s="112"/>
      <c r="J109" s="112"/>
    </row>
    <row r="110" spans="6:10" ht="15" customHeight="1">
      <c r="F110" s="112"/>
      <c r="G110" s="111"/>
      <c r="H110" s="112"/>
      <c r="I110" s="112"/>
      <c r="J110" s="112"/>
    </row>
    <row r="111" spans="6:10" ht="15" customHeight="1">
      <c r="F111" s="112"/>
      <c r="G111" s="111"/>
      <c r="H111" s="112"/>
      <c r="I111" s="112"/>
      <c r="J111" s="112"/>
    </row>
    <row r="112" spans="6:10" ht="15" customHeight="1">
      <c r="F112" s="112"/>
      <c r="G112" s="111"/>
      <c r="H112" s="112"/>
      <c r="I112" s="112"/>
      <c r="J112" s="112"/>
    </row>
    <row r="113" spans="6:10" ht="15" customHeight="1">
      <c r="F113" s="112"/>
      <c r="G113" s="111"/>
      <c r="H113" s="112"/>
      <c r="I113" s="112"/>
      <c r="J113" s="112"/>
    </row>
    <row r="114" spans="6:10" ht="15" customHeight="1">
      <c r="F114" s="112"/>
      <c r="G114" s="111"/>
      <c r="H114" s="112"/>
      <c r="I114" s="112"/>
      <c r="J114" s="112"/>
    </row>
    <row r="115" spans="6:10" ht="15" customHeight="1">
      <c r="F115" s="112"/>
      <c r="G115" s="111"/>
      <c r="H115" s="112"/>
      <c r="I115" s="112"/>
      <c r="J115" s="112"/>
    </row>
    <row r="116" spans="6:10" ht="15" customHeight="1">
      <c r="F116" s="112"/>
      <c r="G116" s="111"/>
      <c r="H116" s="112"/>
      <c r="I116" s="112"/>
      <c r="J116" s="112"/>
    </row>
    <row r="117" spans="6:10" ht="15" customHeight="1">
      <c r="F117" s="112"/>
      <c r="G117" s="111"/>
      <c r="H117" s="112"/>
      <c r="I117" s="112"/>
      <c r="J117" s="112"/>
    </row>
    <row r="118" spans="6:10" ht="15" customHeight="1">
      <c r="F118" s="112"/>
      <c r="G118" s="111"/>
      <c r="H118" s="112"/>
      <c r="I118" s="112"/>
      <c r="J118" s="112"/>
    </row>
    <row r="119" spans="6:10" ht="15" customHeight="1">
      <c r="F119" s="112"/>
      <c r="G119" s="111"/>
      <c r="H119" s="112"/>
      <c r="I119" s="112"/>
      <c r="J119" s="112"/>
    </row>
    <row r="120" spans="6:10" ht="15" customHeight="1">
      <c r="F120" s="112"/>
      <c r="G120" s="111"/>
      <c r="H120" s="112"/>
      <c r="I120" s="112"/>
      <c r="J120" s="112"/>
    </row>
    <row r="121" spans="6:10" ht="15" customHeight="1">
      <c r="F121" s="112"/>
      <c r="G121" s="111"/>
      <c r="H121" s="112"/>
      <c r="I121" s="112"/>
      <c r="J121" s="112"/>
    </row>
    <row r="122" spans="6:10" ht="15" customHeight="1">
      <c r="F122" s="112"/>
      <c r="G122" s="111"/>
      <c r="H122" s="112"/>
      <c r="I122" s="112"/>
      <c r="J122" s="112"/>
    </row>
    <row r="123" spans="6:10" ht="15" customHeight="1">
      <c r="F123" s="112"/>
      <c r="G123" s="111"/>
      <c r="H123" s="112"/>
      <c r="I123" s="112"/>
      <c r="J123" s="112"/>
    </row>
    <row r="124" spans="6:10" ht="15" customHeight="1">
      <c r="F124" s="112"/>
      <c r="G124" s="111"/>
      <c r="H124" s="112"/>
      <c r="I124" s="112"/>
      <c r="J124" s="112"/>
    </row>
    <row r="125" spans="6:10" ht="15" customHeight="1">
      <c r="F125" s="112"/>
      <c r="G125" s="111"/>
      <c r="H125" s="112"/>
      <c r="I125" s="112"/>
      <c r="J125" s="112"/>
    </row>
    <row r="126" spans="6:10" ht="15" customHeight="1">
      <c r="F126" s="112"/>
      <c r="G126" s="111"/>
      <c r="H126" s="112"/>
      <c r="I126" s="112"/>
      <c r="J126" s="112"/>
    </row>
    <row r="127" spans="6:10" ht="15" customHeight="1">
      <c r="F127" s="112"/>
      <c r="G127" s="111"/>
      <c r="H127" s="112"/>
      <c r="I127" s="112"/>
      <c r="J127" s="112"/>
    </row>
    <row r="128" spans="6:10" ht="15" customHeight="1">
      <c r="F128" s="112"/>
      <c r="G128" s="111"/>
      <c r="H128" s="112"/>
      <c r="I128" s="112"/>
      <c r="J128" s="112"/>
    </row>
    <row r="129" spans="6:10" ht="15" customHeight="1">
      <c r="F129" s="112"/>
      <c r="G129" s="111"/>
      <c r="H129" s="112"/>
      <c r="I129" s="112"/>
      <c r="J129" s="112"/>
    </row>
    <row r="130" spans="6:10" ht="15" customHeight="1">
      <c r="F130" s="112"/>
      <c r="G130" s="111"/>
      <c r="H130" s="112"/>
      <c r="I130" s="112"/>
      <c r="J130" s="112"/>
    </row>
    <row r="131" spans="6:10" ht="15" customHeight="1">
      <c r="F131" s="112"/>
      <c r="G131" s="111"/>
      <c r="H131" s="112"/>
      <c r="I131" s="112"/>
      <c r="J131" s="112"/>
    </row>
    <row r="132" spans="6:10" ht="15" customHeight="1">
      <c r="F132" s="112"/>
      <c r="G132" s="111"/>
      <c r="H132" s="112"/>
      <c r="I132" s="112"/>
      <c r="J132" s="112"/>
    </row>
    <row r="133" spans="6:10" ht="15" customHeight="1">
      <c r="F133" s="112"/>
      <c r="G133" s="111"/>
      <c r="H133" s="112"/>
      <c r="I133" s="112"/>
      <c r="J133" s="112"/>
    </row>
    <row r="134" spans="6:10" ht="15" customHeight="1">
      <c r="F134" s="112"/>
      <c r="G134" s="111"/>
      <c r="H134" s="112"/>
      <c r="I134" s="112"/>
      <c r="J134" s="112"/>
    </row>
    <row r="135" spans="6:10" ht="15" customHeight="1">
      <c r="F135" s="112"/>
      <c r="G135" s="111"/>
      <c r="H135" s="112"/>
      <c r="I135" s="112"/>
      <c r="J135" s="112"/>
    </row>
    <row r="136" spans="6:10" ht="15" customHeight="1">
      <c r="F136" s="112"/>
      <c r="G136" s="111"/>
      <c r="H136" s="112"/>
      <c r="I136" s="112"/>
      <c r="J136" s="112"/>
    </row>
    <row r="137" spans="6:10" ht="15" customHeight="1">
      <c r="F137" s="112"/>
      <c r="G137" s="111"/>
      <c r="H137" s="112"/>
      <c r="I137" s="112"/>
      <c r="J137" s="112"/>
    </row>
    <row r="138" spans="6:10" ht="15" customHeight="1">
      <c r="F138" s="112"/>
      <c r="G138" s="111"/>
      <c r="H138" s="112"/>
      <c r="I138" s="112"/>
      <c r="J138" s="112"/>
    </row>
    <row r="139" spans="6:10" ht="15" customHeight="1">
      <c r="F139" s="112"/>
      <c r="G139" s="111"/>
      <c r="H139" s="112"/>
      <c r="I139" s="112"/>
      <c r="J139" s="112"/>
    </row>
    <row r="140" spans="6:10" ht="15" customHeight="1">
      <c r="F140" s="112"/>
      <c r="G140" s="111"/>
      <c r="H140" s="112"/>
      <c r="I140" s="112"/>
      <c r="J140" s="112"/>
    </row>
    <row r="141" spans="6:10" ht="15" customHeight="1">
      <c r="F141" s="112"/>
      <c r="G141" s="111"/>
      <c r="H141" s="112"/>
      <c r="I141" s="112"/>
      <c r="J141" s="112"/>
    </row>
    <row r="142" spans="6:10" ht="15" customHeight="1">
      <c r="F142" s="112"/>
      <c r="G142" s="111"/>
      <c r="H142" s="112"/>
      <c r="I142" s="112"/>
      <c r="J142" s="112"/>
    </row>
    <row r="143" spans="6:10" ht="15" customHeight="1">
      <c r="F143" s="112"/>
      <c r="G143" s="111"/>
      <c r="H143" s="112"/>
      <c r="I143" s="112"/>
      <c r="J143" s="112"/>
    </row>
    <row r="144" spans="6:10" ht="15" customHeight="1">
      <c r="F144" s="112"/>
      <c r="G144" s="111"/>
      <c r="H144" s="112"/>
      <c r="I144" s="112"/>
      <c r="J144" s="112"/>
    </row>
    <row r="145" spans="6:10" ht="15" customHeight="1">
      <c r="F145" s="112"/>
      <c r="G145" s="111"/>
      <c r="H145" s="112"/>
      <c r="I145" s="112"/>
      <c r="J145" s="112"/>
    </row>
    <row r="146" spans="6:10" ht="15" customHeight="1">
      <c r="F146" s="112"/>
      <c r="G146" s="111"/>
      <c r="H146" s="112"/>
      <c r="I146" s="112"/>
      <c r="J146" s="112"/>
    </row>
    <row r="147" spans="6:10" ht="15" customHeight="1">
      <c r="F147" s="112"/>
      <c r="G147" s="111"/>
      <c r="H147" s="112"/>
      <c r="I147" s="112"/>
      <c r="J147" s="112"/>
    </row>
    <row r="148" spans="6:10" ht="15" customHeight="1">
      <c r="F148" s="112"/>
      <c r="G148" s="111"/>
      <c r="H148" s="112"/>
      <c r="I148" s="112"/>
      <c r="J148" s="112"/>
    </row>
    <row r="149" spans="6:10" ht="15" customHeight="1">
      <c r="F149" s="112"/>
      <c r="G149" s="111"/>
      <c r="H149" s="112"/>
      <c r="I149" s="112"/>
      <c r="J149" s="112"/>
    </row>
    <row r="150" spans="6:10" ht="15" customHeight="1">
      <c r="F150" s="112"/>
      <c r="G150" s="111"/>
      <c r="H150" s="112"/>
      <c r="I150" s="112"/>
      <c r="J150" s="112"/>
    </row>
    <row r="151" spans="6:10" ht="15" customHeight="1">
      <c r="F151" s="112"/>
      <c r="G151" s="111"/>
      <c r="H151" s="112"/>
      <c r="I151" s="112"/>
      <c r="J151" s="112"/>
    </row>
    <row r="152" spans="6:10" ht="15" customHeight="1">
      <c r="F152" s="112"/>
      <c r="G152" s="111"/>
      <c r="H152" s="112"/>
      <c r="I152" s="112"/>
      <c r="J152" s="112"/>
    </row>
    <row r="153" spans="6:10" ht="15" customHeight="1">
      <c r="F153" s="112"/>
      <c r="G153" s="111"/>
      <c r="H153" s="112"/>
      <c r="I153" s="112"/>
      <c r="J153" s="112"/>
    </row>
    <row r="154" spans="6:10" ht="15" customHeight="1">
      <c r="F154" s="112"/>
      <c r="G154" s="111"/>
      <c r="H154" s="112"/>
      <c r="I154" s="112"/>
      <c r="J154" s="112"/>
    </row>
    <row r="155" spans="6:10" ht="15" customHeight="1">
      <c r="F155" s="112"/>
      <c r="G155" s="111"/>
      <c r="H155" s="112"/>
      <c r="I155" s="112"/>
      <c r="J155" s="112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62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L455"/>
  <sheetViews>
    <sheetView view="pageBreakPreview" zoomScale="84" zoomScaleNormal="40" zoomScaleSheetLayoutView="90" workbookViewId="0">
      <pane ySplit="4" topLeftCell="A5" activePane="bottomLeft" state="frozen"/>
      <selection pane="bottomLeft" activeCell="AI7" sqref="AI7"/>
    </sheetView>
  </sheetViews>
  <sheetFormatPr defaultColWidth="10.28515625" defaultRowHeight="15" customHeight="1"/>
  <cols>
    <col min="1" max="1" width="6.140625" style="23" customWidth="1"/>
    <col min="2" max="2" width="19.5703125" style="23" bestFit="1" customWidth="1"/>
    <col min="3" max="3" width="14.5703125" style="23" bestFit="1" customWidth="1"/>
    <col min="4" max="4" width="12" style="23" customWidth="1"/>
    <col min="5" max="5" width="17.28515625" style="23" bestFit="1" customWidth="1"/>
    <col min="6" max="6" width="11.28515625" style="23" customWidth="1"/>
    <col min="7" max="7" width="7.28515625" style="23" customWidth="1"/>
    <col min="8" max="8" width="11.42578125" style="53" customWidth="1"/>
    <col min="9" max="9" width="32.42578125" style="78" bestFit="1" customWidth="1"/>
    <col min="10" max="10" width="9.28515625" style="53" customWidth="1"/>
    <col min="11" max="11" width="23.140625" style="78" bestFit="1" customWidth="1"/>
    <col min="12" max="12" width="9.28515625" style="53" customWidth="1"/>
    <col min="13" max="13" width="15.42578125" style="92" bestFit="1" customWidth="1"/>
    <col min="14" max="14" width="14.5703125" style="92" customWidth="1"/>
    <col min="15" max="15" width="14.5703125" style="93" customWidth="1"/>
    <col min="16" max="16" width="13.7109375" style="93" customWidth="1"/>
    <col min="17" max="17" width="55.7109375" style="23" hidden="1" customWidth="1"/>
    <col min="18" max="18" width="12.85546875" style="23" customWidth="1"/>
    <col min="19" max="19" width="12.5703125" style="35" customWidth="1"/>
    <col min="20" max="20" width="16.42578125" style="35" customWidth="1"/>
    <col min="21" max="21" width="16.42578125" style="96" customWidth="1"/>
    <col min="22" max="22" width="18" style="97" customWidth="1"/>
    <col min="23" max="23" width="16.42578125" style="98" customWidth="1"/>
    <col min="24" max="24" width="16.42578125" style="35" customWidth="1"/>
    <col min="25" max="25" width="16.42578125" style="96" customWidth="1"/>
    <col min="26" max="26" width="16.42578125" style="97" customWidth="1"/>
    <col min="27" max="27" width="16.42578125" style="98" customWidth="1"/>
    <col min="28" max="29" width="16.42578125" style="23" customWidth="1"/>
    <col min="30" max="31" width="16.42578125" style="99" customWidth="1"/>
    <col min="32" max="32" width="16.42578125" style="60" customWidth="1"/>
    <col min="33" max="33" width="16.42578125" style="67" customWidth="1"/>
    <col min="34" max="219" width="10.28515625" style="67"/>
    <col min="220" max="16384" width="10.28515625" style="23"/>
  </cols>
  <sheetData>
    <row r="1" spans="1:220" ht="15" customHeight="1">
      <c r="A1" s="290" t="s">
        <v>316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 t="s">
        <v>316</v>
      </c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</row>
    <row r="2" spans="1:220" ht="15" customHeight="1">
      <c r="A2" s="67"/>
      <c r="B2" s="67"/>
      <c r="C2" s="67"/>
      <c r="D2" s="67"/>
      <c r="E2" s="67"/>
      <c r="F2" s="67"/>
      <c r="G2" s="67"/>
      <c r="H2" s="68"/>
      <c r="I2" s="69"/>
      <c r="J2" s="68"/>
      <c r="K2" s="69"/>
      <c r="L2" s="68"/>
      <c r="M2" s="70"/>
      <c r="N2" s="70"/>
      <c r="O2" s="71"/>
      <c r="P2" s="71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</row>
    <row r="3" spans="1:220" s="67" customFormat="1" ht="15" customHeight="1">
      <c r="H3" s="68"/>
      <c r="I3" s="69"/>
      <c r="J3" s="68"/>
      <c r="K3" s="69"/>
      <c r="L3" s="68"/>
      <c r="M3" s="70"/>
      <c r="N3" s="70"/>
      <c r="O3" s="71"/>
      <c r="P3" s="71"/>
      <c r="S3" s="309" t="s">
        <v>317</v>
      </c>
      <c r="T3" s="310"/>
      <c r="U3" s="310"/>
      <c r="V3" s="310"/>
      <c r="W3" s="310"/>
      <c r="X3" s="311"/>
      <c r="Y3" s="312" t="s">
        <v>318</v>
      </c>
      <c r="Z3" s="313"/>
      <c r="AA3" s="313"/>
      <c r="AB3" s="313"/>
      <c r="AC3" s="313"/>
      <c r="AD3" s="314"/>
      <c r="AE3" s="315" t="s">
        <v>319</v>
      </c>
      <c r="AF3" s="316"/>
      <c r="AG3" s="317"/>
    </row>
    <row r="4" spans="1:220" s="25" customFormat="1" ht="26.25" customHeight="1">
      <c r="A4" s="72" t="s">
        <v>233</v>
      </c>
      <c r="B4" s="72" t="s">
        <v>16</v>
      </c>
      <c r="C4" s="72" t="s">
        <v>235</v>
      </c>
      <c r="D4" s="72" t="s">
        <v>236</v>
      </c>
      <c r="E4" s="72" t="s">
        <v>237</v>
      </c>
      <c r="F4" s="72" t="s">
        <v>320</v>
      </c>
      <c r="G4" s="72" t="s">
        <v>321</v>
      </c>
      <c r="H4" s="72" t="s">
        <v>322</v>
      </c>
      <c r="I4" s="73" t="s">
        <v>247</v>
      </c>
      <c r="J4" s="72" t="s">
        <v>323</v>
      </c>
      <c r="K4" s="73" t="s">
        <v>324</v>
      </c>
      <c r="L4" s="72" t="s">
        <v>325</v>
      </c>
      <c r="M4" s="72" t="s">
        <v>326</v>
      </c>
      <c r="N4" s="72" t="s">
        <v>327</v>
      </c>
      <c r="O4" s="72" t="s">
        <v>328</v>
      </c>
      <c r="P4" s="72" t="s">
        <v>329</v>
      </c>
      <c r="Q4" s="72" t="s">
        <v>330</v>
      </c>
      <c r="R4" s="72" t="s">
        <v>331</v>
      </c>
      <c r="S4" s="72" t="s">
        <v>332</v>
      </c>
      <c r="T4" s="72" t="s">
        <v>333</v>
      </c>
      <c r="U4" s="72" t="s">
        <v>334</v>
      </c>
      <c r="V4" s="72" t="s">
        <v>335</v>
      </c>
      <c r="W4" s="72" t="s">
        <v>336</v>
      </c>
      <c r="X4" s="72" t="s">
        <v>337</v>
      </c>
      <c r="Y4" s="72" t="s">
        <v>338</v>
      </c>
      <c r="Z4" s="72" t="s">
        <v>339</v>
      </c>
      <c r="AA4" s="72" t="s">
        <v>340</v>
      </c>
      <c r="AB4" s="72" t="s">
        <v>341</v>
      </c>
      <c r="AC4" s="72" t="s">
        <v>342</v>
      </c>
      <c r="AD4" s="72" t="s">
        <v>343</v>
      </c>
      <c r="AE4" s="74" t="s">
        <v>344</v>
      </c>
      <c r="AF4" s="74" t="s">
        <v>345</v>
      </c>
      <c r="AG4" s="75" t="s">
        <v>346</v>
      </c>
      <c r="AH4" s="76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</row>
    <row r="5" spans="1:220" ht="15" customHeight="1">
      <c r="A5" s="53">
        <v>1</v>
      </c>
      <c r="B5" s="53" t="str">
        <f>VLOOKUP(Ruimtestaat[[#This Row],[Code]],Locaties[#All],2,FALSE)</f>
        <v>Ir. Lely Lyceum</v>
      </c>
      <c r="C5" s="53" t="str">
        <f>VLOOKUP(Ruimtestaat[[#This Row],[Code]],Locaties[#All],4,FALSE)</f>
        <v>Ravenswaaipad 3</v>
      </c>
      <c r="D5" s="53" t="str">
        <f>VLOOKUP(Ruimtestaat[[#This Row],[Code]],Locaties[#All],5,FALSE)</f>
        <v>1106 AW</v>
      </c>
      <c r="E5" s="53" t="str">
        <f>VLOOKUP(Ruimtestaat[[#This Row],[Code]],Locaties[#All],6,FALSE)</f>
        <v>Amsterdam</v>
      </c>
      <c r="F5" s="78" t="s">
        <v>347</v>
      </c>
      <c r="G5" s="53" t="s">
        <v>348</v>
      </c>
      <c r="H5" s="53" t="s">
        <v>349</v>
      </c>
      <c r="I5" s="23" t="s">
        <v>259</v>
      </c>
      <c r="J5" s="53">
        <v>7</v>
      </c>
      <c r="K5" s="78" t="str">
        <f>VLOOKUP(J5,Ruimtegroepen[],2,FALSE)</f>
        <v>Entree</v>
      </c>
      <c r="L5" s="53" t="s">
        <v>283</v>
      </c>
      <c r="M5" s="53" t="s">
        <v>350</v>
      </c>
      <c r="N5" s="79">
        <v>56</v>
      </c>
      <c r="O5" s="79"/>
      <c r="P5" s="80" t="str">
        <f>LEFT(VLOOKUP(Ruimtestaat[[#This Row],[Ruimte code]],Ruimtegroepen[#All],4,1),2)</f>
        <v xml:space="preserve">V </v>
      </c>
      <c r="Q5" s="79"/>
      <c r="R5" s="81">
        <v>40</v>
      </c>
      <c r="S5" s="81" t="s">
        <v>298</v>
      </c>
      <c r="T5" s="82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" s="82">
        <f>IF(T5&gt;0,VLOOKUP($J5,Ruimtegroepen[],3,FALSE)*VLOOKUP($L5,Vloersoorten[],3,FALSE)*VLOOKUP($S5,Frequenties[],3,FALSE)*VLOOKUP($A5,Locaties[],3,FALSE),0)</f>
        <v>0</v>
      </c>
      <c r="V5" s="83">
        <f>Ruimtestaat[[#This Row],[Uitvoeringen werkdagen]]*Ruimtestaat[[#This Row],[Oppervlak (netto)]]</f>
        <v>11200</v>
      </c>
      <c r="W5" s="84">
        <f>IF(U5&gt;0,Ruimtestaat[[#This Row],[Prest. (m2 /jaar) werkdagen]]/Ruimtestaat[[#This Row],[Norm (m2/uur) werkdagen]],0)</f>
        <v>0</v>
      </c>
      <c r="X5" s="85">
        <f>Ruimtestaat[[#This Row],[uren / jaar werkdagen]]*Tariefsopbouw!$E$35</f>
        <v>0</v>
      </c>
      <c r="Y5" s="82"/>
      <c r="Z5" s="86">
        <f>IF(Ruimtestaat[[#This Row],[Frequentie weekend]]&gt;0,VALUE(LEFT(Y5,1))*R5,0)</f>
        <v>0</v>
      </c>
      <c r="AA5" s="82">
        <f>IF($Z5&gt;0,VLOOKUP($J5,Ruimtegroepen[],3,FALSE)*VLOOKUP($L5,Vloersoorten[],3,FALSE)*VLOOKUP($Y5,Frequenties[],3,FALSE)*VLOOKUP(#REF!,Locaties[],3,FALSE),0)</f>
        <v>0</v>
      </c>
      <c r="AB5" s="84">
        <f>Ruimtestaat[[#This Row],[Uitvoeringen weekend]]*Ruimtestaat[[#This Row],[Oppervlak (netto)]]</f>
        <v>0</v>
      </c>
      <c r="AC5" s="87">
        <f>IF(AB5&gt;0,Ruimtestaat[[#This Row],[Prest. (m2 /jaar) weekend]]/Ruimtestaat[[#This Row],[Norm (m2/uur) weekend]],0)</f>
        <v>0</v>
      </c>
      <c r="AD5" s="88">
        <f>Ruimtestaat[[#This Row],[uren / jaar weekend]]*Tariefsopbouw!$D$40</f>
        <v>0</v>
      </c>
      <c r="AE5" s="89">
        <f>Ruimtestaat[[#This Row],[Prest. (m2 /jaar) weekend]]+Ruimtestaat[[#This Row],[Prest. (m2 /jaar) werkdagen]]</f>
        <v>11200</v>
      </c>
      <c r="AF5" s="89">
        <f>Ruimtestaat[[#This Row],[uren / jaar weekend]]+Ruimtestaat[[#This Row],[uren / jaar werkdagen]]</f>
        <v>0</v>
      </c>
      <c r="AG5" s="90">
        <f>Ruimtestaat[[#This Row],[kosten / jaar weekend]]+Ruimtestaat[[#This Row],[kosten / jaar werkdagen]]</f>
        <v>0</v>
      </c>
      <c r="AH5" s="91"/>
      <c r="HL5" s="67"/>
    </row>
    <row r="6" spans="1:220" ht="15" customHeight="1">
      <c r="A6" s="53">
        <v>1</v>
      </c>
      <c r="B6" s="53" t="str">
        <f>VLOOKUP(Ruimtestaat[[#This Row],[Code]],Locaties[#All],2,FALSE)</f>
        <v>Ir. Lely Lyceum</v>
      </c>
      <c r="C6" s="53" t="str">
        <f>VLOOKUP(Ruimtestaat[[#This Row],[Code]],Locaties[#All],4,FALSE)</f>
        <v>Ravenswaaipad 3</v>
      </c>
      <c r="D6" s="53" t="str">
        <f>VLOOKUP(Ruimtestaat[[#This Row],[Code]],Locaties[#All],5,FALSE)</f>
        <v>1106 AW</v>
      </c>
      <c r="E6" s="53" t="str">
        <f>VLOOKUP(Ruimtestaat[[#This Row],[Code]],Locaties[#All],6,FALSE)</f>
        <v>Amsterdam</v>
      </c>
      <c r="F6" s="78" t="s">
        <v>347</v>
      </c>
      <c r="G6" s="53" t="s">
        <v>348</v>
      </c>
      <c r="H6" s="53" t="s">
        <v>351</v>
      </c>
      <c r="I6" s="23" t="s">
        <v>352</v>
      </c>
      <c r="J6" s="53">
        <v>6</v>
      </c>
      <c r="K6" s="78" t="str">
        <f>VLOOKUP(J6,Ruimtegroepen[],2,FALSE)</f>
        <v>Gangen/hallen</v>
      </c>
      <c r="L6" s="53" t="s">
        <v>280</v>
      </c>
      <c r="M6" s="53" t="s">
        <v>353</v>
      </c>
      <c r="N6" s="79">
        <v>271.75</v>
      </c>
      <c r="O6" s="79"/>
      <c r="P6" s="80" t="str">
        <f>LEFT(VLOOKUP(Ruimtestaat[[#This Row],[Ruimte code]],Ruimtegroepen[#All],4,1),2)</f>
        <v xml:space="preserve">V </v>
      </c>
      <c r="Q6" s="79"/>
      <c r="R6" s="81">
        <v>40</v>
      </c>
      <c r="S6" s="81" t="s">
        <v>298</v>
      </c>
      <c r="T6" s="82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" s="82">
        <f>IF(T6&gt;0,VLOOKUP($J6,Ruimtegroepen[],3,FALSE)*VLOOKUP($L6,Vloersoorten[],3,FALSE)*VLOOKUP($S6,Frequenties[],3,FALSE)*VLOOKUP($A6,Locaties[],3,FALSE),0)</f>
        <v>0</v>
      </c>
      <c r="V6" s="83">
        <f>Ruimtestaat[[#This Row],[Uitvoeringen werkdagen]]*Ruimtestaat[[#This Row],[Oppervlak (netto)]]</f>
        <v>54350</v>
      </c>
      <c r="W6" s="84">
        <f>IF(U6&gt;0,Ruimtestaat[[#This Row],[Prest. (m2 /jaar) werkdagen]]/Ruimtestaat[[#This Row],[Norm (m2/uur) werkdagen]],0)</f>
        <v>0</v>
      </c>
      <c r="X6" s="85">
        <f>Ruimtestaat[[#This Row],[uren / jaar werkdagen]]*Tariefsopbouw!$E$35</f>
        <v>0</v>
      </c>
      <c r="Y6" s="82"/>
      <c r="Z6" s="86">
        <f>IF(Ruimtestaat[[#This Row],[Frequentie weekend]]&gt;0,VALUE(LEFT(Y6,1))*R6,0)</f>
        <v>0</v>
      </c>
      <c r="AA6" s="82">
        <f>IF($Z6&gt;0,VLOOKUP($J6,Ruimtegroepen[],3,FALSE)*VLOOKUP($L6,Vloersoorten[],3,FALSE)*VLOOKUP($Y6,Frequenties[],3,FALSE)*VLOOKUP($A1,Locaties[],3,FALSE),0)</f>
        <v>0</v>
      </c>
      <c r="AB6" s="84">
        <f>Ruimtestaat[[#This Row],[Uitvoeringen weekend]]*Ruimtestaat[[#This Row],[Oppervlak (netto)]]</f>
        <v>0</v>
      </c>
      <c r="AC6" s="87">
        <f>IF(AB6&gt;0,Ruimtestaat[[#This Row],[Prest. (m2 /jaar) weekend]]/Ruimtestaat[[#This Row],[Norm (m2/uur) weekend]],0)</f>
        <v>0</v>
      </c>
      <c r="AD6" s="88">
        <f>Ruimtestaat[[#This Row],[uren / jaar weekend]]*Tariefsopbouw!$D$40</f>
        <v>0</v>
      </c>
      <c r="AE6" s="89">
        <f>Ruimtestaat[[#This Row],[Prest. (m2 /jaar) weekend]]+Ruimtestaat[[#This Row],[Prest. (m2 /jaar) werkdagen]]</f>
        <v>54350</v>
      </c>
      <c r="AF6" s="89">
        <f>Ruimtestaat[[#This Row],[uren / jaar weekend]]+Ruimtestaat[[#This Row],[uren / jaar werkdagen]]</f>
        <v>0</v>
      </c>
      <c r="AG6" s="90">
        <f>Ruimtestaat[[#This Row],[kosten / jaar weekend]]+Ruimtestaat[[#This Row],[kosten / jaar werkdagen]]</f>
        <v>0</v>
      </c>
      <c r="AH6" s="91"/>
      <c r="HL6" s="67"/>
    </row>
    <row r="7" spans="1:220" ht="15" customHeight="1">
      <c r="A7" s="53">
        <v>1</v>
      </c>
      <c r="B7" s="53" t="str">
        <f>VLOOKUP(Ruimtestaat[[#This Row],[Code]],Locaties[#All],2,FALSE)</f>
        <v>Ir. Lely Lyceum</v>
      </c>
      <c r="C7" s="53" t="str">
        <f>VLOOKUP(Ruimtestaat[[#This Row],[Code]],Locaties[#All],4,FALSE)</f>
        <v>Ravenswaaipad 3</v>
      </c>
      <c r="D7" s="53" t="str">
        <f>VLOOKUP(Ruimtestaat[[#This Row],[Code]],Locaties[#All],5,FALSE)</f>
        <v>1106 AW</v>
      </c>
      <c r="E7" s="53" t="str">
        <f>VLOOKUP(Ruimtestaat[[#This Row],[Code]],Locaties[#All],6,FALSE)</f>
        <v>Amsterdam</v>
      </c>
      <c r="F7" s="78" t="s">
        <v>347</v>
      </c>
      <c r="G7" s="53" t="s">
        <v>348</v>
      </c>
      <c r="H7" s="53" t="s">
        <v>354</v>
      </c>
      <c r="I7" s="23" t="s">
        <v>355</v>
      </c>
      <c r="J7" s="53">
        <v>6</v>
      </c>
      <c r="K7" s="78" t="str">
        <f>VLOOKUP(J7,Ruimtegroepen[],2,FALSE)</f>
        <v>Gangen/hallen</v>
      </c>
      <c r="L7" s="53" t="s">
        <v>280</v>
      </c>
      <c r="M7" s="53" t="s">
        <v>353</v>
      </c>
      <c r="N7" s="79">
        <v>6</v>
      </c>
      <c r="O7" s="79"/>
      <c r="P7" s="80" t="str">
        <f>LEFT(VLOOKUP(Ruimtestaat[[#This Row],[Ruimte code]],Ruimtegroepen[#All],4,1),2)</f>
        <v xml:space="preserve">V </v>
      </c>
      <c r="Q7" s="79"/>
      <c r="R7" s="81">
        <v>40</v>
      </c>
      <c r="S7" s="81" t="s">
        <v>298</v>
      </c>
      <c r="T7" s="82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" s="82">
        <f>IF(T7&gt;0,VLOOKUP($J7,Ruimtegroepen[],3,FALSE)*VLOOKUP($L7,Vloersoorten[],3,FALSE)*VLOOKUP($S7,Frequenties[],3,FALSE)*VLOOKUP($A7,Locaties[],3,FALSE),0)</f>
        <v>0</v>
      </c>
      <c r="V7" s="83">
        <f>Ruimtestaat[[#This Row],[Uitvoeringen werkdagen]]*Ruimtestaat[[#This Row],[Oppervlak (netto)]]</f>
        <v>1200</v>
      </c>
      <c r="W7" s="84">
        <f>IF(U7&gt;0,Ruimtestaat[[#This Row],[Prest. (m2 /jaar) werkdagen]]/Ruimtestaat[[#This Row],[Norm (m2/uur) werkdagen]],0)</f>
        <v>0</v>
      </c>
      <c r="X7" s="85">
        <f>Ruimtestaat[[#This Row],[uren / jaar werkdagen]]*Tariefsopbouw!$E$35</f>
        <v>0</v>
      </c>
      <c r="Y7" s="82"/>
      <c r="Z7" s="86">
        <f>IF(Ruimtestaat[[#This Row],[Frequentie weekend]]&gt;0,VALUE(LEFT(Y7,1))*R7,0)</f>
        <v>0</v>
      </c>
      <c r="AA7" s="82">
        <f>IF($Z7&gt;0,VLOOKUP($J7,Ruimtegroepen[],3,FALSE)*VLOOKUP($L7,Vloersoorten[],3,FALSE)*VLOOKUP($Y7,Frequenties[],3,FALSE)*VLOOKUP($A2,Locaties[],3,FALSE),0)</f>
        <v>0</v>
      </c>
      <c r="AB7" s="84">
        <f>Ruimtestaat[[#This Row],[Uitvoeringen weekend]]*Ruimtestaat[[#This Row],[Oppervlak (netto)]]</f>
        <v>0</v>
      </c>
      <c r="AC7" s="87">
        <f>IF(AB7&gt;0,Ruimtestaat[[#This Row],[Prest. (m2 /jaar) weekend]]/Ruimtestaat[[#This Row],[Norm (m2/uur) weekend]],0)</f>
        <v>0</v>
      </c>
      <c r="AD7" s="88">
        <f>Ruimtestaat[[#This Row],[uren / jaar weekend]]*Tariefsopbouw!$D$40</f>
        <v>0</v>
      </c>
      <c r="AE7" s="89">
        <f>Ruimtestaat[[#This Row],[Prest. (m2 /jaar) weekend]]+Ruimtestaat[[#This Row],[Prest. (m2 /jaar) werkdagen]]</f>
        <v>1200</v>
      </c>
      <c r="AF7" s="89">
        <f>Ruimtestaat[[#This Row],[uren / jaar weekend]]+Ruimtestaat[[#This Row],[uren / jaar werkdagen]]</f>
        <v>0</v>
      </c>
      <c r="AG7" s="90">
        <f>Ruimtestaat[[#This Row],[kosten / jaar weekend]]+Ruimtestaat[[#This Row],[kosten / jaar werkdagen]]</f>
        <v>0</v>
      </c>
      <c r="AH7" s="91"/>
      <c r="HL7" s="67"/>
    </row>
    <row r="8" spans="1:220" ht="15" customHeight="1">
      <c r="A8" s="53">
        <v>1</v>
      </c>
      <c r="B8" s="53" t="str">
        <f>VLOOKUP(Ruimtestaat[[#This Row],[Code]],Locaties[#All],2,FALSE)</f>
        <v>Ir. Lely Lyceum</v>
      </c>
      <c r="C8" s="53" t="str">
        <f>VLOOKUP(Ruimtestaat[[#This Row],[Code]],Locaties[#All],4,FALSE)</f>
        <v>Ravenswaaipad 3</v>
      </c>
      <c r="D8" s="53" t="str">
        <f>VLOOKUP(Ruimtestaat[[#This Row],[Code]],Locaties[#All],5,FALSE)</f>
        <v>1106 AW</v>
      </c>
      <c r="E8" s="53" t="str">
        <f>VLOOKUP(Ruimtestaat[[#This Row],[Code]],Locaties[#All],6,FALSE)</f>
        <v>Amsterdam</v>
      </c>
      <c r="F8" s="78" t="s">
        <v>347</v>
      </c>
      <c r="G8" s="53" t="s">
        <v>348</v>
      </c>
      <c r="H8" s="53" t="s">
        <v>356</v>
      </c>
      <c r="I8" s="23" t="s">
        <v>357</v>
      </c>
      <c r="J8" s="53">
        <v>8</v>
      </c>
      <c r="K8" s="78" t="str">
        <f>VLOOKUP(J8,Ruimtegroepen[],2,FALSE)</f>
        <v>Mediatheek / OLC</v>
      </c>
      <c r="L8" s="53" t="s">
        <v>283</v>
      </c>
      <c r="M8" s="53" t="s">
        <v>136</v>
      </c>
      <c r="N8" s="79">
        <v>510.3</v>
      </c>
      <c r="O8" s="79"/>
      <c r="P8" s="80" t="str">
        <f>LEFT(VLOOKUP(Ruimtestaat[[#This Row],[Ruimte code]],Ruimtegroepen[#All],4,1),2)</f>
        <v xml:space="preserve">L </v>
      </c>
      <c r="Q8" s="79"/>
      <c r="R8" s="81">
        <v>40</v>
      </c>
      <c r="S8" s="81" t="s">
        <v>298</v>
      </c>
      <c r="T8" s="82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" s="82">
        <f>IF(T8&gt;0,VLOOKUP($J8,Ruimtegroepen[],3,FALSE)*VLOOKUP($L8,Vloersoorten[],3,FALSE)*VLOOKUP($S8,Frequenties[],3,FALSE)*VLOOKUP($A8,Locaties[],3,FALSE),0)</f>
        <v>0</v>
      </c>
      <c r="V8" s="83">
        <f>Ruimtestaat[[#This Row],[Uitvoeringen werkdagen]]*Ruimtestaat[[#This Row],[Oppervlak (netto)]]</f>
        <v>102060</v>
      </c>
      <c r="W8" s="84">
        <f>IF(U8&gt;0,Ruimtestaat[[#This Row],[Prest. (m2 /jaar) werkdagen]]/Ruimtestaat[[#This Row],[Norm (m2/uur) werkdagen]],0)</f>
        <v>0</v>
      </c>
      <c r="X8" s="85">
        <f>Ruimtestaat[[#This Row],[uren / jaar werkdagen]]*Tariefsopbouw!$E$35</f>
        <v>0</v>
      </c>
      <c r="Y8" s="82"/>
      <c r="Z8" s="86">
        <f>IF(Ruimtestaat[[#This Row],[Frequentie weekend]]&gt;0,VALUE(LEFT(Y8,1))*R8,0)</f>
        <v>0</v>
      </c>
      <c r="AA8" s="82">
        <f>IF($Z8&gt;0,VLOOKUP($J8,Ruimtegroepen[],3,FALSE)*VLOOKUP($L8,Vloersoorten[],3,FALSE)*VLOOKUP($Y8,Frequenties[],3,FALSE)*VLOOKUP($A3,Locaties[],3,FALSE),0)</f>
        <v>0</v>
      </c>
      <c r="AB8" s="84">
        <f>Ruimtestaat[[#This Row],[Uitvoeringen weekend]]*Ruimtestaat[[#This Row],[Oppervlak (netto)]]</f>
        <v>0</v>
      </c>
      <c r="AC8" s="87">
        <f>IF(AB8&gt;0,Ruimtestaat[[#This Row],[Prest. (m2 /jaar) weekend]]/Ruimtestaat[[#This Row],[Norm (m2/uur) weekend]],0)</f>
        <v>0</v>
      </c>
      <c r="AD8" s="88">
        <f>Ruimtestaat[[#This Row],[uren / jaar weekend]]*Tariefsopbouw!$D$40</f>
        <v>0</v>
      </c>
      <c r="AE8" s="89">
        <f>Ruimtestaat[[#This Row],[Prest. (m2 /jaar) weekend]]+Ruimtestaat[[#This Row],[Prest. (m2 /jaar) werkdagen]]</f>
        <v>102060</v>
      </c>
      <c r="AF8" s="89">
        <f>Ruimtestaat[[#This Row],[uren / jaar weekend]]+Ruimtestaat[[#This Row],[uren / jaar werkdagen]]</f>
        <v>0</v>
      </c>
      <c r="AG8" s="90">
        <f>Ruimtestaat[[#This Row],[kosten / jaar weekend]]+Ruimtestaat[[#This Row],[kosten / jaar werkdagen]]</f>
        <v>0</v>
      </c>
      <c r="AH8" s="91"/>
      <c r="HL8" s="67"/>
    </row>
    <row r="9" spans="1:220" ht="15" customHeight="1">
      <c r="A9" s="53">
        <v>1</v>
      </c>
      <c r="B9" s="53" t="str">
        <f>VLOOKUP(Ruimtestaat[[#This Row],[Code]],Locaties[#All],2,FALSE)</f>
        <v>Ir. Lely Lyceum</v>
      </c>
      <c r="C9" s="53" t="str">
        <f>VLOOKUP(Ruimtestaat[[#This Row],[Code]],Locaties[#All],4,FALSE)</f>
        <v>Ravenswaaipad 3</v>
      </c>
      <c r="D9" s="53" t="str">
        <f>VLOOKUP(Ruimtestaat[[#This Row],[Code]],Locaties[#All],5,FALSE)</f>
        <v>1106 AW</v>
      </c>
      <c r="E9" s="53" t="str">
        <f>VLOOKUP(Ruimtestaat[[#This Row],[Code]],Locaties[#All],6,FALSE)</f>
        <v>Amsterdam</v>
      </c>
      <c r="F9" s="78" t="s">
        <v>347</v>
      </c>
      <c r="G9" s="53" t="s">
        <v>348</v>
      </c>
      <c r="H9" s="53" t="s">
        <v>358</v>
      </c>
      <c r="I9" s="23" t="s">
        <v>359</v>
      </c>
      <c r="J9" s="53">
        <v>2</v>
      </c>
      <c r="K9" s="78" t="str">
        <f>VLOOKUP(J9,Ruimtegroepen[],2,FALSE)</f>
        <v>Kantoren</v>
      </c>
      <c r="L9" s="53" t="s">
        <v>280</v>
      </c>
      <c r="M9" s="53" t="s">
        <v>353</v>
      </c>
      <c r="N9" s="79">
        <v>22.8</v>
      </c>
      <c r="O9" s="79"/>
      <c r="P9" s="80" t="str">
        <f>LEFT(VLOOKUP(Ruimtestaat[[#This Row],[Ruimte code]],Ruimtegroepen[#All],4,1),2)</f>
        <v xml:space="preserve">B </v>
      </c>
      <c r="Q9" s="79"/>
      <c r="R9" s="81">
        <v>40</v>
      </c>
      <c r="S9" s="81" t="s">
        <v>298</v>
      </c>
      <c r="T9" s="82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" s="82">
        <f>IF(T9&gt;0,VLOOKUP($J9,Ruimtegroepen[],3,FALSE)*VLOOKUP($L9,Vloersoorten[],3,FALSE)*VLOOKUP($S9,Frequenties[],3,FALSE)*VLOOKUP($A9,Locaties[],3,FALSE),0)</f>
        <v>0</v>
      </c>
      <c r="V9" s="83">
        <f>Ruimtestaat[[#This Row],[Uitvoeringen werkdagen]]*Ruimtestaat[[#This Row],[Oppervlak (netto)]]</f>
        <v>4560</v>
      </c>
      <c r="W9" s="84">
        <f>IF(U9&gt;0,Ruimtestaat[[#This Row],[Prest. (m2 /jaar) werkdagen]]/Ruimtestaat[[#This Row],[Norm (m2/uur) werkdagen]],0)</f>
        <v>0</v>
      </c>
      <c r="X9" s="85">
        <f>Ruimtestaat[[#This Row],[uren / jaar werkdagen]]*Tariefsopbouw!$E$35</f>
        <v>0</v>
      </c>
      <c r="Y9" s="82"/>
      <c r="Z9" s="86">
        <f>IF(Ruimtestaat[[#This Row],[Frequentie weekend]]&gt;0,VALUE(LEFT(Y9,1))*R9,0)</f>
        <v>0</v>
      </c>
      <c r="AA9" s="82">
        <f>IF($Z9&gt;0,VLOOKUP($J9,Ruimtegroepen[],3,FALSE)*VLOOKUP($L9,Vloersoorten[],3,FALSE)*VLOOKUP($Y9,Frequenties[],3,FALSE)*VLOOKUP($A4,Locaties[],3,FALSE),0)</f>
        <v>0</v>
      </c>
      <c r="AB9" s="84">
        <f>Ruimtestaat[[#This Row],[Uitvoeringen weekend]]*Ruimtestaat[[#This Row],[Oppervlak (netto)]]</f>
        <v>0</v>
      </c>
      <c r="AC9" s="87">
        <f>IF(AB9&gt;0,Ruimtestaat[[#This Row],[Prest. (m2 /jaar) weekend]]/Ruimtestaat[[#This Row],[Norm (m2/uur) weekend]],0)</f>
        <v>0</v>
      </c>
      <c r="AD9" s="88">
        <f>Ruimtestaat[[#This Row],[uren / jaar weekend]]*Tariefsopbouw!$D$40</f>
        <v>0</v>
      </c>
      <c r="AE9" s="89">
        <f>Ruimtestaat[[#This Row],[Prest. (m2 /jaar) weekend]]+Ruimtestaat[[#This Row],[Prest. (m2 /jaar) werkdagen]]</f>
        <v>4560</v>
      </c>
      <c r="AF9" s="89">
        <f>Ruimtestaat[[#This Row],[uren / jaar weekend]]+Ruimtestaat[[#This Row],[uren / jaar werkdagen]]</f>
        <v>0</v>
      </c>
      <c r="AG9" s="90">
        <f>Ruimtestaat[[#This Row],[kosten / jaar weekend]]+Ruimtestaat[[#This Row],[kosten / jaar werkdagen]]</f>
        <v>0</v>
      </c>
      <c r="AH9" s="91"/>
      <c r="HL9" s="67"/>
    </row>
    <row r="10" spans="1:220" ht="15" customHeight="1">
      <c r="A10" s="53">
        <v>1</v>
      </c>
      <c r="B10" s="53" t="str">
        <f>VLOOKUP(Ruimtestaat[[#This Row],[Code]],Locaties[#All],2,FALSE)</f>
        <v>Ir. Lely Lyceum</v>
      </c>
      <c r="C10" s="53" t="str">
        <f>VLOOKUP(Ruimtestaat[[#This Row],[Code]],Locaties[#All],4,FALSE)</f>
        <v>Ravenswaaipad 3</v>
      </c>
      <c r="D10" s="53" t="str">
        <f>VLOOKUP(Ruimtestaat[[#This Row],[Code]],Locaties[#All],5,FALSE)</f>
        <v>1106 AW</v>
      </c>
      <c r="E10" s="53" t="str">
        <f>VLOOKUP(Ruimtestaat[[#This Row],[Code]],Locaties[#All],6,FALSE)</f>
        <v>Amsterdam</v>
      </c>
      <c r="F10" s="78" t="s">
        <v>347</v>
      </c>
      <c r="G10" s="53" t="s">
        <v>348</v>
      </c>
      <c r="H10" s="53" t="s">
        <v>360</v>
      </c>
      <c r="I10" s="23" t="s">
        <v>359</v>
      </c>
      <c r="J10" s="53">
        <v>2</v>
      </c>
      <c r="K10" s="78" t="str">
        <f>VLOOKUP(J10,Ruimtegroepen[],2,FALSE)</f>
        <v>Kantoren</v>
      </c>
      <c r="L10" s="53" t="s">
        <v>280</v>
      </c>
      <c r="M10" s="53" t="s">
        <v>353</v>
      </c>
      <c r="N10" s="79">
        <v>18</v>
      </c>
      <c r="O10" s="79"/>
      <c r="P10" s="80" t="str">
        <f>LEFT(VLOOKUP(Ruimtestaat[[#This Row],[Ruimte code]],Ruimtegroepen[#All],4,1),2)</f>
        <v xml:space="preserve">B </v>
      </c>
      <c r="Q10" s="79"/>
      <c r="R10" s="81">
        <v>40</v>
      </c>
      <c r="S10" s="81" t="s">
        <v>298</v>
      </c>
      <c r="T10" s="82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" s="82">
        <f>IF(T10&gt;0,VLOOKUP($J10,Ruimtegroepen[],3,FALSE)*VLOOKUP($L10,Vloersoorten[],3,FALSE)*VLOOKUP($S10,Frequenties[],3,FALSE)*VLOOKUP($A10,Locaties[],3,FALSE),0)</f>
        <v>0</v>
      </c>
      <c r="V10" s="83">
        <f>Ruimtestaat[[#This Row],[Uitvoeringen werkdagen]]*Ruimtestaat[[#This Row],[Oppervlak (netto)]]</f>
        <v>3600</v>
      </c>
      <c r="W10" s="84">
        <f>IF(U10&gt;0,Ruimtestaat[[#This Row],[Prest. (m2 /jaar) werkdagen]]/Ruimtestaat[[#This Row],[Norm (m2/uur) werkdagen]],0)</f>
        <v>0</v>
      </c>
      <c r="X10" s="85">
        <f>Ruimtestaat[[#This Row],[uren / jaar werkdagen]]*Tariefsopbouw!$E$35</f>
        <v>0</v>
      </c>
      <c r="Y10" s="82"/>
      <c r="Z10" s="86">
        <f>IF(Ruimtestaat[[#This Row],[Frequentie weekend]]&gt;0,VALUE(LEFT(Y10,1))*R10,0)</f>
        <v>0</v>
      </c>
      <c r="AA10" s="82">
        <f>IF($Z10&gt;0,VLOOKUP($J10,Ruimtegroepen[],3,FALSE)*VLOOKUP($L10,Vloersoorten[],3,FALSE)*VLOOKUP($Y10,Frequenties[],3,FALSE)*VLOOKUP($A6,Locaties[],3,FALSE),0)</f>
        <v>0</v>
      </c>
      <c r="AB10" s="84">
        <f>Ruimtestaat[[#This Row],[Uitvoeringen weekend]]*Ruimtestaat[[#This Row],[Oppervlak (netto)]]</f>
        <v>0</v>
      </c>
      <c r="AC10" s="87">
        <f>IF(AB10&gt;0,Ruimtestaat[[#This Row],[Prest. (m2 /jaar) weekend]]/Ruimtestaat[[#This Row],[Norm (m2/uur) weekend]],0)</f>
        <v>0</v>
      </c>
      <c r="AD10" s="88">
        <f>Ruimtestaat[[#This Row],[uren / jaar weekend]]*Tariefsopbouw!$D$40</f>
        <v>0</v>
      </c>
      <c r="AE10" s="89">
        <f>Ruimtestaat[[#This Row],[Prest. (m2 /jaar) weekend]]+Ruimtestaat[[#This Row],[Prest. (m2 /jaar) werkdagen]]</f>
        <v>3600</v>
      </c>
      <c r="AF10" s="89">
        <f>Ruimtestaat[[#This Row],[uren / jaar weekend]]+Ruimtestaat[[#This Row],[uren / jaar werkdagen]]</f>
        <v>0</v>
      </c>
      <c r="AG10" s="90">
        <f>Ruimtestaat[[#This Row],[kosten / jaar weekend]]+Ruimtestaat[[#This Row],[kosten / jaar werkdagen]]</f>
        <v>0</v>
      </c>
      <c r="AH10" s="91"/>
      <c r="HL10" s="67"/>
    </row>
    <row r="11" spans="1:220" ht="15" customHeight="1">
      <c r="A11" s="53">
        <v>1</v>
      </c>
      <c r="B11" s="53" t="str">
        <f>VLOOKUP(Ruimtestaat[[#This Row],[Code]],Locaties[#All],2,FALSE)</f>
        <v>Ir. Lely Lyceum</v>
      </c>
      <c r="C11" s="53" t="str">
        <f>VLOOKUP(Ruimtestaat[[#This Row],[Code]],Locaties[#All],4,FALSE)</f>
        <v>Ravenswaaipad 3</v>
      </c>
      <c r="D11" s="53" t="str">
        <f>VLOOKUP(Ruimtestaat[[#This Row],[Code]],Locaties[#All],5,FALSE)</f>
        <v>1106 AW</v>
      </c>
      <c r="E11" s="53" t="str">
        <f>VLOOKUP(Ruimtestaat[[#This Row],[Code]],Locaties[#All],6,FALSE)</f>
        <v>Amsterdam</v>
      </c>
      <c r="F11" s="78" t="s">
        <v>347</v>
      </c>
      <c r="G11" s="53" t="s">
        <v>348</v>
      </c>
      <c r="H11" s="53" t="s">
        <v>361</v>
      </c>
      <c r="I11" s="23" t="s">
        <v>362</v>
      </c>
      <c r="J11" s="53">
        <v>2</v>
      </c>
      <c r="K11" s="78" t="str">
        <f>VLOOKUP(J11,Ruimtegroepen[],2,FALSE)</f>
        <v>Kantoren</v>
      </c>
      <c r="L11" s="53" t="s">
        <v>280</v>
      </c>
      <c r="M11" s="53" t="s">
        <v>353</v>
      </c>
      <c r="N11" s="79">
        <v>34</v>
      </c>
      <c r="O11" s="79"/>
      <c r="P11" s="80" t="str">
        <f>LEFT(VLOOKUP(Ruimtestaat[[#This Row],[Ruimte code]],Ruimtegroepen[#All],4,1),2)</f>
        <v xml:space="preserve">B </v>
      </c>
      <c r="Q11" s="79"/>
      <c r="R11" s="81">
        <v>40</v>
      </c>
      <c r="S11" s="81" t="s">
        <v>298</v>
      </c>
      <c r="T11" s="82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" s="82">
        <f>IF(T11&gt;0,VLOOKUP($J11,Ruimtegroepen[],3,FALSE)*VLOOKUP($L11,Vloersoorten[],3,FALSE)*VLOOKUP($S11,Frequenties[],3,FALSE)*VLOOKUP($A11,Locaties[],3,FALSE),0)</f>
        <v>0</v>
      </c>
      <c r="V11" s="83">
        <f>Ruimtestaat[[#This Row],[Uitvoeringen werkdagen]]*Ruimtestaat[[#This Row],[Oppervlak (netto)]]</f>
        <v>6800</v>
      </c>
      <c r="W11" s="84">
        <f>IF(U11&gt;0,Ruimtestaat[[#This Row],[Prest. (m2 /jaar) werkdagen]]/Ruimtestaat[[#This Row],[Norm (m2/uur) werkdagen]],0)</f>
        <v>0</v>
      </c>
      <c r="X11" s="85">
        <f>Ruimtestaat[[#This Row],[uren / jaar werkdagen]]*Tariefsopbouw!$E$35</f>
        <v>0</v>
      </c>
      <c r="Y11" s="82"/>
      <c r="Z11" s="86">
        <f>IF(Ruimtestaat[[#This Row],[Frequentie weekend]]&gt;0,VALUE(LEFT(Y11,1))*R11,0)</f>
        <v>0</v>
      </c>
      <c r="AA11" s="82">
        <f>IF($Z11&gt;0,VLOOKUP($J11,Ruimtegroepen[],3,FALSE)*VLOOKUP($L11,Vloersoorten[],3,FALSE)*VLOOKUP($Y11,Frequenties[],3,FALSE)*VLOOKUP($A7,Locaties[],3,FALSE),0)</f>
        <v>0</v>
      </c>
      <c r="AB11" s="84">
        <f>Ruimtestaat[[#This Row],[Uitvoeringen weekend]]*Ruimtestaat[[#This Row],[Oppervlak (netto)]]</f>
        <v>0</v>
      </c>
      <c r="AC11" s="87">
        <f>IF(AB11&gt;0,Ruimtestaat[[#This Row],[Prest. (m2 /jaar) weekend]]/Ruimtestaat[[#This Row],[Norm (m2/uur) weekend]],0)</f>
        <v>0</v>
      </c>
      <c r="AD11" s="88">
        <f>Ruimtestaat[[#This Row],[uren / jaar weekend]]*Tariefsopbouw!$D$40</f>
        <v>0</v>
      </c>
      <c r="AE11" s="89">
        <f>Ruimtestaat[[#This Row],[Prest. (m2 /jaar) weekend]]+Ruimtestaat[[#This Row],[Prest. (m2 /jaar) werkdagen]]</f>
        <v>6800</v>
      </c>
      <c r="AF11" s="89">
        <f>Ruimtestaat[[#This Row],[uren / jaar weekend]]+Ruimtestaat[[#This Row],[uren / jaar werkdagen]]</f>
        <v>0</v>
      </c>
      <c r="AG11" s="90">
        <f>Ruimtestaat[[#This Row],[kosten / jaar weekend]]+Ruimtestaat[[#This Row],[kosten / jaar werkdagen]]</f>
        <v>0</v>
      </c>
      <c r="AH11" s="91"/>
      <c r="HL11" s="67"/>
    </row>
    <row r="12" spans="1:220" ht="15" customHeight="1">
      <c r="A12" s="53">
        <v>1</v>
      </c>
      <c r="B12" s="53" t="str">
        <f>VLOOKUP(Ruimtestaat[[#This Row],[Code]],Locaties[#All],2,FALSE)</f>
        <v>Ir. Lely Lyceum</v>
      </c>
      <c r="C12" s="53" t="str">
        <f>VLOOKUP(Ruimtestaat[[#This Row],[Code]],Locaties[#All],4,FALSE)</f>
        <v>Ravenswaaipad 3</v>
      </c>
      <c r="D12" s="53" t="str">
        <f>VLOOKUP(Ruimtestaat[[#This Row],[Code]],Locaties[#All],5,FALSE)</f>
        <v>1106 AW</v>
      </c>
      <c r="E12" s="53" t="str">
        <f>VLOOKUP(Ruimtestaat[[#This Row],[Code]],Locaties[#All],6,FALSE)</f>
        <v>Amsterdam</v>
      </c>
      <c r="F12" s="78" t="s">
        <v>347</v>
      </c>
      <c r="G12" s="53" t="s">
        <v>348</v>
      </c>
      <c r="H12" s="53" t="s">
        <v>363</v>
      </c>
      <c r="I12" s="23" t="s">
        <v>364</v>
      </c>
      <c r="J12" s="53">
        <v>15</v>
      </c>
      <c r="K12" s="78" t="str">
        <f>VLOOKUP(J12,Ruimtegroepen[],2,FALSE)</f>
        <v>Keuken/pantry</v>
      </c>
      <c r="L12" s="53" t="s">
        <v>280</v>
      </c>
      <c r="M12" s="53" t="s">
        <v>353</v>
      </c>
      <c r="N12" s="79">
        <v>20.25</v>
      </c>
      <c r="O12" s="79"/>
      <c r="P12" s="80" t="str">
        <f>LEFT(VLOOKUP(Ruimtestaat[[#This Row],[Ruimte code]],Ruimtegroepen[#All],4,1),2)</f>
        <v xml:space="preserve">V </v>
      </c>
      <c r="Q12" s="79"/>
      <c r="R12" s="81">
        <v>40</v>
      </c>
      <c r="S12" s="81" t="s">
        <v>298</v>
      </c>
      <c r="T12" s="82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" s="82">
        <f>IF(T12&gt;0,VLOOKUP($J12,Ruimtegroepen[],3,FALSE)*VLOOKUP($L12,Vloersoorten[],3,FALSE)*VLOOKUP($S12,Frequenties[],3,FALSE)*VLOOKUP($A12,Locaties[],3,FALSE),0)</f>
        <v>0</v>
      </c>
      <c r="V12" s="83">
        <f>Ruimtestaat[[#This Row],[Uitvoeringen werkdagen]]*Ruimtestaat[[#This Row],[Oppervlak (netto)]]</f>
        <v>4050</v>
      </c>
      <c r="W12" s="84">
        <f>IF(U12&gt;0,Ruimtestaat[[#This Row],[Prest. (m2 /jaar) werkdagen]]/Ruimtestaat[[#This Row],[Norm (m2/uur) werkdagen]],0)</f>
        <v>0</v>
      </c>
      <c r="X12" s="85">
        <f>Ruimtestaat[[#This Row],[uren / jaar werkdagen]]*Tariefsopbouw!$E$35</f>
        <v>0</v>
      </c>
      <c r="Y12" s="82"/>
      <c r="Z12" s="86">
        <f>IF(Ruimtestaat[[#This Row],[Frequentie weekend]]&gt;0,VALUE(LEFT(Y12,1))*R12,0)</f>
        <v>0</v>
      </c>
      <c r="AA12" s="82">
        <f>IF($Z12&gt;0,VLOOKUP($J12,Ruimtegroepen[],3,FALSE)*VLOOKUP($L12,Vloersoorten[],3,FALSE)*VLOOKUP($Y12,Frequenties[],3,FALSE)*VLOOKUP($A8,Locaties[],3,FALSE),0)</f>
        <v>0</v>
      </c>
      <c r="AB12" s="84">
        <f>Ruimtestaat[[#This Row],[Uitvoeringen weekend]]*Ruimtestaat[[#This Row],[Oppervlak (netto)]]</f>
        <v>0</v>
      </c>
      <c r="AC12" s="87">
        <f>IF(AB12&gt;0,Ruimtestaat[[#This Row],[Prest. (m2 /jaar) weekend]]/Ruimtestaat[[#This Row],[Norm (m2/uur) weekend]],0)</f>
        <v>0</v>
      </c>
      <c r="AD12" s="88">
        <f>Ruimtestaat[[#This Row],[uren / jaar weekend]]*Tariefsopbouw!$D$40</f>
        <v>0</v>
      </c>
      <c r="AE12" s="89">
        <f>Ruimtestaat[[#This Row],[Prest. (m2 /jaar) weekend]]+Ruimtestaat[[#This Row],[Prest. (m2 /jaar) werkdagen]]</f>
        <v>4050</v>
      </c>
      <c r="AF12" s="89">
        <f>Ruimtestaat[[#This Row],[uren / jaar weekend]]+Ruimtestaat[[#This Row],[uren / jaar werkdagen]]</f>
        <v>0</v>
      </c>
      <c r="AG12" s="90">
        <f>Ruimtestaat[[#This Row],[kosten / jaar weekend]]+Ruimtestaat[[#This Row],[kosten / jaar werkdagen]]</f>
        <v>0</v>
      </c>
      <c r="AH12" s="91"/>
      <c r="HL12" s="67"/>
    </row>
    <row r="13" spans="1:220" ht="15" customHeight="1">
      <c r="A13" s="53">
        <v>1</v>
      </c>
      <c r="B13" s="53" t="str">
        <f>VLOOKUP(Ruimtestaat[[#This Row],[Code]],Locaties[#All],2,FALSE)</f>
        <v>Ir. Lely Lyceum</v>
      </c>
      <c r="C13" s="53" t="str">
        <f>VLOOKUP(Ruimtestaat[[#This Row],[Code]],Locaties[#All],4,FALSE)</f>
        <v>Ravenswaaipad 3</v>
      </c>
      <c r="D13" s="53" t="str">
        <f>VLOOKUP(Ruimtestaat[[#This Row],[Code]],Locaties[#All],5,FALSE)</f>
        <v>1106 AW</v>
      </c>
      <c r="E13" s="53" t="str">
        <f>VLOOKUP(Ruimtestaat[[#This Row],[Code]],Locaties[#All],6,FALSE)</f>
        <v>Amsterdam</v>
      </c>
      <c r="F13" s="78" t="s">
        <v>347</v>
      </c>
      <c r="G13" s="53" t="s">
        <v>348</v>
      </c>
      <c r="H13" s="53" t="s">
        <v>365</v>
      </c>
      <c r="I13" s="23" t="s">
        <v>366</v>
      </c>
      <c r="J13" s="53">
        <v>12</v>
      </c>
      <c r="K13" s="78" t="str">
        <f>VLOOKUP(J13,Ruimtegroepen[],2,FALSE)</f>
        <v>Kantine</v>
      </c>
      <c r="L13" s="53" t="s">
        <v>280</v>
      </c>
      <c r="M13" s="53" t="s">
        <v>353</v>
      </c>
      <c r="N13" s="79">
        <v>667.5</v>
      </c>
      <c r="O13" s="79"/>
      <c r="P13" s="80" t="str">
        <f>LEFT(VLOOKUP(Ruimtestaat[[#This Row],[Ruimte code]],Ruimtegroepen[#All],4,1),2)</f>
        <v xml:space="preserve">V </v>
      </c>
      <c r="Q13" s="79"/>
      <c r="R13" s="81">
        <v>40</v>
      </c>
      <c r="S13" s="81" t="s">
        <v>298</v>
      </c>
      <c r="T13" s="82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" s="82">
        <f>IF(T13&gt;0,VLOOKUP($J13,Ruimtegroepen[],3,FALSE)*VLOOKUP($L13,Vloersoorten[],3,FALSE)*VLOOKUP($S13,Frequenties[],3,FALSE)*VLOOKUP($A13,Locaties[],3,FALSE),0)</f>
        <v>0</v>
      </c>
      <c r="V13" s="83">
        <f>Ruimtestaat[[#This Row],[Uitvoeringen werkdagen]]*Ruimtestaat[[#This Row],[Oppervlak (netto)]]</f>
        <v>133500</v>
      </c>
      <c r="W13" s="84">
        <f>IF(U13&gt;0,Ruimtestaat[[#This Row],[Prest. (m2 /jaar) werkdagen]]/Ruimtestaat[[#This Row],[Norm (m2/uur) werkdagen]],0)</f>
        <v>0</v>
      </c>
      <c r="X13" s="85">
        <f>Ruimtestaat[[#This Row],[uren / jaar werkdagen]]*Tariefsopbouw!$E$35</f>
        <v>0</v>
      </c>
      <c r="Y13" s="82"/>
      <c r="Z13" s="86">
        <f>IF(Ruimtestaat[[#This Row],[Frequentie weekend]]&gt;0,VALUE(LEFT(Y13,1))*R13,0)</f>
        <v>0</v>
      </c>
      <c r="AA13" s="82">
        <f>IF($Z13&gt;0,VLOOKUP($J13,Ruimtegroepen[],3,FALSE)*VLOOKUP($L13,Vloersoorten[],3,FALSE)*VLOOKUP($Y13,Frequenties[],3,FALSE)*VLOOKUP($A9,Locaties[],3,FALSE),0)</f>
        <v>0</v>
      </c>
      <c r="AB13" s="84">
        <f>Ruimtestaat[[#This Row],[Uitvoeringen weekend]]*Ruimtestaat[[#This Row],[Oppervlak (netto)]]</f>
        <v>0</v>
      </c>
      <c r="AC13" s="87">
        <f>IF(AB13&gt;0,Ruimtestaat[[#This Row],[Prest. (m2 /jaar) weekend]]/Ruimtestaat[[#This Row],[Norm (m2/uur) weekend]],0)</f>
        <v>0</v>
      </c>
      <c r="AD13" s="88">
        <f>Ruimtestaat[[#This Row],[uren / jaar weekend]]*Tariefsopbouw!$D$40</f>
        <v>0</v>
      </c>
      <c r="AE13" s="89">
        <f>Ruimtestaat[[#This Row],[Prest. (m2 /jaar) weekend]]+Ruimtestaat[[#This Row],[Prest. (m2 /jaar) werkdagen]]</f>
        <v>133500</v>
      </c>
      <c r="AF13" s="89">
        <f>Ruimtestaat[[#This Row],[uren / jaar weekend]]+Ruimtestaat[[#This Row],[uren / jaar werkdagen]]</f>
        <v>0</v>
      </c>
      <c r="AG13" s="90">
        <f>Ruimtestaat[[#This Row],[kosten / jaar weekend]]+Ruimtestaat[[#This Row],[kosten / jaar werkdagen]]</f>
        <v>0</v>
      </c>
      <c r="AH13" s="91"/>
      <c r="HL13" s="67"/>
    </row>
    <row r="14" spans="1:220" ht="15" customHeight="1">
      <c r="A14" s="53">
        <v>1</v>
      </c>
      <c r="B14" s="53" t="str">
        <f>VLOOKUP(Ruimtestaat[[#This Row],[Code]],Locaties[#All],2,FALSE)</f>
        <v>Ir. Lely Lyceum</v>
      </c>
      <c r="C14" s="53" t="str">
        <f>VLOOKUP(Ruimtestaat[[#This Row],[Code]],Locaties[#All],4,FALSE)</f>
        <v>Ravenswaaipad 3</v>
      </c>
      <c r="D14" s="53" t="str">
        <f>VLOOKUP(Ruimtestaat[[#This Row],[Code]],Locaties[#All],5,FALSE)</f>
        <v>1106 AW</v>
      </c>
      <c r="E14" s="53" t="str">
        <f>VLOOKUP(Ruimtestaat[[#This Row],[Code]],Locaties[#All],6,FALSE)</f>
        <v>Amsterdam</v>
      </c>
      <c r="F14" s="78" t="s">
        <v>347</v>
      </c>
      <c r="G14" s="53" t="s">
        <v>348</v>
      </c>
      <c r="I14" s="23" t="s">
        <v>367</v>
      </c>
      <c r="J14" s="53">
        <v>9</v>
      </c>
      <c r="K14" s="78" t="str">
        <f>VLOOKUP(J14,Ruimtegroepen[],2,FALSE)</f>
        <v>Publieksruimte</v>
      </c>
      <c r="L14" s="53" t="s">
        <v>280</v>
      </c>
      <c r="M14" s="53" t="s">
        <v>353</v>
      </c>
      <c r="N14" s="79">
        <v>27</v>
      </c>
      <c r="O14" s="79"/>
      <c r="P14" s="80" t="str">
        <f>LEFT(VLOOKUP(Ruimtestaat[[#This Row],[Ruimte code]],Ruimtegroepen[#All],4,1),2)</f>
        <v xml:space="preserve">V </v>
      </c>
      <c r="Q14" s="79"/>
      <c r="R14" s="81">
        <v>40</v>
      </c>
      <c r="S14" s="81" t="s">
        <v>298</v>
      </c>
      <c r="T14" s="82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" s="82">
        <f>IF(T14&gt;0,VLOOKUP($J14,Ruimtegroepen[],3,FALSE)*VLOOKUP($L14,Vloersoorten[],3,FALSE)*VLOOKUP($S14,Frequenties[],3,FALSE)*VLOOKUP($A14,Locaties[],3,FALSE),0)</f>
        <v>0</v>
      </c>
      <c r="V14" s="83">
        <f>Ruimtestaat[[#This Row],[Uitvoeringen werkdagen]]*Ruimtestaat[[#This Row],[Oppervlak (netto)]]</f>
        <v>5400</v>
      </c>
      <c r="W14" s="84">
        <f>IF(U14&gt;0,Ruimtestaat[[#This Row],[Prest. (m2 /jaar) werkdagen]]/Ruimtestaat[[#This Row],[Norm (m2/uur) werkdagen]],0)</f>
        <v>0</v>
      </c>
      <c r="X14" s="85">
        <f>Ruimtestaat[[#This Row],[uren / jaar werkdagen]]*Tariefsopbouw!$E$35</f>
        <v>0</v>
      </c>
      <c r="Y14" s="82"/>
      <c r="Z14" s="86">
        <f>IF(Ruimtestaat[[#This Row],[Frequentie weekend]]&gt;0,VALUE(LEFT(Y14,1))*R14,0)</f>
        <v>0</v>
      </c>
      <c r="AA14" s="82">
        <f>IF($Z14&gt;0,VLOOKUP($J14,Ruimtegroepen[],3,FALSE)*VLOOKUP($L14,Vloersoorten[],3,FALSE)*VLOOKUP($Y14,Frequenties[],3,FALSE)*VLOOKUP($A10,Locaties[],3,FALSE),0)</f>
        <v>0</v>
      </c>
      <c r="AB14" s="84">
        <f>Ruimtestaat[[#This Row],[Uitvoeringen weekend]]*Ruimtestaat[[#This Row],[Oppervlak (netto)]]</f>
        <v>0</v>
      </c>
      <c r="AC14" s="87">
        <f>IF(AB14&gt;0,Ruimtestaat[[#This Row],[Prest. (m2 /jaar) weekend]]/Ruimtestaat[[#This Row],[Norm (m2/uur) weekend]],0)</f>
        <v>0</v>
      </c>
      <c r="AD14" s="88">
        <f>Ruimtestaat[[#This Row],[uren / jaar weekend]]*Tariefsopbouw!$D$40</f>
        <v>0</v>
      </c>
      <c r="AE14" s="89">
        <f>Ruimtestaat[[#This Row],[Prest. (m2 /jaar) weekend]]+Ruimtestaat[[#This Row],[Prest. (m2 /jaar) werkdagen]]</f>
        <v>5400</v>
      </c>
      <c r="AF14" s="89">
        <f>Ruimtestaat[[#This Row],[uren / jaar weekend]]+Ruimtestaat[[#This Row],[uren / jaar werkdagen]]</f>
        <v>0</v>
      </c>
      <c r="AG14" s="90">
        <f>Ruimtestaat[[#This Row],[kosten / jaar weekend]]+Ruimtestaat[[#This Row],[kosten / jaar werkdagen]]</f>
        <v>0</v>
      </c>
      <c r="AH14" s="91"/>
      <c r="HL14" s="67"/>
    </row>
    <row r="15" spans="1:220" ht="12.75" customHeight="1">
      <c r="A15" s="53">
        <v>1</v>
      </c>
      <c r="B15" s="53" t="str">
        <f>VLOOKUP(Ruimtestaat[[#This Row],[Code]],Locaties[#All],2,FALSE)</f>
        <v>Ir. Lely Lyceum</v>
      </c>
      <c r="C15" s="53" t="str">
        <f>VLOOKUP(Ruimtestaat[[#This Row],[Code]],Locaties[#All],4,FALSE)</f>
        <v>Ravenswaaipad 3</v>
      </c>
      <c r="D15" s="53" t="str">
        <f>VLOOKUP(Ruimtestaat[[#This Row],[Code]],Locaties[#All],5,FALSE)</f>
        <v>1106 AW</v>
      </c>
      <c r="E15" s="53" t="str">
        <f>VLOOKUP(Ruimtestaat[[#This Row],[Code]],Locaties[#All],6,FALSE)</f>
        <v>Amsterdam</v>
      </c>
      <c r="F15" s="78" t="s">
        <v>347</v>
      </c>
      <c r="G15" s="53" t="s">
        <v>348</v>
      </c>
      <c r="H15" s="53" t="s">
        <v>368</v>
      </c>
      <c r="I15" s="23" t="s">
        <v>369</v>
      </c>
      <c r="J15" s="53">
        <v>5</v>
      </c>
      <c r="K15" s="78" t="str">
        <f>VLOOKUP(J15,Ruimtegroepen[],2,FALSE)</f>
        <v>Sanitair</v>
      </c>
      <c r="L15" s="53" t="s">
        <v>285</v>
      </c>
      <c r="M15" s="53" t="s">
        <v>370</v>
      </c>
      <c r="N15" s="79">
        <v>7</v>
      </c>
      <c r="O15" s="79"/>
      <c r="P15" s="80" t="str">
        <f>LEFT(VLOOKUP(Ruimtestaat[[#This Row],[Ruimte code]],Ruimtegroepen[#All],4,1),2)</f>
        <v xml:space="preserve">S </v>
      </c>
      <c r="Q15" s="79"/>
      <c r="R15" s="81">
        <v>40</v>
      </c>
      <c r="S15" s="81" t="s">
        <v>298</v>
      </c>
      <c r="T15" s="82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" s="82">
        <f>IF(T15&gt;0,VLOOKUP($J15,Ruimtegroepen[],3,FALSE)*VLOOKUP($L15,Vloersoorten[],3,FALSE)*VLOOKUP($S15,Frequenties[],3,FALSE)*VLOOKUP($A15,Locaties[],3,FALSE),0)</f>
        <v>0</v>
      </c>
      <c r="V15" s="83">
        <f>Ruimtestaat[[#This Row],[Uitvoeringen werkdagen]]*Ruimtestaat[[#This Row],[Oppervlak (netto)]]</f>
        <v>1400</v>
      </c>
      <c r="W15" s="84">
        <f>IF(U15&gt;0,Ruimtestaat[[#This Row],[Prest. (m2 /jaar) werkdagen]]/Ruimtestaat[[#This Row],[Norm (m2/uur) werkdagen]],0)</f>
        <v>0</v>
      </c>
      <c r="X15" s="85">
        <f>Ruimtestaat[[#This Row],[uren / jaar werkdagen]]*Tariefsopbouw!$E$35</f>
        <v>0</v>
      </c>
      <c r="Y15" s="82"/>
      <c r="Z15" s="86">
        <f>IF(Ruimtestaat[[#This Row],[Frequentie weekend]]&gt;0,VALUE(LEFT(Y15,1))*R15,0)</f>
        <v>0</v>
      </c>
      <c r="AA15" s="82">
        <f>IF($Z15&gt;0,VLOOKUP($J15,Ruimtegroepen[],3,FALSE)*VLOOKUP($L15,Vloersoorten[],3,FALSE)*VLOOKUP($Y15,Frequenties[],3,FALSE)*VLOOKUP($A11,Locaties[],3,FALSE),0)</f>
        <v>0</v>
      </c>
      <c r="AB15" s="84">
        <f>Ruimtestaat[[#This Row],[Uitvoeringen weekend]]*Ruimtestaat[[#This Row],[Oppervlak (netto)]]</f>
        <v>0</v>
      </c>
      <c r="AC15" s="87">
        <f>IF(AB15&gt;0,Ruimtestaat[[#This Row],[Prest. (m2 /jaar) weekend]]/Ruimtestaat[[#This Row],[Norm (m2/uur) weekend]],0)</f>
        <v>0</v>
      </c>
      <c r="AD15" s="88">
        <f>Ruimtestaat[[#This Row],[uren / jaar weekend]]*Tariefsopbouw!$D$40</f>
        <v>0</v>
      </c>
      <c r="AE15" s="89">
        <f>Ruimtestaat[[#This Row],[Prest. (m2 /jaar) weekend]]+Ruimtestaat[[#This Row],[Prest. (m2 /jaar) werkdagen]]</f>
        <v>1400</v>
      </c>
      <c r="AF15" s="89">
        <f>Ruimtestaat[[#This Row],[uren / jaar weekend]]+Ruimtestaat[[#This Row],[uren / jaar werkdagen]]</f>
        <v>0</v>
      </c>
      <c r="AG15" s="90">
        <f>Ruimtestaat[[#This Row],[kosten / jaar weekend]]+Ruimtestaat[[#This Row],[kosten / jaar werkdagen]]</f>
        <v>0</v>
      </c>
      <c r="AH15" s="91"/>
      <c r="HL15" s="67"/>
    </row>
    <row r="16" spans="1:220" ht="15" customHeight="1">
      <c r="A16" s="53">
        <v>1</v>
      </c>
      <c r="B16" s="53" t="str">
        <f>VLOOKUP(Ruimtestaat[[#This Row],[Code]],Locaties[#All],2,FALSE)</f>
        <v>Ir. Lely Lyceum</v>
      </c>
      <c r="C16" s="53" t="str">
        <f>VLOOKUP(Ruimtestaat[[#This Row],[Code]],Locaties[#All],4,FALSE)</f>
        <v>Ravenswaaipad 3</v>
      </c>
      <c r="D16" s="53" t="str">
        <f>VLOOKUP(Ruimtestaat[[#This Row],[Code]],Locaties[#All],5,FALSE)</f>
        <v>1106 AW</v>
      </c>
      <c r="E16" s="53" t="str">
        <f>VLOOKUP(Ruimtestaat[[#This Row],[Code]],Locaties[#All],6,FALSE)</f>
        <v>Amsterdam</v>
      </c>
      <c r="F16" s="78" t="s">
        <v>347</v>
      </c>
      <c r="G16" s="53" t="s">
        <v>348</v>
      </c>
      <c r="H16" s="53" t="s">
        <v>371</v>
      </c>
      <c r="I16" s="23" t="s">
        <v>372</v>
      </c>
      <c r="J16" s="53">
        <v>5</v>
      </c>
      <c r="K16" s="78" t="str">
        <f>VLOOKUP(J16,Ruimtegroepen[],2,FALSE)</f>
        <v>Sanitair</v>
      </c>
      <c r="L16" s="53" t="s">
        <v>285</v>
      </c>
      <c r="M16" s="53" t="s">
        <v>370</v>
      </c>
      <c r="N16" s="79">
        <v>7</v>
      </c>
      <c r="O16" s="79"/>
      <c r="P16" s="80" t="str">
        <f>LEFT(VLOOKUP(Ruimtestaat[[#This Row],[Ruimte code]],Ruimtegroepen[#All],4,1),2)</f>
        <v xml:space="preserve">S </v>
      </c>
      <c r="Q16" s="79"/>
      <c r="R16" s="81">
        <v>40</v>
      </c>
      <c r="S16" s="81" t="s">
        <v>298</v>
      </c>
      <c r="T16" s="82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" s="82">
        <f>IF(T16&gt;0,VLOOKUP($J16,Ruimtegroepen[],3,FALSE)*VLOOKUP($L16,Vloersoorten[],3,FALSE)*VLOOKUP($S16,Frequenties[],3,FALSE)*VLOOKUP($A16,Locaties[],3,FALSE),0)</f>
        <v>0</v>
      </c>
      <c r="V16" s="83">
        <f>Ruimtestaat[[#This Row],[Uitvoeringen werkdagen]]*Ruimtestaat[[#This Row],[Oppervlak (netto)]]</f>
        <v>1400</v>
      </c>
      <c r="W16" s="84">
        <f>IF(U16&gt;0,Ruimtestaat[[#This Row],[Prest. (m2 /jaar) werkdagen]]/Ruimtestaat[[#This Row],[Norm (m2/uur) werkdagen]],0)</f>
        <v>0</v>
      </c>
      <c r="X16" s="85">
        <f>Ruimtestaat[[#This Row],[uren / jaar werkdagen]]*Tariefsopbouw!$E$35</f>
        <v>0</v>
      </c>
      <c r="Y16" s="82"/>
      <c r="Z16" s="86">
        <f>IF(Ruimtestaat[[#This Row],[Frequentie weekend]]&gt;0,VALUE(LEFT(Y16,1))*R16,0)</f>
        <v>0</v>
      </c>
      <c r="AA16" s="82">
        <f>IF($Z16&gt;0,VLOOKUP($J16,Ruimtegroepen[],3,FALSE)*VLOOKUP($L16,Vloersoorten[],3,FALSE)*VLOOKUP($Y16,Frequenties[],3,FALSE)*VLOOKUP($A12,Locaties[],3,FALSE),0)</f>
        <v>0</v>
      </c>
      <c r="AB16" s="84">
        <f>Ruimtestaat[[#This Row],[Uitvoeringen weekend]]*Ruimtestaat[[#This Row],[Oppervlak (netto)]]</f>
        <v>0</v>
      </c>
      <c r="AC16" s="87">
        <f>IF(AB16&gt;0,Ruimtestaat[[#This Row],[Prest. (m2 /jaar) weekend]]/Ruimtestaat[[#This Row],[Norm (m2/uur) weekend]],0)</f>
        <v>0</v>
      </c>
      <c r="AD16" s="88">
        <f>Ruimtestaat[[#This Row],[uren / jaar weekend]]*Tariefsopbouw!$D$40</f>
        <v>0</v>
      </c>
      <c r="AE16" s="89">
        <f>Ruimtestaat[[#This Row],[Prest. (m2 /jaar) weekend]]+Ruimtestaat[[#This Row],[Prest. (m2 /jaar) werkdagen]]</f>
        <v>1400</v>
      </c>
      <c r="AF16" s="89">
        <f>Ruimtestaat[[#This Row],[uren / jaar weekend]]+Ruimtestaat[[#This Row],[uren / jaar werkdagen]]</f>
        <v>0</v>
      </c>
      <c r="AG16" s="90">
        <f>Ruimtestaat[[#This Row],[kosten / jaar weekend]]+Ruimtestaat[[#This Row],[kosten / jaar werkdagen]]</f>
        <v>0</v>
      </c>
      <c r="AH16" s="91"/>
      <c r="HL16" s="67"/>
    </row>
    <row r="17" spans="1:220" ht="15" customHeight="1">
      <c r="A17" s="53">
        <v>1</v>
      </c>
      <c r="B17" s="53" t="str">
        <f>VLOOKUP(Ruimtestaat[[#This Row],[Code]],Locaties[#All],2,FALSE)</f>
        <v>Ir. Lely Lyceum</v>
      </c>
      <c r="C17" s="53" t="str">
        <f>VLOOKUP(Ruimtestaat[[#This Row],[Code]],Locaties[#All],4,FALSE)</f>
        <v>Ravenswaaipad 3</v>
      </c>
      <c r="D17" s="53" t="str">
        <f>VLOOKUP(Ruimtestaat[[#This Row],[Code]],Locaties[#All],5,FALSE)</f>
        <v>1106 AW</v>
      </c>
      <c r="E17" s="53" t="str">
        <f>VLOOKUP(Ruimtestaat[[#This Row],[Code]],Locaties[#All],6,FALSE)</f>
        <v>Amsterdam</v>
      </c>
      <c r="F17" s="78" t="s">
        <v>347</v>
      </c>
      <c r="G17" s="53" t="s">
        <v>348</v>
      </c>
      <c r="H17" s="53" t="s">
        <v>373</v>
      </c>
      <c r="I17" s="23" t="s">
        <v>374</v>
      </c>
      <c r="J17" s="53">
        <v>20</v>
      </c>
      <c r="K17" s="78" t="str">
        <f>VLOOKUP(J17,Ruimtegroepen[],2,FALSE)</f>
        <v>Niet in onderhoud</v>
      </c>
      <c r="L17" s="53" t="s">
        <v>280</v>
      </c>
      <c r="M17" s="53" t="s">
        <v>353</v>
      </c>
      <c r="N17" s="79"/>
      <c r="O17" s="79">
        <v>34</v>
      </c>
      <c r="P17" s="80" t="str">
        <f>LEFT(VLOOKUP(Ruimtestaat[[#This Row],[Ruimte code]],Ruimtegroepen[#All],4,1),2)</f>
        <v/>
      </c>
      <c r="Q17" s="79"/>
      <c r="R17" s="81"/>
      <c r="S17" s="81"/>
      <c r="T17" s="82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7" s="82">
        <f>IF(T17&gt;0,VLOOKUP($J17,Ruimtegroepen[],3,FALSE)*VLOOKUP($L17,Vloersoorten[],3,FALSE)*VLOOKUP($S17,Frequenties[],3,FALSE)*VLOOKUP($A17,Locaties[],3,FALSE),0)</f>
        <v>0</v>
      </c>
      <c r="V17" s="83">
        <f>Ruimtestaat[[#This Row],[Uitvoeringen werkdagen]]*Ruimtestaat[[#This Row],[Oppervlak (netto)]]</f>
        <v>0</v>
      </c>
      <c r="W17" s="84">
        <f>IF(U17&gt;0,Ruimtestaat[[#This Row],[Prest. (m2 /jaar) werkdagen]]/Ruimtestaat[[#This Row],[Norm (m2/uur) werkdagen]],0)</f>
        <v>0</v>
      </c>
      <c r="X17" s="85">
        <f>Ruimtestaat[[#This Row],[uren / jaar werkdagen]]*Tariefsopbouw!$E$35</f>
        <v>0</v>
      </c>
      <c r="Y17" s="82"/>
      <c r="Z17" s="86">
        <f>IF(Ruimtestaat[[#This Row],[Frequentie weekend]]&gt;0,VALUE(LEFT(Y17,1))*R17,0)</f>
        <v>0</v>
      </c>
      <c r="AA17" s="82">
        <f>IF($Z17&gt;0,VLOOKUP($J17,Ruimtegroepen[],3,FALSE)*VLOOKUP($L17,Vloersoorten[],3,FALSE)*VLOOKUP($Y17,Frequenties[],3,FALSE)*VLOOKUP($A13,Locaties[],3,FALSE),0)</f>
        <v>0</v>
      </c>
      <c r="AB17" s="84">
        <f>Ruimtestaat[[#This Row],[Uitvoeringen weekend]]*Ruimtestaat[[#This Row],[Oppervlak (netto)]]</f>
        <v>0</v>
      </c>
      <c r="AC17" s="87">
        <f>IF(AB17&gt;0,Ruimtestaat[[#This Row],[Prest. (m2 /jaar) weekend]]/Ruimtestaat[[#This Row],[Norm (m2/uur) weekend]],0)</f>
        <v>0</v>
      </c>
      <c r="AD17" s="88">
        <f>Ruimtestaat[[#This Row],[uren / jaar weekend]]*Tariefsopbouw!$D$40</f>
        <v>0</v>
      </c>
      <c r="AE17" s="89">
        <f>Ruimtestaat[[#This Row],[Prest. (m2 /jaar) weekend]]+Ruimtestaat[[#This Row],[Prest. (m2 /jaar) werkdagen]]</f>
        <v>0</v>
      </c>
      <c r="AF17" s="89">
        <f>Ruimtestaat[[#This Row],[uren / jaar weekend]]+Ruimtestaat[[#This Row],[uren / jaar werkdagen]]</f>
        <v>0</v>
      </c>
      <c r="AG17" s="90">
        <f>Ruimtestaat[[#This Row],[kosten / jaar weekend]]+Ruimtestaat[[#This Row],[kosten / jaar werkdagen]]</f>
        <v>0</v>
      </c>
      <c r="AH17" s="91"/>
      <c r="HL17" s="67"/>
    </row>
    <row r="18" spans="1:220" ht="15" customHeight="1">
      <c r="A18" s="53">
        <v>1</v>
      </c>
      <c r="B18" s="53" t="str">
        <f>VLOOKUP(Ruimtestaat[[#This Row],[Code]],Locaties[#All],2,FALSE)</f>
        <v>Ir. Lely Lyceum</v>
      </c>
      <c r="C18" s="53" t="str">
        <f>VLOOKUP(Ruimtestaat[[#This Row],[Code]],Locaties[#All],4,FALSE)</f>
        <v>Ravenswaaipad 3</v>
      </c>
      <c r="D18" s="53" t="str">
        <f>VLOOKUP(Ruimtestaat[[#This Row],[Code]],Locaties[#All],5,FALSE)</f>
        <v>1106 AW</v>
      </c>
      <c r="E18" s="53" t="str">
        <f>VLOOKUP(Ruimtestaat[[#This Row],[Code]],Locaties[#All],6,FALSE)</f>
        <v>Amsterdam</v>
      </c>
      <c r="F18" s="78" t="s">
        <v>347</v>
      </c>
      <c r="G18" s="53" t="s">
        <v>348</v>
      </c>
      <c r="I18" s="23" t="s">
        <v>375</v>
      </c>
      <c r="J18" s="53">
        <v>20</v>
      </c>
      <c r="K18" s="78" t="str">
        <f>VLOOKUP(J18,Ruimtegroepen[],2,FALSE)</f>
        <v>Niet in onderhoud</v>
      </c>
      <c r="L18" s="53" t="s">
        <v>280</v>
      </c>
      <c r="M18" s="53" t="s">
        <v>353</v>
      </c>
      <c r="N18" s="79"/>
      <c r="O18" s="79">
        <v>12.25</v>
      </c>
      <c r="P18" s="80" t="str">
        <f>LEFT(VLOOKUP(Ruimtestaat[[#This Row],[Ruimte code]],Ruimtegroepen[#All],4,1),2)</f>
        <v/>
      </c>
      <c r="Q18" s="79"/>
      <c r="R18" s="81"/>
      <c r="S18" s="81"/>
      <c r="T18" s="82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" s="82">
        <f>IF(T18&gt;0,VLOOKUP($J18,Ruimtegroepen[],3,FALSE)*VLOOKUP($L18,Vloersoorten[],3,FALSE)*VLOOKUP($S18,Frequenties[],3,FALSE)*VLOOKUP($A18,Locaties[],3,FALSE),0)</f>
        <v>0</v>
      </c>
      <c r="V18" s="83">
        <f>Ruimtestaat[[#This Row],[Uitvoeringen werkdagen]]*Ruimtestaat[[#This Row],[Oppervlak (netto)]]</f>
        <v>0</v>
      </c>
      <c r="W18" s="84">
        <f>IF(U18&gt;0,Ruimtestaat[[#This Row],[Prest. (m2 /jaar) werkdagen]]/Ruimtestaat[[#This Row],[Norm (m2/uur) werkdagen]],0)</f>
        <v>0</v>
      </c>
      <c r="X18" s="85">
        <f>Ruimtestaat[[#This Row],[uren / jaar werkdagen]]*Tariefsopbouw!$E$35</f>
        <v>0</v>
      </c>
      <c r="Y18" s="82"/>
      <c r="Z18" s="86">
        <f>IF(Ruimtestaat[[#This Row],[Frequentie weekend]]&gt;0,VALUE(LEFT(Y18,1))*R18,0)</f>
        <v>0</v>
      </c>
      <c r="AA18" s="82">
        <f>IF($Z18&gt;0,VLOOKUP($J18,Ruimtegroepen[],3,FALSE)*VLOOKUP($L18,Vloersoorten[],3,FALSE)*VLOOKUP($Y18,Frequenties[],3,FALSE)*VLOOKUP($A14,Locaties[],3,FALSE),0)</f>
        <v>0</v>
      </c>
      <c r="AB18" s="84">
        <f>Ruimtestaat[[#This Row],[Uitvoeringen weekend]]*Ruimtestaat[[#This Row],[Oppervlak (netto)]]</f>
        <v>0</v>
      </c>
      <c r="AC18" s="87">
        <f>IF(AB18&gt;0,Ruimtestaat[[#This Row],[Prest. (m2 /jaar) weekend]]/Ruimtestaat[[#This Row],[Norm (m2/uur) weekend]],0)</f>
        <v>0</v>
      </c>
      <c r="AD18" s="88">
        <f>Ruimtestaat[[#This Row],[uren / jaar weekend]]*Tariefsopbouw!$D$40</f>
        <v>0</v>
      </c>
      <c r="AE18" s="89">
        <f>Ruimtestaat[[#This Row],[Prest. (m2 /jaar) weekend]]+Ruimtestaat[[#This Row],[Prest. (m2 /jaar) werkdagen]]</f>
        <v>0</v>
      </c>
      <c r="AF18" s="89">
        <f>Ruimtestaat[[#This Row],[uren / jaar weekend]]+Ruimtestaat[[#This Row],[uren / jaar werkdagen]]</f>
        <v>0</v>
      </c>
      <c r="AG18" s="90">
        <f>Ruimtestaat[[#This Row],[kosten / jaar weekend]]+Ruimtestaat[[#This Row],[kosten / jaar werkdagen]]</f>
        <v>0</v>
      </c>
      <c r="AH18" s="91"/>
      <c r="HL18" s="67"/>
    </row>
    <row r="19" spans="1:220" ht="15" customHeight="1">
      <c r="A19" s="53">
        <v>1</v>
      </c>
      <c r="B19" s="53" t="str">
        <f>VLOOKUP(Ruimtestaat[[#This Row],[Code]],Locaties[#All],2,FALSE)</f>
        <v>Ir. Lely Lyceum</v>
      </c>
      <c r="C19" s="53" t="str">
        <f>VLOOKUP(Ruimtestaat[[#This Row],[Code]],Locaties[#All],4,FALSE)</f>
        <v>Ravenswaaipad 3</v>
      </c>
      <c r="D19" s="53" t="str">
        <f>VLOOKUP(Ruimtestaat[[#This Row],[Code]],Locaties[#All],5,FALSE)</f>
        <v>1106 AW</v>
      </c>
      <c r="E19" s="53" t="str">
        <f>VLOOKUP(Ruimtestaat[[#This Row],[Code]],Locaties[#All],6,FALSE)</f>
        <v>Amsterdam</v>
      </c>
      <c r="F19" s="78" t="s">
        <v>347</v>
      </c>
      <c r="G19" s="53" t="s">
        <v>348</v>
      </c>
      <c r="I19" s="23" t="s">
        <v>376</v>
      </c>
      <c r="J19" s="53">
        <v>2</v>
      </c>
      <c r="K19" s="78" t="str">
        <f>VLOOKUP(J19,Ruimtegroepen[],2,FALSE)</f>
        <v>Kantoren</v>
      </c>
      <c r="L19" s="53" t="s">
        <v>280</v>
      </c>
      <c r="M19" s="53" t="s">
        <v>353</v>
      </c>
      <c r="N19" s="79">
        <v>6</v>
      </c>
      <c r="O19" s="79"/>
      <c r="P19" s="80" t="str">
        <f>LEFT(VLOOKUP(Ruimtestaat[[#This Row],[Ruimte code]],Ruimtegroepen[#All],4,1),2)</f>
        <v xml:space="preserve">B </v>
      </c>
      <c r="Q19" s="79"/>
      <c r="R19" s="81">
        <v>40</v>
      </c>
      <c r="S19" s="81" t="s">
        <v>298</v>
      </c>
      <c r="T19" s="82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" s="82">
        <f>IF(T19&gt;0,VLOOKUP($J19,Ruimtegroepen[],3,FALSE)*VLOOKUP($L19,Vloersoorten[],3,FALSE)*VLOOKUP($S19,Frequenties[],3,FALSE)*VLOOKUP($A19,Locaties[],3,FALSE),0)</f>
        <v>0</v>
      </c>
      <c r="V19" s="83">
        <f>Ruimtestaat[[#This Row],[Uitvoeringen werkdagen]]*Ruimtestaat[[#This Row],[Oppervlak (netto)]]</f>
        <v>1200</v>
      </c>
      <c r="W19" s="84">
        <f>IF(U19&gt;0,Ruimtestaat[[#This Row],[Prest. (m2 /jaar) werkdagen]]/Ruimtestaat[[#This Row],[Norm (m2/uur) werkdagen]],0)</f>
        <v>0</v>
      </c>
      <c r="X19" s="85">
        <f>Ruimtestaat[[#This Row],[uren / jaar werkdagen]]*Tariefsopbouw!$E$35</f>
        <v>0</v>
      </c>
      <c r="Y19" s="82"/>
      <c r="Z19" s="86">
        <f>IF(Ruimtestaat[[#This Row],[Frequentie weekend]]&gt;0,VALUE(LEFT(Y19,1))*R19,0)</f>
        <v>0</v>
      </c>
      <c r="AA19" s="82">
        <f>IF($Z19&gt;0,VLOOKUP($J19,Ruimtegroepen[],3,FALSE)*VLOOKUP($L19,Vloersoorten[],3,FALSE)*VLOOKUP($Y19,Frequenties[],3,FALSE)*VLOOKUP($A15,Locaties[],3,FALSE),0)</f>
        <v>0</v>
      </c>
      <c r="AB19" s="84">
        <f>Ruimtestaat[[#This Row],[Uitvoeringen weekend]]*Ruimtestaat[[#This Row],[Oppervlak (netto)]]</f>
        <v>0</v>
      </c>
      <c r="AC19" s="87">
        <f>IF(AB19&gt;0,Ruimtestaat[[#This Row],[Prest. (m2 /jaar) weekend]]/Ruimtestaat[[#This Row],[Norm (m2/uur) weekend]],0)</f>
        <v>0</v>
      </c>
      <c r="AD19" s="88">
        <f>Ruimtestaat[[#This Row],[uren / jaar weekend]]*Tariefsopbouw!$D$40</f>
        <v>0</v>
      </c>
      <c r="AE19" s="89">
        <f>Ruimtestaat[[#This Row],[Prest. (m2 /jaar) weekend]]+Ruimtestaat[[#This Row],[Prest. (m2 /jaar) werkdagen]]</f>
        <v>1200</v>
      </c>
      <c r="AF19" s="89">
        <f>Ruimtestaat[[#This Row],[uren / jaar weekend]]+Ruimtestaat[[#This Row],[uren / jaar werkdagen]]</f>
        <v>0</v>
      </c>
      <c r="AG19" s="90">
        <f>Ruimtestaat[[#This Row],[kosten / jaar weekend]]+Ruimtestaat[[#This Row],[kosten / jaar werkdagen]]</f>
        <v>0</v>
      </c>
      <c r="AH19" s="91"/>
      <c r="HL19" s="67"/>
    </row>
    <row r="20" spans="1:220" ht="15" customHeight="1">
      <c r="A20" s="53">
        <v>1</v>
      </c>
      <c r="B20" s="53" t="str">
        <f>VLOOKUP(Ruimtestaat[[#This Row],[Code]],Locaties[#All],2,FALSE)</f>
        <v>Ir. Lely Lyceum</v>
      </c>
      <c r="C20" s="53" t="str">
        <f>VLOOKUP(Ruimtestaat[[#This Row],[Code]],Locaties[#All],4,FALSE)</f>
        <v>Ravenswaaipad 3</v>
      </c>
      <c r="D20" s="53" t="str">
        <f>VLOOKUP(Ruimtestaat[[#This Row],[Code]],Locaties[#All],5,FALSE)</f>
        <v>1106 AW</v>
      </c>
      <c r="E20" s="53" t="str">
        <f>VLOOKUP(Ruimtestaat[[#This Row],[Code]],Locaties[#All],6,FALSE)</f>
        <v>Amsterdam</v>
      </c>
      <c r="F20" s="78" t="s">
        <v>347</v>
      </c>
      <c r="G20" s="53" t="s">
        <v>348</v>
      </c>
      <c r="H20" s="53" t="s">
        <v>377</v>
      </c>
      <c r="I20" s="23" t="s">
        <v>378</v>
      </c>
      <c r="J20" s="53">
        <v>10</v>
      </c>
      <c r="K20" s="78" t="str">
        <f>VLOOKUP(J20,Ruimtegroepen[],2,FALSE)</f>
        <v>Trappenhuizen/lift</v>
      </c>
      <c r="L20" s="53" t="s">
        <v>280</v>
      </c>
      <c r="M20" s="53" t="s">
        <v>353</v>
      </c>
      <c r="N20" s="79">
        <v>22.4</v>
      </c>
      <c r="O20" s="79"/>
      <c r="P20" s="80" t="str">
        <f>LEFT(VLOOKUP(Ruimtestaat[[#This Row],[Ruimte code]],Ruimtegroepen[#All],4,1),2)</f>
        <v xml:space="preserve">V </v>
      </c>
      <c r="Q20" s="79"/>
      <c r="R20" s="81">
        <v>40</v>
      </c>
      <c r="S20" s="81" t="s">
        <v>298</v>
      </c>
      <c r="T20" s="82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" s="82">
        <f>IF(T20&gt;0,VLOOKUP($J20,Ruimtegroepen[],3,FALSE)*VLOOKUP($L20,Vloersoorten[],3,FALSE)*VLOOKUP($S20,Frequenties[],3,FALSE)*VLOOKUP($A20,Locaties[],3,FALSE),0)</f>
        <v>0</v>
      </c>
      <c r="V20" s="83">
        <f>Ruimtestaat[[#This Row],[Uitvoeringen werkdagen]]*Ruimtestaat[[#This Row],[Oppervlak (netto)]]</f>
        <v>4480</v>
      </c>
      <c r="W20" s="84">
        <f>IF(U20&gt;0,Ruimtestaat[[#This Row],[Prest. (m2 /jaar) werkdagen]]/Ruimtestaat[[#This Row],[Norm (m2/uur) werkdagen]],0)</f>
        <v>0</v>
      </c>
      <c r="X20" s="85">
        <f>Ruimtestaat[[#This Row],[uren / jaar werkdagen]]*Tariefsopbouw!$E$35</f>
        <v>0</v>
      </c>
      <c r="Y20" s="82"/>
      <c r="Z20" s="86">
        <f>IF(Ruimtestaat[[#This Row],[Frequentie weekend]]&gt;0,VALUE(LEFT(Y20,1))*R20,0)</f>
        <v>0</v>
      </c>
      <c r="AA20" s="82">
        <f>IF($Z20&gt;0,VLOOKUP($J20,Ruimtegroepen[],3,FALSE)*VLOOKUP($L20,Vloersoorten[],3,FALSE)*VLOOKUP($Y20,Frequenties[],3,FALSE)*VLOOKUP($A16,Locaties[],3,FALSE),0)</f>
        <v>0</v>
      </c>
      <c r="AB20" s="84">
        <f>Ruimtestaat[[#This Row],[Uitvoeringen weekend]]*Ruimtestaat[[#This Row],[Oppervlak (netto)]]</f>
        <v>0</v>
      </c>
      <c r="AC20" s="87">
        <f>IF(AB20&gt;0,Ruimtestaat[[#This Row],[Prest. (m2 /jaar) weekend]]/Ruimtestaat[[#This Row],[Norm (m2/uur) weekend]],0)</f>
        <v>0</v>
      </c>
      <c r="AD20" s="88">
        <f>Ruimtestaat[[#This Row],[uren / jaar weekend]]*Tariefsopbouw!$D$40</f>
        <v>0</v>
      </c>
      <c r="AE20" s="89">
        <f>Ruimtestaat[[#This Row],[Prest. (m2 /jaar) weekend]]+Ruimtestaat[[#This Row],[Prest. (m2 /jaar) werkdagen]]</f>
        <v>4480</v>
      </c>
      <c r="AF20" s="89">
        <f>Ruimtestaat[[#This Row],[uren / jaar weekend]]+Ruimtestaat[[#This Row],[uren / jaar werkdagen]]</f>
        <v>0</v>
      </c>
      <c r="AG20" s="90">
        <f>Ruimtestaat[[#This Row],[kosten / jaar weekend]]+Ruimtestaat[[#This Row],[kosten / jaar werkdagen]]</f>
        <v>0</v>
      </c>
      <c r="AH20" s="91"/>
      <c r="HL20" s="67"/>
    </row>
    <row r="21" spans="1:220" ht="15" customHeight="1">
      <c r="A21" s="53">
        <v>1</v>
      </c>
      <c r="B21" s="53" t="str">
        <f>VLOOKUP(Ruimtestaat[[#This Row],[Code]],Locaties[#All],2,FALSE)</f>
        <v>Ir. Lely Lyceum</v>
      </c>
      <c r="C21" s="53" t="str">
        <f>VLOOKUP(Ruimtestaat[[#This Row],[Code]],Locaties[#All],4,FALSE)</f>
        <v>Ravenswaaipad 3</v>
      </c>
      <c r="D21" s="53" t="str">
        <f>VLOOKUP(Ruimtestaat[[#This Row],[Code]],Locaties[#All],5,FALSE)</f>
        <v>1106 AW</v>
      </c>
      <c r="E21" s="53" t="str">
        <f>VLOOKUP(Ruimtestaat[[#This Row],[Code]],Locaties[#All],6,FALSE)</f>
        <v>Amsterdam</v>
      </c>
      <c r="F21" s="78" t="s">
        <v>347</v>
      </c>
      <c r="G21" s="53" t="s">
        <v>348</v>
      </c>
      <c r="H21" s="53" t="s">
        <v>379</v>
      </c>
      <c r="I21" s="23" t="s">
        <v>256</v>
      </c>
      <c r="J21" s="53">
        <v>5</v>
      </c>
      <c r="K21" s="78" t="str">
        <f>VLOOKUP(J21,Ruimtegroepen[],2,FALSE)</f>
        <v>Sanitair</v>
      </c>
      <c r="L21" s="53" t="s">
        <v>285</v>
      </c>
      <c r="M21" s="53" t="s">
        <v>370</v>
      </c>
      <c r="N21" s="79">
        <v>3.5</v>
      </c>
      <c r="O21" s="79"/>
      <c r="P21" s="80" t="str">
        <f>LEFT(VLOOKUP(Ruimtestaat[[#This Row],[Ruimte code]],Ruimtegroepen[#All],4,1),2)</f>
        <v xml:space="preserve">S </v>
      </c>
      <c r="Q21" s="79"/>
      <c r="R21" s="81">
        <v>40</v>
      </c>
      <c r="S21" s="81" t="s">
        <v>298</v>
      </c>
      <c r="T21" s="82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" s="82">
        <f>IF(T21&gt;0,VLOOKUP($J21,Ruimtegroepen[],3,FALSE)*VLOOKUP($L21,Vloersoorten[],3,FALSE)*VLOOKUP($S21,Frequenties[],3,FALSE)*VLOOKUP($A21,Locaties[],3,FALSE),0)</f>
        <v>0</v>
      </c>
      <c r="V21" s="83">
        <f>Ruimtestaat[[#This Row],[Uitvoeringen werkdagen]]*Ruimtestaat[[#This Row],[Oppervlak (netto)]]</f>
        <v>700</v>
      </c>
      <c r="W21" s="84">
        <f>IF(U21&gt;0,Ruimtestaat[[#This Row],[Prest. (m2 /jaar) werkdagen]]/Ruimtestaat[[#This Row],[Norm (m2/uur) werkdagen]],0)</f>
        <v>0</v>
      </c>
      <c r="X21" s="85">
        <f>Ruimtestaat[[#This Row],[uren / jaar werkdagen]]*Tariefsopbouw!$E$35</f>
        <v>0</v>
      </c>
      <c r="Y21" s="82"/>
      <c r="Z21" s="86">
        <f>IF(Ruimtestaat[[#This Row],[Frequentie weekend]]&gt;0,VALUE(LEFT(Y21,1))*R21,0)</f>
        <v>0</v>
      </c>
      <c r="AA21" s="82">
        <f>IF($Z21&gt;0,VLOOKUP($J21,Ruimtegroepen[],3,FALSE)*VLOOKUP($L21,Vloersoorten[],3,FALSE)*VLOOKUP($Y21,Frequenties[],3,FALSE)*VLOOKUP($A16,Locaties[],3,FALSE),0)</f>
        <v>0</v>
      </c>
      <c r="AB21" s="84">
        <f>Ruimtestaat[[#This Row],[Uitvoeringen weekend]]*Ruimtestaat[[#This Row],[Oppervlak (netto)]]</f>
        <v>0</v>
      </c>
      <c r="AC21" s="87">
        <f>IF(AB21&gt;0,Ruimtestaat[[#This Row],[Prest. (m2 /jaar) weekend]]/Ruimtestaat[[#This Row],[Norm (m2/uur) weekend]],0)</f>
        <v>0</v>
      </c>
      <c r="AD21" s="88">
        <f>Ruimtestaat[[#This Row],[uren / jaar weekend]]*Tariefsopbouw!$D$40</f>
        <v>0</v>
      </c>
      <c r="AE21" s="89">
        <f>Ruimtestaat[[#This Row],[Prest. (m2 /jaar) weekend]]+Ruimtestaat[[#This Row],[Prest. (m2 /jaar) werkdagen]]</f>
        <v>700</v>
      </c>
      <c r="AF21" s="89">
        <f>Ruimtestaat[[#This Row],[uren / jaar weekend]]+Ruimtestaat[[#This Row],[uren / jaar werkdagen]]</f>
        <v>0</v>
      </c>
      <c r="AG21" s="90">
        <f>Ruimtestaat[[#This Row],[kosten / jaar weekend]]+Ruimtestaat[[#This Row],[kosten / jaar werkdagen]]</f>
        <v>0</v>
      </c>
      <c r="AH21" s="91"/>
      <c r="HL21" s="67"/>
    </row>
    <row r="22" spans="1:220" ht="15" customHeight="1">
      <c r="A22" s="53">
        <v>1</v>
      </c>
      <c r="B22" s="53" t="str">
        <f>VLOOKUP(Ruimtestaat[[#This Row],[Code]],Locaties[#All],2,FALSE)</f>
        <v>Ir. Lely Lyceum</v>
      </c>
      <c r="C22" s="53" t="str">
        <f>VLOOKUP(Ruimtestaat[[#This Row],[Code]],Locaties[#All],4,FALSE)</f>
        <v>Ravenswaaipad 3</v>
      </c>
      <c r="D22" s="53" t="str">
        <f>VLOOKUP(Ruimtestaat[[#This Row],[Code]],Locaties[#All],5,FALSE)</f>
        <v>1106 AW</v>
      </c>
      <c r="E22" s="53" t="str">
        <f>VLOOKUP(Ruimtestaat[[#This Row],[Code]],Locaties[#All],6,FALSE)</f>
        <v>Amsterdam</v>
      </c>
      <c r="F22" s="78" t="s">
        <v>347</v>
      </c>
      <c r="G22" s="53" t="s">
        <v>348</v>
      </c>
      <c r="H22" s="53" t="s">
        <v>380</v>
      </c>
      <c r="I22" s="23" t="s">
        <v>381</v>
      </c>
      <c r="J22" s="53">
        <v>3</v>
      </c>
      <c r="K22" s="78" t="str">
        <f>VLOOKUP(J22,Ruimtegroepen[],2,FALSE)</f>
        <v>Reproruimte</v>
      </c>
      <c r="L22" s="53" t="s">
        <v>280</v>
      </c>
      <c r="M22" s="53" t="s">
        <v>353</v>
      </c>
      <c r="N22" s="79">
        <v>23.1</v>
      </c>
      <c r="O22" s="79"/>
      <c r="P22" s="80" t="str">
        <f>LEFT(VLOOKUP(Ruimtestaat[[#This Row],[Ruimte code]],Ruimtegroepen[#All],4,1),2)</f>
        <v xml:space="preserve">V </v>
      </c>
      <c r="Q22" s="79"/>
      <c r="R22" s="81">
        <v>40</v>
      </c>
      <c r="S22" s="81" t="s">
        <v>298</v>
      </c>
      <c r="T22" s="82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" s="82">
        <f>IF(T22&gt;0,VLOOKUP($J22,Ruimtegroepen[],3,FALSE)*VLOOKUP($L22,Vloersoorten[],3,FALSE)*VLOOKUP($S22,Frequenties[],3,FALSE)*VLOOKUP($A22,Locaties[],3,FALSE),0)</f>
        <v>0</v>
      </c>
      <c r="V22" s="83">
        <f>Ruimtestaat[[#This Row],[Uitvoeringen werkdagen]]*Ruimtestaat[[#This Row],[Oppervlak (netto)]]</f>
        <v>4620</v>
      </c>
      <c r="W22" s="84">
        <f>IF(U22&gt;0,Ruimtestaat[[#This Row],[Prest. (m2 /jaar) werkdagen]]/Ruimtestaat[[#This Row],[Norm (m2/uur) werkdagen]],0)</f>
        <v>0</v>
      </c>
      <c r="X22" s="85">
        <f>Ruimtestaat[[#This Row],[uren / jaar werkdagen]]*Tariefsopbouw!$E$35</f>
        <v>0</v>
      </c>
      <c r="Y22" s="82"/>
      <c r="Z22" s="86">
        <f>IF(Ruimtestaat[[#This Row],[Frequentie weekend]]&gt;0,VALUE(LEFT(Y22,1))*R22,0)</f>
        <v>0</v>
      </c>
      <c r="AA22" s="82">
        <f>IF($Z22&gt;0,VLOOKUP($J22,Ruimtegroepen[],3,FALSE)*VLOOKUP($L22,Vloersoorten[],3,FALSE)*VLOOKUP($Y22,Frequenties[],3,FALSE)*VLOOKUP($A17,Locaties[],3,FALSE),0)</f>
        <v>0</v>
      </c>
      <c r="AB22" s="84">
        <f>Ruimtestaat[[#This Row],[Uitvoeringen weekend]]*Ruimtestaat[[#This Row],[Oppervlak (netto)]]</f>
        <v>0</v>
      </c>
      <c r="AC22" s="87">
        <f>IF(AB22&gt;0,Ruimtestaat[[#This Row],[Prest. (m2 /jaar) weekend]]/Ruimtestaat[[#This Row],[Norm (m2/uur) weekend]],0)</f>
        <v>0</v>
      </c>
      <c r="AD22" s="88">
        <f>Ruimtestaat[[#This Row],[uren / jaar weekend]]*Tariefsopbouw!$D$40</f>
        <v>0</v>
      </c>
      <c r="AE22" s="89">
        <f>Ruimtestaat[[#This Row],[Prest. (m2 /jaar) weekend]]+Ruimtestaat[[#This Row],[Prest. (m2 /jaar) werkdagen]]</f>
        <v>4620</v>
      </c>
      <c r="AF22" s="89">
        <f>Ruimtestaat[[#This Row],[uren / jaar weekend]]+Ruimtestaat[[#This Row],[uren / jaar werkdagen]]</f>
        <v>0</v>
      </c>
      <c r="AG22" s="90">
        <f>Ruimtestaat[[#This Row],[kosten / jaar weekend]]+Ruimtestaat[[#This Row],[kosten / jaar werkdagen]]</f>
        <v>0</v>
      </c>
      <c r="AH22" s="91"/>
      <c r="HL22" s="67"/>
    </row>
    <row r="23" spans="1:220" ht="15" customHeight="1">
      <c r="A23" s="53">
        <v>1</v>
      </c>
      <c r="B23" s="53" t="str">
        <f>VLOOKUP(Ruimtestaat[[#This Row],[Code]],Locaties[#All],2,FALSE)</f>
        <v>Ir. Lely Lyceum</v>
      </c>
      <c r="C23" s="53" t="str">
        <f>VLOOKUP(Ruimtestaat[[#This Row],[Code]],Locaties[#All],4,FALSE)</f>
        <v>Ravenswaaipad 3</v>
      </c>
      <c r="D23" s="53" t="str">
        <f>VLOOKUP(Ruimtestaat[[#This Row],[Code]],Locaties[#All],5,FALSE)</f>
        <v>1106 AW</v>
      </c>
      <c r="E23" s="53" t="str">
        <f>VLOOKUP(Ruimtestaat[[#This Row],[Code]],Locaties[#All],6,FALSE)</f>
        <v>Amsterdam</v>
      </c>
      <c r="F23" s="78" t="s">
        <v>347</v>
      </c>
      <c r="G23" s="53" t="s">
        <v>348</v>
      </c>
      <c r="H23" s="53" t="s">
        <v>382</v>
      </c>
      <c r="I23" s="23" t="s">
        <v>383</v>
      </c>
      <c r="J23" s="53">
        <v>2</v>
      </c>
      <c r="K23" s="78" t="str">
        <f>VLOOKUP(J23,Ruimtegroepen[],2,FALSE)</f>
        <v>Kantoren</v>
      </c>
      <c r="L23" s="53" t="s">
        <v>280</v>
      </c>
      <c r="M23" s="53" t="s">
        <v>353</v>
      </c>
      <c r="N23" s="79">
        <v>23.1</v>
      </c>
      <c r="O23" s="79"/>
      <c r="P23" s="80" t="str">
        <f>LEFT(VLOOKUP(Ruimtestaat[[#This Row],[Ruimte code]],Ruimtegroepen[#All],4,1),2)</f>
        <v xml:space="preserve">B </v>
      </c>
      <c r="Q23" s="79"/>
      <c r="R23" s="81">
        <v>40</v>
      </c>
      <c r="S23" s="81" t="s">
        <v>298</v>
      </c>
      <c r="T23" s="82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" s="82">
        <f>IF(T23&gt;0,VLOOKUP($J23,Ruimtegroepen[],3,FALSE)*VLOOKUP($L23,Vloersoorten[],3,FALSE)*VLOOKUP($S23,Frequenties[],3,FALSE)*VLOOKUP($A23,Locaties[],3,FALSE),0)</f>
        <v>0</v>
      </c>
      <c r="V23" s="83">
        <f>Ruimtestaat[[#This Row],[Uitvoeringen werkdagen]]*Ruimtestaat[[#This Row],[Oppervlak (netto)]]</f>
        <v>4620</v>
      </c>
      <c r="W23" s="84">
        <f>IF(U23&gt;0,Ruimtestaat[[#This Row],[Prest. (m2 /jaar) werkdagen]]/Ruimtestaat[[#This Row],[Norm (m2/uur) werkdagen]],0)</f>
        <v>0</v>
      </c>
      <c r="X23" s="85">
        <f>Ruimtestaat[[#This Row],[uren / jaar werkdagen]]*Tariefsopbouw!$E$35</f>
        <v>0</v>
      </c>
      <c r="Y23" s="82"/>
      <c r="Z23" s="86">
        <f>IF(Ruimtestaat[[#This Row],[Frequentie weekend]]&gt;0,VALUE(LEFT(Y23,1))*R23,0)</f>
        <v>0</v>
      </c>
      <c r="AA23" s="82">
        <f>IF($Z23&gt;0,VLOOKUP($J23,Ruimtegroepen[],3,FALSE)*VLOOKUP($L23,Vloersoorten[],3,FALSE)*VLOOKUP($Y23,Frequenties[],3,FALSE)*VLOOKUP($A18,Locaties[],3,FALSE),0)</f>
        <v>0</v>
      </c>
      <c r="AB23" s="84">
        <f>Ruimtestaat[[#This Row],[Uitvoeringen weekend]]*Ruimtestaat[[#This Row],[Oppervlak (netto)]]</f>
        <v>0</v>
      </c>
      <c r="AC23" s="87">
        <f>IF(AB23&gt;0,Ruimtestaat[[#This Row],[Prest. (m2 /jaar) weekend]]/Ruimtestaat[[#This Row],[Norm (m2/uur) weekend]],0)</f>
        <v>0</v>
      </c>
      <c r="AD23" s="88">
        <f>Ruimtestaat[[#This Row],[uren / jaar weekend]]*Tariefsopbouw!$D$40</f>
        <v>0</v>
      </c>
      <c r="AE23" s="89">
        <f>Ruimtestaat[[#This Row],[Prest. (m2 /jaar) weekend]]+Ruimtestaat[[#This Row],[Prest. (m2 /jaar) werkdagen]]</f>
        <v>4620</v>
      </c>
      <c r="AF23" s="89">
        <f>Ruimtestaat[[#This Row],[uren / jaar weekend]]+Ruimtestaat[[#This Row],[uren / jaar werkdagen]]</f>
        <v>0</v>
      </c>
      <c r="AG23" s="90">
        <f>Ruimtestaat[[#This Row],[kosten / jaar weekend]]+Ruimtestaat[[#This Row],[kosten / jaar werkdagen]]</f>
        <v>0</v>
      </c>
      <c r="AH23" s="91"/>
      <c r="HL23" s="67"/>
    </row>
    <row r="24" spans="1:220" ht="15" customHeight="1">
      <c r="A24" s="53">
        <v>1</v>
      </c>
      <c r="B24" s="53" t="str">
        <f>VLOOKUP(Ruimtestaat[[#This Row],[Code]],Locaties[#All],2,FALSE)</f>
        <v>Ir. Lely Lyceum</v>
      </c>
      <c r="C24" s="53" t="str">
        <f>VLOOKUP(Ruimtestaat[[#This Row],[Code]],Locaties[#All],4,FALSE)</f>
        <v>Ravenswaaipad 3</v>
      </c>
      <c r="D24" s="53" t="str">
        <f>VLOOKUP(Ruimtestaat[[#This Row],[Code]],Locaties[#All],5,FALSE)</f>
        <v>1106 AW</v>
      </c>
      <c r="E24" s="53" t="str">
        <f>VLOOKUP(Ruimtestaat[[#This Row],[Code]],Locaties[#All],6,FALSE)</f>
        <v>Amsterdam</v>
      </c>
      <c r="F24" s="78" t="s">
        <v>347</v>
      </c>
      <c r="G24" s="53" t="s">
        <v>348</v>
      </c>
      <c r="H24" s="53" t="s">
        <v>384</v>
      </c>
      <c r="I24" s="23" t="s">
        <v>385</v>
      </c>
      <c r="J24" s="53">
        <v>16</v>
      </c>
      <c r="K24" s="78" t="str">
        <f>VLOOKUP(J24,Ruimtegroepen[],2,FALSE)</f>
        <v>Leslokalen theorie</v>
      </c>
      <c r="L24" s="53" t="s">
        <v>280</v>
      </c>
      <c r="M24" s="53" t="s">
        <v>353</v>
      </c>
      <c r="N24" s="92">
        <v>49</v>
      </c>
      <c r="O24" s="79"/>
      <c r="P24" s="80" t="str">
        <f>LEFT(VLOOKUP(Ruimtestaat[[#This Row],[Ruimte code]],Ruimtegroepen[#All],4,1),2)</f>
        <v xml:space="preserve">L </v>
      </c>
      <c r="Q24" s="79"/>
      <c r="R24" s="81">
        <v>40</v>
      </c>
      <c r="S24" s="81" t="s">
        <v>298</v>
      </c>
      <c r="T24" s="82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" s="82">
        <f>IF(T24&gt;0,VLOOKUP($J24,Ruimtegroepen[],3,FALSE)*VLOOKUP($L24,Vloersoorten[],3,FALSE)*VLOOKUP($S24,Frequenties[],3,FALSE)*VLOOKUP($A24,Locaties[],3,FALSE),0)</f>
        <v>0</v>
      </c>
      <c r="V24" s="83">
        <f>Ruimtestaat[[#This Row],[Uitvoeringen werkdagen]]*Ruimtestaat[[#This Row],[Oppervlak (netto)]]</f>
        <v>9800</v>
      </c>
      <c r="W24" s="84">
        <f>IF(U24&gt;0,Ruimtestaat[[#This Row],[Prest. (m2 /jaar) werkdagen]]/Ruimtestaat[[#This Row],[Norm (m2/uur) werkdagen]],0)</f>
        <v>0</v>
      </c>
      <c r="X24" s="85">
        <f>Ruimtestaat[[#This Row],[uren / jaar werkdagen]]*Tariefsopbouw!$E$35</f>
        <v>0</v>
      </c>
      <c r="Y24" s="82"/>
      <c r="Z24" s="86">
        <f>IF(Ruimtestaat[[#This Row],[Frequentie weekend]]&gt;0,VALUE(LEFT(Y24,1))*R24,0)</f>
        <v>0</v>
      </c>
      <c r="AA24" s="82">
        <f>IF($Z24&gt;0,VLOOKUP($J24,Ruimtegroepen[],3,FALSE)*VLOOKUP($L24,Vloersoorten[],3,FALSE)*VLOOKUP($Y24,Frequenties[],3,FALSE)*VLOOKUP($A19,Locaties[],3,FALSE),0)</f>
        <v>0</v>
      </c>
      <c r="AB24" s="84">
        <f>Ruimtestaat[[#This Row],[Uitvoeringen weekend]]*Ruimtestaat[[#This Row],[Oppervlak (netto)]]</f>
        <v>0</v>
      </c>
      <c r="AC24" s="87">
        <f>IF(AB24&gt;0,Ruimtestaat[[#This Row],[Prest. (m2 /jaar) weekend]]/Ruimtestaat[[#This Row],[Norm (m2/uur) weekend]],0)</f>
        <v>0</v>
      </c>
      <c r="AD24" s="88">
        <f>Ruimtestaat[[#This Row],[uren / jaar weekend]]*Tariefsopbouw!$D$40</f>
        <v>0</v>
      </c>
      <c r="AE24" s="89">
        <f>Ruimtestaat[[#This Row],[Prest. (m2 /jaar) weekend]]+Ruimtestaat[[#This Row],[Prest. (m2 /jaar) werkdagen]]</f>
        <v>9800</v>
      </c>
      <c r="AF24" s="89">
        <f>Ruimtestaat[[#This Row],[uren / jaar weekend]]+Ruimtestaat[[#This Row],[uren / jaar werkdagen]]</f>
        <v>0</v>
      </c>
      <c r="AG24" s="90">
        <f>Ruimtestaat[[#This Row],[kosten / jaar weekend]]+Ruimtestaat[[#This Row],[kosten / jaar werkdagen]]</f>
        <v>0</v>
      </c>
      <c r="AH24" s="91"/>
      <c r="HL24" s="67"/>
    </row>
    <row r="25" spans="1:220" ht="15" customHeight="1">
      <c r="A25" s="53">
        <v>1</v>
      </c>
      <c r="B25" s="53" t="str">
        <f>VLOOKUP(Ruimtestaat[[#This Row],[Code]],Locaties[#All],2,FALSE)</f>
        <v>Ir. Lely Lyceum</v>
      </c>
      <c r="C25" s="53" t="str">
        <f>VLOOKUP(Ruimtestaat[[#This Row],[Code]],Locaties[#All],4,FALSE)</f>
        <v>Ravenswaaipad 3</v>
      </c>
      <c r="D25" s="53" t="str">
        <f>VLOOKUP(Ruimtestaat[[#This Row],[Code]],Locaties[#All],5,FALSE)</f>
        <v>1106 AW</v>
      </c>
      <c r="E25" s="53" t="str">
        <f>VLOOKUP(Ruimtestaat[[#This Row],[Code]],Locaties[#All],6,FALSE)</f>
        <v>Amsterdam</v>
      </c>
      <c r="F25" s="78" t="s">
        <v>347</v>
      </c>
      <c r="G25" s="53" t="s">
        <v>348</v>
      </c>
      <c r="H25" s="53" t="s">
        <v>386</v>
      </c>
      <c r="I25" s="23" t="s">
        <v>385</v>
      </c>
      <c r="J25" s="53">
        <v>16</v>
      </c>
      <c r="K25" s="78" t="str">
        <f>VLOOKUP(J25,Ruimtegroepen[],2,FALSE)</f>
        <v>Leslokalen theorie</v>
      </c>
      <c r="L25" s="53" t="s">
        <v>280</v>
      </c>
      <c r="M25" s="53" t="s">
        <v>353</v>
      </c>
      <c r="N25" s="79">
        <v>49</v>
      </c>
      <c r="O25" s="79"/>
      <c r="P25" s="80" t="str">
        <f>LEFT(VLOOKUP(Ruimtestaat[[#This Row],[Ruimte code]],Ruimtegroepen[#All],4,1),2)</f>
        <v xml:space="preserve">L </v>
      </c>
      <c r="Q25" s="79"/>
      <c r="R25" s="81">
        <v>40</v>
      </c>
      <c r="S25" s="81" t="s">
        <v>298</v>
      </c>
      <c r="T25" s="82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" s="82">
        <f>IF(T25&gt;0,VLOOKUP($J25,Ruimtegroepen[],3,FALSE)*VLOOKUP($L25,Vloersoorten[],3,FALSE)*VLOOKUP($S25,Frequenties[],3,FALSE)*VLOOKUP($A25,Locaties[],3,FALSE),0)</f>
        <v>0</v>
      </c>
      <c r="V25" s="83">
        <f>Ruimtestaat[[#This Row],[Uitvoeringen werkdagen]]*Ruimtestaat[[#This Row],[Oppervlak (netto)]]</f>
        <v>9800</v>
      </c>
      <c r="W25" s="84">
        <f>IF(U25&gt;0,Ruimtestaat[[#This Row],[Prest. (m2 /jaar) werkdagen]]/Ruimtestaat[[#This Row],[Norm (m2/uur) werkdagen]],0)</f>
        <v>0</v>
      </c>
      <c r="X25" s="85">
        <f>Ruimtestaat[[#This Row],[uren / jaar werkdagen]]*Tariefsopbouw!$E$35</f>
        <v>0</v>
      </c>
      <c r="Y25" s="82"/>
      <c r="Z25" s="86">
        <f>IF(Ruimtestaat[[#This Row],[Frequentie weekend]]&gt;0,VALUE(LEFT(Y25,1))*R25,0)</f>
        <v>0</v>
      </c>
      <c r="AA25" s="82">
        <f>IF($Z25&gt;0,VLOOKUP($J25,Ruimtegroepen[],3,FALSE)*VLOOKUP($L25,Vloersoorten[],3,FALSE)*VLOOKUP($Y25,Frequenties[],3,FALSE)*VLOOKUP($A21,Locaties[],3,FALSE),0)</f>
        <v>0</v>
      </c>
      <c r="AB25" s="84">
        <f>Ruimtestaat[[#This Row],[Uitvoeringen weekend]]*Ruimtestaat[[#This Row],[Oppervlak (netto)]]</f>
        <v>0</v>
      </c>
      <c r="AC25" s="87">
        <f>IF(AB25&gt;0,Ruimtestaat[[#This Row],[Prest. (m2 /jaar) weekend]]/Ruimtestaat[[#This Row],[Norm (m2/uur) weekend]],0)</f>
        <v>0</v>
      </c>
      <c r="AD25" s="88">
        <f>Ruimtestaat[[#This Row],[uren / jaar weekend]]*Tariefsopbouw!$D$40</f>
        <v>0</v>
      </c>
      <c r="AE25" s="89">
        <f>Ruimtestaat[[#This Row],[Prest. (m2 /jaar) weekend]]+Ruimtestaat[[#This Row],[Prest. (m2 /jaar) werkdagen]]</f>
        <v>9800</v>
      </c>
      <c r="AF25" s="89">
        <f>Ruimtestaat[[#This Row],[uren / jaar weekend]]+Ruimtestaat[[#This Row],[uren / jaar werkdagen]]</f>
        <v>0</v>
      </c>
      <c r="AG25" s="90">
        <f>Ruimtestaat[[#This Row],[kosten / jaar weekend]]+Ruimtestaat[[#This Row],[kosten / jaar werkdagen]]</f>
        <v>0</v>
      </c>
      <c r="AH25" s="91"/>
      <c r="HL25" s="67"/>
    </row>
    <row r="26" spans="1:220" ht="15" customHeight="1">
      <c r="A26" s="53">
        <v>1</v>
      </c>
      <c r="B26" s="53" t="str">
        <f>VLOOKUP(Ruimtestaat[[#This Row],[Code]],Locaties[#All],2,FALSE)</f>
        <v>Ir. Lely Lyceum</v>
      </c>
      <c r="C26" s="53" t="str">
        <f>VLOOKUP(Ruimtestaat[[#This Row],[Code]],Locaties[#All],4,FALSE)</f>
        <v>Ravenswaaipad 3</v>
      </c>
      <c r="D26" s="53" t="str">
        <f>VLOOKUP(Ruimtestaat[[#This Row],[Code]],Locaties[#All],5,FALSE)</f>
        <v>1106 AW</v>
      </c>
      <c r="E26" s="53" t="str">
        <f>VLOOKUP(Ruimtestaat[[#This Row],[Code]],Locaties[#All],6,FALSE)</f>
        <v>Amsterdam</v>
      </c>
      <c r="F26" s="78" t="s">
        <v>347</v>
      </c>
      <c r="G26" s="53" t="s">
        <v>348</v>
      </c>
      <c r="H26" s="53" t="s">
        <v>387</v>
      </c>
      <c r="I26" s="23" t="s">
        <v>385</v>
      </c>
      <c r="J26" s="53">
        <v>16</v>
      </c>
      <c r="K26" s="78" t="str">
        <f>VLOOKUP(J26,Ruimtegroepen[],2,FALSE)</f>
        <v>Leslokalen theorie</v>
      </c>
      <c r="L26" s="53" t="s">
        <v>280</v>
      </c>
      <c r="M26" s="53" t="s">
        <v>353</v>
      </c>
      <c r="N26" s="79">
        <v>42</v>
      </c>
      <c r="O26" s="79"/>
      <c r="P26" s="80" t="str">
        <f>LEFT(VLOOKUP(Ruimtestaat[[#This Row],[Ruimte code]],Ruimtegroepen[#All],4,1),2)</f>
        <v xml:space="preserve">L </v>
      </c>
      <c r="Q26" s="79"/>
      <c r="R26" s="81">
        <v>40</v>
      </c>
      <c r="S26" s="81" t="s">
        <v>298</v>
      </c>
      <c r="T26" s="82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" s="82">
        <f>IF(T26&gt;0,VLOOKUP($J26,Ruimtegroepen[],3,FALSE)*VLOOKUP($L26,Vloersoorten[],3,FALSE)*VLOOKUP($S26,Frequenties[],3,FALSE)*VLOOKUP($A26,Locaties[],3,FALSE),0)</f>
        <v>0</v>
      </c>
      <c r="V26" s="83">
        <f>Ruimtestaat[[#This Row],[Uitvoeringen werkdagen]]*Ruimtestaat[[#This Row],[Oppervlak (netto)]]</f>
        <v>8400</v>
      </c>
      <c r="W26" s="84">
        <f>IF(U26&gt;0,Ruimtestaat[[#This Row],[Prest. (m2 /jaar) werkdagen]]/Ruimtestaat[[#This Row],[Norm (m2/uur) werkdagen]],0)</f>
        <v>0</v>
      </c>
      <c r="X26" s="85">
        <f>Ruimtestaat[[#This Row],[uren / jaar werkdagen]]*Tariefsopbouw!$E$35</f>
        <v>0</v>
      </c>
      <c r="Y26" s="82"/>
      <c r="Z26" s="86">
        <f>IF(Ruimtestaat[[#This Row],[Frequentie weekend]]&gt;0,VALUE(LEFT(Y26,1))*R26,0)</f>
        <v>0</v>
      </c>
      <c r="AA26" s="82">
        <f>IF($Z26&gt;0,VLOOKUP($J26,Ruimtegroepen[],3,FALSE)*VLOOKUP($L26,Vloersoorten[],3,FALSE)*VLOOKUP($Y26,Frequenties[],3,FALSE)*VLOOKUP($A22,Locaties[],3,FALSE),0)</f>
        <v>0</v>
      </c>
      <c r="AB26" s="84">
        <f>Ruimtestaat[[#This Row],[Uitvoeringen weekend]]*Ruimtestaat[[#This Row],[Oppervlak (netto)]]</f>
        <v>0</v>
      </c>
      <c r="AC26" s="87">
        <f>IF(AB26&gt;0,Ruimtestaat[[#This Row],[Prest. (m2 /jaar) weekend]]/Ruimtestaat[[#This Row],[Norm (m2/uur) weekend]],0)</f>
        <v>0</v>
      </c>
      <c r="AD26" s="88">
        <f>Ruimtestaat[[#This Row],[uren / jaar weekend]]*Tariefsopbouw!$D$40</f>
        <v>0</v>
      </c>
      <c r="AE26" s="89">
        <f>Ruimtestaat[[#This Row],[Prest. (m2 /jaar) weekend]]+Ruimtestaat[[#This Row],[Prest. (m2 /jaar) werkdagen]]</f>
        <v>8400</v>
      </c>
      <c r="AF26" s="89">
        <f>Ruimtestaat[[#This Row],[uren / jaar weekend]]+Ruimtestaat[[#This Row],[uren / jaar werkdagen]]</f>
        <v>0</v>
      </c>
      <c r="AG26" s="90">
        <f>Ruimtestaat[[#This Row],[kosten / jaar weekend]]+Ruimtestaat[[#This Row],[kosten / jaar werkdagen]]</f>
        <v>0</v>
      </c>
      <c r="AH26" s="91"/>
      <c r="HL26" s="67"/>
    </row>
    <row r="27" spans="1:220" ht="15" customHeight="1">
      <c r="A27" s="53">
        <v>1</v>
      </c>
      <c r="B27" s="53" t="str">
        <f>VLOOKUP(Ruimtestaat[[#This Row],[Code]],Locaties[#All],2,FALSE)</f>
        <v>Ir. Lely Lyceum</v>
      </c>
      <c r="C27" s="53" t="str">
        <f>VLOOKUP(Ruimtestaat[[#This Row],[Code]],Locaties[#All],4,FALSE)</f>
        <v>Ravenswaaipad 3</v>
      </c>
      <c r="D27" s="53" t="str">
        <f>VLOOKUP(Ruimtestaat[[#This Row],[Code]],Locaties[#All],5,FALSE)</f>
        <v>1106 AW</v>
      </c>
      <c r="E27" s="53" t="str">
        <f>VLOOKUP(Ruimtestaat[[#This Row],[Code]],Locaties[#All],6,FALSE)</f>
        <v>Amsterdam</v>
      </c>
      <c r="F27" s="78" t="s">
        <v>347</v>
      </c>
      <c r="G27" s="53" t="s">
        <v>348</v>
      </c>
      <c r="H27" s="53" t="s">
        <v>388</v>
      </c>
      <c r="I27" s="23" t="s">
        <v>385</v>
      </c>
      <c r="J27" s="53">
        <v>16</v>
      </c>
      <c r="K27" s="78" t="str">
        <f>VLOOKUP(J27,Ruimtegroepen[],2,FALSE)</f>
        <v>Leslokalen theorie</v>
      </c>
      <c r="L27" s="53" t="s">
        <v>280</v>
      </c>
      <c r="M27" s="53" t="s">
        <v>353</v>
      </c>
      <c r="N27" s="79">
        <v>42</v>
      </c>
      <c r="O27" s="79"/>
      <c r="P27" s="80" t="str">
        <f>LEFT(VLOOKUP(Ruimtestaat[[#This Row],[Ruimte code]],Ruimtegroepen[#All],4,1),2)</f>
        <v xml:space="preserve">L </v>
      </c>
      <c r="Q27" s="79"/>
      <c r="R27" s="81">
        <v>40</v>
      </c>
      <c r="S27" s="81" t="s">
        <v>298</v>
      </c>
      <c r="T27" s="82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" s="82">
        <f>IF(T27&gt;0,VLOOKUP($J27,Ruimtegroepen[],3,FALSE)*VLOOKUP($L27,Vloersoorten[],3,FALSE)*VLOOKUP($S27,Frequenties[],3,FALSE)*VLOOKUP($A27,Locaties[],3,FALSE),0)</f>
        <v>0</v>
      </c>
      <c r="V27" s="83">
        <f>Ruimtestaat[[#This Row],[Uitvoeringen werkdagen]]*Ruimtestaat[[#This Row],[Oppervlak (netto)]]</f>
        <v>8400</v>
      </c>
      <c r="W27" s="84">
        <f>IF(U27&gt;0,Ruimtestaat[[#This Row],[Prest. (m2 /jaar) werkdagen]]/Ruimtestaat[[#This Row],[Norm (m2/uur) werkdagen]],0)</f>
        <v>0</v>
      </c>
      <c r="X27" s="85">
        <f>Ruimtestaat[[#This Row],[uren / jaar werkdagen]]*Tariefsopbouw!$E$35</f>
        <v>0</v>
      </c>
      <c r="Y27" s="82"/>
      <c r="Z27" s="86">
        <f>IF(Ruimtestaat[[#This Row],[Frequentie weekend]]&gt;0,VALUE(LEFT(Y27,1))*R27,0)</f>
        <v>0</v>
      </c>
      <c r="AA27" s="82">
        <f>IF($Z27&gt;0,VLOOKUP($J27,Ruimtegroepen[],3,FALSE)*VLOOKUP($L27,Vloersoorten[],3,FALSE)*VLOOKUP($Y27,Frequenties[],3,FALSE)*VLOOKUP($A23,Locaties[],3,FALSE),0)</f>
        <v>0</v>
      </c>
      <c r="AB27" s="84">
        <f>Ruimtestaat[[#This Row],[Uitvoeringen weekend]]*Ruimtestaat[[#This Row],[Oppervlak (netto)]]</f>
        <v>0</v>
      </c>
      <c r="AC27" s="87">
        <f>IF(AB27&gt;0,Ruimtestaat[[#This Row],[Prest. (m2 /jaar) weekend]]/Ruimtestaat[[#This Row],[Norm (m2/uur) weekend]],0)</f>
        <v>0</v>
      </c>
      <c r="AD27" s="88">
        <f>Ruimtestaat[[#This Row],[uren / jaar weekend]]*Tariefsopbouw!$D$40</f>
        <v>0</v>
      </c>
      <c r="AE27" s="89">
        <f>Ruimtestaat[[#This Row],[Prest. (m2 /jaar) weekend]]+Ruimtestaat[[#This Row],[Prest. (m2 /jaar) werkdagen]]</f>
        <v>8400</v>
      </c>
      <c r="AF27" s="89">
        <f>Ruimtestaat[[#This Row],[uren / jaar weekend]]+Ruimtestaat[[#This Row],[uren / jaar werkdagen]]</f>
        <v>0</v>
      </c>
      <c r="AG27" s="90">
        <f>Ruimtestaat[[#This Row],[kosten / jaar weekend]]+Ruimtestaat[[#This Row],[kosten / jaar werkdagen]]</f>
        <v>0</v>
      </c>
      <c r="AH27" s="91"/>
      <c r="HL27" s="67"/>
    </row>
    <row r="28" spans="1:220" ht="15" customHeight="1">
      <c r="A28" s="53">
        <v>1</v>
      </c>
      <c r="B28" s="53" t="str">
        <f>VLOOKUP(Ruimtestaat[[#This Row],[Code]],Locaties[#All],2,FALSE)</f>
        <v>Ir. Lely Lyceum</v>
      </c>
      <c r="C28" s="53" t="str">
        <f>VLOOKUP(Ruimtestaat[[#This Row],[Code]],Locaties[#All],4,FALSE)</f>
        <v>Ravenswaaipad 3</v>
      </c>
      <c r="D28" s="53" t="str">
        <f>VLOOKUP(Ruimtestaat[[#This Row],[Code]],Locaties[#All],5,FALSE)</f>
        <v>1106 AW</v>
      </c>
      <c r="E28" s="53" t="str">
        <f>VLOOKUP(Ruimtestaat[[#This Row],[Code]],Locaties[#All],6,FALSE)</f>
        <v>Amsterdam</v>
      </c>
      <c r="F28" s="78" t="s">
        <v>347</v>
      </c>
      <c r="G28" s="53" t="s">
        <v>348</v>
      </c>
      <c r="H28" s="53" t="s">
        <v>389</v>
      </c>
      <c r="I28" s="23" t="s">
        <v>385</v>
      </c>
      <c r="J28" s="53">
        <v>16</v>
      </c>
      <c r="K28" s="78" t="str">
        <f>VLOOKUP(J28,Ruimtegroepen[],2,FALSE)</f>
        <v>Leslokalen theorie</v>
      </c>
      <c r="L28" s="53" t="s">
        <v>280</v>
      </c>
      <c r="M28" s="53" t="s">
        <v>353</v>
      </c>
      <c r="N28" s="79">
        <v>49</v>
      </c>
      <c r="O28" s="79"/>
      <c r="P28" s="80" t="str">
        <f>LEFT(VLOOKUP(Ruimtestaat[[#This Row],[Ruimte code]],Ruimtegroepen[#All],4,1),2)</f>
        <v xml:space="preserve">L </v>
      </c>
      <c r="Q28" s="79"/>
      <c r="R28" s="81">
        <v>40</v>
      </c>
      <c r="S28" s="81" t="s">
        <v>298</v>
      </c>
      <c r="T28" s="82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" s="82">
        <f>IF(T28&gt;0,VLOOKUP($J28,Ruimtegroepen[],3,FALSE)*VLOOKUP($L28,Vloersoorten[],3,FALSE)*VLOOKUP($S28,Frequenties[],3,FALSE)*VLOOKUP($A28,Locaties[],3,FALSE),0)</f>
        <v>0</v>
      </c>
      <c r="V28" s="83">
        <f>Ruimtestaat[[#This Row],[Uitvoeringen werkdagen]]*Ruimtestaat[[#This Row],[Oppervlak (netto)]]</f>
        <v>9800</v>
      </c>
      <c r="W28" s="84">
        <f>IF(U28&gt;0,Ruimtestaat[[#This Row],[Prest. (m2 /jaar) werkdagen]]/Ruimtestaat[[#This Row],[Norm (m2/uur) werkdagen]],0)</f>
        <v>0</v>
      </c>
      <c r="X28" s="85">
        <f>Ruimtestaat[[#This Row],[uren / jaar werkdagen]]*Tariefsopbouw!$E$35</f>
        <v>0</v>
      </c>
      <c r="Y28" s="82"/>
      <c r="Z28" s="86">
        <f>IF(Ruimtestaat[[#This Row],[Frequentie weekend]]&gt;0,VALUE(LEFT(Y28,1))*R28,0)</f>
        <v>0</v>
      </c>
      <c r="AA28" s="82">
        <f>IF($Z28&gt;0,VLOOKUP($J28,Ruimtegroepen[],3,FALSE)*VLOOKUP($L28,Vloersoorten[],3,FALSE)*VLOOKUP($Y28,Frequenties[],3,FALSE)*VLOOKUP($A24,Locaties[],3,FALSE),0)</f>
        <v>0</v>
      </c>
      <c r="AB28" s="84">
        <f>Ruimtestaat[[#This Row],[Uitvoeringen weekend]]*Ruimtestaat[[#This Row],[Oppervlak (netto)]]</f>
        <v>0</v>
      </c>
      <c r="AC28" s="87">
        <f>IF(AB28&gt;0,Ruimtestaat[[#This Row],[Prest. (m2 /jaar) weekend]]/Ruimtestaat[[#This Row],[Norm (m2/uur) weekend]],0)</f>
        <v>0</v>
      </c>
      <c r="AD28" s="88">
        <f>Ruimtestaat[[#This Row],[uren / jaar weekend]]*Tariefsopbouw!$D$40</f>
        <v>0</v>
      </c>
      <c r="AE28" s="89">
        <f>Ruimtestaat[[#This Row],[Prest. (m2 /jaar) weekend]]+Ruimtestaat[[#This Row],[Prest. (m2 /jaar) werkdagen]]</f>
        <v>9800</v>
      </c>
      <c r="AF28" s="89">
        <f>Ruimtestaat[[#This Row],[uren / jaar weekend]]+Ruimtestaat[[#This Row],[uren / jaar werkdagen]]</f>
        <v>0</v>
      </c>
      <c r="AG28" s="90">
        <f>Ruimtestaat[[#This Row],[kosten / jaar weekend]]+Ruimtestaat[[#This Row],[kosten / jaar werkdagen]]</f>
        <v>0</v>
      </c>
      <c r="AH28" s="91"/>
      <c r="HL28" s="67"/>
    </row>
    <row r="29" spans="1:220" ht="15" customHeight="1">
      <c r="A29" s="53">
        <v>1</v>
      </c>
      <c r="B29" s="53" t="str">
        <f>VLOOKUP(Ruimtestaat[[#This Row],[Code]],Locaties[#All],2,FALSE)</f>
        <v>Ir. Lely Lyceum</v>
      </c>
      <c r="C29" s="53" t="str">
        <f>VLOOKUP(Ruimtestaat[[#This Row],[Code]],Locaties[#All],4,FALSE)</f>
        <v>Ravenswaaipad 3</v>
      </c>
      <c r="D29" s="53" t="str">
        <f>VLOOKUP(Ruimtestaat[[#This Row],[Code]],Locaties[#All],5,FALSE)</f>
        <v>1106 AW</v>
      </c>
      <c r="E29" s="53" t="str">
        <f>VLOOKUP(Ruimtestaat[[#This Row],[Code]],Locaties[#All],6,FALSE)</f>
        <v>Amsterdam</v>
      </c>
      <c r="F29" s="78" t="s">
        <v>347</v>
      </c>
      <c r="G29" s="53" t="s">
        <v>348</v>
      </c>
      <c r="H29" s="53" t="s">
        <v>390</v>
      </c>
      <c r="I29" s="78" t="s">
        <v>385</v>
      </c>
      <c r="J29" s="53">
        <v>16</v>
      </c>
      <c r="K29" s="78" t="str">
        <f>VLOOKUP(J29,Ruimtegroepen[],2,FALSE)</f>
        <v>Leslokalen theorie</v>
      </c>
      <c r="L29" s="53" t="s">
        <v>280</v>
      </c>
      <c r="M29" s="53" t="s">
        <v>353</v>
      </c>
      <c r="N29" s="92">
        <v>49</v>
      </c>
      <c r="O29" s="92"/>
      <c r="P29" s="80" t="str">
        <f>LEFT(VLOOKUP(Ruimtestaat[[#This Row],[Ruimte code]],Ruimtegroepen[#All],4,1),2)</f>
        <v xml:space="preserve">L </v>
      </c>
      <c r="Q29" s="93"/>
      <c r="R29" s="81">
        <v>40</v>
      </c>
      <c r="S29" s="81" t="s">
        <v>298</v>
      </c>
      <c r="T29" s="82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" s="82">
        <f>IF(T29&gt;0,VLOOKUP($J29,Ruimtegroepen[],3,FALSE)*VLOOKUP($L29,Vloersoorten[],3,FALSE)*VLOOKUP($S29,Frequenties[],3,FALSE)*VLOOKUP($A29,Locaties[],3,FALSE),0)</f>
        <v>0</v>
      </c>
      <c r="V29" s="83">
        <f>Ruimtestaat[[#This Row],[Uitvoeringen werkdagen]]*Ruimtestaat[[#This Row],[Oppervlak (netto)]]</f>
        <v>9800</v>
      </c>
      <c r="W29" s="84">
        <f>IF(U29&gt;0,Ruimtestaat[[#This Row],[Prest. (m2 /jaar) werkdagen]]/Ruimtestaat[[#This Row],[Norm (m2/uur) werkdagen]],0)</f>
        <v>0</v>
      </c>
      <c r="X29" s="85">
        <f>Ruimtestaat[[#This Row],[uren / jaar werkdagen]]*Tariefsopbouw!$E$35</f>
        <v>0</v>
      </c>
      <c r="Y29" s="94"/>
      <c r="Z29" s="86">
        <f>IF(Ruimtestaat[[#This Row],[Frequentie weekend]]&gt;0,VALUE(LEFT(Y29,1))*R29,0)</f>
        <v>0</v>
      </c>
      <c r="AA29" s="82">
        <f>IF($Z29&gt;0,VLOOKUP($J29,Ruimtegroepen[],3,FALSE)*VLOOKUP($L29,Vloersoorten[],3,FALSE)*VLOOKUP($Y29,Frequenties[],3,FALSE)*VLOOKUP($A25,Locaties[],3,FALSE),0)</f>
        <v>0</v>
      </c>
      <c r="AB29" s="84">
        <f>Ruimtestaat[[#This Row],[Uitvoeringen weekend]]*Ruimtestaat[[#This Row],[Oppervlak (netto)]]</f>
        <v>0</v>
      </c>
      <c r="AC29" s="87">
        <f>IF(AB29&gt;0,Ruimtestaat[[#This Row],[Prest. (m2 /jaar) weekend]]/Ruimtestaat[[#This Row],[Norm (m2/uur) weekend]],0)</f>
        <v>0</v>
      </c>
      <c r="AD29" s="88">
        <f>Ruimtestaat[[#This Row],[uren / jaar weekend]]*Tariefsopbouw!$D$40</f>
        <v>0</v>
      </c>
      <c r="AE29" s="89">
        <f>Ruimtestaat[[#This Row],[Prest. (m2 /jaar) weekend]]+Ruimtestaat[[#This Row],[Prest. (m2 /jaar) werkdagen]]</f>
        <v>9800</v>
      </c>
      <c r="AF29" s="89">
        <f>Ruimtestaat[[#This Row],[uren / jaar weekend]]+Ruimtestaat[[#This Row],[uren / jaar werkdagen]]</f>
        <v>0</v>
      </c>
      <c r="AG29" s="90">
        <f>Ruimtestaat[[#This Row],[kosten / jaar weekend]]+Ruimtestaat[[#This Row],[kosten / jaar werkdagen]]</f>
        <v>0</v>
      </c>
      <c r="AH29" s="91"/>
      <c r="HL29" s="67"/>
    </row>
    <row r="30" spans="1:220" ht="15" customHeight="1">
      <c r="A30" s="53">
        <v>1</v>
      </c>
      <c r="B30" s="53" t="str">
        <f>VLOOKUP(Ruimtestaat[[#This Row],[Code]],Locaties[#All],2,FALSE)</f>
        <v>Ir. Lely Lyceum</v>
      </c>
      <c r="C30" s="53" t="str">
        <f>VLOOKUP(Ruimtestaat[[#This Row],[Code]],Locaties[#All],4,FALSE)</f>
        <v>Ravenswaaipad 3</v>
      </c>
      <c r="D30" s="53" t="str">
        <f>VLOOKUP(Ruimtestaat[[#This Row],[Code]],Locaties[#All],5,FALSE)</f>
        <v>1106 AW</v>
      </c>
      <c r="E30" s="53" t="str">
        <f>VLOOKUP(Ruimtestaat[[#This Row],[Code]],Locaties[#All],6,FALSE)</f>
        <v>Amsterdam</v>
      </c>
      <c r="F30" s="78" t="s">
        <v>347</v>
      </c>
      <c r="G30" s="53" t="s">
        <v>348</v>
      </c>
      <c r="H30" s="53" t="s">
        <v>391</v>
      </c>
      <c r="I30" s="23" t="s">
        <v>392</v>
      </c>
      <c r="J30" s="53">
        <v>14</v>
      </c>
      <c r="K30" s="78" t="str">
        <f>VLOOKUP(J30,Ruimtegroepen[],2,FALSE)</f>
        <v>Praktijklokalen binas/zorg</v>
      </c>
      <c r="L30" s="53" t="s">
        <v>280</v>
      </c>
      <c r="M30" s="53" t="s">
        <v>353</v>
      </c>
      <c r="N30" s="79">
        <v>120.6</v>
      </c>
      <c r="O30" s="79"/>
      <c r="P30" s="80" t="str">
        <f>LEFT(VLOOKUP(Ruimtestaat[[#This Row],[Ruimte code]],Ruimtegroepen[#All],4,1),2)</f>
        <v xml:space="preserve">L </v>
      </c>
      <c r="Q30" s="79"/>
      <c r="R30" s="81">
        <v>40</v>
      </c>
      <c r="S30" s="81" t="s">
        <v>298</v>
      </c>
      <c r="T30" s="82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" s="82">
        <f>IF(T30&gt;0,VLOOKUP($J30,Ruimtegroepen[],3,FALSE)*VLOOKUP($L30,Vloersoorten[],3,FALSE)*VLOOKUP($S30,Frequenties[],3,FALSE)*VLOOKUP($A30,Locaties[],3,FALSE),0)</f>
        <v>0</v>
      </c>
      <c r="V30" s="83">
        <f>Ruimtestaat[[#This Row],[Uitvoeringen werkdagen]]*Ruimtestaat[[#This Row],[Oppervlak (netto)]]</f>
        <v>24120</v>
      </c>
      <c r="W30" s="84">
        <f>IF(U30&gt;0,Ruimtestaat[[#This Row],[Prest. (m2 /jaar) werkdagen]]/Ruimtestaat[[#This Row],[Norm (m2/uur) werkdagen]],0)</f>
        <v>0</v>
      </c>
      <c r="X30" s="85">
        <f>Ruimtestaat[[#This Row],[uren / jaar werkdagen]]*Tariefsopbouw!$E$35</f>
        <v>0</v>
      </c>
      <c r="Y30" s="82"/>
      <c r="Z30" s="86">
        <f>IF(Ruimtestaat[[#This Row],[Frequentie weekend]]&gt;0,VALUE(LEFT(Y30,1))*R30,0)</f>
        <v>0</v>
      </c>
      <c r="AA30" s="82">
        <f>IF($Z30&gt;0,VLOOKUP($J30,Ruimtegroepen[],3,FALSE)*VLOOKUP($L30,Vloersoorten[],3,FALSE)*VLOOKUP($Y30,Frequenties[],3,FALSE)*VLOOKUP($A25,Locaties[],3,FALSE),0)</f>
        <v>0</v>
      </c>
      <c r="AB30" s="84">
        <f>Ruimtestaat[[#This Row],[Uitvoeringen weekend]]*Ruimtestaat[[#This Row],[Oppervlak (netto)]]</f>
        <v>0</v>
      </c>
      <c r="AC30" s="87">
        <f>IF(AB30&gt;0,Ruimtestaat[[#This Row],[Prest. (m2 /jaar) weekend]]/Ruimtestaat[[#This Row],[Norm (m2/uur) weekend]],0)</f>
        <v>0</v>
      </c>
      <c r="AD30" s="88">
        <f>Ruimtestaat[[#This Row],[uren / jaar weekend]]*Tariefsopbouw!$D$40</f>
        <v>0</v>
      </c>
      <c r="AE30" s="89">
        <f>Ruimtestaat[[#This Row],[Prest. (m2 /jaar) weekend]]+Ruimtestaat[[#This Row],[Prest. (m2 /jaar) werkdagen]]</f>
        <v>24120</v>
      </c>
      <c r="AF30" s="89">
        <f>Ruimtestaat[[#This Row],[uren / jaar weekend]]+Ruimtestaat[[#This Row],[uren / jaar werkdagen]]</f>
        <v>0</v>
      </c>
      <c r="AG30" s="90">
        <f>Ruimtestaat[[#This Row],[kosten / jaar weekend]]+Ruimtestaat[[#This Row],[kosten / jaar werkdagen]]</f>
        <v>0</v>
      </c>
      <c r="AH30" s="91"/>
      <c r="HL30" s="67"/>
    </row>
    <row r="31" spans="1:220" ht="15" customHeight="1">
      <c r="A31" s="53">
        <v>1</v>
      </c>
      <c r="B31" s="53" t="str">
        <f>VLOOKUP(Ruimtestaat[[#This Row],[Code]],Locaties[#All],2,FALSE)</f>
        <v>Ir. Lely Lyceum</v>
      </c>
      <c r="C31" s="53" t="str">
        <f>VLOOKUP(Ruimtestaat[[#This Row],[Code]],Locaties[#All],4,FALSE)</f>
        <v>Ravenswaaipad 3</v>
      </c>
      <c r="D31" s="53" t="str">
        <f>VLOOKUP(Ruimtestaat[[#This Row],[Code]],Locaties[#All],5,FALSE)</f>
        <v>1106 AW</v>
      </c>
      <c r="E31" s="53" t="str">
        <f>VLOOKUP(Ruimtestaat[[#This Row],[Code]],Locaties[#All],6,FALSE)</f>
        <v>Amsterdam</v>
      </c>
      <c r="F31" s="78" t="s">
        <v>347</v>
      </c>
      <c r="G31" s="53" t="s">
        <v>348</v>
      </c>
      <c r="H31" s="53" t="s">
        <v>393</v>
      </c>
      <c r="I31" s="23" t="s">
        <v>352</v>
      </c>
      <c r="J31" s="53">
        <v>6</v>
      </c>
      <c r="K31" s="78" t="str">
        <f>VLOOKUP(J31,Ruimtegroepen[],2,FALSE)</f>
        <v>Gangen/hallen</v>
      </c>
      <c r="L31" s="53" t="s">
        <v>280</v>
      </c>
      <c r="M31" s="53" t="s">
        <v>353</v>
      </c>
      <c r="N31" s="79">
        <v>136.25</v>
      </c>
      <c r="O31" s="79"/>
      <c r="P31" s="80" t="str">
        <f>LEFT(VLOOKUP(Ruimtestaat[[#This Row],[Ruimte code]],Ruimtegroepen[#All],4,1),2)</f>
        <v xml:space="preserve">V </v>
      </c>
      <c r="Q31" s="79"/>
      <c r="R31" s="81">
        <v>40</v>
      </c>
      <c r="S31" s="81" t="s">
        <v>298</v>
      </c>
      <c r="T31" s="82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" s="82">
        <f>IF(T31&gt;0,VLOOKUP($J31,Ruimtegroepen[],3,FALSE)*VLOOKUP($L31,Vloersoorten[],3,FALSE)*VLOOKUP($S31,Frequenties[],3,FALSE)*VLOOKUP($A31,Locaties[],3,FALSE),0)</f>
        <v>0</v>
      </c>
      <c r="V31" s="83">
        <f>Ruimtestaat[[#This Row],[Uitvoeringen werkdagen]]*Ruimtestaat[[#This Row],[Oppervlak (netto)]]</f>
        <v>27250</v>
      </c>
      <c r="W31" s="84">
        <f>IF(U31&gt;0,Ruimtestaat[[#This Row],[Prest. (m2 /jaar) werkdagen]]/Ruimtestaat[[#This Row],[Norm (m2/uur) werkdagen]],0)</f>
        <v>0</v>
      </c>
      <c r="X31" s="85">
        <f>Ruimtestaat[[#This Row],[uren / jaar werkdagen]]*Tariefsopbouw!$E$35</f>
        <v>0</v>
      </c>
      <c r="Y31" s="82"/>
      <c r="Z31" s="86">
        <f>IF(Ruimtestaat[[#This Row],[Frequentie weekend]]&gt;0,VALUE(LEFT(Y31,1))*R31,0)</f>
        <v>0</v>
      </c>
      <c r="AA31" s="82">
        <f>IF($Z31&gt;0,VLOOKUP($J31,Ruimtegroepen[],3,FALSE)*VLOOKUP($L31,Vloersoorten[],3,FALSE)*VLOOKUP($Y31,Frequenties[],3,FALSE)*VLOOKUP($A26,Locaties[],3,FALSE),0)</f>
        <v>0</v>
      </c>
      <c r="AB31" s="84">
        <f>Ruimtestaat[[#This Row],[Uitvoeringen weekend]]*Ruimtestaat[[#This Row],[Oppervlak (netto)]]</f>
        <v>0</v>
      </c>
      <c r="AC31" s="87">
        <f>IF(AB31&gt;0,Ruimtestaat[[#This Row],[Prest. (m2 /jaar) weekend]]/Ruimtestaat[[#This Row],[Norm (m2/uur) weekend]],0)</f>
        <v>0</v>
      </c>
      <c r="AD31" s="88">
        <f>Ruimtestaat[[#This Row],[uren / jaar weekend]]*Tariefsopbouw!$D$40</f>
        <v>0</v>
      </c>
      <c r="AE31" s="89">
        <f>Ruimtestaat[[#This Row],[Prest. (m2 /jaar) weekend]]+Ruimtestaat[[#This Row],[Prest. (m2 /jaar) werkdagen]]</f>
        <v>27250</v>
      </c>
      <c r="AF31" s="89">
        <f>Ruimtestaat[[#This Row],[uren / jaar weekend]]+Ruimtestaat[[#This Row],[uren / jaar werkdagen]]</f>
        <v>0</v>
      </c>
      <c r="AG31" s="90">
        <f>Ruimtestaat[[#This Row],[kosten / jaar weekend]]+Ruimtestaat[[#This Row],[kosten / jaar werkdagen]]</f>
        <v>0</v>
      </c>
      <c r="AH31" s="91"/>
      <c r="HL31" s="67"/>
    </row>
    <row r="32" spans="1:220" ht="15" customHeight="1">
      <c r="A32" s="53">
        <v>1</v>
      </c>
      <c r="B32" s="53" t="str">
        <f>VLOOKUP(Ruimtestaat[[#This Row],[Code]],Locaties[#All],2,FALSE)</f>
        <v>Ir. Lely Lyceum</v>
      </c>
      <c r="C32" s="53" t="str">
        <f>VLOOKUP(Ruimtestaat[[#This Row],[Code]],Locaties[#All],4,FALSE)</f>
        <v>Ravenswaaipad 3</v>
      </c>
      <c r="D32" s="53" t="str">
        <f>VLOOKUP(Ruimtestaat[[#This Row],[Code]],Locaties[#All],5,FALSE)</f>
        <v>1106 AW</v>
      </c>
      <c r="E32" s="53" t="str">
        <f>VLOOKUP(Ruimtestaat[[#This Row],[Code]],Locaties[#All],6,FALSE)</f>
        <v>Amsterdam</v>
      </c>
      <c r="F32" s="78" t="s">
        <v>347</v>
      </c>
      <c r="G32" s="53" t="s">
        <v>348</v>
      </c>
      <c r="H32" s="53" t="s">
        <v>394</v>
      </c>
      <c r="I32" s="23" t="s">
        <v>369</v>
      </c>
      <c r="J32" s="53">
        <v>5</v>
      </c>
      <c r="K32" s="78" t="str">
        <f>VLOOKUP(J32,Ruimtegroepen[],2,FALSE)</f>
        <v>Sanitair</v>
      </c>
      <c r="L32" s="53" t="s">
        <v>285</v>
      </c>
      <c r="M32" s="53" t="s">
        <v>370</v>
      </c>
      <c r="N32" s="92">
        <v>9.4499999999999993</v>
      </c>
      <c r="O32" s="79"/>
      <c r="P32" s="80" t="str">
        <f>LEFT(VLOOKUP(Ruimtestaat[[#This Row],[Ruimte code]],Ruimtegroepen[#All],4,1),2)</f>
        <v xml:space="preserve">S </v>
      </c>
      <c r="Q32" s="79"/>
      <c r="R32" s="81">
        <v>40</v>
      </c>
      <c r="S32" s="81" t="s">
        <v>298</v>
      </c>
      <c r="T32" s="82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" s="82">
        <f>IF(T32&gt;0,VLOOKUP($J32,Ruimtegroepen[],3,FALSE)*VLOOKUP($L32,Vloersoorten[],3,FALSE)*VLOOKUP($S32,Frequenties[],3,FALSE)*VLOOKUP($A32,Locaties[],3,FALSE),0)</f>
        <v>0</v>
      </c>
      <c r="V32" s="83">
        <f>Ruimtestaat[[#This Row],[Uitvoeringen werkdagen]]*Ruimtestaat[[#This Row],[Oppervlak (netto)]]</f>
        <v>1889.9999999999998</v>
      </c>
      <c r="W32" s="84">
        <f>IF(U32&gt;0,Ruimtestaat[[#This Row],[Prest. (m2 /jaar) werkdagen]]/Ruimtestaat[[#This Row],[Norm (m2/uur) werkdagen]],0)</f>
        <v>0</v>
      </c>
      <c r="X32" s="85">
        <f>Ruimtestaat[[#This Row],[uren / jaar werkdagen]]*Tariefsopbouw!$E$35</f>
        <v>0</v>
      </c>
      <c r="Y32" s="82"/>
      <c r="Z32" s="86">
        <f>IF(Ruimtestaat[[#This Row],[Frequentie weekend]]&gt;0,VALUE(LEFT(Y32,1))*R32,0)</f>
        <v>0</v>
      </c>
      <c r="AA32" s="82">
        <f>IF($Z32&gt;0,VLOOKUP($J32,Ruimtegroepen[],3,FALSE)*VLOOKUP($L32,Vloersoorten[],3,FALSE)*VLOOKUP($Y32,Frequenties[],3,FALSE)*VLOOKUP($A27,Locaties[],3,FALSE),0)</f>
        <v>0</v>
      </c>
      <c r="AB32" s="84">
        <f>Ruimtestaat[[#This Row],[Uitvoeringen weekend]]*Ruimtestaat[[#This Row],[Oppervlak (netto)]]</f>
        <v>0</v>
      </c>
      <c r="AC32" s="87">
        <f>IF(AB32&gt;0,Ruimtestaat[[#This Row],[Prest. (m2 /jaar) weekend]]/Ruimtestaat[[#This Row],[Norm (m2/uur) weekend]],0)</f>
        <v>0</v>
      </c>
      <c r="AD32" s="88">
        <f>Ruimtestaat[[#This Row],[uren / jaar weekend]]*Tariefsopbouw!$D$40</f>
        <v>0</v>
      </c>
      <c r="AE32" s="89">
        <f>Ruimtestaat[[#This Row],[Prest. (m2 /jaar) weekend]]+Ruimtestaat[[#This Row],[Prest. (m2 /jaar) werkdagen]]</f>
        <v>1889.9999999999998</v>
      </c>
      <c r="AF32" s="89">
        <f>Ruimtestaat[[#This Row],[uren / jaar weekend]]+Ruimtestaat[[#This Row],[uren / jaar werkdagen]]</f>
        <v>0</v>
      </c>
      <c r="AG32" s="90">
        <f>Ruimtestaat[[#This Row],[kosten / jaar weekend]]+Ruimtestaat[[#This Row],[kosten / jaar werkdagen]]</f>
        <v>0</v>
      </c>
      <c r="AH32" s="91"/>
      <c r="HL32" s="67"/>
    </row>
    <row r="33" spans="1:220" ht="15" customHeight="1">
      <c r="A33" s="53">
        <v>1</v>
      </c>
      <c r="B33" s="53" t="str">
        <f>VLOOKUP(Ruimtestaat[[#This Row],[Code]],Locaties[#All],2,FALSE)</f>
        <v>Ir. Lely Lyceum</v>
      </c>
      <c r="C33" s="53" t="str">
        <f>VLOOKUP(Ruimtestaat[[#This Row],[Code]],Locaties[#All],4,FALSE)</f>
        <v>Ravenswaaipad 3</v>
      </c>
      <c r="D33" s="53" t="str">
        <f>VLOOKUP(Ruimtestaat[[#This Row],[Code]],Locaties[#All],5,FALSE)</f>
        <v>1106 AW</v>
      </c>
      <c r="E33" s="53" t="str">
        <f>VLOOKUP(Ruimtestaat[[#This Row],[Code]],Locaties[#All],6,FALSE)</f>
        <v>Amsterdam</v>
      </c>
      <c r="F33" s="78" t="s">
        <v>347</v>
      </c>
      <c r="G33" s="53" t="s">
        <v>348</v>
      </c>
      <c r="H33" s="53" t="s">
        <v>395</v>
      </c>
      <c r="I33" s="23" t="s">
        <v>396</v>
      </c>
      <c r="J33" s="53">
        <v>2</v>
      </c>
      <c r="K33" s="78" t="str">
        <f>VLOOKUP(J33,Ruimtegroepen[],2,FALSE)</f>
        <v>Kantoren</v>
      </c>
      <c r="L33" s="53" t="s">
        <v>280</v>
      </c>
      <c r="M33" s="53" t="s">
        <v>353</v>
      </c>
      <c r="N33" s="79">
        <v>12.6</v>
      </c>
      <c r="O33" s="79"/>
      <c r="P33" s="80" t="str">
        <f>LEFT(VLOOKUP(Ruimtestaat[[#This Row],[Ruimte code]],Ruimtegroepen[#All],4,1),2)</f>
        <v xml:space="preserve">B </v>
      </c>
      <c r="Q33" s="79"/>
      <c r="R33" s="81">
        <v>40</v>
      </c>
      <c r="S33" s="81" t="s">
        <v>298</v>
      </c>
      <c r="T33" s="82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" s="82">
        <f>IF(T33&gt;0,VLOOKUP($J33,Ruimtegroepen[],3,FALSE)*VLOOKUP($L33,Vloersoorten[],3,FALSE)*VLOOKUP($S33,Frequenties[],3,FALSE)*VLOOKUP($A33,Locaties[],3,FALSE),0)</f>
        <v>0</v>
      </c>
      <c r="V33" s="83">
        <f>Ruimtestaat[[#This Row],[Uitvoeringen werkdagen]]*Ruimtestaat[[#This Row],[Oppervlak (netto)]]</f>
        <v>2520</v>
      </c>
      <c r="W33" s="84">
        <f>IF(U33&gt;0,Ruimtestaat[[#This Row],[Prest. (m2 /jaar) werkdagen]]/Ruimtestaat[[#This Row],[Norm (m2/uur) werkdagen]],0)</f>
        <v>0</v>
      </c>
      <c r="X33" s="85">
        <f>Ruimtestaat[[#This Row],[uren / jaar werkdagen]]*Tariefsopbouw!$E$35</f>
        <v>0</v>
      </c>
      <c r="Y33" s="82"/>
      <c r="Z33" s="86">
        <f>IF(Ruimtestaat[[#This Row],[Frequentie weekend]]&gt;0,VALUE(LEFT(Y33,1))*R33,0)</f>
        <v>0</v>
      </c>
      <c r="AA33" s="82">
        <f>IF($Z33&gt;0,VLOOKUP($J33,Ruimtegroepen[],3,FALSE)*VLOOKUP($L33,Vloersoorten[],3,FALSE)*VLOOKUP($Y33,Frequenties[],3,FALSE)*VLOOKUP($A28,Locaties[],3,FALSE),0)</f>
        <v>0</v>
      </c>
      <c r="AB33" s="84">
        <f>Ruimtestaat[[#This Row],[Uitvoeringen weekend]]*Ruimtestaat[[#This Row],[Oppervlak (netto)]]</f>
        <v>0</v>
      </c>
      <c r="AC33" s="87">
        <f>IF(AB33&gt;0,Ruimtestaat[[#This Row],[Prest. (m2 /jaar) weekend]]/Ruimtestaat[[#This Row],[Norm (m2/uur) weekend]],0)</f>
        <v>0</v>
      </c>
      <c r="AD33" s="88">
        <f>Ruimtestaat[[#This Row],[uren / jaar weekend]]*Tariefsopbouw!$D$40</f>
        <v>0</v>
      </c>
      <c r="AE33" s="89">
        <f>Ruimtestaat[[#This Row],[Prest. (m2 /jaar) weekend]]+Ruimtestaat[[#This Row],[Prest. (m2 /jaar) werkdagen]]</f>
        <v>2520</v>
      </c>
      <c r="AF33" s="89">
        <f>Ruimtestaat[[#This Row],[uren / jaar weekend]]+Ruimtestaat[[#This Row],[uren / jaar werkdagen]]</f>
        <v>0</v>
      </c>
      <c r="AG33" s="90">
        <f>Ruimtestaat[[#This Row],[kosten / jaar weekend]]+Ruimtestaat[[#This Row],[kosten / jaar werkdagen]]</f>
        <v>0</v>
      </c>
      <c r="AH33" s="91"/>
      <c r="HL33" s="67"/>
    </row>
    <row r="34" spans="1:220" ht="15" customHeight="1">
      <c r="A34" s="53">
        <v>1</v>
      </c>
      <c r="B34" s="53" t="str">
        <f>VLOOKUP(Ruimtestaat[[#This Row],[Code]],Locaties[#All],2,FALSE)</f>
        <v>Ir. Lely Lyceum</v>
      </c>
      <c r="C34" s="53" t="str">
        <f>VLOOKUP(Ruimtestaat[[#This Row],[Code]],Locaties[#All],4,FALSE)</f>
        <v>Ravenswaaipad 3</v>
      </c>
      <c r="D34" s="53" t="str">
        <f>VLOOKUP(Ruimtestaat[[#This Row],[Code]],Locaties[#All],5,FALSE)</f>
        <v>1106 AW</v>
      </c>
      <c r="E34" s="53" t="str">
        <f>VLOOKUP(Ruimtestaat[[#This Row],[Code]],Locaties[#All],6,FALSE)</f>
        <v>Amsterdam</v>
      </c>
      <c r="F34" s="78" t="s">
        <v>347</v>
      </c>
      <c r="G34" s="53" t="s">
        <v>348</v>
      </c>
      <c r="H34" s="53" t="s">
        <v>397</v>
      </c>
      <c r="I34" s="23" t="s">
        <v>372</v>
      </c>
      <c r="J34" s="53">
        <v>5</v>
      </c>
      <c r="K34" s="78" t="str">
        <f>VLOOKUP(J34,Ruimtegroepen[],2,FALSE)</f>
        <v>Sanitair</v>
      </c>
      <c r="L34" s="53" t="s">
        <v>285</v>
      </c>
      <c r="M34" s="53" t="s">
        <v>370</v>
      </c>
      <c r="N34" s="92">
        <v>9.4499999999999993</v>
      </c>
      <c r="O34" s="79"/>
      <c r="P34" s="80" t="str">
        <f>LEFT(VLOOKUP(Ruimtestaat[[#This Row],[Ruimte code]],Ruimtegroepen[#All],4,1),2)</f>
        <v xml:space="preserve">S </v>
      </c>
      <c r="Q34" s="79"/>
      <c r="R34" s="81">
        <v>40</v>
      </c>
      <c r="S34" s="81" t="s">
        <v>298</v>
      </c>
      <c r="T34" s="82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" s="82">
        <f>IF(T34&gt;0,VLOOKUP($J34,Ruimtegroepen[],3,FALSE)*VLOOKUP($L34,Vloersoorten[],3,FALSE)*VLOOKUP($S34,Frequenties[],3,FALSE)*VLOOKUP($A34,Locaties[],3,FALSE),0)</f>
        <v>0</v>
      </c>
      <c r="V34" s="83">
        <f>Ruimtestaat[[#This Row],[Uitvoeringen werkdagen]]*Ruimtestaat[[#This Row],[Oppervlak (netto)]]</f>
        <v>1889.9999999999998</v>
      </c>
      <c r="W34" s="84">
        <f>IF(U34&gt;0,Ruimtestaat[[#This Row],[Prest. (m2 /jaar) werkdagen]]/Ruimtestaat[[#This Row],[Norm (m2/uur) werkdagen]],0)</f>
        <v>0</v>
      </c>
      <c r="X34" s="85">
        <f>Ruimtestaat[[#This Row],[uren / jaar werkdagen]]*Tariefsopbouw!$E$35</f>
        <v>0</v>
      </c>
      <c r="Y34" s="82"/>
      <c r="Z34" s="86">
        <f>IF(Ruimtestaat[[#This Row],[Frequentie weekend]]&gt;0,VALUE(LEFT(Y34,1))*R34,0)</f>
        <v>0</v>
      </c>
      <c r="AA34" s="82">
        <f>IF($Z34&gt;0,VLOOKUP($J34,Ruimtegroepen[],3,FALSE)*VLOOKUP($L34,Vloersoorten[],3,FALSE)*VLOOKUP($Y34,Frequenties[],3,FALSE)*VLOOKUP($A30,Locaties[],3,FALSE),0)</f>
        <v>0</v>
      </c>
      <c r="AB34" s="84">
        <f>Ruimtestaat[[#This Row],[Uitvoeringen weekend]]*Ruimtestaat[[#This Row],[Oppervlak (netto)]]</f>
        <v>0</v>
      </c>
      <c r="AC34" s="87">
        <f>IF(AB34&gt;0,Ruimtestaat[[#This Row],[Prest. (m2 /jaar) weekend]]/Ruimtestaat[[#This Row],[Norm (m2/uur) weekend]],0)</f>
        <v>0</v>
      </c>
      <c r="AD34" s="88">
        <f>Ruimtestaat[[#This Row],[uren / jaar weekend]]*Tariefsopbouw!$D$40</f>
        <v>0</v>
      </c>
      <c r="AE34" s="89">
        <f>Ruimtestaat[[#This Row],[Prest. (m2 /jaar) weekend]]+Ruimtestaat[[#This Row],[Prest. (m2 /jaar) werkdagen]]</f>
        <v>1889.9999999999998</v>
      </c>
      <c r="AF34" s="89">
        <f>Ruimtestaat[[#This Row],[uren / jaar weekend]]+Ruimtestaat[[#This Row],[uren / jaar werkdagen]]</f>
        <v>0</v>
      </c>
      <c r="AG34" s="90">
        <f>Ruimtestaat[[#This Row],[kosten / jaar weekend]]+Ruimtestaat[[#This Row],[kosten / jaar werkdagen]]</f>
        <v>0</v>
      </c>
      <c r="AH34" s="91"/>
      <c r="HL34" s="67"/>
    </row>
    <row r="35" spans="1:220" ht="15" customHeight="1">
      <c r="A35" s="53">
        <v>1</v>
      </c>
      <c r="B35" s="53" t="str">
        <f>VLOOKUP(Ruimtestaat[[#This Row],[Code]],Locaties[#All],2,FALSE)</f>
        <v>Ir. Lely Lyceum</v>
      </c>
      <c r="C35" s="53" t="str">
        <f>VLOOKUP(Ruimtestaat[[#This Row],[Code]],Locaties[#All],4,FALSE)</f>
        <v>Ravenswaaipad 3</v>
      </c>
      <c r="D35" s="53" t="str">
        <f>VLOOKUP(Ruimtestaat[[#This Row],[Code]],Locaties[#All],5,FALSE)</f>
        <v>1106 AW</v>
      </c>
      <c r="E35" s="53" t="str">
        <f>VLOOKUP(Ruimtestaat[[#This Row],[Code]],Locaties[#All],6,FALSE)</f>
        <v>Amsterdam</v>
      </c>
      <c r="F35" s="78" t="s">
        <v>347</v>
      </c>
      <c r="G35" s="53" t="s">
        <v>348</v>
      </c>
      <c r="H35" s="53" t="s">
        <v>398</v>
      </c>
      <c r="I35" s="23" t="s">
        <v>399</v>
      </c>
      <c r="J35" s="53">
        <v>2</v>
      </c>
      <c r="K35" s="78" t="str">
        <f>VLOOKUP(J35,Ruimtegroepen[],2,FALSE)</f>
        <v>Kantoren</v>
      </c>
      <c r="L35" s="53" t="s">
        <v>280</v>
      </c>
      <c r="M35" s="53" t="s">
        <v>353</v>
      </c>
      <c r="N35" s="79">
        <v>32.200000000000003</v>
      </c>
      <c r="O35" s="79"/>
      <c r="P35" s="80" t="str">
        <f>LEFT(VLOOKUP(Ruimtestaat[[#This Row],[Ruimte code]],Ruimtegroepen[#All],4,1),2)</f>
        <v xml:space="preserve">B </v>
      </c>
      <c r="Q35" s="79"/>
      <c r="R35" s="81">
        <v>40</v>
      </c>
      <c r="S35" s="81" t="s">
        <v>298</v>
      </c>
      <c r="T35" s="82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" s="82">
        <f>IF(T35&gt;0,VLOOKUP($J35,Ruimtegroepen[],3,FALSE)*VLOOKUP($L35,Vloersoorten[],3,FALSE)*VLOOKUP($S35,Frequenties[],3,FALSE)*VLOOKUP($A35,Locaties[],3,FALSE),0)</f>
        <v>0</v>
      </c>
      <c r="V35" s="83">
        <f>Ruimtestaat[[#This Row],[Uitvoeringen werkdagen]]*Ruimtestaat[[#This Row],[Oppervlak (netto)]]</f>
        <v>6440.0000000000009</v>
      </c>
      <c r="W35" s="84">
        <f>IF(U35&gt;0,Ruimtestaat[[#This Row],[Prest. (m2 /jaar) werkdagen]]/Ruimtestaat[[#This Row],[Norm (m2/uur) werkdagen]],0)</f>
        <v>0</v>
      </c>
      <c r="X35" s="85">
        <f>Ruimtestaat[[#This Row],[uren / jaar werkdagen]]*Tariefsopbouw!$E$35</f>
        <v>0</v>
      </c>
      <c r="Y35" s="82"/>
      <c r="Z35" s="86">
        <f>IF(Ruimtestaat[[#This Row],[Frequentie weekend]]&gt;0,VALUE(LEFT(Y35,1))*R35,0)</f>
        <v>0</v>
      </c>
      <c r="AA35" s="82">
        <f>IF($Z35&gt;0,VLOOKUP($J35,Ruimtegroepen[],3,FALSE)*VLOOKUP($L35,Vloersoorten[],3,FALSE)*VLOOKUP($Y35,Frequenties[],3,FALSE)*VLOOKUP($A31,Locaties[],3,FALSE),0)</f>
        <v>0</v>
      </c>
      <c r="AB35" s="84">
        <f>Ruimtestaat[[#This Row],[Uitvoeringen weekend]]*Ruimtestaat[[#This Row],[Oppervlak (netto)]]</f>
        <v>0</v>
      </c>
      <c r="AC35" s="87">
        <f>IF(AB35&gt;0,Ruimtestaat[[#This Row],[Prest. (m2 /jaar) weekend]]/Ruimtestaat[[#This Row],[Norm (m2/uur) weekend]],0)</f>
        <v>0</v>
      </c>
      <c r="AD35" s="88">
        <f>Ruimtestaat[[#This Row],[uren / jaar weekend]]*Tariefsopbouw!$D$40</f>
        <v>0</v>
      </c>
      <c r="AE35" s="89">
        <f>Ruimtestaat[[#This Row],[Prest. (m2 /jaar) weekend]]+Ruimtestaat[[#This Row],[Prest. (m2 /jaar) werkdagen]]</f>
        <v>6440.0000000000009</v>
      </c>
      <c r="AF35" s="89">
        <f>Ruimtestaat[[#This Row],[uren / jaar weekend]]+Ruimtestaat[[#This Row],[uren / jaar werkdagen]]</f>
        <v>0</v>
      </c>
      <c r="AG35" s="90">
        <f>Ruimtestaat[[#This Row],[kosten / jaar weekend]]+Ruimtestaat[[#This Row],[kosten / jaar werkdagen]]</f>
        <v>0</v>
      </c>
      <c r="AH35" s="91"/>
      <c r="HL35" s="67"/>
    </row>
    <row r="36" spans="1:220" ht="15" customHeight="1">
      <c r="A36" s="53">
        <v>1</v>
      </c>
      <c r="B36" s="53" t="str">
        <f>VLOOKUP(Ruimtestaat[[#This Row],[Code]],Locaties[#All],2,FALSE)</f>
        <v>Ir. Lely Lyceum</v>
      </c>
      <c r="C36" s="53" t="str">
        <f>VLOOKUP(Ruimtestaat[[#This Row],[Code]],Locaties[#All],4,FALSE)</f>
        <v>Ravenswaaipad 3</v>
      </c>
      <c r="D36" s="53" t="str">
        <f>VLOOKUP(Ruimtestaat[[#This Row],[Code]],Locaties[#All],5,FALSE)</f>
        <v>1106 AW</v>
      </c>
      <c r="E36" s="53" t="str">
        <f>VLOOKUP(Ruimtestaat[[#This Row],[Code]],Locaties[#All],6,FALSE)</f>
        <v>Amsterdam</v>
      </c>
      <c r="F36" s="78" t="s">
        <v>347</v>
      </c>
      <c r="G36" s="53" t="s">
        <v>348</v>
      </c>
      <c r="H36" s="53" t="s">
        <v>400</v>
      </c>
      <c r="I36" s="23" t="s">
        <v>401</v>
      </c>
      <c r="J36" s="53">
        <v>20</v>
      </c>
      <c r="K36" s="78" t="str">
        <f>VLOOKUP(J36,Ruimtegroepen[],2,FALSE)</f>
        <v>Niet in onderhoud</v>
      </c>
      <c r="L36" s="53" t="s">
        <v>280</v>
      </c>
      <c r="M36" s="53" t="s">
        <v>353</v>
      </c>
      <c r="N36" s="79"/>
      <c r="O36" s="79">
        <v>32.200000000000003</v>
      </c>
      <c r="P36" s="80" t="str">
        <f>LEFT(VLOOKUP(Ruimtestaat[[#This Row],[Ruimte code]],Ruimtegroepen[#All],4,1),2)</f>
        <v/>
      </c>
      <c r="Q36" s="79"/>
      <c r="R36" s="81"/>
      <c r="S36" s="81"/>
      <c r="T36" s="82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" s="82">
        <f>IF(T36&gt;0,VLOOKUP($J36,Ruimtegroepen[],3,FALSE)*VLOOKUP($L36,Vloersoorten[],3,FALSE)*VLOOKUP($S36,Frequenties[],3,FALSE)*VLOOKUP($A36,Locaties[],3,FALSE),0)</f>
        <v>0</v>
      </c>
      <c r="V36" s="83">
        <f>Ruimtestaat[[#This Row],[Uitvoeringen werkdagen]]*Ruimtestaat[[#This Row],[Oppervlak (netto)]]</f>
        <v>0</v>
      </c>
      <c r="W36" s="84">
        <f>IF(U36&gt;0,Ruimtestaat[[#This Row],[Prest. (m2 /jaar) werkdagen]]/Ruimtestaat[[#This Row],[Norm (m2/uur) werkdagen]],0)</f>
        <v>0</v>
      </c>
      <c r="X36" s="85">
        <f>Ruimtestaat[[#This Row],[uren / jaar werkdagen]]*Tariefsopbouw!$E$35</f>
        <v>0</v>
      </c>
      <c r="Y36" s="82"/>
      <c r="Z36" s="86">
        <f>IF(Ruimtestaat[[#This Row],[Frequentie weekend]]&gt;0,VALUE(LEFT(Y36,1))*R36,0)</f>
        <v>0</v>
      </c>
      <c r="AA36" s="82">
        <f>IF($Z36&gt;0,VLOOKUP($J36,Ruimtegroepen[],3,FALSE)*VLOOKUP($L36,Vloersoorten[],3,FALSE)*VLOOKUP($Y36,Frequenties[],3,FALSE)*VLOOKUP($A32,Locaties[],3,FALSE),0)</f>
        <v>0</v>
      </c>
      <c r="AB36" s="84">
        <f>Ruimtestaat[[#This Row],[Uitvoeringen weekend]]*Ruimtestaat[[#This Row],[Oppervlak (netto)]]</f>
        <v>0</v>
      </c>
      <c r="AC36" s="87">
        <f>IF(AB36&gt;0,Ruimtestaat[[#This Row],[Prest. (m2 /jaar) weekend]]/Ruimtestaat[[#This Row],[Norm (m2/uur) weekend]],0)</f>
        <v>0</v>
      </c>
      <c r="AD36" s="88">
        <f>Ruimtestaat[[#This Row],[uren / jaar weekend]]*Tariefsopbouw!$D$40</f>
        <v>0</v>
      </c>
      <c r="AE36" s="89">
        <f>Ruimtestaat[[#This Row],[Prest. (m2 /jaar) weekend]]+Ruimtestaat[[#This Row],[Prest. (m2 /jaar) werkdagen]]</f>
        <v>0</v>
      </c>
      <c r="AF36" s="89">
        <f>Ruimtestaat[[#This Row],[uren / jaar weekend]]+Ruimtestaat[[#This Row],[uren / jaar werkdagen]]</f>
        <v>0</v>
      </c>
      <c r="AG36" s="90">
        <f>Ruimtestaat[[#This Row],[kosten / jaar weekend]]+Ruimtestaat[[#This Row],[kosten / jaar werkdagen]]</f>
        <v>0</v>
      </c>
      <c r="AH36" s="91"/>
      <c r="HL36" s="67"/>
    </row>
    <row r="37" spans="1:220" ht="15" customHeight="1">
      <c r="A37" s="53">
        <v>1</v>
      </c>
      <c r="B37" s="53" t="str">
        <f>VLOOKUP(Ruimtestaat[[#This Row],[Code]],Locaties[#All],2,FALSE)</f>
        <v>Ir. Lely Lyceum</v>
      </c>
      <c r="C37" s="53" t="str">
        <f>VLOOKUP(Ruimtestaat[[#This Row],[Code]],Locaties[#All],4,FALSE)</f>
        <v>Ravenswaaipad 3</v>
      </c>
      <c r="D37" s="53" t="str">
        <f>VLOOKUP(Ruimtestaat[[#This Row],[Code]],Locaties[#All],5,FALSE)</f>
        <v>1106 AW</v>
      </c>
      <c r="E37" s="53" t="str">
        <f>VLOOKUP(Ruimtestaat[[#This Row],[Code]],Locaties[#All],6,FALSE)</f>
        <v>Amsterdam</v>
      </c>
      <c r="F37" s="78" t="s">
        <v>347</v>
      </c>
      <c r="G37" s="53" t="s">
        <v>348</v>
      </c>
      <c r="H37" s="53" t="s">
        <v>402</v>
      </c>
      <c r="I37" s="23" t="s">
        <v>375</v>
      </c>
      <c r="J37" s="53">
        <v>20</v>
      </c>
      <c r="K37" s="78" t="str">
        <f>VLOOKUP(J37,Ruimtegroepen[],2,FALSE)</f>
        <v>Niet in onderhoud</v>
      </c>
      <c r="L37" s="53" t="s">
        <v>280</v>
      </c>
      <c r="M37" s="53" t="s">
        <v>353</v>
      </c>
      <c r="N37" s="79"/>
      <c r="O37" s="79">
        <v>6</v>
      </c>
      <c r="P37" s="80" t="str">
        <f>LEFT(VLOOKUP(Ruimtestaat[[#This Row],[Ruimte code]],Ruimtegroepen[#All],4,1),2)</f>
        <v/>
      </c>
      <c r="Q37" s="79"/>
      <c r="R37" s="81"/>
      <c r="S37" s="81"/>
      <c r="T37" s="82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7" s="82">
        <f>IF(T37&gt;0,VLOOKUP($J37,Ruimtegroepen[],3,FALSE)*VLOOKUP($L37,Vloersoorten[],3,FALSE)*VLOOKUP($S37,Frequenties[],3,FALSE)*VLOOKUP($A37,Locaties[],3,FALSE),0)</f>
        <v>0</v>
      </c>
      <c r="V37" s="83">
        <f>Ruimtestaat[[#This Row],[Uitvoeringen werkdagen]]*Ruimtestaat[[#This Row],[Oppervlak (netto)]]</f>
        <v>0</v>
      </c>
      <c r="W37" s="84">
        <f>IF(U37&gt;0,Ruimtestaat[[#This Row],[Prest. (m2 /jaar) werkdagen]]/Ruimtestaat[[#This Row],[Norm (m2/uur) werkdagen]],0)</f>
        <v>0</v>
      </c>
      <c r="X37" s="85">
        <f>Ruimtestaat[[#This Row],[uren / jaar werkdagen]]*Tariefsopbouw!$E$35</f>
        <v>0</v>
      </c>
      <c r="Y37" s="82"/>
      <c r="Z37" s="86">
        <f>IF(Ruimtestaat[[#This Row],[Frequentie weekend]]&gt;0,VALUE(LEFT(Y37,1))*R37,0)</f>
        <v>0</v>
      </c>
      <c r="AA37" s="82">
        <f>IF($Z37&gt;0,VLOOKUP($J37,Ruimtegroepen[],3,FALSE)*VLOOKUP($L37,Vloersoorten[],3,FALSE)*VLOOKUP($Y37,Frequenties[],3,FALSE)*VLOOKUP($A33,Locaties[],3,FALSE),0)</f>
        <v>0</v>
      </c>
      <c r="AB37" s="84">
        <f>Ruimtestaat[[#This Row],[Uitvoeringen weekend]]*Ruimtestaat[[#This Row],[Oppervlak (netto)]]</f>
        <v>0</v>
      </c>
      <c r="AC37" s="87">
        <f>IF(AB37&gt;0,Ruimtestaat[[#This Row],[Prest. (m2 /jaar) weekend]]/Ruimtestaat[[#This Row],[Norm (m2/uur) weekend]],0)</f>
        <v>0</v>
      </c>
      <c r="AD37" s="88">
        <f>Ruimtestaat[[#This Row],[uren / jaar weekend]]*Tariefsopbouw!$D$40</f>
        <v>0</v>
      </c>
      <c r="AE37" s="89">
        <f>Ruimtestaat[[#This Row],[Prest. (m2 /jaar) weekend]]+Ruimtestaat[[#This Row],[Prest. (m2 /jaar) werkdagen]]</f>
        <v>0</v>
      </c>
      <c r="AF37" s="89">
        <f>Ruimtestaat[[#This Row],[uren / jaar weekend]]+Ruimtestaat[[#This Row],[uren / jaar werkdagen]]</f>
        <v>0</v>
      </c>
      <c r="AG37" s="90">
        <f>Ruimtestaat[[#This Row],[kosten / jaar weekend]]+Ruimtestaat[[#This Row],[kosten / jaar werkdagen]]</f>
        <v>0</v>
      </c>
      <c r="AH37" s="91"/>
      <c r="HL37" s="67"/>
    </row>
    <row r="38" spans="1:220" ht="15" customHeight="1">
      <c r="A38" s="53">
        <v>1</v>
      </c>
      <c r="B38" s="53" t="str">
        <f>VLOOKUP(Ruimtestaat[[#This Row],[Code]],Locaties[#All],2,FALSE)</f>
        <v>Ir. Lely Lyceum</v>
      </c>
      <c r="C38" s="53" t="str">
        <f>VLOOKUP(Ruimtestaat[[#This Row],[Code]],Locaties[#All],4,FALSE)</f>
        <v>Ravenswaaipad 3</v>
      </c>
      <c r="D38" s="53" t="str">
        <f>VLOOKUP(Ruimtestaat[[#This Row],[Code]],Locaties[#All],5,FALSE)</f>
        <v>1106 AW</v>
      </c>
      <c r="E38" s="53" t="str">
        <f>VLOOKUP(Ruimtestaat[[#This Row],[Code]],Locaties[#All],6,FALSE)</f>
        <v>Amsterdam</v>
      </c>
      <c r="F38" s="78" t="s">
        <v>347</v>
      </c>
      <c r="G38" s="53" t="s">
        <v>348</v>
      </c>
      <c r="H38" s="53" t="s">
        <v>403</v>
      </c>
      <c r="I38" s="23" t="s">
        <v>404</v>
      </c>
      <c r="J38" s="53">
        <v>20</v>
      </c>
      <c r="K38" s="78" t="str">
        <f>VLOOKUP(J38,Ruimtegroepen[],2,FALSE)</f>
        <v>Niet in onderhoud</v>
      </c>
      <c r="L38" s="53" t="s">
        <v>285</v>
      </c>
      <c r="M38" s="53" t="s">
        <v>370</v>
      </c>
      <c r="O38" s="79">
        <v>11.25</v>
      </c>
      <c r="P38" s="80" t="str">
        <f>LEFT(VLOOKUP(Ruimtestaat[[#This Row],[Ruimte code]],Ruimtegroepen[#All],4,1),2)</f>
        <v/>
      </c>
      <c r="Q38" s="79"/>
      <c r="R38" s="81"/>
      <c r="S38" s="81"/>
      <c r="T38" s="82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8" s="82">
        <f>IF(T38&gt;0,VLOOKUP($J38,Ruimtegroepen[],3,FALSE)*VLOOKUP($L38,Vloersoorten[],3,FALSE)*VLOOKUP($S38,Frequenties[],3,FALSE)*VLOOKUP($A38,Locaties[],3,FALSE),0)</f>
        <v>0</v>
      </c>
      <c r="V38" s="83">
        <f>Ruimtestaat[[#This Row],[Uitvoeringen werkdagen]]*Ruimtestaat[[#This Row],[Oppervlak (netto)]]</f>
        <v>0</v>
      </c>
      <c r="W38" s="84">
        <f>IF(U38&gt;0,Ruimtestaat[[#This Row],[Prest. (m2 /jaar) werkdagen]]/Ruimtestaat[[#This Row],[Norm (m2/uur) werkdagen]],0)</f>
        <v>0</v>
      </c>
      <c r="X38" s="85">
        <f>Ruimtestaat[[#This Row],[uren / jaar werkdagen]]*Tariefsopbouw!$E$35</f>
        <v>0</v>
      </c>
      <c r="Y38" s="82"/>
      <c r="Z38" s="86">
        <f>IF(Ruimtestaat[[#This Row],[Frequentie weekend]]&gt;0,VALUE(LEFT(Y38,1))*R38,0)</f>
        <v>0</v>
      </c>
      <c r="AA38" s="82">
        <f>IF($Z38&gt;0,VLOOKUP($J38,Ruimtegroepen[],3,FALSE)*VLOOKUP($L38,Vloersoorten[],3,FALSE)*VLOOKUP($Y38,Frequenties[],3,FALSE)*VLOOKUP($A34,Locaties[],3,FALSE),0)</f>
        <v>0</v>
      </c>
      <c r="AB38" s="84">
        <f>Ruimtestaat[[#This Row],[Uitvoeringen weekend]]*Ruimtestaat[[#This Row],[Oppervlak (netto)]]</f>
        <v>0</v>
      </c>
      <c r="AC38" s="87">
        <f>IF(AB38&gt;0,Ruimtestaat[[#This Row],[Prest. (m2 /jaar) weekend]]/Ruimtestaat[[#This Row],[Norm (m2/uur) weekend]],0)</f>
        <v>0</v>
      </c>
      <c r="AD38" s="88">
        <f>Ruimtestaat[[#This Row],[uren / jaar weekend]]*Tariefsopbouw!$D$40</f>
        <v>0</v>
      </c>
      <c r="AE38" s="89">
        <f>Ruimtestaat[[#This Row],[Prest. (m2 /jaar) weekend]]+Ruimtestaat[[#This Row],[Prest. (m2 /jaar) werkdagen]]</f>
        <v>0</v>
      </c>
      <c r="AF38" s="89">
        <f>Ruimtestaat[[#This Row],[uren / jaar weekend]]+Ruimtestaat[[#This Row],[uren / jaar werkdagen]]</f>
        <v>0</v>
      </c>
      <c r="AG38" s="90">
        <f>Ruimtestaat[[#This Row],[kosten / jaar weekend]]+Ruimtestaat[[#This Row],[kosten / jaar werkdagen]]</f>
        <v>0</v>
      </c>
      <c r="AH38" s="91"/>
      <c r="HL38" s="67"/>
    </row>
    <row r="39" spans="1:220" ht="15" customHeight="1">
      <c r="A39" s="53">
        <v>1</v>
      </c>
      <c r="B39" s="53" t="str">
        <f>VLOOKUP(Ruimtestaat[[#This Row],[Code]],Locaties[#All],2,FALSE)</f>
        <v>Ir. Lely Lyceum</v>
      </c>
      <c r="C39" s="53" t="str">
        <f>VLOOKUP(Ruimtestaat[[#This Row],[Code]],Locaties[#All],4,FALSE)</f>
        <v>Ravenswaaipad 3</v>
      </c>
      <c r="D39" s="53" t="str">
        <f>VLOOKUP(Ruimtestaat[[#This Row],[Code]],Locaties[#All],5,FALSE)</f>
        <v>1106 AW</v>
      </c>
      <c r="E39" s="53" t="str">
        <f>VLOOKUP(Ruimtestaat[[#This Row],[Code]],Locaties[#All],6,FALSE)</f>
        <v>Amsterdam</v>
      </c>
      <c r="F39" s="78" t="s">
        <v>347</v>
      </c>
      <c r="G39" s="53" t="s">
        <v>348</v>
      </c>
      <c r="H39" s="53" t="s">
        <v>405</v>
      </c>
      <c r="I39" s="23" t="s">
        <v>406</v>
      </c>
      <c r="J39" s="53">
        <v>20</v>
      </c>
      <c r="K39" s="78" t="str">
        <f>VLOOKUP(J39,Ruimtegroepen[],2,FALSE)</f>
        <v>Niet in onderhoud</v>
      </c>
      <c r="L39" s="53" t="s">
        <v>285</v>
      </c>
      <c r="M39" s="53" t="s">
        <v>370</v>
      </c>
      <c r="N39" s="79"/>
      <c r="O39" s="79">
        <v>20.25</v>
      </c>
      <c r="P39" s="80" t="str">
        <f>LEFT(VLOOKUP(Ruimtestaat[[#This Row],[Ruimte code]],Ruimtegroepen[#All],4,1),2)</f>
        <v/>
      </c>
      <c r="Q39" s="79"/>
      <c r="R39" s="81"/>
      <c r="S39" s="81"/>
      <c r="T39" s="82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9" s="82">
        <f>IF(T39&gt;0,VLOOKUP($J39,Ruimtegroepen[],3,FALSE)*VLOOKUP($L39,Vloersoorten[],3,FALSE)*VLOOKUP($S39,Frequenties[],3,FALSE)*VLOOKUP($A39,Locaties[],3,FALSE),0)</f>
        <v>0</v>
      </c>
      <c r="V39" s="83">
        <f>Ruimtestaat[[#This Row],[Uitvoeringen werkdagen]]*Ruimtestaat[[#This Row],[Oppervlak (netto)]]</f>
        <v>0</v>
      </c>
      <c r="W39" s="84">
        <f>IF(U39&gt;0,Ruimtestaat[[#This Row],[Prest. (m2 /jaar) werkdagen]]/Ruimtestaat[[#This Row],[Norm (m2/uur) werkdagen]],0)</f>
        <v>0</v>
      </c>
      <c r="X39" s="85">
        <f>Ruimtestaat[[#This Row],[uren / jaar werkdagen]]*Tariefsopbouw!$E$35</f>
        <v>0</v>
      </c>
      <c r="Y39" s="82"/>
      <c r="Z39" s="86">
        <f>IF(Ruimtestaat[[#This Row],[Frequentie weekend]]&gt;0,VALUE(LEFT(Y39,1))*R39,0)</f>
        <v>0</v>
      </c>
      <c r="AA39" s="82">
        <f>IF($Z39&gt;0,VLOOKUP($J39,Ruimtegroepen[],3,FALSE)*VLOOKUP($L39,Vloersoorten[],3,FALSE)*VLOOKUP($Y39,Frequenties[],3,FALSE)*VLOOKUP($A35,Locaties[],3,FALSE),0)</f>
        <v>0</v>
      </c>
      <c r="AB39" s="84">
        <f>Ruimtestaat[[#This Row],[Uitvoeringen weekend]]*Ruimtestaat[[#This Row],[Oppervlak (netto)]]</f>
        <v>0</v>
      </c>
      <c r="AC39" s="87">
        <f>IF(AB39&gt;0,Ruimtestaat[[#This Row],[Prest. (m2 /jaar) weekend]]/Ruimtestaat[[#This Row],[Norm (m2/uur) weekend]],0)</f>
        <v>0</v>
      </c>
      <c r="AD39" s="88">
        <f>Ruimtestaat[[#This Row],[uren / jaar weekend]]*Tariefsopbouw!$D$40</f>
        <v>0</v>
      </c>
      <c r="AE39" s="89">
        <f>Ruimtestaat[[#This Row],[Prest. (m2 /jaar) weekend]]+Ruimtestaat[[#This Row],[Prest. (m2 /jaar) werkdagen]]</f>
        <v>0</v>
      </c>
      <c r="AF39" s="89">
        <f>Ruimtestaat[[#This Row],[uren / jaar weekend]]+Ruimtestaat[[#This Row],[uren / jaar werkdagen]]</f>
        <v>0</v>
      </c>
      <c r="AG39" s="90">
        <f>Ruimtestaat[[#This Row],[kosten / jaar weekend]]+Ruimtestaat[[#This Row],[kosten / jaar werkdagen]]</f>
        <v>0</v>
      </c>
      <c r="AH39" s="91"/>
      <c r="HL39" s="67"/>
    </row>
    <row r="40" spans="1:220" ht="15" customHeight="1">
      <c r="A40" s="53">
        <v>1</v>
      </c>
      <c r="B40" s="53" t="str">
        <f>VLOOKUP(Ruimtestaat[[#This Row],[Code]],Locaties[#All],2,FALSE)</f>
        <v>Ir. Lely Lyceum</v>
      </c>
      <c r="C40" s="53" t="str">
        <f>VLOOKUP(Ruimtestaat[[#This Row],[Code]],Locaties[#All],4,FALSE)</f>
        <v>Ravenswaaipad 3</v>
      </c>
      <c r="D40" s="53" t="str">
        <f>VLOOKUP(Ruimtestaat[[#This Row],[Code]],Locaties[#All],5,FALSE)</f>
        <v>1106 AW</v>
      </c>
      <c r="E40" s="53" t="str">
        <f>VLOOKUP(Ruimtestaat[[#This Row],[Code]],Locaties[#All],6,FALSE)</f>
        <v>Amsterdam</v>
      </c>
      <c r="F40" s="78" t="s">
        <v>347</v>
      </c>
      <c r="G40" s="53" t="s">
        <v>348</v>
      </c>
      <c r="H40" s="53" t="s">
        <v>407</v>
      </c>
      <c r="I40" s="23" t="s">
        <v>408</v>
      </c>
      <c r="J40" s="53">
        <v>2</v>
      </c>
      <c r="K40" s="78" t="str">
        <f>VLOOKUP(J40,Ruimtegroepen[],2,FALSE)</f>
        <v>Kantoren</v>
      </c>
      <c r="L40" s="53" t="s">
        <v>280</v>
      </c>
      <c r="M40" s="53" t="s">
        <v>353</v>
      </c>
      <c r="N40" s="79">
        <v>45</v>
      </c>
      <c r="O40" s="79"/>
      <c r="P40" s="80" t="str">
        <f>LEFT(VLOOKUP(Ruimtestaat[[#This Row],[Ruimte code]],Ruimtegroepen[#All],4,1),2)</f>
        <v xml:space="preserve">B </v>
      </c>
      <c r="Q40" s="79"/>
      <c r="R40" s="81">
        <v>40</v>
      </c>
      <c r="S40" s="81" t="s">
        <v>298</v>
      </c>
      <c r="T40" s="82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" s="82">
        <f>IF(T40&gt;0,VLOOKUP($J40,Ruimtegroepen[],3,FALSE)*VLOOKUP($L40,Vloersoorten[],3,FALSE)*VLOOKUP($S40,Frequenties[],3,FALSE)*VLOOKUP($A40,Locaties[],3,FALSE),0)</f>
        <v>0</v>
      </c>
      <c r="V40" s="83">
        <f>Ruimtestaat[[#This Row],[Uitvoeringen werkdagen]]*Ruimtestaat[[#This Row],[Oppervlak (netto)]]</f>
        <v>9000</v>
      </c>
      <c r="W40" s="84">
        <f>IF(U40&gt;0,Ruimtestaat[[#This Row],[Prest. (m2 /jaar) werkdagen]]/Ruimtestaat[[#This Row],[Norm (m2/uur) werkdagen]],0)</f>
        <v>0</v>
      </c>
      <c r="X40" s="85">
        <f>Ruimtestaat[[#This Row],[uren / jaar werkdagen]]*Tariefsopbouw!$E$35</f>
        <v>0</v>
      </c>
      <c r="Y40" s="82"/>
      <c r="Z40" s="86">
        <f>IF(Ruimtestaat[[#This Row],[Frequentie weekend]]&gt;0,VALUE(LEFT(Y40,1))*R40,0)</f>
        <v>0</v>
      </c>
      <c r="AA40" s="82">
        <f>IF($Z40&gt;0,VLOOKUP($J40,Ruimtegroepen[],3,FALSE)*VLOOKUP($L40,Vloersoorten[],3,FALSE)*VLOOKUP($Y40,Frequenties[],3,FALSE)*VLOOKUP($A36,Locaties[],3,FALSE),0)</f>
        <v>0</v>
      </c>
      <c r="AB40" s="84">
        <f>Ruimtestaat[[#This Row],[Uitvoeringen weekend]]*Ruimtestaat[[#This Row],[Oppervlak (netto)]]</f>
        <v>0</v>
      </c>
      <c r="AC40" s="87">
        <f>IF(AB40&gt;0,Ruimtestaat[[#This Row],[Prest. (m2 /jaar) weekend]]/Ruimtestaat[[#This Row],[Norm (m2/uur) weekend]],0)</f>
        <v>0</v>
      </c>
      <c r="AD40" s="88">
        <f>Ruimtestaat[[#This Row],[uren / jaar weekend]]*Tariefsopbouw!$D$40</f>
        <v>0</v>
      </c>
      <c r="AE40" s="89">
        <f>Ruimtestaat[[#This Row],[Prest. (m2 /jaar) weekend]]+Ruimtestaat[[#This Row],[Prest. (m2 /jaar) werkdagen]]</f>
        <v>9000</v>
      </c>
      <c r="AF40" s="89">
        <f>Ruimtestaat[[#This Row],[uren / jaar weekend]]+Ruimtestaat[[#This Row],[uren / jaar werkdagen]]</f>
        <v>0</v>
      </c>
      <c r="AG40" s="90">
        <f>Ruimtestaat[[#This Row],[kosten / jaar weekend]]+Ruimtestaat[[#This Row],[kosten / jaar werkdagen]]</f>
        <v>0</v>
      </c>
      <c r="AH40" s="91"/>
      <c r="HL40" s="67"/>
    </row>
    <row r="41" spans="1:220" ht="15" customHeight="1">
      <c r="A41" s="53">
        <v>1</v>
      </c>
      <c r="B41" s="53" t="str">
        <f>VLOOKUP(Ruimtestaat[[#This Row],[Code]],Locaties[#All],2,FALSE)</f>
        <v>Ir. Lely Lyceum</v>
      </c>
      <c r="C41" s="53" t="str">
        <f>VLOOKUP(Ruimtestaat[[#This Row],[Code]],Locaties[#All],4,FALSE)</f>
        <v>Ravenswaaipad 3</v>
      </c>
      <c r="D41" s="53" t="str">
        <f>VLOOKUP(Ruimtestaat[[#This Row],[Code]],Locaties[#All],5,FALSE)</f>
        <v>1106 AW</v>
      </c>
      <c r="E41" s="53" t="str">
        <f>VLOOKUP(Ruimtestaat[[#This Row],[Code]],Locaties[#All],6,FALSE)</f>
        <v>Amsterdam</v>
      </c>
      <c r="F41" s="78" t="s">
        <v>347</v>
      </c>
      <c r="G41" s="53" t="s">
        <v>348</v>
      </c>
      <c r="H41" s="53" t="s">
        <v>409</v>
      </c>
      <c r="I41" s="23" t="s">
        <v>378</v>
      </c>
      <c r="J41" s="53">
        <v>10</v>
      </c>
      <c r="K41" s="78" t="str">
        <f>VLOOKUP(J41,Ruimtegroepen[],2,FALSE)</f>
        <v>Trappenhuizen/lift</v>
      </c>
      <c r="L41" s="53" t="s">
        <v>280</v>
      </c>
      <c r="M41" s="53" t="s">
        <v>353</v>
      </c>
      <c r="N41" s="79">
        <v>21</v>
      </c>
      <c r="O41" s="79"/>
      <c r="P41" s="80" t="str">
        <f>LEFT(VLOOKUP(Ruimtestaat[[#This Row],[Ruimte code]],Ruimtegroepen[#All],4,1),2)</f>
        <v xml:space="preserve">V </v>
      </c>
      <c r="Q41" s="79"/>
      <c r="R41" s="81">
        <v>40</v>
      </c>
      <c r="S41" s="81" t="s">
        <v>298</v>
      </c>
      <c r="T41" s="82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" s="82">
        <f>IF(T41&gt;0,VLOOKUP($J41,Ruimtegroepen[],3,FALSE)*VLOOKUP($L41,Vloersoorten[],3,FALSE)*VLOOKUP($S41,Frequenties[],3,FALSE)*VLOOKUP($A41,Locaties[],3,FALSE),0)</f>
        <v>0</v>
      </c>
      <c r="V41" s="83">
        <f>Ruimtestaat[[#This Row],[Uitvoeringen werkdagen]]*Ruimtestaat[[#This Row],[Oppervlak (netto)]]</f>
        <v>4200</v>
      </c>
      <c r="W41" s="84">
        <f>IF(U41&gt;0,Ruimtestaat[[#This Row],[Prest. (m2 /jaar) werkdagen]]/Ruimtestaat[[#This Row],[Norm (m2/uur) werkdagen]],0)</f>
        <v>0</v>
      </c>
      <c r="X41" s="85">
        <f>Ruimtestaat[[#This Row],[uren / jaar werkdagen]]*Tariefsopbouw!$E$35</f>
        <v>0</v>
      </c>
      <c r="Y41" s="82"/>
      <c r="Z41" s="86">
        <f>IF(Ruimtestaat[[#This Row],[Frequentie weekend]]&gt;0,VALUE(LEFT(Y41,1))*R41,0)</f>
        <v>0</v>
      </c>
      <c r="AA41" s="82">
        <f>IF($Z41&gt;0,VLOOKUP($J41,Ruimtegroepen[],3,FALSE)*VLOOKUP($L41,Vloersoorten[],3,FALSE)*VLOOKUP($Y41,Frequenties[],3,FALSE)*VLOOKUP($A37,Locaties[],3,FALSE),0)</f>
        <v>0</v>
      </c>
      <c r="AB41" s="84">
        <f>Ruimtestaat[[#This Row],[Uitvoeringen weekend]]*Ruimtestaat[[#This Row],[Oppervlak (netto)]]</f>
        <v>0</v>
      </c>
      <c r="AC41" s="87">
        <f>IF(AB41&gt;0,Ruimtestaat[[#This Row],[Prest. (m2 /jaar) weekend]]/Ruimtestaat[[#This Row],[Norm (m2/uur) weekend]],0)</f>
        <v>0</v>
      </c>
      <c r="AD41" s="88">
        <f>Ruimtestaat[[#This Row],[uren / jaar weekend]]*Tariefsopbouw!$D$40</f>
        <v>0</v>
      </c>
      <c r="AE41" s="89">
        <f>Ruimtestaat[[#This Row],[Prest. (m2 /jaar) weekend]]+Ruimtestaat[[#This Row],[Prest. (m2 /jaar) werkdagen]]</f>
        <v>4200</v>
      </c>
      <c r="AF41" s="89">
        <f>Ruimtestaat[[#This Row],[uren / jaar weekend]]+Ruimtestaat[[#This Row],[uren / jaar werkdagen]]</f>
        <v>0</v>
      </c>
      <c r="AG41" s="90">
        <f>Ruimtestaat[[#This Row],[kosten / jaar weekend]]+Ruimtestaat[[#This Row],[kosten / jaar werkdagen]]</f>
        <v>0</v>
      </c>
      <c r="AH41" s="91"/>
      <c r="HL41" s="67"/>
    </row>
    <row r="42" spans="1:220" ht="15" customHeight="1">
      <c r="A42" s="53">
        <v>1</v>
      </c>
      <c r="B42" s="53" t="str">
        <f>VLOOKUP(Ruimtestaat[[#This Row],[Code]],Locaties[#All],2,FALSE)</f>
        <v>Ir. Lely Lyceum</v>
      </c>
      <c r="C42" s="53" t="str">
        <f>VLOOKUP(Ruimtestaat[[#This Row],[Code]],Locaties[#All],4,FALSE)</f>
        <v>Ravenswaaipad 3</v>
      </c>
      <c r="D42" s="53" t="str">
        <f>VLOOKUP(Ruimtestaat[[#This Row],[Code]],Locaties[#All],5,FALSE)</f>
        <v>1106 AW</v>
      </c>
      <c r="E42" s="53" t="str">
        <f>VLOOKUP(Ruimtestaat[[#This Row],[Code]],Locaties[#All],6,FALSE)</f>
        <v>Amsterdam</v>
      </c>
      <c r="F42" s="78" t="s">
        <v>347</v>
      </c>
      <c r="G42" s="53" t="s">
        <v>348</v>
      </c>
      <c r="H42" s="53" t="s">
        <v>410</v>
      </c>
      <c r="I42" s="23" t="s">
        <v>411</v>
      </c>
      <c r="J42" s="53">
        <v>16</v>
      </c>
      <c r="K42" s="78" t="str">
        <f>VLOOKUP(J42,Ruimtegroepen[],2,FALSE)</f>
        <v>Leslokalen theorie</v>
      </c>
      <c r="L42" s="53" t="s">
        <v>280</v>
      </c>
      <c r="M42" s="53" t="s">
        <v>353</v>
      </c>
      <c r="N42" s="79">
        <v>53.9</v>
      </c>
      <c r="O42" s="79"/>
      <c r="P42" s="80" t="str">
        <f>LEFT(VLOOKUP(Ruimtestaat[[#This Row],[Ruimte code]],Ruimtegroepen[#All],4,1),2)</f>
        <v xml:space="preserve">L </v>
      </c>
      <c r="Q42" s="79"/>
      <c r="R42" s="81">
        <v>40</v>
      </c>
      <c r="S42" s="81" t="s">
        <v>298</v>
      </c>
      <c r="T42" s="82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" s="82">
        <f>IF(T42&gt;0,VLOOKUP($J42,Ruimtegroepen[],3,FALSE)*VLOOKUP($L42,Vloersoorten[],3,FALSE)*VLOOKUP($S42,Frequenties[],3,FALSE)*VLOOKUP($A42,Locaties[],3,FALSE),0)</f>
        <v>0</v>
      </c>
      <c r="V42" s="83">
        <f>Ruimtestaat[[#This Row],[Uitvoeringen werkdagen]]*Ruimtestaat[[#This Row],[Oppervlak (netto)]]</f>
        <v>10780</v>
      </c>
      <c r="W42" s="84">
        <f>IF(U42&gt;0,Ruimtestaat[[#This Row],[Prest. (m2 /jaar) werkdagen]]/Ruimtestaat[[#This Row],[Norm (m2/uur) werkdagen]],0)</f>
        <v>0</v>
      </c>
      <c r="X42" s="85">
        <f>Ruimtestaat[[#This Row],[uren / jaar werkdagen]]*Tariefsopbouw!$E$35</f>
        <v>0</v>
      </c>
      <c r="Y42" s="82"/>
      <c r="Z42" s="86">
        <f>IF(Ruimtestaat[[#This Row],[Frequentie weekend]]&gt;0,VALUE(LEFT(Y42,1))*R42,0)</f>
        <v>0</v>
      </c>
      <c r="AA42" s="82">
        <f>IF($Z42&gt;0,VLOOKUP($J42,Ruimtegroepen[],3,FALSE)*VLOOKUP($L42,Vloersoorten[],3,FALSE)*VLOOKUP($Y42,Frequenties[],3,FALSE)*VLOOKUP($A38,Locaties[],3,FALSE),0)</f>
        <v>0</v>
      </c>
      <c r="AB42" s="84">
        <f>Ruimtestaat[[#This Row],[Uitvoeringen weekend]]*Ruimtestaat[[#This Row],[Oppervlak (netto)]]</f>
        <v>0</v>
      </c>
      <c r="AC42" s="87">
        <f>IF(AB42&gt;0,Ruimtestaat[[#This Row],[Prest. (m2 /jaar) weekend]]/Ruimtestaat[[#This Row],[Norm (m2/uur) weekend]],0)</f>
        <v>0</v>
      </c>
      <c r="AD42" s="88">
        <f>Ruimtestaat[[#This Row],[uren / jaar weekend]]*Tariefsopbouw!$D$40</f>
        <v>0</v>
      </c>
      <c r="AE42" s="89">
        <f>Ruimtestaat[[#This Row],[Prest. (m2 /jaar) weekend]]+Ruimtestaat[[#This Row],[Prest. (m2 /jaar) werkdagen]]</f>
        <v>10780</v>
      </c>
      <c r="AF42" s="89">
        <f>Ruimtestaat[[#This Row],[uren / jaar weekend]]+Ruimtestaat[[#This Row],[uren / jaar werkdagen]]</f>
        <v>0</v>
      </c>
      <c r="AG42" s="90">
        <f>Ruimtestaat[[#This Row],[kosten / jaar weekend]]+Ruimtestaat[[#This Row],[kosten / jaar werkdagen]]</f>
        <v>0</v>
      </c>
      <c r="AH42" s="91"/>
      <c r="HL42" s="67"/>
    </row>
    <row r="43" spans="1:220" ht="15" customHeight="1">
      <c r="A43" s="53">
        <v>1</v>
      </c>
      <c r="B43" s="53" t="str">
        <f>VLOOKUP(Ruimtestaat[[#This Row],[Code]],Locaties[#All],2,FALSE)</f>
        <v>Ir. Lely Lyceum</v>
      </c>
      <c r="C43" s="53" t="str">
        <f>VLOOKUP(Ruimtestaat[[#This Row],[Code]],Locaties[#All],4,FALSE)</f>
        <v>Ravenswaaipad 3</v>
      </c>
      <c r="D43" s="53" t="str">
        <f>VLOOKUP(Ruimtestaat[[#This Row],[Code]],Locaties[#All],5,FALSE)</f>
        <v>1106 AW</v>
      </c>
      <c r="E43" s="53" t="str">
        <f>VLOOKUP(Ruimtestaat[[#This Row],[Code]],Locaties[#All],6,FALSE)</f>
        <v>Amsterdam</v>
      </c>
      <c r="F43" s="78" t="s">
        <v>347</v>
      </c>
      <c r="G43" s="53" t="s">
        <v>348</v>
      </c>
      <c r="H43" s="53" t="s">
        <v>412</v>
      </c>
      <c r="I43" s="23" t="s">
        <v>413</v>
      </c>
      <c r="J43" s="53">
        <v>14</v>
      </c>
      <c r="K43" s="78" t="str">
        <f>VLOOKUP(J43,Ruimtegroepen[],2,FALSE)</f>
        <v>Praktijklokalen binas/zorg</v>
      </c>
      <c r="L43" s="53" t="s">
        <v>280</v>
      </c>
      <c r="M43" s="53" t="s">
        <v>353</v>
      </c>
      <c r="N43" s="79">
        <v>88.25</v>
      </c>
      <c r="O43" s="79"/>
      <c r="P43" s="80" t="str">
        <f>LEFT(VLOOKUP(Ruimtestaat[[#This Row],[Ruimte code]],Ruimtegroepen[#All],4,1),2)</f>
        <v xml:space="preserve">L </v>
      </c>
      <c r="Q43" s="79"/>
      <c r="R43" s="81">
        <v>40</v>
      </c>
      <c r="S43" s="81" t="s">
        <v>298</v>
      </c>
      <c r="T43" s="82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" s="82">
        <f>IF(T43&gt;0,VLOOKUP($J43,Ruimtegroepen[],3,FALSE)*VLOOKUP($L43,Vloersoorten[],3,FALSE)*VLOOKUP($S43,Frequenties[],3,FALSE)*VLOOKUP($A43,Locaties[],3,FALSE),0)</f>
        <v>0</v>
      </c>
      <c r="V43" s="83">
        <f>Ruimtestaat[[#This Row],[Uitvoeringen werkdagen]]*Ruimtestaat[[#This Row],[Oppervlak (netto)]]</f>
        <v>17650</v>
      </c>
      <c r="W43" s="84">
        <f>IF(U43&gt;0,Ruimtestaat[[#This Row],[Prest. (m2 /jaar) werkdagen]]/Ruimtestaat[[#This Row],[Norm (m2/uur) werkdagen]],0)</f>
        <v>0</v>
      </c>
      <c r="X43" s="85">
        <f>Ruimtestaat[[#This Row],[uren / jaar werkdagen]]*Tariefsopbouw!$E$35</f>
        <v>0</v>
      </c>
      <c r="Y43" s="82"/>
      <c r="Z43" s="86">
        <f>IF(Ruimtestaat[[#This Row],[Frequentie weekend]]&gt;0,VALUE(LEFT(Y43,1))*R43,0)</f>
        <v>0</v>
      </c>
      <c r="AA43" s="82">
        <f>IF($Z43&gt;0,VLOOKUP($J43,Ruimtegroepen[],3,FALSE)*VLOOKUP($L43,Vloersoorten[],3,FALSE)*VLOOKUP($Y43,Frequenties[],3,FALSE)*VLOOKUP($A39,Locaties[],3,FALSE),0)</f>
        <v>0</v>
      </c>
      <c r="AB43" s="84">
        <f>Ruimtestaat[[#This Row],[Uitvoeringen weekend]]*Ruimtestaat[[#This Row],[Oppervlak (netto)]]</f>
        <v>0</v>
      </c>
      <c r="AC43" s="87">
        <f>IF(AB43&gt;0,Ruimtestaat[[#This Row],[Prest. (m2 /jaar) weekend]]/Ruimtestaat[[#This Row],[Norm (m2/uur) weekend]],0)</f>
        <v>0</v>
      </c>
      <c r="AD43" s="88">
        <f>Ruimtestaat[[#This Row],[uren / jaar weekend]]*Tariefsopbouw!$D$40</f>
        <v>0</v>
      </c>
      <c r="AE43" s="89">
        <f>Ruimtestaat[[#This Row],[Prest. (m2 /jaar) weekend]]+Ruimtestaat[[#This Row],[Prest. (m2 /jaar) werkdagen]]</f>
        <v>17650</v>
      </c>
      <c r="AF43" s="89">
        <f>Ruimtestaat[[#This Row],[uren / jaar weekend]]+Ruimtestaat[[#This Row],[uren / jaar werkdagen]]</f>
        <v>0</v>
      </c>
      <c r="AG43" s="90">
        <f>Ruimtestaat[[#This Row],[kosten / jaar weekend]]+Ruimtestaat[[#This Row],[kosten / jaar werkdagen]]</f>
        <v>0</v>
      </c>
      <c r="AH43" s="91"/>
      <c r="HL43" s="67"/>
    </row>
    <row r="44" spans="1:220" ht="15" customHeight="1">
      <c r="A44" s="53">
        <v>1</v>
      </c>
      <c r="B44" s="53" t="str">
        <f>VLOOKUP(Ruimtestaat[[#This Row],[Code]],Locaties[#All],2,FALSE)</f>
        <v>Ir. Lely Lyceum</v>
      </c>
      <c r="C44" s="53" t="str">
        <f>VLOOKUP(Ruimtestaat[[#This Row],[Code]],Locaties[#All],4,FALSE)</f>
        <v>Ravenswaaipad 3</v>
      </c>
      <c r="D44" s="53" t="str">
        <f>VLOOKUP(Ruimtestaat[[#This Row],[Code]],Locaties[#All],5,FALSE)</f>
        <v>1106 AW</v>
      </c>
      <c r="E44" s="53" t="str">
        <f>VLOOKUP(Ruimtestaat[[#This Row],[Code]],Locaties[#All],6,FALSE)</f>
        <v>Amsterdam</v>
      </c>
      <c r="F44" s="78" t="s">
        <v>347</v>
      </c>
      <c r="G44" s="53" t="s">
        <v>348</v>
      </c>
      <c r="H44" s="53" t="s">
        <v>414</v>
      </c>
      <c r="I44" s="23" t="s">
        <v>352</v>
      </c>
      <c r="J44" s="53">
        <v>6</v>
      </c>
      <c r="K44" s="78" t="str">
        <f>VLOOKUP(J44,Ruimtegroepen[],2,FALSE)</f>
        <v>Gangen/hallen</v>
      </c>
      <c r="L44" s="53" t="s">
        <v>280</v>
      </c>
      <c r="M44" s="53" t="s">
        <v>353</v>
      </c>
      <c r="N44" s="79">
        <v>66.7</v>
      </c>
      <c r="O44" s="79"/>
      <c r="P44" s="80" t="str">
        <f>LEFT(VLOOKUP(Ruimtestaat[[#This Row],[Ruimte code]],Ruimtegroepen[#All],4,1),2)</f>
        <v xml:space="preserve">V </v>
      </c>
      <c r="Q44" s="79"/>
      <c r="R44" s="81">
        <v>40</v>
      </c>
      <c r="S44" s="81" t="s">
        <v>298</v>
      </c>
      <c r="T44" s="82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" s="82">
        <f>IF(T44&gt;0,VLOOKUP($J44,Ruimtegroepen[],3,FALSE)*VLOOKUP($L44,Vloersoorten[],3,FALSE)*VLOOKUP($S44,Frequenties[],3,FALSE)*VLOOKUP($A44,Locaties[],3,FALSE),0)</f>
        <v>0</v>
      </c>
      <c r="V44" s="83">
        <f>Ruimtestaat[[#This Row],[Uitvoeringen werkdagen]]*Ruimtestaat[[#This Row],[Oppervlak (netto)]]</f>
        <v>13340</v>
      </c>
      <c r="W44" s="84">
        <f>IF(U44&gt;0,Ruimtestaat[[#This Row],[Prest. (m2 /jaar) werkdagen]]/Ruimtestaat[[#This Row],[Norm (m2/uur) werkdagen]],0)</f>
        <v>0</v>
      </c>
      <c r="X44" s="85">
        <f>Ruimtestaat[[#This Row],[uren / jaar werkdagen]]*Tariefsopbouw!$E$35</f>
        <v>0</v>
      </c>
      <c r="Y44" s="82"/>
      <c r="Z44" s="86">
        <f>IF(Ruimtestaat[[#This Row],[Frequentie weekend]]&gt;0,VALUE(LEFT(Y44,1))*R44,0)</f>
        <v>0</v>
      </c>
      <c r="AA44" s="82">
        <f>IF($Z44&gt;0,VLOOKUP($J44,Ruimtegroepen[],3,FALSE)*VLOOKUP($L44,Vloersoorten[],3,FALSE)*VLOOKUP($Y44,Frequenties[],3,FALSE)*VLOOKUP($A40,Locaties[],3,FALSE),0)</f>
        <v>0</v>
      </c>
      <c r="AB44" s="84">
        <f>Ruimtestaat[[#This Row],[Uitvoeringen weekend]]*Ruimtestaat[[#This Row],[Oppervlak (netto)]]</f>
        <v>0</v>
      </c>
      <c r="AC44" s="87">
        <f>IF(AB44&gt;0,Ruimtestaat[[#This Row],[Prest. (m2 /jaar) weekend]]/Ruimtestaat[[#This Row],[Norm (m2/uur) weekend]],0)</f>
        <v>0</v>
      </c>
      <c r="AD44" s="88">
        <f>Ruimtestaat[[#This Row],[uren / jaar weekend]]*Tariefsopbouw!$D$40</f>
        <v>0</v>
      </c>
      <c r="AE44" s="89">
        <f>Ruimtestaat[[#This Row],[Prest. (m2 /jaar) weekend]]+Ruimtestaat[[#This Row],[Prest. (m2 /jaar) werkdagen]]</f>
        <v>13340</v>
      </c>
      <c r="AF44" s="89">
        <f>Ruimtestaat[[#This Row],[uren / jaar weekend]]+Ruimtestaat[[#This Row],[uren / jaar werkdagen]]</f>
        <v>0</v>
      </c>
      <c r="AG44" s="90">
        <f>Ruimtestaat[[#This Row],[kosten / jaar weekend]]+Ruimtestaat[[#This Row],[kosten / jaar werkdagen]]</f>
        <v>0</v>
      </c>
      <c r="AH44" s="91"/>
      <c r="HL44" s="67"/>
    </row>
    <row r="45" spans="1:220" ht="15" customHeight="1">
      <c r="A45" s="53">
        <v>1</v>
      </c>
      <c r="B45" s="53" t="str">
        <f>VLOOKUP(Ruimtestaat[[#This Row],[Code]],Locaties[#All],2,FALSE)</f>
        <v>Ir. Lely Lyceum</v>
      </c>
      <c r="C45" s="53" t="str">
        <f>VLOOKUP(Ruimtestaat[[#This Row],[Code]],Locaties[#All],4,FALSE)</f>
        <v>Ravenswaaipad 3</v>
      </c>
      <c r="D45" s="53" t="str">
        <f>VLOOKUP(Ruimtestaat[[#This Row],[Code]],Locaties[#All],5,FALSE)</f>
        <v>1106 AW</v>
      </c>
      <c r="E45" s="53" t="str">
        <f>VLOOKUP(Ruimtestaat[[#This Row],[Code]],Locaties[#All],6,FALSE)</f>
        <v>Amsterdam</v>
      </c>
      <c r="F45" s="78" t="s">
        <v>347</v>
      </c>
      <c r="G45" s="53" t="s">
        <v>348</v>
      </c>
      <c r="H45" s="53" t="s">
        <v>415</v>
      </c>
      <c r="I45" s="23" t="s">
        <v>375</v>
      </c>
      <c r="J45" s="53">
        <v>20</v>
      </c>
      <c r="K45" s="78" t="str">
        <f>VLOOKUP(J45,Ruimtegroepen[],2,FALSE)</f>
        <v>Niet in onderhoud</v>
      </c>
      <c r="L45" s="53" t="s">
        <v>280</v>
      </c>
      <c r="M45" s="53" t="s">
        <v>353</v>
      </c>
      <c r="N45" s="79"/>
      <c r="O45" s="79">
        <v>19.25</v>
      </c>
      <c r="P45" s="80" t="str">
        <f>LEFT(VLOOKUP(Ruimtestaat[[#This Row],[Ruimte code]],Ruimtegroepen[#All],4,1),2)</f>
        <v/>
      </c>
      <c r="Q45" s="79"/>
      <c r="R45" s="81"/>
      <c r="S45" s="81"/>
      <c r="T45" s="82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" s="82">
        <f>IF(T45&gt;0,VLOOKUP($J45,Ruimtegroepen[],3,FALSE)*VLOOKUP($L45,Vloersoorten[],3,FALSE)*VLOOKUP($S45,Frequenties[],3,FALSE)*VLOOKUP($A45,Locaties[],3,FALSE),0)</f>
        <v>0</v>
      </c>
      <c r="V45" s="83">
        <f>Ruimtestaat[[#This Row],[Uitvoeringen werkdagen]]*Ruimtestaat[[#This Row],[Oppervlak (netto)]]</f>
        <v>0</v>
      </c>
      <c r="W45" s="84">
        <f>IF(U45&gt;0,Ruimtestaat[[#This Row],[Prest. (m2 /jaar) werkdagen]]/Ruimtestaat[[#This Row],[Norm (m2/uur) werkdagen]],0)</f>
        <v>0</v>
      </c>
      <c r="X45" s="85">
        <f>Ruimtestaat[[#This Row],[uren / jaar werkdagen]]*Tariefsopbouw!$E$35</f>
        <v>0</v>
      </c>
      <c r="Y45" s="82"/>
      <c r="Z45" s="86">
        <f>IF(Ruimtestaat[[#This Row],[Frequentie weekend]]&gt;0,VALUE(LEFT(Y45,1))*R45,0)</f>
        <v>0</v>
      </c>
      <c r="AA45" s="82">
        <f>IF($Z45&gt;0,VLOOKUP($J45,Ruimtegroepen[],3,FALSE)*VLOOKUP($L45,Vloersoorten[],3,FALSE)*VLOOKUP($Y45,Frequenties[],3,FALSE)*VLOOKUP($A41,Locaties[],3,FALSE),0)</f>
        <v>0</v>
      </c>
      <c r="AB45" s="84">
        <f>Ruimtestaat[[#This Row],[Uitvoeringen weekend]]*Ruimtestaat[[#This Row],[Oppervlak (netto)]]</f>
        <v>0</v>
      </c>
      <c r="AC45" s="87">
        <f>IF(AB45&gt;0,Ruimtestaat[[#This Row],[Prest. (m2 /jaar) weekend]]/Ruimtestaat[[#This Row],[Norm (m2/uur) weekend]],0)</f>
        <v>0</v>
      </c>
      <c r="AD45" s="88">
        <f>Ruimtestaat[[#This Row],[uren / jaar weekend]]*Tariefsopbouw!$D$40</f>
        <v>0</v>
      </c>
      <c r="AE45" s="89">
        <f>Ruimtestaat[[#This Row],[Prest. (m2 /jaar) weekend]]+Ruimtestaat[[#This Row],[Prest. (m2 /jaar) werkdagen]]</f>
        <v>0</v>
      </c>
      <c r="AF45" s="89">
        <f>Ruimtestaat[[#This Row],[uren / jaar weekend]]+Ruimtestaat[[#This Row],[uren / jaar werkdagen]]</f>
        <v>0</v>
      </c>
      <c r="AG45" s="90">
        <f>Ruimtestaat[[#This Row],[kosten / jaar weekend]]+Ruimtestaat[[#This Row],[kosten / jaar werkdagen]]</f>
        <v>0</v>
      </c>
      <c r="AH45" s="91"/>
      <c r="HL45" s="67"/>
    </row>
    <row r="46" spans="1:220" ht="15" customHeight="1">
      <c r="A46" s="53">
        <v>1</v>
      </c>
      <c r="B46" s="53" t="str">
        <f>VLOOKUP(Ruimtestaat[[#This Row],[Code]],Locaties[#All],2,FALSE)</f>
        <v>Ir. Lely Lyceum</v>
      </c>
      <c r="C46" s="53" t="str">
        <f>VLOOKUP(Ruimtestaat[[#This Row],[Code]],Locaties[#All],4,FALSE)</f>
        <v>Ravenswaaipad 3</v>
      </c>
      <c r="D46" s="53" t="str">
        <f>VLOOKUP(Ruimtestaat[[#This Row],[Code]],Locaties[#All],5,FALSE)</f>
        <v>1106 AW</v>
      </c>
      <c r="E46" s="53" t="str">
        <f>VLOOKUP(Ruimtestaat[[#This Row],[Code]],Locaties[#All],6,FALSE)</f>
        <v>Amsterdam</v>
      </c>
      <c r="F46" s="78" t="s">
        <v>347</v>
      </c>
      <c r="G46" s="53" t="s">
        <v>348</v>
      </c>
      <c r="H46" s="53" t="s">
        <v>416</v>
      </c>
      <c r="I46" s="23" t="s">
        <v>417</v>
      </c>
      <c r="J46" s="53">
        <v>13</v>
      </c>
      <c r="K46" s="78" t="str">
        <f>VLOOKUP(J46,Ruimtegroepen[],2,FALSE)</f>
        <v>HV/Technieklokaal</v>
      </c>
      <c r="L46" s="53" t="s">
        <v>280</v>
      </c>
      <c r="M46" s="53" t="s">
        <v>353</v>
      </c>
      <c r="N46" s="79">
        <v>84</v>
      </c>
      <c r="O46" s="79"/>
      <c r="P46" s="80" t="str">
        <f>LEFT(VLOOKUP(Ruimtestaat[[#This Row],[Ruimte code]],Ruimtegroepen[#All],4,1),2)</f>
        <v xml:space="preserve">L </v>
      </c>
      <c r="Q46" s="79"/>
      <c r="R46" s="81">
        <v>40</v>
      </c>
      <c r="S46" s="81" t="s">
        <v>298</v>
      </c>
      <c r="T46" s="82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6" s="82">
        <f>IF(T46&gt;0,VLOOKUP($J46,Ruimtegroepen[],3,FALSE)*VLOOKUP($L46,Vloersoorten[],3,FALSE)*VLOOKUP($S46,Frequenties[],3,FALSE)*VLOOKUP($A46,Locaties[],3,FALSE),0)</f>
        <v>0</v>
      </c>
      <c r="V46" s="83">
        <f>Ruimtestaat[[#This Row],[Uitvoeringen werkdagen]]*Ruimtestaat[[#This Row],[Oppervlak (netto)]]</f>
        <v>16800</v>
      </c>
      <c r="W46" s="84">
        <f>IF(U46&gt;0,Ruimtestaat[[#This Row],[Prest. (m2 /jaar) werkdagen]]/Ruimtestaat[[#This Row],[Norm (m2/uur) werkdagen]],0)</f>
        <v>0</v>
      </c>
      <c r="X46" s="85">
        <f>Ruimtestaat[[#This Row],[uren / jaar werkdagen]]*Tariefsopbouw!$E$35</f>
        <v>0</v>
      </c>
      <c r="Y46" s="82"/>
      <c r="Z46" s="86">
        <f>IF(Ruimtestaat[[#This Row],[Frequentie weekend]]&gt;0,VALUE(LEFT(Y46,1))*R46,0)</f>
        <v>0</v>
      </c>
      <c r="AA46" s="82">
        <f>IF($Z46&gt;0,VLOOKUP($J46,Ruimtegroepen[],3,FALSE)*VLOOKUP($L46,Vloersoorten[],3,FALSE)*VLOOKUP($Y46,Frequenties[],3,FALSE)*VLOOKUP($A42,Locaties[],3,FALSE),0)</f>
        <v>0</v>
      </c>
      <c r="AB46" s="84">
        <f>Ruimtestaat[[#This Row],[Uitvoeringen weekend]]*Ruimtestaat[[#This Row],[Oppervlak (netto)]]</f>
        <v>0</v>
      </c>
      <c r="AC46" s="87">
        <f>IF(AB46&gt;0,Ruimtestaat[[#This Row],[Prest. (m2 /jaar) weekend]]/Ruimtestaat[[#This Row],[Norm (m2/uur) weekend]],0)</f>
        <v>0</v>
      </c>
      <c r="AD46" s="88">
        <f>Ruimtestaat[[#This Row],[uren / jaar weekend]]*Tariefsopbouw!$D$40</f>
        <v>0</v>
      </c>
      <c r="AE46" s="89">
        <f>Ruimtestaat[[#This Row],[Prest. (m2 /jaar) weekend]]+Ruimtestaat[[#This Row],[Prest. (m2 /jaar) werkdagen]]</f>
        <v>16800</v>
      </c>
      <c r="AF46" s="89">
        <f>Ruimtestaat[[#This Row],[uren / jaar weekend]]+Ruimtestaat[[#This Row],[uren / jaar werkdagen]]</f>
        <v>0</v>
      </c>
      <c r="AG46" s="90">
        <f>Ruimtestaat[[#This Row],[kosten / jaar weekend]]+Ruimtestaat[[#This Row],[kosten / jaar werkdagen]]</f>
        <v>0</v>
      </c>
      <c r="AH46" s="91"/>
      <c r="HL46" s="67"/>
    </row>
    <row r="47" spans="1:220" ht="15" customHeight="1">
      <c r="A47" s="53">
        <v>1</v>
      </c>
      <c r="B47" s="53" t="str">
        <f>VLOOKUP(Ruimtestaat[[#This Row],[Code]],Locaties[#All],2,FALSE)</f>
        <v>Ir. Lely Lyceum</v>
      </c>
      <c r="C47" s="53" t="str">
        <f>VLOOKUP(Ruimtestaat[[#This Row],[Code]],Locaties[#All],4,FALSE)</f>
        <v>Ravenswaaipad 3</v>
      </c>
      <c r="D47" s="53" t="str">
        <f>VLOOKUP(Ruimtestaat[[#This Row],[Code]],Locaties[#All],5,FALSE)</f>
        <v>1106 AW</v>
      </c>
      <c r="E47" s="53" t="str">
        <f>VLOOKUP(Ruimtestaat[[#This Row],[Code]],Locaties[#All],6,FALSE)</f>
        <v>Amsterdam</v>
      </c>
      <c r="F47" s="78" t="s">
        <v>347</v>
      </c>
      <c r="G47" s="53" t="s">
        <v>348</v>
      </c>
      <c r="I47" s="23" t="s">
        <v>375</v>
      </c>
      <c r="J47" s="53">
        <v>20</v>
      </c>
      <c r="K47" s="78" t="str">
        <f>VLOOKUP(J47,Ruimtegroepen[],2,FALSE)</f>
        <v>Niet in onderhoud</v>
      </c>
      <c r="L47" s="53" t="s">
        <v>280</v>
      </c>
      <c r="M47" s="53" t="s">
        <v>353</v>
      </c>
      <c r="N47" s="79"/>
      <c r="O47" s="79">
        <v>16.45</v>
      </c>
      <c r="P47" s="80" t="str">
        <f>LEFT(VLOOKUP(Ruimtestaat[[#This Row],[Ruimte code]],Ruimtegroepen[#All],4,1),2)</f>
        <v/>
      </c>
      <c r="Q47" s="79"/>
      <c r="R47" s="81"/>
      <c r="S47" s="81"/>
      <c r="T47" s="82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7" s="82">
        <f>IF(T47&gt;0,VLOOKUP($J47,Ruimtegroepen[],3,FALSE)*VLOOKUP($L47,Vloersoorten[],3,FALSE)*VLOOKUP($S47,Frequenties[],3,FALSE)*VLOOKUP($A47,Locaties[],3,FALSE),0)</f>
        <v>0</v>
      </c>
      <c r="V47" s="83">
        <f>Ruimtestaat[[#This Row],[Uitvoeringen werkdagen]]*Ruimtestaat[[#This Row],[Oppervlak (netto)]]</f>
        <v>0</v>
      </c>
      <c r="W47" s="84">
        <f>IF(U47&gt;0,Ruimtestaat[[#This Row],[Prest. (m2 /jaar) werkdagen]]/Ruimtestaat[[#This Row],[Norm (m2/uur) werkdagen]],0)</f>
        <v>0</v>
      </c>
      <c r="X47" s="85">
        <f>Ruimtestaat[[#This Row],[uren / jaar werkdagen]]*Tariefsopbouw!$E$35</f>
        <v>0</v>
      </c>
      <c r="Y47" s="82"/>
      <c r="Z47" s="86">
        <f>IF(Ruimtestaat[[#This Row],[Frequentie weekend]]&gt;0,VALUE(LEFT(Y47,1))*R47,0)</f>
        <v>0</v>
      </c>
      <c r="AA47" s="82">
        <f>IF($Z47&gt;0,VLOOKUP($J47,Ruimtegroepen[],3,FALSE)*VLOOKUP($L47,Vloersoorten[],3,FALSE)*VLOOKUP($Y47,Frequenties[],3,FALSE)*VLOOKUP($A43,Locaties[],3,FALSE),0)</f>
        <v>0</v>
      </c>
      <c r="AB47" s="84">
        <f>Ruimtestaat[[#This Row],[Uitvoeringen weekend]]*Ruimtestaat[[#This Row],[Oppervlak (netto)]]</f>
        <v>0</v>
      </c>
      <c r="AC47" s="87">
        <f>IF(AB47&gt;0,Ruimtestaat[[#This Row],[Prest. (m2 /jaar) weekend]]/Ruimtestaat[[#This Row],[Norm (m2/uur) weekend]],0)</f>
        <v>0</v>
      </c>
      <c r="AD47" s="88">
        <f>Ruimtestaat[[#This Row],[uren / jaar weekend]]*Tariefsopbouw!$D$40</f>
        <v>0</v>
      </c>
      <c r="AE47" s="89">
        <f>Ruimtestaat[[#This Row],[Prest. (m2 /jaar) weekend]]+Ruimtestaat[[#This Row],[Prest. (m2 /jaar) werkdagen]]</f>
        <v>0</v>
      </c>
      <c r="AF47" s="89">
        <f>Ruimtestaat[[#This Row],[uren / jaar weekend]]+Ruimtestaat[[#This Row],[uren / jaar werkdagen]]</f>
        <v>0</v>
      </c>
      <c r="AG47" s="90">
        <f>Ruimtestaat[[#This Row],[kosten / jaar weekend]]+Ruimtestaat[[#This Row],[kosten / jaar werkdagen]]</f>
        <v>0</v>
      </c>
      <c r="AH47" s="91"/>
      <c r="HL47" s="67"/>
    </row>
    <row r="48" spans="1:220" ht="15" customHeight="1">
      <c r="A48" s="53">
        <v>1</v>
      </c>
      <c r="B48" s="53" t="str">
        <f>VLOOKUP(Ruimtestaat[[#This Row],[Code]],Locaties[#All],2,FALSE)</f>
        <v>Ir. Lely Lyceum</v>
      </c>
      <c r="C48" s="53" t="str">
        <f>VLOOKUP(Ruimtestaat[[#This Row],[Code]],Locaties[#All],4,FALSE)</f>
        <v>Ravenswaaipad 3</v>
      </c>
      <c r="D48" s="53" t="str">
        <f>VLOOKUP(Ruimtestaat[[#This Row],[Code]],Locaties[#All],5,FALSE)</f>
        <v>1106 AW</v>
      </c>
      <c r="E48" s="53" t="str">
        <f>VLOOKUP(Ruimtestaat[[#This Row],[Code]],Locaties[#All],6,FALSE)</f>
        <v>Amsterdam</v>
      </c>
      <c r="F48" s="78" t="s">
        <v>347</v>
      </c>
      <c r="G48" s="53" t="s">
        <v>348</v>
      </c>
      <c r="H48" s="53" t="s">
        <v>418</v>
      </c>
      <c r="I48" s="23" t="s">
        <v>419</v>
      </c>
      <c r="J48" s="53">
        <v>16</v>
      </c>
      <c r="K48" s="78" t="str">
        <f>VLOOKUP(J48,Ruimtegroepen[],2,FALSE)</f>
        <v>Leslokalen theorie</v>
      </c>
      <c r="L48" s="53" t="s">
        <v>280</v>
      </c>
      <c r="M48" s="53" t="s">
        <v>353</v>
      </c>
      <c r="N48" s="79">
        <v>52.5</v>
      </c>
      <c r="O48" s="79"/>
      <c r="P48" s="80" t="str">
        <f>LEFT(VLOOKUP(Ruimtestaat[[#This Row],[Ruimte code]],Ruimtegroepen[#All],4,1),2)</f>
        <v xml:space="preserve">L </v>
      </c>
      <c r="Q48" s="79"/>
      <c r="R48" s="81">
        <v>40</v>
      </c>
      <c r="S48" s="81" t="s">
        <v>298</v>
      </c>
      <c r="T48" s="82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8" s="82">
        <f>IF(T48&gt;0,VLOOKUP($J48,Ruimtegroepen[],3,FALSE)*VLOOKUP($L48,Vloersoorten[],3,FALSE)*VLOOKUP($S48,Frequenties[],3,FALSE)*VLOOKUP($A48,Locaties[],3,FALSE),0)</f>
        <v>0</v>
      </c>
      <c r="V48" s="83">
        <f>Ruimtestaat[[#This Row],[Uitvoeringen werkdagen]]*Ruimtestaat[[#This Row],[Oppervlak (netto)]]</f>
        <v>10500</v>
      </c>
      <c r="W48" s="84">
        <f>IF(U48&gt;0,Ruimtestaat[[#This Row],[Prest. (m2 /jaar) werkdagen]]/Ruimtestaat[[#This Row],[Norm (m2/uur) werkdagen]],0)</f>
        <v>0</v>
      </c>
      <c r="X48" s="85">
        <f>Ruimtestaat[[#This Row],[uren / jaar werkdagen]]*Tariefsopbouw!$E$35</f>
        <v>0</v>
      </c>
      <c r="Y48" s="82"/>
      <c r="Z48" s="86">
        <f>IF(Ruimtestaat[[#This Row],[Frequentie weekend]]&gt;0,VALUE(LEFT(Y48,1))*R48,0)</f>
        <v>0</v>
      </c>
      <c r="AA48" s="82">
        <f>IF($Z48&gt;0,VLOOKUP($J48,Ruimtegroepen[],3,FALSE)*VLOOKUP($L48,Vloersoorten[],3,FALSE)*VLOOKUP($Y48,Frequenties[],3,FALSE)*VLOOKUP($A43,Locaties[],3,FALSE),0)</f>
        <v>0</v>
      </c>
      <c r="AB48" s="84">
        <f>Ruimtestaat[[#This Row],[Uitvoeringen weekend]]*Ruimtestaat[[#This Row],[Oppervlak (netto)]]</f>
        <v>0</v>
      </c>
      <c r="AC48" s="87">
        <f>IF(AB48&gt;0,Ruimtestaat[[#This Row],[Prest. (m2 /jaar) weekend]]/Ruimtestaat[[#This Row],[Norm (m2/uur) weekend]],0)</f>
        <v>0</v>
      </c>
      <c r="AD48" s="88">
        <f>Ruimtestaat[[#This Row],[uren / jaar weekend]]*Tariefsopbouw!$D$40</f>
        <v>0</v>
      </c>
      <c r="AE48" s="89">
        <f>Ruimtestaat[[#This Row],[Prest. (m2 /jaar) weekend]]+Ruimtestaat[[#This Row],[Prest. (m2 /jaar) werkdagen]]</f>
        <v>10500</v>
      </c>
      <c r="AF48" s="89">
        <f>Ruimtestaat[[#This Row],[uren / jaar weekend]]+Ruimtestaat[[#This Row],[uren / jaar werkdagen]]</f>
        <v>0</v>
      </c>
      <c r="AG48" s="90">
        <f>Ruimtestaat[[#This Row],[kosten / jaar weekend]]+Ruimtestaat[[#This Row],[kosten / jaar werkdagen]]</f>
        <v>0</v>
      </c>
      <c r="AH48" s="91"/>
      <c r="HL48" s="67"/>
    </row>
    <row r="49" spans="1:220" ht="15" customHeight="1">
      <c r="A49" s="53">
        <v>1</v>
      </c>
      <c r="B49" s="53" t="str">
        <f>VLOOKUP(Ruimtestaat[[#This Row],[Code]],Locaties[#All],2,FALSE)</f>
        <v>Ir. Lely Lyceum</v>
      </c>
      <c r="C49" s="53" t="str">
        <f>VLOOKUP(Ruimtestaat[[#This Row],[Code]],Locaties[#All],4,FALSE)</f>
        <v>Ravenswaaipad 3</v>
      </c>
      <c r="D49" s="53" t="str">
        <f>VLOOKUP(Ruimtestaat[[#This Row],[Code]],Locaties[#All],5,FALSE)</f>
        <v>1106 AW</v>
      </c>
      <c r="E49" s="53" t="str">
        <f>VLOOKUP(Ruimtestaat[[#This Row],[Code]],Locaties[#All],6,FALSE)</f>
        <v>Amsterdam</v>
      </c>
      <c r="F49" s="78" t="s">
        <v>347</v>
      </c>
      <c r="G49" s="53" t="s">
        <v>348</v>
      </c>
      <c r="H49" s="53" t="s">
        <v>420</v>
      </c>
      <c r="I49" s="23" t="s">
        <v>419</v>
      </c>
      <c r="J49" s="53">
        <v>16</v>
      </c>
      <c r="K49" s="78" t="str">
        <f>VLOOKUP(J49,Ruimtegroepen[],2,FALSE)</f>
        <v>Leslokalen theorie</v>
      </c>
      <c r="L49" s="53" t="s">
        <v>280</v>
      </c>
      <c r="M49" s="53" t="s">
        <v>353</v>
      </c>
      <c r="N49" s="79">
        <v>49</v>
      </c>
      <c r="O49" s="79"/>
      <c r="P49" s="80" t="str">
        <f>LEFT(VLOOKUP(Ruimtestaat[[#This Row],[Ruimte code]],Ruimtegroepen[#All],4,1),2)</f>
        <v xml:space="preserve">L </v>
      </c>
      <c r="Q49" s="79"/>
      <c r="R49" s="81">
        <v>40</v>
      </c>
      <c r="S49" s="81" t="s">
        <v>298</v>
      </c>
      <c r="T49" s="82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9" s="82">
        <f>IF(T49&gt;0,VLOOKUP($J49,Ruimtegroepen[],3,FALSE)*VLOOKUP($L49,Vloersoorten[],3,FALSE)*VLOOKUP($S49,Frequenties[],3,FALSE)*VLOOKUP($A49,Locaties[],3,FALSE),0)</f>
        <v>0</v>
      </c>
      <c r="V49" s="83">
        <f>Ruimtestaat[[#This Row],[Uitvoeringen werkdagen]]*Ruimtestaat[[#This Row],[Oppervlak (netto)]]</f>
        <v>9800</v>
      </c>
      <c r="W49" s="84">
        <f>IF(U49&gt;0,Ruimtestaat[[#This Row],[Prest. (m2 /jaar) werkdagen]]/Ruimtestaat[[#This Row],[Norm (m2/uur) werkdagen]],0)</f>
        <v>0</v>
      </c>
      <c r="X49" s="85">
        <f>Ruimtestaat[[#This Row],[uren / jaar werkdagen]]*Tariefsopbouw!$E$35</f>
        <v>0</v>
      </c>
      <c r="Y49" s="82"/>
      <c r="Z49" s="86">
        <f>IF(Ruimtestaat[[#This Row],[Frequentie weekend]]&gt;0,VALUE(LEFT(Y49,1))*R49,0)</f>
        <v>0</v>
      </c>
      <c r="AA49" s="82">
        <f>IF($Z49&gt;0,VLOOKUP($J49,Ruimtegroepen[],3,FALSE)*VLOOKUP($L49,Vloersoorten[],3,FALSE)*VLOOKUP($Y49,Frequenties[],3,FALSE)*VLOOKUP($A44,Locaties[],3,FALSE),0)</f>
        <v>0</v>
      </c>
      <c r="AB49" s="84">
        <f>Ruimtestaat[[#This Row],[Uitvoeringen weekend]]*Ruimtestaat[[#This Row],[Oppervlak (netto)]]</f>
        <v>0</v>
      </c>
      <c r="AC49" s="87">
        <f>IF(AB49&gt;0,Ruimtestaat[[#This Row],[Prest. (m2 /jaar) weekend]]/Ruimtestaat[[#This Row],[Norm (m2/uur) weekend]],0)</f>
        <v>0</v>
      </c>
      <c r="AD49" s="88">
        <f>Ruimtestaat[[#This Row],[uren / jaar weekend]]*Tariefsopbouw!$D$40</f>
        <v>0</v>
      </c>
      <c r="AE49" s="89">
        <f>Ruimtestaat[[#This Row],[Prest. (m2 /jaar) weekend]]+Ruimtestaat[[#This Row],[Prest. (m2 /jaar) werkdagen]]</f>
        <v>9800</v>
      </c>
      <c r="AF49" s="89">
        <f>Ruimtestaat[[#This Row],[uren / jaar weekend]]+Ruimtestaat[[#This Row],[uren / jaar werkdagen]]</f>
        <v>0</v>
      </c>
      <c r="AG49" s="90">
        <f>Ruimtestaat[[#This Row],[kosten / jaar weekend]]+Ruimtestaat[[#This Row],[kosten / jaar werkdagen]]</f>
        <v>0</v>
      </c>
      <c r="AH49" s="91"/>
      <c r="HL49" s="67"/>
    </row>
    <row r="50" spans="1:220" ht="15" customHeight="1">
      <c r="A50" s="53">
        <v>1</v>
      </c>
      <c r="B50" s="53" t="str">
        <f>VLOOKUP(Ruimtestaat[[#This Row],[Code]],Locaties[#All],2,FALSE)</f>
        <v>Ir. Lely Lyceum</v>
      </c>
      <c r="C50" s="53" t="str">
        <f>VLOOKUP(Ruimtestaat[[#This Row],[Code]],Locaties[#All],4,FALSE)</f>
        <v>Ravenswaaipad 3</v>
      </c>
      <c r="D50" s="53" t="str">
        <f>VLOOKUP(Ruimtestaat[[#This Row],[Code]],Locaties[#All],5,FALSE)</f>
        <v>1106 AW</v>
      </c>
      <c r="E50" s="53" t="str">
        <f>VLOOKUP(Ruimtestaat[[#This Row],[Code]],Locaties[#All],6,FALSE)</f>
        <v>Amsterdam</v>
      </c>
      <c r="F50" s="78" t="s">
        <v>347</v>
      </c>
      <c r="G50" s="53" t="s">
        <v>348</v>
      </c>
      <c r="H50" s="53" t="s">
        <v>421</v>
      </c>
      <c r="I50" s="23" t="s">
        <v>375</v>
      </c>
      <c r="J50" s="53">
        <v>20</v>
      </c>
      <c r="K50" s="78" t="str">
        <f>VLOOKUP(J50,Ruimtegroepen[],2,FALSE)</f>
        <v>Niet in onderhoud</v>
      </c>
      <c r="L50" s="53" t="s">
        <v>280</v>
      </c>
      <c r="M50" s="53" t="s">
        <v>353</v>
      </c>
      <c r="N50" s="79"/>
      <c r="O50" s="79">
        <v>32.9</v>
      </c>
      <c r="P50" s="80" t="str">
        <f>LEFT(VLOOKUP(Ruimtestaat[[#This Row],[Ruimte code]],Ruimtegroepen[#All],4,1),2)</f>
        <v/>
      </c>
      <c r="Q50" s="79"/>
      <c r="R50" s="81"/>
      <c r="S50" s="81"/>
      <c r="T50" s="82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0" s="82">
        <f>IF(T50&gt;0,VLOOKUP($J50,Ruimtegroepen[],3,FALSE)*VLOOKUP($L50,Vloersoorten[],3,FALSE)*VLOOKUP($S50,Frequenties[],3,FALSE)*VLOOKUP($A50,Locaties[],3,FALSE),0)</f>
        <v>0</v>
      </c>
      <c r="V50" s="83">
        <f>Ruimtestaat[[#This Row],[Uitvoeringen werkdagen]]*Ruimtestaat[[#This Row],[Oppervlak (netto)]]</f>
        <v>0</v>
      </c>
      <c r="W50" s="84">
        <f>IF(U50&gt;0,Ruimtestaat[[#This Row],[Prest. (m2 /jaar) werkdagen]]/Ruimtestaat[[#This Row],[Norm (m2/uur) werkdagen]],0)</f>
        <v>0</v>
      </c>
      <c r="X50" s="85">
        <f>Ruimtestaat[[#This Row],[uren / jaar werkdagen]]*Tariefsopbouw!$E$35</f>
        <v>0</v>
      </c>
      <c r="Y50" s="82"/>
      <c r="Z50" s="86">
        <f>IF(Ruimtestaat[[#This Row],[Frequentie weekend]]&gt;0,VALUE(LEFT(Y50,1))*R50,0)</f>
        <v>0</v>
      </c>
      <c r="AA50" s="82">
        <f>IF($Z50&gt;0,VLOOKUP($J50,Ruimtegroepen[],3,FALSE)*VLOOKUP($L50,Vloersoorten[],3,FALSE)*VLOOKUP($Y50,Frequenties[],3,FALSE)*VLOOKUP($A45,Locaties[],3,FALSE),0)</f>
        <v>0</v>
      </c>
      <c r="AB50" s="84">
        <f>Ruimtestaat[[#This Row],[Uitvoeringen weekend]]*Ruimtestaat[[#This Row],[Oppervlak (netto)]]</f>
        <v>0</v>
      </c>
      <c r="AC50" s="87">
        <f>IF(AB50&gt;0,Ruimtestaat[[#This Row],[Prest. (m2 /jaar) weekend]]/Ruimtestaat[[#This Row],[Norm (m2/uur) weekend]],0)</f>
        <v>0</v>
      </c>
      <c r="AD50" s="88">
        <f>Ruimtestaat[[#This Row],[uren / jaar weekend]]*Tariefsopbouw!$D$40</f>
        <v>0</v>
      </c>
      <c r="AE50" s="89">
        <f>Ruimtestaat[[#This Row],[Prest. (m2 /jaar) weekend]]+Ruimtestaat[[#This Row],[Prest. (m2 /jaar) werkdagen]]</f>
        <v>0</v>
      </c>
      <c r="AF50" s="89">
        <f>Ruimtestaat[[#This Row],[uren / jaar weekend]]+Ruimtestaat[[#This Row],[uren / jaar werkdagen]]</f>
        <v>0</v>
      </c>
      <c r="AG50" s="90">
        <f>Ruimtestaat[[#This Row],[kosten / jaar weekend]]+Ruimtestaat[[#This Row],[kosten / jaar werkdagen]]</f>
        <v>0</v>
      </c>
      <c r="AH50" s="91"/>
      <c r="HL50" s="67"/>
    </row>
    <row r="51" spans="1:220" ht="15" customHeight="1">
      <c r="A51" s="53">
        <v>1</v>
      </c>
      <c r="B51" s="53" t="str">
        <f>VLOOKUP(Ruimtestaat[[#This Row],[Code]],Locaties[#All],2,FALSE)</f>
        <v>Ir. Lely Lyceum</v>
      </c>
      <c r="C51" s="53" t="str">
        <f>VLOOKUP(Ruimtestaat[[#This Row],[Code]],Locaties[#All],4,FALSE)</f>
        <v>Ravenswaaipad 3</v>
      </c>
      <c r="D51" s="53" t="str">
        <f>VLOOKUP(Ruimtestaat[[#This Row],[Code]],Locaties[#All],5,FALSE)</f>
        <v>1106 AW</v>
      </c>
      <c r="E51" s="53" t="str">
        <f>VLOOKUP(Ruimtestaat[[#This Row],[Code]],Locaties[#All],6,FALSE)</f>
        <v>Amsterdam</v>
      </c>
      <c r="F51" s="78" t="s">
        <v>347</v>
      </c>
      <c r="G51" s="53" t="s">
        <v>348</v>
      </c>
      <c r="H51" s="53" t="s">
        <v>422</v>
      </c>
      <c r="I51" s="23" t="s">
        <v>375</v>
      </c>
      <c r="J51" s="53">
        <v>20</v>
      </c>
      <c r="K51" s="78" t="str">
        <f>VLOOKUP(J51,Ruimtegroepen[],2,FALSE)</f>
        <v>Niet in onderhoud</v>
      </c>
      <c r="L51" s="53" t="s">
        <v>280</v>
      </c>
      <c r="M51" s="53" t="s">
        <v>353</v>
      </c>
      <c r="N51" s="79"/>
      <c r="O51" s="79">
        <v>30.1</v>
      </c>
      <c r="P51" s="80" t="str">
        <f>LEFT(VLOOKUP(Ruimtestaat[[#This Row],[Ruimte code]],Ruimtegroepen[#All],4,1),2)</f>
        <v/>
      </c>
      <c r="Q51" s="79"/>
      <c r="R51" s="81"/>
      <c r="S51" s="81"/>
      <c r="T51" s="82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1" s="82">
        <f>IF(T51&gt;0,VLOOKUP($J51,Ruimtegroepen[],3,FALSE)*VLOOKUP($L51,Vloersoorten[],3,FALSE)*VLOOKUP($S51,Frequenties[],3,FALSE)*VLOOKUP($A51,Locaties[],3,FALSE),0)</f>
        <v>0</v>
      </c>
      <c r="V51" s="83">
        <f>Ruimtestaat[[#This Row],[Uitvoeringen werkdagen]]*Ruimtestaat[[#This Row],[Oppervlak (netto)]]</f>
        <v>0</v>
      </c>
      <c r="W51" s="84">
        <f>IF(U51&gt;0,Ruimtestaat[[#This Row],[Prest. (m2 /jaar) werkdagen]]/Ruimtestaat[[#This Row],[Norm (m2/uur) werkdagen]],0)</f>
        <v>0</v>
      </c>
      <c r="X51" s="85">
        <f>Ruimtestaat[[#This Row],[uren / jaar werkdagen]]*Tariefsopbouw!$E$35</f>
        <v>0</v>
      </c>
      <c r="Y51" s="82"/>
      <c r="Z51" s="86">
        <f>IF(Ruimtestaat[[#This Row],[Frequentie weekend]]&gt;0,VALUE(LEFT(Y51,1))*R51,0)</f>
        <v>0</v>
      </c>
      <c r="AA51" s="82">
        <f>IF($Z51&gt;0,VLOOKUP($J51,Ruimtegroepen[],3,FALSE)*VLOOKUP($L51,Vloersoorten[],3,FALSE)*VLOOKUP($Y51,Frequenties[],3,FALSE)*VLOOKUP($A46,Locaties[],3,FALSE),0)</f>
        <v>0</v>
      </c>
      <c r="AB51" s="84">
        <f>Ruimtestaat[[#This Row],[Uitvoeringen weekend]]*Ruimtestaat[[#This Row],[Oppervlak (netto)]]</f>
        <v>0</v>
      </c>
      <c r="AC51" s="87">
        <f>IF(AB51&gt;0,Ruimtestaat[[#This Row],[Prest. (m2 /jaar) weekend]]/Ruimtestaat[[#This Row],[Norm (m2/uur) weekend]],0)</f>
        <v>0</v>
      </c>
      <c r="AD51" s="88">
        <f>Ruimtestaat[[#This Row],[uren / jaar weekend]]*Tariefsopbouw!$D$40</f>
        <v>0</v>
      </c>
      <c r="AE51" s="89">
        <f>Ruimtestaat[[#This Row],[Prest. (m2 /jaar) weekend]]+Ruimtestaat[[#This Row],[Prest. (m2 /jaar) werkdagen]]</f>
        <v>0</v>
      </c>
      <c r="AF51" s="89">
        <f>Ruimtestaat[[#This Row],[uren / jaar weekend]]+Ruimtestaat[[#This Row],[uren / jaar werkdagen]]</f>
        <v>0</v>
      </c>
      <c r="AG51" s="90">
        <f>Ruimtestaat[[#This Row],[kosten / jaar weekend]]+Ruimtestaat[[#This Row],[kosten / jaar werkdagen]]</f>
        <v>0</v>
      </c>
      <c r="AH51" s="91"/>
      <c r="HL51" s="67"/>
    </row>
    <row r="52" spans="1:220" ht="15" customHeight="1">
      <c r="A52" s="53">
        <v>1</v>
      </c>
      <c r="B52" s="53" t="str">
        <f>VLOOKUP(Ruimtestaat[[#This Row],[Code]],Locaties[#All],2,FALSE)</f>
        <v>Ir. Lely Lyceum</v>
      </c>
      <c r="C52" s="53" t="str">
        <f>VLOOKUP(Ruimtestaat[[#This Row],[Code]],Locaties[#All],4,FALSE)</f>
        <v>Ravenswaaipad 3</v>
      </c>
      <c r="D52" s="53" t="str">
        <f>VLOOKUP(Ruimtestaat[[#This Row],[Code]],Locaties[#All],5,FALSE)</f>
        <v>1106 AW</v>
      </c>
      <c r="E52" s="53" t="str">
        <f>VLOOKUP(Ruimtestaat[[#This Row],[Code]],Locaties[#All],6,FALSE)</f>
        <v>Amsterdam</v>
      </c>
      <c r="F52" s="78" t="s">
        <v>347</v>
      </c>
      <c r="G52" s="53" t="s">
        <v>348</v>
      </c>
      <c r="H52" s="53" t="s">
        <v>423</v>
      </c>
      <c r="I52" s="23" t="s">
        <v>81</v>
      </c>
      <c r="J52" s="53">
        <v>10</v>
      </c>
      <c r="K52" s="78" t="str">
        <f>VLOOKUP(J52,Ruimtegroepen[],2,FALSE)</f>
        <v>Trappenhuizen/lift</v>
      </c>
      <c r="L52" s="53" t="s">
        <v>280</v>
      </c>
      <c r="M52" s="53" t="s">
        <v>353</v>
      </c>
      <c r="N52" s="79">
        <v>1.5</v>
      </c>
      <c r="O52" s="79"/>
      <c r="P52" s="80" t="str">
        <f>LEFT(VLOOKUP(Ruimtestaat[[#This Row],[Ruimte code]],Ruimtegroepen[#All],4,1),2)</f>
        <v xml:space="preserve">V </v>
      </c>
      <c r="Q52" s="79"/>
      <c r="R52" s="81">
        <v>40</v>
      </c>
      <c r="S52" s="81" t="s">
        <v>298</v>
      </c>
      <c r="T52" s="82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2" s="82">
        <f>IF(T52&gt;0,VLOOKUP($J52,Ruimtegroepen[],3,FALSE)*VLOOKUP($L52,Vloersoorten[],3,FALSE)*VLOOKUP($S52,Frequenties[],3,FALSE)*VLOOKUP($A52,Locaties[],3,FALSE),0)</f>
        <v>0</v>
      </c>
      <c r="V52" s="83">
        <f>Ruimtestaat[[#This Row],[Uitvoeringen werkdagen]]*Ruimtestaat[[#This Row],[Oppervlak (netto)]]</f>
        <v>300</v>
      </c>
      <c r="W52" s="84">
        <f>IF(U52&gt;0,Ruimtestaat[[#This Row],[Prest. (m2 /jaar) werkdagen]]/Ruimtestaat[[#This Row],[Norm (m2/uur) werkdagen]],0)</f>
        <v>0</v>
      </c>
      <c r="X52" s="85">
        <f>Ruimtestaat[[#This Row],[uren / jaar werkdagen]]*Tariefsopbouw!$E$35</f>
        <v>0</v>
      </c>
      <c r="Y52" s="82"/>
      <c r="Z52" s="86">
        <f>IF(Ruimtestaat[[#This Row],[Frequentie weekend]]&gt;0,VALUE(LEFT(Y52,1))*R52,0)</f>
        <v>0</v>
      </c>
      <c r="AA52" s="82">
        <f>IF($Z52&gt;0,VLOOKUP($J52,Ruimtegroepen[],3,FALSE)*VLOOKUP($L52,Vloersoorten[],3,FALSE)*VLOOKUP($Y52,Frequenties[],3,FALSE)*VLOOKUP($A48,Locaties[],3,FALSE),0)</f>
        <v>0</v>
      </c>
      <c r="AB52" s="84">
        <f>Ruimtestaat[[#This Row],[Uitvoeringen weekend]]*Ruimtestaat[[#This Row],[Oppervlak (netto)]]</f>
        <v>0</v>
      </c>
      <c r="AC52" s="87">
        <f>IF(AB52&gt;0,Ruimtestaat[[#This Row],[Prest. (m2 /jaar) weekend]]/Ruimtestaat[[#This Row],[Norm (m2/uur) weekend]],0)</f>
        <v>0</v>
      </c>
      <c r="AD52" s="88">
        <f>Ruimtestaat[[#This Row],[uren / jaar weekend]]*Tariefsopbouw!$D$40</f>
        <v>0</v>
      </c>
      <c r="AE52" s="89">
        <f>Ruimtestaat[[#This Row],[Prest. (m2 /jaar) weekend]]+Ruimtestaat[[#This Row],[Prest. (m2 /jaar) werkdagen]]</f>
        <v>300</v>
      </c>
      <c r="AF52" s="89">
        <f>Ruimtestaat[[#This Row],[uren / jaar weekend]]+Ruimtestaat[[#This Row],[uren / jaar werkdagen]]</f>
        <v>0</v>
      </c>
      <c r="AG52" s="90">
        <f>Ruimtestaat[[#This Row],[kosten / jaar weekend]]+Ruimtestaat[[#This Row],[kosten / jaar werkdagen]]</f>
        <v>0</v>
      </c>
      <c r="AH52" s="91"/>
      <c r="HL52" s="67"/>
    </row>
    <row r="53" spans="1:220" ht="15" customHeight="1">
      <c r="A53" s="53">
        <v>1</v>
      </c>
      <c r="B53" s="53" t="str">
        <f>VLOOKUP(Ruimtestaat[[#This Row],[Code]],Locaties[#All],2,FALSE)</f>
        <v>Ir. Lely Lyceum</v>
      </c>
      <c r="C53" s="53" t="str">
        <f>VLOOKUP(Ruimtestaat[[#This Row],[Code]],Locaties[#All],4,FALSE)</f>
        <v>Ravenswaaipad 3</v>
      </c>
      <c r="D53" s="53" t="str">
        <f>VLOOKUP(Ruimtestaat[[#This Row],[Code]],Locaties[#All],5,FALSE)</f>
        <v>1106 AW</v>
      </c>
      <c r="E53" s="53" t="str">
        <f>VLOOKUP(Ruimtestaat[[#This Row],[Code]],Locaties[#All],6,FALSE)</f>
        <v>Amsterdam</v>
      </c>
      <c r="F53" s="78" t="s">
        <v>347</v>
      </c>
      <c r="G53" s="53" t="s">
        <v>348</v>
      </c>
      <c r="H53" s="53" t="s">
        <v>424</v>
      </c>
      <c r="I53" s="23" t="s">
        <v>362</v>
      </c>
      <c r="J53" s="53">
        <v>2</v>
      </c>
      <c r="K53" s="78" t="str">
        <f>VLOOKUP(J53,Ruimtegroepen[],2,FALSE)</f>
        <v>Kantoren</v>
      </c>
      <c r="L53" s="53" t="s">
        <v>280</v>
      </c>
      <c r="M53" s="53" t="s">
        <v>353</v>
      </c>
      <c r="N53" s="79">
        <v>12.25</v>
      </c>
      <c r="O53" s="79"/>
      <c r="P53" s="80" t="str">
        <f>LEFT(VLOOKUP(Ruimtestaat[[#This Row],[Ruimte code]],Ruimtegroepen[#All],4,1),2)</f>
        <v xml:space="preserve">B </v>
      </c>
      <c r="Q53" s="79"/>
      <c r="R53" s="81">
        <v>40</v>
      </c>
      <c r="S53" s="81" t="s">
        <v>298</v>
      </c>
      <c r="T53" s="82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3" s="82">
        <f>IF(T53&gt;0,VLOOKUP($J53,Ruimtegroepen[],3,FALSE)*VLOOKUP($L53,Vloersoorten[],3,FALSE)*VLOOKUP($S53,Frequenties[],3,FALSE)*VLOOKUP($A53,Locaties[],3,FALSE),0)</f>
        <v>0</v>
      </c>
      <c r="V53" s="83">
        <f>Ruimtestaat[[#This Row],[Uitvoeringen werkdagen]]*Ruimtestaat[[#This Row],[Oppervlak (netto)]]</f>
        <v>2450</v>
      </c>
      <c r="W53" s="84">
        <f>IF(U53&gt;0,Ruimtestaat[[#This Row],[Prest. (m2 /jaar) werkdagen]]/Ruimtestaat[[#This Row],[Norm (m2/uur) werkdagen]],0)</f>
        <v>0</v>
      </c>
      <c r="X53" s="85">
        <f>Ruimtestaat[[#This Row],[uren / jaar werkdagen]]*Tariefsopbouw!$E$35</f>
        <v>0</v>
      </c>
      <c r="Y53" s="82"/>
      <c r="Z53" s="86">
        <f>IF(Ruimtestaat[[#This Row],[Frequentie weekend]]&gt;0,VALUE(LEFT(Y53,1))*R53,0)</f>
        <v>0</v>
      </c>
      <c r="AA53" s="82">
        <f>IF($Z53&gt;0,VLOOKUP($J53,Ruimtegroepen[],3,FALSE)*VLOOKUP($L53,Vloersoorten[],3,FALSE)*VLOOKUP($Y53,Frequenties[],3,FALSE)*VLOOKUP($A49,Locaties[],3,FALSE),0)</f>
        <v>0</v>
      </c>
      <c r="AB53" s="84">
        <f>Ruimtestaat[[#This Row],[Uitvoeringen weekend]]*Ruimtestaat[[#This Row],[Oppervlak (netto)]]</f>
        <v>0</v>
      </c>
      <c r="AC53" s="87">
        <f>IF(AB53&gt;0,Ruimtestaat[[#This Row],[Prest. (m2 /jaar) weekend]]/Ruimtestaat[[#This Row],[Norm (m2/uur) weekend]],0)</f>
        <v>0</v>
      </c>
      <c r="AD53" s="88">
        <f>Ruimtestaat[[#This Row],[uren / jaar weekend]]*Tariefsopbouw!$D$40</f>
        <v>0</v>
      </c>
      <c r="AE53" s="89">
        <f>Ruimtestaat[[#This Row],[Prest. (m2 /jaar) weekend]]+Ruimtestaat[[#This Row],[Prest. (m2 /jaar) werkdagen]]</f>
        <v>2450</v>
      </c>
      <c r="AF53" s="89">
        <f>Ruimtestaat[[#This Row],[uren / jaar weekend]]+Ruimtestaat[[#This Row],[uren / jaar werkdagen]]</f>
        <v>0</v>
      </c>
      <c r="AG53" s="90">
        <f>Ruimtestaat[[#This Row],[kosten / jaar weekend]]+Ruimtestaat[[#This Row],[kosten / jaar werkdagen]]</f>
        <v>0</v>
      </c>
      <c r="AH53" s="91"/>
      <c r="HL53" s="67"/>
    </row>
    <row r="54" spans="1:220" ht="15" customHeight="1">
      <c r="A54" s="53">
        <v>1</v>
      </c>
      <c r="B54" s="53" t="str">
        <f>VLOOKUP(Ruimtestaat[[#This Row],[Code]],Locaties[#All],2,FALSE)</f>
        <v>Ir. Lely Lyceum</v>
      </c>
      <c r="C54" s="53" t="str">
        <f>VLOOKUP(Ruimtestaat[[#This Row],[Code]],Locaties[#All],4,FALSE)</f>
        <v>Ravenswaaipad 3</v>
      </c>
      <c r="D54" s="53" t="str">
        <f>VLOOKUP(Ruimtestaat[[#This Row],[Code]],Locaties[#All],5,FALSE)</f>
        <v>1106 AW</v>
      </c>
      <c r="E54" s="53" t="str">
        <f>VLOOKUP(Ruimtestaat[[#This Row],[Code]],Locaties[#All],6,FALSE)</f>
        <v>Amsterdam</v>
      </c>
      <c r="F54" s="78" t="s">
        <v>347</v>
      </c>
      <c r="G54" s="53" t="s">
        <v>348</v>
      </c>
      <c r="H54" s="53" t="s">
        <v>425</v>
      </c>
      <c r="I54" s="23" t="s">
        <v>374</v>
      </c>
      <c r="J54" s="53">
        <v>20</v>
      </c>
      <c r="K54" s="78" t="str">
        <f>VLOOKUP(J54,Ruimtegroepen[],2,FALSE)</f>
        <v>Niet in onderhoud</v>
      </c>
      <c r="L54" s="53" t="s">
        <v>280</v>
      </c>
      <c r="M54" s="53" t="s">
        <v>353</v>
      </c>
      <c r="N54" s="79"/>
      <c r="O54" s="79">
        <v>3</v>
      </c>
      <c r="P54" s="80" t="str">
        <f>LEFT(VLOOKUP(Ruimtestaat[[#This Row],[Ruimte code]],Ruimtegroepen[#All],4,1),2)</f>
        <v/>
      </c>
      <c r="Q54" s="79"/>
      <c r="R54" s="81"/>
      <c r="S54" s="81"/>
      <c r="T54" s="82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54" s="82">
        <f>IF(T54&gt;0,VLOOKUP($J54,Ruimtegroepen[],3,FALSE)*VLOOKUP($L54,Vloersoorten[],3,FALSE)*VLOOKUP($S54,Frequenties[],3,FALSE)*VLOOKUP($A54,Locaties[],3,FALSE),0)</f>
        <v>0</v>
      </c>
      <c r="V54" s="83">
        <f>Ruimtestaat[[#This Row],[Uitvoeringen werkdagen]]*Ruimtestaat[[#This Row],[Oppervlak (netto)]]</f>
        <v>0</v>
      </c>
      <c r="W54" s="84">
        <f>IF(U54&gt;0,Ruimtestaat[[#This Row],[Prest. (m2 /jaar) werkdagen]]/Ruimtestaat[[#This Row],[Norm (m2/uur) werkdagen]],0)</f>
        <v>0</v>
      </c>
      <c r="X54" s="85">
        <f>Ruimtestaat[[#This Row],[uren / jaar werkdagen]]*Tariefsopbouw!$E$35</f>
        <v>0</v>
      </c>
      <c r="Y54" s="82"/>
      <c r="Z54" s="86">
        <f>IF(Ruimtestaat[[#This Row],[Frequentie weekend]]&gt;0,VALUE(LEFT(Y54,1))*R54,0)</f>
        <v>0</v>
      </c>
      <c r="AA54" s="82">
        <f>IF($Z54&gt;0,VLOOKUP($J54,Ruimtegroepen[],3,FALSE)*VLOOKUP($L54,Vloersoorten[],3,FALSE)*VLOOKUP($Y54,Frequenties[],3,FALSE)*VLOOKUP($A50,Locaties[],3,FALSE),0)</f>
        <v>0</v>
      </c>
      <c r="AB54" s="84">
        <f>Ruimtestaat[[#This Row],[Uitvoeringen weekend]]*Ruimtestaat[[#This Row],[Oppervlak (netto)]]</f>
        <v>0</v>
      </c>
      <c r="AC54" s="87">
        <f>IF(AB54&gt;0,Ruimtestaat[[#This Row],[Prest. (m2 /jaar) weekend]]/Ruimtestaat[[#This Row],[Norm (m2/uur) weekend]],0)</f>
        <v>0</v>
      </c>
      <c r="AD54" s="88">
        <f>Ruimtestaat[[#This Row],[uren / jaar weekend]]*Tariefsopbouw!$D$40</f>
        <v>0</v>
      </c>
      <c r="AE54" s="89">
        <f>Ruimtestaat[[#This Row],[Prest. (m2 /jaar) weekend]]+Ruimtestaat[[#This Row],[Prest. (m2 /jaar) werkdagen]]</f>
        <v>0</v>
      </c>
      <c r="AF54" s="89">
        <f>Ruimtestaat[[#This Row],[uren / jaar weekend]]+Ruimtestaat[[#This Row],[uren / jaar werkdagen]]</f>
        <v>0</v>
      </c>
      <c r="AG54" s="90">
        <f>Ruimtestaat[[#This Row],[kosten / jaar weekend]]+Ruimtestaat[[#This Row],[kosten / jaar werkdagen]]</f>
        <v>0</v>
      </c>
      <c r="AH54" s="91"/>
      <c r="HL54" s="67"/>
    </row>
    <row r="55" spans="1:220" ht="15" customHeight="1">
      <c r="A55" s="53">
        <v>1</v>
      </c>
      <c r="B55" s="53" t="str">
        <f>VLOOKUP(Ruimtestaat[[#This Row],[Code]],Locaties[#All],2,FALSE)</f>
        <v>Ir. Lely Lyceum</v>
      </c>
      <c r="C55" s="53" t="str">
        <f>VLOOKUP(Ruimtestaat[[#This Row],[Code]],Locaties[#All],4,FALSE)</f>
        <v>Ravenswaaipad 3</v>
      </c>
      <c r="D55" s="53" t="str">
        <f>VLOOKUP(Ruimtestaat[[#This Row],[Code]],Locaties[#All],5,FALSE)</f>
        <v>1106 AW</v>
      </c>
      <c r="E55" s="53" t="str">
        <f>VLOOKUP(Ruimtestaat[[#This Row],[Code]],Locaties[#All],6,FALSE)</f>
        <v>Amsterdam</v>
      </c>
      <c r="F55" s="78" t="s">
        <v>347</v>
      </c>
      <c r="G55" s="53" t="s">
        <v>348</v>
      </c>
      <c r="H55" s="53" t="s">
        <v>426</v>
      </c>
      <c r="I55" s="23" t="s">
        <v>378</v>
      </c>
      <c r="J55" s="53">
        <v>10</v>
      </c>
      <c r="K55" s="78" t="str">
        <f>VLOOKUP(J55,Ruimtegroepen[],2,FALSE)</f>
        <v>Trappenhuizen/lift</v>
      </c>
      <c r="L55" s="53" t="s">
        <v>280</v>
      </c>
      <c r="M55" s="53" t="s">
        <v>353</v>
      </c>
      <c r="N55" s="79">
        <v>18</v>
      </c>
      <c r="O55" s="79"/>
      <c r="P55" s="80" t="str">
        <f>LEFT(VLOOKUP(Ruimtestaat[[#This Row],[Ruimte code]],Ruimtegroepen[#All],4,1),2)</f>
        <v xml:space="preserve">V </v>
      </c>
      <c r="Q55" s="79"/>
      <c r="R55" s="81">
        <v>40</v>
      </c>
      <c r="S55" s="81" t="s">
        <v>298</v>
      </c>
      <c r="T55" s="82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5" s="82">
        <f>IF(T55&gt;0,VLOOKUP($J55,Ruimtegroepen[],3,FALSE)*VLOOKUP($L55,Vloersoorten[],3,FALSE)*VLOOKUP($S55,Frequenties[],3,FALSE)*VLOOKUP($A55,Locaties[],3,FALSE),0)</f>
        <v>0</v>
      </c>
      <c r="V55" s="83">
        <f>Ruimtestaat[[#This Row],[Uitvoeringen werkdagen]]*Ruimtestaat[[#This Row],[Oppervlak (netto)]]</f>
        <v>3600</v>
      </c>
      <c r="W55" s="84">
        <f>IF(U55&gt;0,Ruimtestaat[[#This Row],[Prest. (m2 /jaar) werkdagen]]/Ruimtestaat[[#This Row],[Norm (m2/uur) werkdagen]],0)</f>
        <v>0</v>
      </c>
      <c r="X55" s="85">
        <f>Ruimtestaat[[#This Row],[uren / jaar werkdagen]]*Tariefsopbouw!$E$35</f>
        <v>0</v>
      </c>
      <c r="Y55" s="82"/>
      <c r="Z55" s="86">
        <f>IF(Ruimtestaat[[#This Row],[Frequentie weekend]]&gt;0,VALUE(LEFT(Y55,1))*R55,0)</f>
        <v>0</v>
      </c>
      <c r="AA55" s="82">
        <f>IF($Z55&gt;0,VLOOKUP($J55,Ruimtegroepen[],3,FALSE)*VLOOKUP($L55,Vloersoorten[],3,FALSE)*VLOOKUP($Y55,Frequenties[],3,FALSE)*VLOOKUP($A51,Locaties[],3,FALSE),0)</f>
        <v>0</v>
      </c>
      <c r="AB55" s="84">
        <f>Ruimtestaat[[#This Row],[Uitvoeringen weekend]]*Ruimtestaat[[#This Row],[Oppervlak (netto)]]</f>
        <v>0</v>
      </c>
      <c r="AC55" s="87">
        <f>IF(AB55&gt;0,Ruimtestaat[[#This Row],[Prest. (m2 /jaar) weekend]]/Ruimtestaat[[#This Row],[Norm (m2/uur) weekend]],0)</f>
        <v>0</v>
      </c>
      <c r="AD55" s="88">
        <f>Ruimtestaat[[#This Row],[uren / jaar weekend]]*Tariefsopbouw!$D$40</f>
        <v>0</v>
      </c>
      <c r="AE55" s="89">
        <f>Ruimtestaat[[#This Row],[Prest. (m2 /jaar) weekend]]+Ruimtestaat[[#This Row],[Prest. (m2 /jaar) werkdagen]]</f>
        <v>3600</v>
      </c>
      <c r="AF55" s="89">
        <f>Ruimtestaat[[#This Row],[uren / jaar weekend]]+Ruimtestaat[[#This Row],[uren / jaar werkdagen]]</f>
        <v>0</v>
      </c>
      <c r="AG55" s="90">
        <f>Ruimtestaat[[#This Row],[kosten / jaar weekend]]+Ruimtestaat[[#This Row],[kosten / jaar werkdagen]]</f>
        <v>0</v>
      </c>
      <c r="AH55" s="91"/>
      <c r="HL55" s="67"/>
    </row>
    <row r="56" spans="1:220" ht="15" customHeight="1">
      <c r="A56" s="53">
        <v>1</v>
      </c>
      <c r="B56" s="53" t="str">
        <f>VLOOKUP(Ruimtestaat[[#This Row],[Code]],Locaties[#All],2,FALSE)</f>
        <v>Ir. Lely Lyceum</v>
      </c>
      <c r="C56" s="53" t="str">
        <f>VLOOKUP(Ruimtestaat[[#This Row],[Code]],Locaties[#All],4,FALSE)</f>
        <v>Ravenswaaipad 3</v>
      </c>
      <c r="D56" s="53" t="str">
        <f>VLOOKUP(Ruimtestaat[[#This Row],[Code]],Locaties[#All],5,FALSE)</f>
        <v>1106 AW</v>
      </c>
      <c r="E56" s="53" t="str">
        <f>VLOOKUP(Ruimtestaat[[#This Row],[Code]],Locaties[#All],6,FALSE)</f>
        <v>Amsterdam</v>
      </c>
      <c r="F56" s="78" t="s">
        <v>347</v>
      </c>
      <c r="G56" s="53" t="s">
        <v>348</v>
      </c>
      <c r="H56" s="53" t="s">
        <v>427</v>
      </c>
      <c r="I56" s="23" t="s">
        <v>428</v>
      </c>
      <c r="J56" s="53">
        <v>16</v>
      </c>
      <c r="K56" s="78" t="str">
        <f>VLOOKUP(J56,Ruimtegroepen[],2,FALSE)</f>
        <v>Leslokalen theorie</v>
      </c>
      <c r="L56" s="53" t="s">
        <v>280</v>
      </c>
      <c r="M56" s="53" t="s">
        <v>353</v>
      </c>
      <c r="N56" s="79">
        <v>49</v>
      </c>
      <c r="O56" s="79"/>
      <c r="P56" s="80" t="str">
        <f>LEFT(VLOOKUP(Ruimtestaat[[#This Row],[Ruimte code]],Ruimtegroepen[#All],4,1),2)</f>
        <v xml:space="preserve">L </v>
      </c>
      <c r="Q56" s="79"/>
      <c r="R56" s="81">
        <v>40</v>
      </c>
      <c r="S56" s="81" t="s">
        <v>298</v>
      </c>
      <c r="T56" s="82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6" s="82">
        <f>IF(T56&gt;0,VLOOKUP($J56,Ruimtegroepen[],3,FALSE)*VLOOKUP($L56,Vloersoorten[],3,FALSE)*VLOOKUP($S56,Frequenties[],3,FALSE)*VLOOKUP($A56,Locaties[],3,FALSE),0)</f>
        <v>0</v>
      </c>
      <c r="V56" s="83">
        <f>Ruimtestaat[[#This Row],[Uitvoeringen werkdagen]]*Ruimtestaat[[#This Row],[Oppervlak (netto)]]</f>
        <v>9800</v>
      </c>
      <c r="W56" s="84">
        <f>IF(U56&gt;0,Ruimtestaat[[#This Row],[Prest. (m2 /jaar) werkdagen]]/Ruimtestaat[[#This Row],[Norm (m2/uur) werkdagen]],0)</f>
        <v>0</v>
      </c>
      <c r="X56" s="85">
        <f>Ruimtestaat[[#This Row],[uren / jaar werkdagen]]*Tariefsopbouw!$E$35</f>
        <v>0</v>
      </c>
      <c r="Y56" s="82"/>
      <c r="Z56" s="86">
        <f>IF(Ruimtestaat[[#This Row],[Frequentie weekend]]&gt;0,VALUE(LEFT(Y56,1))*R56,0)</f>
        <v>0</v>
      </c>
      <c r="AA56" s="82">
        <f>IF($Z56&gt;0,VLOOKUP($J56,Ruimtegroepen[],3,FALSE)*VLOOKUP($L56,Vloersoorten[],3,FALSE)*VLOOKUP($Y56,Frequenties[],3,FALSE)*VLOOKUP($A52,Locaties[],3,FALSE),0)</f>
        <v>0</v>
      </c>
      <c r="AB56" s="84">
        <f>Ruimtestaat[[#This Row],[Uitvoeringen weekend]]*Ruimtestaat[[#This Row],[Oppervlak (netto)]]</f>
        <v>0</v>
      </c>
      <c r="AC56" s="87">
        <f>IF(AB56&gt;0,Ruimtestaat[[#This Row],[Prest. (m2 /jaar) weekend]]/Ruimtestaat[[#This Row],[Norm (m2/uur) weekend]],0)</f>
        <v>0</v>
      </c>
      <c r="AD56" s="88">
        <f>Ruimtestaat[[#This Row],[uren / jaar weekend]]*Tariefsopbouw!$D$40</f>
        <v>0</v>
      </c>
      <c r="AE56" s="89">
        <f>Ruimtestaat[[#This Row],[Prest. (m2 /jaar) weekend]]+Ruimtestaat[[#This Row],[Prest. (m2 /jaar) werkdagen]]</f>
        <v>9800</v>
      </c>
      <c r="AF56" s="89">
        <f>Ruimtestaat[[#This Row],[uren / jaar weekend]]+Ruimtestaat[[#This Row],[uren / jaar werkdagen]]</f>
        <v>0</v>
      </c>
      <c r="AG56" s="90">
        <f>Ruimtestaat[[#This Row],[kosten / jaar weekend]]+Ruimtestaat[[#This Row],[kosten / jaar werkdagen]]</f>
        <v>0</v>
      </c>
      <c r="AH56" s="91"/>
      <c r="HL56" s="67"/>
    </row>
    <row r="57" spans="1:220" ht="15" customHeight="1">
      <c r="A57" s="53">
        <v>1</v>
      </c>
      <c r="B57" s="53" t="str">
        <f>VLOOKUP(Ruimtestaat[[#This Row],[Code]],Locaties[#All],2,FALSE)</f>
        <v>Ir. Lely Lyceum</v>
      </c>
      <c r="C57" s="53" t="str">
        <f>VLOOKUP(Ruimtestaat[[#This Row],[Code]],Locaties[#All],4,FALSE)</f>
        <v>Ravenswaaipad 3</v>
      </c>
      <c r="D57" s="53" t="str">
        <f>VLOOKUP(Ruimtestaat[[#This Row],[Code]],Locaties[#All],5,FALSE)</f>
        <v>1106 AW</v>
      </c>
      <c r="E57" s="53" t="str">
        <f>VLOOKUP(Ruimtestaat[[#This Row],[Code]],Locaties[#All],6,FALSE)</f>
        <v>Amsterdam</v>
      </c>
      <c r="F57" s="78" t="s">
        <v>347</v>
      </c>
      <c r="G57" s="53" t="s">
        <v>348</v>
      </c>
      <c r="H57" s="53" t="s">
        <v>429</v>
      </c>
      <c r="I57" s="23" t="s">
        <v>428</v>
      </c>
      <c r="J57" s="53">
        <v>16</v>
      </c>
      <c r="K57" s="78" t="str">
        <f>VLOOKUP(J57,Ruimtegroepen[],2,FALSE)</f>
        <v>Leslokalen theorie</v>
      </c>
      <c r="L57" s="53" t="s">
        <v>280</v>
      </c>
      <c r="M57" s="53" t="s">
        <v>353</v>
      </c>
      <c r="N57" s="79">
        <v>49</v>
      </c>
      <c r="O57" s="79"/>
      <c r="P57" s="80" t="str">
        <f>LEFT(VLOOKUP(Ruimtestaat[[#This Row],[Ruimte code]],Ruimtegroepen[#All],4,1),2)</f>
        <v xml:space="preserve">L </v>
      </c>
      <c r="Q57" s="79"/>
      <c r="R57" s="81">
        <v>40</v>
      </c>
      <c r="S57" s="81" t="s">
        <v>298</v>
      </c>
      <c r="T57" s="82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7" s="82">
        <f>IF(T57&gt;0,VLOOKUP($J57,Ruimtegroepen[],3,FALSE)*VLOOKUP($L57,Vloersoorten[],3,FALSE)*VLOOKUP($S57,Frequenties[],3,FALSE)*VLOOKUP($A57,Locaties[],3,FALSE),0)</f>
        <v>0</v>
      </c>
      <c r="V57" s="83">
        <f>Ruimtestaat[[#This Row],[Uitvoeringen werkdagen]]*Ruimtestaat[[#This Row],[Oppervlak (netto)]]</f>
        <v>9800</v>
      </c>
      <c r="W57" s="84">
        <f>IF(U57&gt;0,Ruimtestaat[[#This Row],[Prest. (m2 /jaar) werkdagen]]/Ruimtestaat[[#This Row],[Norm (m2/uur) werkdagen]],0)</f>
        <v>0</v>
      </c>
      <c r="X57" s="85">
        <f>Ruimtestaat[[#This Row],[uren / jaar werkdagen]]*Tariefsopbouw!$E$35</f>
        <v>0</v>
      </c>
      <c r="Y57" s="82"/>
      <c r="Z57" s="86">
        <f>IF(Ruimtestaat[[#This Row],[Frequentie weekend]]&gt;0,VALUE(LEFT(Y57,1))*R57,0)</f>
        <v>0</v>
      </c>
      <c r="AA57" s="82">
        <f>IF($Z57&gt;0,VLOOKUP($J57,Ruimtegroepen[],3,FALSE)*VLOOKUP($L57,Vloersoorten[],3,FALSE)*VLOOKUP($Y57,Frequenties[],3,FALSE)*VLOOKUP($A49,Locaties[],3,FALSE),0)</f>
        <v>0</v>
      </c>
      <c r="AB57" s="84">
        <f>Ruimtestaat[[#This Row],[Uitvoeringen weekend]]*Ruimtestaat[[#This Row],[Oppervlak (netto)]]</f>
        <v>0</v>
      </c>
      <c r="AC57" s="87">
        <f>IF(AB57&gt;0,Ruimtestaat[[#This Row],[Prest. (m2 /jaar) weekend]]/Ruimtestaat[[#This Row],[Norm (m2/uur) weekend]],0)</f>
        <v>0</v>
      </c>
      <c r="AD57" s="88">
        <f>Ruimtestaat[[#This Row],[uren / jaar weekend]]*Tariefsopbouw!$D$40</f>
        <v>0</v>
      </c>
      <c r="AE57" s="89">
        <f>Ruimtestaat[[#This Row],[Prest. (m2 /jaar) weekend]]+Ruimtestaat[[#This Row],[Prest. (m2 /jaar) werkdagen]]</f>
        <v>9800</v>
      </c>
      <c r="AF57" s="89">
        <f>Ruimtestaat[[#This Row],[uren / jaar weekend]]+Ruimtestaat[[#This Row],[uren / jaar werkdagen]]</f>
        <v>0</v>
      </c>
      <c r="AG57" s="90">
        <f>Ruimtestaat[[#This Row],[kosten / jaar weekend]]+Ruimtestaat[[#This Row],[kosten / jaar werkdagen]]</f>
        <v>0</v>
      </c>
      <c r="AH57" s="91"/>
      <c r="HL57" s="67"/>
    </row>
    <row r="58" spans="1:220" ht="15" customHeight="1">
      <c r="A58" s="53">
        <v>1</v>
      </c>
      <c r="B58" s="53" t="str">
        <f>VLOOKUP(Ruimtestaat[[#This Row],[Code]],Locaties[#All],2,FALSE)</f>
        <v>Ir. Lely Lyceum</v>
      </c>
      <c r="C58" s="53" t="str">
        <f>VLOOKUP(Ruimtestaat[[#This Row],[Code]],Locaties[#All],4,FALSE)</f>
        <v>Ravenswaaipad 3</v>
      </c>
      <c r="D58" s="53" t="str">
        <f>VLOOKUP(Ruimtestaat[[#This Row],[Code]],Locaties[#All],5,FALSE)</f>
        <v>1106 AW</v>
      </c>
      <c r="E58" s="53" t="str">
        <f>VLOOKUP(Ruimtestaat[[#This Row],[Code]],Locaties[#All],6,FALSE)</f>
        <v>Amsterdam</v>
      </c>
      <c r="F58" s="78" t="s">
        <v>347</v>
      </c>
      <c r="G58" s="53" t="s">
        <v>348</v>
      </c>
      <c r="H58" s="53" t="s">
        <v>430</v>
      </c>
      <c r="I58" s="23" t="s">
        <v>428</v>
      </c>
      <c r="J58" s="53">
        <v>16</v>
      </c>
      <c r="K58" s="78" t="str">
        <f>VLOOKUP(J58,Ruimtegroepen[],2,FALSE)</f>
        <v>Leslokalen theorie</v>
      </c>
      <c r="L58" s="53" t="s">
        <v>280</v>
      </c>
      <c r="M58" s="53" t="s">
        <v>353</v>
      </c>
      <c r="N58" s="79">
        <v>49</v>
      </c>
      <c r="O58" s="79"/>
      <c r="P58" s="80" t="str">
        <f>LEFT(VLOOKUP(Ruimtestaat[[#This Row],[Ruimte code]],Ruimtegroepen[#All],4,1),2)</f>
        <v xml:space="preserve">L </v>
      </c>
      <c r="Q58" s="79"/>
      <c r="R58" s="81">
        <v>40</v>
      </c>
      <c r="S58" s="81" t="s">
        <v>298</v>
      </c>
      <c r="T58" s="82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8" s="82">
        <f>IF(T58&gt;0,VLOOKUP($J58,Ruimtegroepen[],3,FALSE)*VLOOKUP($L58,Vloersoorten[],3,FALSE)*VLOOKUP($S58,Frequenties[],3,FALSE)*VLOOKUP($A58,Locaties[],3,FALSE),0)</f>
        <v>0</v>
      </c>
      <c r="V58" s="83">
        <f>Ruimtestaat[[#This Row],[Uitvoeringen werkdagen]]*Ruimtestaat[[#This Row],[Oppervlak (netto)]]</f>
        <v>9800</v>
      </c>
      <c r="W58" s="84">
        <f>IF(U58&gt;0,Ruimtestaat[[#This Row],[Prest. (m2 /jaar) werkdagen]]/Ruimtestaat[[#This Row],[Norm (m2/uur) werkdagen]],0)</f>
        <v>0</v>
      </c>
      <c r="X58" s="85">
        <f>Ruimtestaat[[#This Row],[uren / jaar werkdagen]]*Tariefsopbouw!$E$35</f>
        <v>0</v>
      </c>
      <c r="Y58" s="82"/>
      <c r="Z58" s="86">
        <f>IF(Ruimtestaat[[#This Row],[Frequentie weekend]]&gt;0,VALUE(LEFT(Y58,1))*R58,0)</f>
        <v>0</v>
      </c>
      <c r="AA58" s="82">
        <f>IF($Z58&gt;0,VLOOKUP($J58,Ruimtegroepen[],3,FALSE)*VLOOKUP($L58,Vloersoorten[],3,FALSE)*VLOOKUP($Y58,Frequenties[],3,FALSE)*VLOOKUP($A50,Locaties[],3,FALSE),0)</f>
        <v>0</v>
      </c>
      <c r="AB58" s="84">
        <f>Ruimtestaat[[#This Row],[Uitvoeringen weekend]]*Ruimtestaat[[#This Row],[Oppervlak (netto)]]</f>
        <v>0</v>
      </c>
      <c r="AC58" s="87">
        <f>IF(AB58&gt;0,Ruimtestaat[[#This Row],[Prest. (m2 /jaar) weekend]]/Ruimtestaat[[#This Row],[Norm (m2/uur) weekend]],0)</f>
        <v>0</v>
      </c>
      <c r="AD58" s="88">
        <f>Ruimtestaat[[#This Row],[uren / jaar weekend]]*Tariefsopbouw!$D$40</f>
        <v>0</v>
      </c>
      <c r="AE58" s="89">
        <f>Ruimtestaat[[#This Row],[Prest. (m2 /jaar) weekend]]+Ruimtestaat[[#This Row],[Prest. (m2 /jaar) werkdagen]]</f>
        <v>9800</v>
      </c>
      <c r="AF58" s="89">
        <f>Ruimtestaat[[#This Row],[uren / jaar weekend]]+Ruimtestaat[[#This Row],[uren / jaar werkdagen]]</f>
        <v>0</v>
      </c>
      <c r="AG58" s="90">
        <f>Ruimtestaat[[#This Row],[kosten / jaar weekend]]+Ruimtestaat[[#This Row],[kosten / jaar werkdagen]]</f>
        <v>0</v>
      </c>
      <c r="AH58" s="91"/>
      <c r="HL58" s="67"/>
    </row>
    <row r="59" spans="1:220" ht="15" customHeight="1">
      <c r="A59" s="53">
        <v>1</v>
      </c>
      <c r="B59" s="53" t="str">
        <f>VLOOKUP(Ruimtestaat[[#This Row],[Code]],Locaties[#All],2,FALSE)</f>
        <v>Ir. Lely Lyceum</v>
      </c>
      <c r="C59" s="53" t="str">
        <f>VLOOKUP(Ruimtestaat[[#This Row],[Code]],Locaties[#All],4,FALSE)</f>
        <v>Ravenswaaipad 3</v>
      </c>
      <c r="D59" s="53" t="str">
        <f>VLOOKUP(Ruimtestaat[[#This Row],[Code]],Locaties[#All],5,FALSE)</f>
        <v>1106 AW</v>
      </c>
      <c r="E59" s="53" t="str">
        <f>VLOOKUP(Ruimtestaat[[#This Row],[Code]],Locaties[#All],6,FALSE)</f>
        <v>Amsterdam</v>
      </c>
      <c r="F59" s="78" t="s">
        <v>347</v>
      </c>
      <c r="G59" s="53" t="s">
        <v>348</v>
      </c>
      <c r="H59" s="53" t="s">
        <v>431</v>
      </c>
      <c r="I59" s="23" t="s">
        <v>428</v>
      </c>
      <c r="J59" s="53">
        <v>16</v>
      </c>
      <c r="K59" s="78" t="str">
        <f>VLOOKUP(J59,Ruimtegroepen[],2,FALSE)</f>
        <v>Leslokalen theorie</v>
      </c>
      <c r="L59" s="53" t="s">
        <v>280</v>
      </c>
      <c r="M59" s="53" t="s">
        <v>353</v>
      </c>
      <c r="N59" s="79">
        <v>66</v>
      </c>
      <c r="O59" s="79"/>
      <c r="P59" s="80" t="str">
        <f>LEFT(VLOOKUP(Ruimtestaat[[#This Row],[Ruimte code]],Ruimtegroepen[#All],4,1),2)</f>
        <v xml:space="preserve">L </v>
      </c>
      <c r="Q59" s="79"/>
      <c r="R59" s="81">
        <v>40</v>
      </c>
      <c r="S59" s="81" t="s">
        <v>298</v>
      </c>
      <c r="T59" s="82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59" s="82">
        <f>IF(T59&gt;0,VLOOKUP($J59,Ruimtegroepen[],3,FALSE)*VLOOKUP($L59,Vloersoorten[],3,FALSE)*VLOOKUP($S59,Frequenties[],3,FALSE)*VLOOKUP($A59,Locaties[],3,FALSE),0)</f>
        <v>0</v>
      </c>
      <c r="V59" s="83">
        <f>Ruimtestaat[[#This Row],[Uitvoeringen werkdagen]]*Ruimtestaat[[#This Row],[Oppervlak (netto)]]</f>
        <v>13200</v>
      </c>
      <c r="W59" s="84">
        <f>IF(U59&gt;0,Ruimtestaat[[#This Row],[Prest. (m2 /jaar) werkdagen]]/Ruimtestaat[[#This Row],[Norm (m2/uur) werkdagen]],0)</f>
        <v>0</v>
      </c>
      <c r="X59" s="85">
        <f>Ruimtestaat[[#This Row],[uren / jaar werkdagen]]*Tariefsopbouw!$E$35</f>
        <v>0</v>
      </c>
      <c r="Y59" s="82"/>
      <c r="Z59" s="86">
        <f>IF(Ruimtestaat[[#This Row],[Frequentie weekend]]&gt;0,VALUE(LEFT(Y59,1))*R59,0)</f>
        <v>0</v>
      </c>
      <c r="AA59" s="82">
        <f>IF($Z59&gt;0,VLOOKUP($J59,Ruimtegroepen[],3,FALSE)*VLOOKUP($L59,Vloersoorten[],3,FALSE)*VLOOKUP($Y59,Frequenties[],3,FALSE)*VLOOKUP($A51,Locaties[],3,FALSE),0)</f>
        <v>0</v>
      </c>
      <c r="AB59" s="84">
        <f>Ruimtestaat[[#This Row],[Uitvoeringen weekend]]*Ruimtestaat[[#This Row],[Oppervlak (netto)]]</f>
        <v>0</v>
      </c>
      <c r="AC59" s="87">
        <f>IF(AB59&gt;0,Ruimtestaat[[#This Row],[Prest. (m2 /jaar) weekend]]/Ruimtestaat[[#This Row],[Norm (m2/uur) weekend]],0)</f>
        <v>0</v>
      </c>
      <c r="AD59" s="88">
        <f>Ruimtestaat[[#This Row],[uren / jaar weekend]]*Tariefsopbouw!$D$40</f>
        <v>0</v>
      </c>
      <c r="AE59" s="89">
        <f>Ruimtestaat[[#This Row],[Prest. (m2 /jaar) weekend]]+Ruimtestaat[[#This Row],[Prest. (m2 /jaar) werkdagen]]</f>
        <v>13200</v>
      </c>
      <c r="AF59" s="89">
        <f>Ruimtestaat[[#This Row],[uren / jaar weekend]]+Ruimtestaat[[#This Row],[uren / jaar werkdagen]]</f>
        <v>0</v>
      </c>
      <c r="AG59" s="90">
        <f>Ruimtestaat[[#This Row],[kosten / jaar weekend]]+Ruimtestaat[[#This Row],[kosten / jaar werkdagen]]</f>
        <v>0</v>
      </c>
      <c r="AH59" s="91"/>
      <c r="HL59" s="67"/>
    </row>
    <row r="60" spans="1:220" ht="15" customHeight="1">
      <c r="A60" s="53">
        <v>1</v>
      </c>
      <c r="B60" s="53" t="str">
        <f>VLOOKUP(Ruimtestaat[[#This Row],[Code]],Locaties[#All],2,FALSE)</f>
        <v>Ir. Lely Lyceum</v>
      </c>
      <c r="C60" s="53" t="str">
        <f>VLOOKUP(Ruimtestaat[[#This Row],[Code]],Locaties[#All],4,FALSE)</f>
        <v>Ravenswaaipad 3</v>
      </c>
      <c r="D60" s="53" t="str">
        <f>VLOOKUP(Ruimtestaat[[#This Row],[Code]],Locaties[#All],5,FALSE)</f>
        <v>1106 AW</v>
      </c>
      <c r="E60" s="53" t="str">
        <f>VLOOKUP(Ruimtestaat[[#This Row],[Code]],Locaties[#All],6,FALSE)</f>
        <v>Amsterdam</v>
      </c>
      <c r="F60" s="78" t="s">
        <v>347</v>
      </c>
      <c r="G60" s="53" t="s">
        <v>348</v>
      </c>
      <c r="H60" s="53" t="s">
        <v>432</v>
      </c>
      <c r="I60" s="23" t="s">
        <v>383</v>
      </c>
      <c r="J60" s="53">
        <v>2</v>
      </c>
      <c r="K60" s="78" t="str">
        <f>VLOOKUP(J60,Ruimtegroepen[],2,FALSE)</f>
        <v>Kantoren</v>
      </c>
      <c r="L60" s="53" t="s">
        <v>280</v>
      </c>
      <c r="M60" s="53" t="s">
        <v>353</v>
      </c>
      <c r="N60" s="79">
        <v>23</v>
      </c>
      <c r="O60" s="79"/>
      <c r="P60" s="80" t="str">
        <f>LEFT(VLOOKUP(Ruimtestaat[[#This Row],[Ruimte code]],Ruimtegroepen[#All],4,1),2)</f>
        <v xml:space="preserve">B </v>
      </c>
      <c r="Q60" s="79"/>
      <c r="R60" s="81">
        <v>40</v>
      </c>
      <c r="S60" s="81" t="s">
        <v>298</v>
      </c>
      <c r="T60" s="82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0" s="82">
        <f>IF(T60&gt;0,VLOOKUP($J60,Ruimtegroepen[],3,FALSE)*VLOOKUP($L60,Vloersoorten[],3,FALSE)*VLOOKUP($S60,Frequenties[],3,FALSE)*VLOOKUP($A60,Locaties[],3,FALSE),0)</f>
        <v>0</v>
      </c>
      <c r="V60" s="83">
        <f>Ruimtestaat[[#This Row],[Uitvoeringen werkdagen]]*Ruimtestaat[[#This Row],[Oppervlak (netto)]]</f>
        <v>4600</v>
      </c>
      <c r="W60" s="84">
        <f>IF(U60&gt;0,Ruimtestaat[[#This Row],[Prest. (m2 /jaar) werkdagen]]/Ruimtestaat[[#This Row],[Norm (m2/uur) werkdagen]],0)</f>
        <v>0</v>
      </c>
      <c r="X60" s="85">
        <f>Ruimtestaat[[#This Row],[uren / jaar werkdagen]]*Tariefsopbouw!$E$35</f>
        <v>0</v>
      </c>
      <c r="Y60" s="82"/>
      <c r="Z60" s="86">
        <f>IF(Ruimtestaat[[#This Row],[Frequentie weekend]]&gt;0,VALUE(LEFT(Y60,1))*R60,0)</f>
        <v>0</v>
      </c>
      <c r="AA60" s="82">
        <f>IF($Z60&gt;0,VLOOKUP($J60,Ruimtegroepen[],3,FALSE)*VLOOKUP($L60,Vloersoorten[],3,FALSE)*VLOOKUP($Y60,Frequenties[],3,FALSE)*VLOOKUP($A52,Locaties[],3,FALSE),0)</f>
        <v>0</v>
      </c>
      <c r="AB60" s="84">
        <f>Ruimtestaat[[#This Row],[Uitvoeringen weekend]]*Ruimtestaat[[#This Row],[Oppervlak (netto)]]</f>
        <v>0</v>
      </c>
      <c r="AC60" s="87">
        <f>IF(AB60&gt;0,Ruimtestaat[[#This Row],[Prest. (m2 /jaar) weekend]]/Ruimtestaat[[#This Row],[Norm (m2/uur) weekend]],0)</f>
        <v>0</v>
      </c>
      <c r="AD60" s="88">
        <f>Ruimtestaat[[#This Row],[uren / jaar weekend]]*Tariefsopbouw!$D$40</f>
        <v>0</v>
      </c>
      <c r="AE60" s="89">
        <f>Ruimtestaat[[#This Row],[Prest. (m2 /jaar) weekend]]+Ruimtestaat[[#This Row],[Prest. (m2 /jaar) werkdagen]]</f>
        <v>4600</v>
      </c>
      <c r="AF60" s="89">
        <f>Ruimtestaat[[#This Row],[uren / jaar weekend]]+Ruimtestaat[[#This Row],[uren / jaar werkdagen]]</f>
        <v>0</v>
      </c>
      <c r="AG60" s="90">
        <f>Ruimtestaat[[#This Row],[kosten / jaar weekend]]+Ruimtestaat[[#This Row],[kosten / jaar werkdagen]]</f>
        <v>0</v>
      </c>
      <c r="AH60" s="91"/>
      <c r="HL60" s="67"/>
    </row>
    <row r="61" spans="1:220" ht="15" customHeight="1">
      <c r="A61" s="53">
        <v>1</v>
      </c>
      <c r="B61" s="53" t="str">
        <f>VLOOKUP(Ruimtestaat[[#This Row],[Code]],Locaties[#All],2,FALSE)</f>
        <v>Ir. Lely Lyceum</v>
      </c>
      <c r="C61" s="53" t="str">
        <f>VLOOKUP(Ruimtestaat[[#This Row],[Code]],Locaties[#All],4,FALSE)</f>
        <v>Ravenswaaipad 3</v>
      </c>
      <c r="D61" s="53" t="str">
        <f>VLOOKUP(Ruimtestaat[[#This Row],[Code]],Locaties[#All],5,FALSE)</f>
        <v>1106 AW</v>
      </c>
      <c r="E61" s="53" t="str">
        <f>VLOOKUP(Ruimtestaat[[#This Row],[Code]],Locaties[#All],6,FALSE)</f>
        <v>Amsterdam</v>
      </c>
      <c r="F61" s="78" t="s">
        <v>347</v>
      </c>
      <c r="G61" s="53" t="s">
        <v>348</v>
      </c>
      <c r="H61" s="53" t="s">
        <v>433</v>
      </c>
      <c r="I61" s="23" t="s">
        <v>428</v>
      </c>
      <c r="J61" s="53">
        <v>16</v>
      </c>
      <c r="K61" s="78" t="str">
        <f>VLOOKUP(J61,Ruimtegroepen[],2,FALSE)</f>
        <v>Leslokalen theorie</v>
      </c>
      <c r="L61" s="53" t="s">
        <v>280</v>
      </c>
      <c r="M61" s="53" t="s">
        <v>353</v>
      </c>
      <c r="N61" s="79">
        <v>73.5</v>
      </c>
      <c r="O61" s="79"/>
      <c r="P61" s="80" t="str">
        <f>LEFT(VLOOKUP(Ruimtestaat[[#This Row],[Ruimte code]],Ruimtegroepen[#All],4,1),2)</f>
        <v xml:space="preserve">L </v>
      </c>
      <c r="Q61" s="79"/>
      <c r="R61" s="81">
        <v>40</v>
      </c>
      <c r="S61" s="81" t="s">
        <v>298</v>
      </c>
      <c r="T61" s="82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1" s="82">
        <f>IF(T61&gt;0,VLOOKUP($J61,Ruimtegroepen[],3,FALSE)*VLOOKUP($L61,Vloersoorten[],3,FALSE)*VLOOKUP($S61,Frequenties[],3,FALSE)*VLOOKUP($A61,Locaties[],3,FALSE),0)</f>
        <v>0</v>
      </c>
      <c r="V61" s="83">
        <f>Ruimtestaat[[#This Row],[Uitvoeringen werkdagen]]*Ruimtestaat[[#This Row],[Oppervlak (netto)]]</f>
        <v>14700</v>
      </c>
      <c r="W61" s="84">
        <f>IF(U61&gt;0,Ruimtestaat[[#This Row],[Prest. (m2 /jaar) werkdagen]]/Ruimtestaat[[#This Row],[Norm (m2/uur) werkdagen]],0)</f>
        <v>0</v>
      </c>
      <c r="X61" s="85">
        <f>Ruimtestaat[[#This Row],[uren / jaar werkdagen]]*Tariefsopbouw!$E$35</f>
        <v>0</v>
      </c>
      <c r="Y61" s="82"/>
      <c r="Z61" s="86">
        <f>IF(Ruimtestaat[[#This Row],[Frequentie weekend]]&gt;0,VALUE(LEFT(Y61,1))*R61,0)</f>
        <v>0</v>
      </c>
      <c r="AA61" s="82">
        <f>IF($Z61&gt;0,VLOOKUP($J61,Ruimtegroepen[],3,FALSE)*VLOOKUP($L61,Vloersoorten[],3,FALSE)*VLOOKUP($Y61,Frequenties[],3,FALSE)*VLOOKUP($A53,Locaties[],3,FALSE),0)</f>
        <v>0</v>
      </c>
      <c r="AB61" s="84">
        <f>Ruimtestaat[[#This Row],[Uitvoeringen weekend]]*Ruimtestaat[[#This Row],[Oppervlak (netto)]]</f>
        <v>0</v>
      </c>
      <c r="AC61" s="87">
        <f>IF(AB61&gt;0,Ruimtestaat[[#This Row],[Prest. (m2 /jaar) weekend]]/Ruimtestaat[[#This Row],[Norm (m2/uur) weekend]],0)</f>
        <v>0</v>
      </c>
      <c r="AD61" s="88">
        <f>Ruimtestaat[[#This Row],[uren / jaar weekend]]*Tariefsopbouw!$D$40</f>
        <v>0</v>
      </c>
      <c r="AE61" s="89">
        <f>Ruimtestaat[[#This Row],[Prest. (m2 /jaar) weekend]]+Ruimtestaat[[#This Row],[Prest. (m2 /jaar) werkdagen]]</f>
        <v>14700</v>
      </c>
      <c r="AF61" s="89">
        <f>Ruimtestaat[[#This Row],[uren / jaar weekend]]+Ruimtestaat[[#This Row],[uren / jaar werkdagen]]</f>
        <v>0</v>
      </c>
      <c r="AG61" s="90">
        <f>Ruimtestaat[[#This Row],[kosten / jaar weekend]]+Ruimtestaat[[#This Row],[kosten / jaar werkdagen]]</f>
        <v>0</v>
      </c>
      <c r="AH61" s="91"/>
      <c r="HL61" s="67"/>
    </row>
    <row r="62" spans="1:220" ht="15" customHeight="1">
      <c r="A62" s="53">
        <v>1</v>
      </c>
      <c r="B62" s="53" t="str">
        <f>VLOOKUP(Ruimtestaat[[#This Row],[Code]],Locaties[#All],2,FALSE)</f>
        <v>Ir. Lely Lyceum</v>
      </c>
      <c r="C62" s="53" t="str">
        <f>VLOOKUP(Ruimtestaat[[#This Row],[Code]],Locaties[#All],4,FALSE)</f>
        <v>Ravenswaaipad 3</v>
      </c>
      <c r="D62" s="53" t="str">
        <f>VLOOKUP(Ruimtestaat[[#This Row],[Code]],Locaties[#All],5,FALSE)</f>
        <v>1106 AW</v>
      </c>
      <c r="E62" s="53" t="str">
        <f>VLOOKUP(Ruimtestaat[[#This Row],[Code]],Locaties[#All],6,FALSE)</f>
        <v>Amsterdam</v>
      </c>
      <c r="F62" s="78" t="s">
        <v>347</v>
      </c>
      <c r="G62" s="53" t="s">
        <v>348</v>
      </c>
      <c r="H62" s="53" t="s">
        <v>434</v>
      </c>
      <c r="I62" s="23" t="s">
        <v>378</v>
      </c>
      <c r="J62" s="53">
        <v>10</v>
      </c>
      <c r="K62" s="78" t="str">
        <f>VLOOKUP(J62,Ruimtegroepen[],2,FALSE)</f>
        <v>Trappenhuizen/lift</v>
      </c>
      <c r="L62" s="53" t="s">
        <v>280</v>
      </c>
      <c r="M62" s="53" t="s">
        <v>353</v>
      </c>
      <c r="N62" s="79">
        <v>21</v>
      </c>
      <c r="O62" s="79"/>
      <c r="P62" s="80" t="str">
        <f>LEFT(VLOOKUP(Ruimtestaat[[#This Row],[Ruimte code]],Ruimtegroepen[#All],4,1),2)</f>
        <v xml:space="preserve">V </v>
      </c>
      <c r="Q62" s="79"/>
      <c r="R62" s="81">
        <v>40</v>
      </c>
      <c r="S62" s="81" t="s">
        <v>298</v>
      </c>
      <c r="T62" s="82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2" s="82">
        <f>IF(T62&gt;0,VLOOKUP($J62,Ruimtegroepen[],3,FALSE)*VLOOKUP($L62,Vloersoorten[],3,FALSE)*VLOOKUP($S62,Frequenties[],3,FALSE)*VLOOKUP($A62,Locaties[],3,FALSE),0)</f>
        <v>0</v>
      </c>
      <c r="V62" s="83">
        <f>Ruimtestaat[[#This Row],[Uitvoeringen werkdagen]]*Ruimtestaat[[#This Row],[Oppervlak (netto)]]</f>
        <v>4200</v>
      </c>
      <c r="W62" s="84">
        <f>IF(U62&gt;0,Ruimtestaat[[#This Row],[Prest. (m2 /jaar) werkdagen]]/Ruimtestaat[[#This Row],[Norm (m2/uur) werkdagen]],0)</f>
        <v>0</v>
      </c>
      <c r="X62" s="85">
        <f>Ruimtestaat[[#This Row],[uren / jaar werkdagen]]*Tariefsopbouw!$E$35</f>
        <v>0</v>
      </c>
      <c r="Y62" s="82"/>
      <c r="Z62" s="86">
        <f>IF(Ruimtestaat[[#This Row],[Frequentie weekend]]&gt;0,VALUE(LEFT(Y62,1))*R62,0)</f>
        <v>0</v>
      </c>
      <c r="AA62" s="82">
        <f>IF($Z62&gt;0,VLOOKUP($J62,Ruimtegroepen[],3,FALSE)*VLOOKUP($L62,Vloersoorten[],3,FALSE)*VLOOKUP($Y62,Frequenties[],3,FALSE)*VLOOKUP($A53,Locaties[],3,FALSE),0)</f>
        <v>0</v>
      </c>
      <c r="AB62" s="84">
        <f>Ruimtestaat[[#This Row],[Uitvoeringen weekend]]*Ruimtestaat[[#This Row],[Oppervlak (netto)]]</f>
        <v>0</v>
      </c>
      <c r="AC62" s="87">
        <f>IF(AB62&gt;0,Ruimtestaat[[#This Row],[Prest. (m2 /jaar) weekend]]/Ruimtestaat[[#This Row],[Norm (m2/uur) weekend]],0)</f>
        <v>0</v>
      </c>
      <c r="AD62" s="88">
        <f>Ruimtestaat[[#This Row],[uren / jaar weekend]]*Tariefsopbouw!$D$40</f>
        <v>0</v>
      </c>
      <c r="AE62" s="89">
        <f>Ruimtestaat[[#This Row],[Prest. (m2 /jaar) weekend]]+Ruimtestaat[[#This Row],[Prest. (m2 /jaar) werkdagen]]</f>
        <v>4200</v>
      </c>
      <c r="AF62" s="89">
        <f>Ruimtestaat[[#This Row],[uren / jaar weekend]]+Ruimtestaat[[#This Row],[uren / jaar werkdagen]]</f>
        <v>0</v>
      </c>
      <c r="AG62" s="90">
        <f>Ruimtestaat[[#This Row],[kosten / jaar weekend]]+Ruimtestaat[[#This Row],[kosten / jaar werkdagen]]</f>
        <v>0</v>
      </c>
      <c r="AH62" s="91"/>
      <c r="HL62" s="67"/>
    </row>
    <row r="63" spans="1:220" ht="15" customHeight="1">
      <c r="A63" s="53">
        <v>1</v>
      </c>
      <c r="B63" s="53" t="str">
        <f>VLOOKUP(Ruimtestaat[[#This Row],[Code]],Locaties[#All],2,FALSE)</f>
        <v>Ir. Lely Lyceum</v>
      </c>
      <c r="C63" s="53" t="str">
        <f>VLOOKUP(Ruimtestaat[[#This Row],[Code]],Locaties[#All],4,FALSE)</f>
        <v>Ravenswaaipad 3</v>
      </c>
      <c r="D63" s="53" t="str">
        <f>VLOOKUP(Ruimtestaat[[#This Row],[Code]],Locaties[#All],5,FALSE)</f>
        <v>1106 AW</v>
      </c>
      <c r="E63" s="53" t="str">
        <f>VLOOKUP(Ruimtestaat[[#This Row],[Code]],Locaties[#All],6,FALSE)</f>
        <v>Amsterdam</v>
      </c>
      <c r="F63" s="78" t="s">
        <v>347</v>
      </c>
      <c r="G63" s="53" t="s">
        <v>348</v>
      </c>
      <c r="H63" s="95" t="s">
        <v>435</v>
      </c>
      <c r="I63" s="23" t="s">
        <v>428</v>
      </c>
      <c r="J63" s="53">
        <v>16</v>
      </c>
      <c r="K63" s="78" t="str">
        <f>VLOOKUP(J63,Ruimtegroepen[],2,FALSE)</f>
        <v>Leslokalen theorie</v>
      </c>
      <c r="L63" s="53" t="s">
        <v>280</v>
      </c>
      <c r="M63" s="53" t="s">
        <v>353</v>
      </c>
      <c r="N63" s="79">
        <v>49</v>
      </c>
      <c r="O63" s="79"/>
      <c r="P63" s="80" t="str">
        <f>LEFT(VLOOKUP(Ruimtestaat[[#This Row],[Ruimte code]],Ruimtegroepen[#All],4,1),2)</f>
        <v xml:space="preserve">L </v>
      </c>
      <c r="Q63" s="79"/>
      <c r="R63" s="81">
        <v>40</v>
      </c>
      <c r="S63" s="81" t="s">
        <v>298</v>
      </c>
      <c r="T63" s="82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3" s="82">
        <f>IF(T63&gt;0,VLOOKUP($J63,Ruimtegroepen[],3,FALSE)*VLOOKUP($L63,Vloersoorten[],3,FALSE)*VLOOKUP($S63,Frequenties[],3,FALSE)*VLOOKUP($A63,Locaties[],3,FALSE),0)</f>
        <v>0</v>
      </c>
      <c r="V63" s="83">
        <f>Ruimtestaat[[#This Row],[Uitvoeringen werkdagen]]*Ruimtestaat[[#This Row],[Oppervlak (netto)]]</f>
        <v>9800</v>
      </c>
      <c r="W63" s="84">
        <f>IF(U63&gt;0,Ruimtestaat[[#This Row],[Prest. (m2 /jaar) werkdagen]]/Ruimtestaat[[#This Row],[Norm (m2/uur) werkdagen]],0)</f>
        <v>0</v>
      </c>
      <c r="X63" s="85">
        <f>Ruimtestaat[[#This Row],[uren / jaar werkdagen]]*Tariefsopbouw!$E$35</f>
        <v>0</v>
      </c>
      <c r="Y63" s="82"/>
      <c r="Z63" s="86">
        <f>IF(Ruimtestaat[[#This Row],[Frequentie weekend]]&gt;0,VALUE(LEFT(Y63,1))*R63,0)</f>
        <v>0</v>
      </c>
      <c r="AA63" s="82">
        <f>IF($Z63&gt;0,VLOOKUP($J63,Ruimtegroepen[],3,FALSE)*VLOOKUP($L63,Vloersoorten[],3,FALSE)*VLOOKUP($Y63,Frequenties[],3,FALSE)*VLOOKUP($A54,Locaties[],3,FALSE),0)</f>
        <v>0</v>
      </c>
      <c r="AB63" s="84">
        <f>Ruimtestaat[[#This Row],[Uitvoeringen weekend]]*Ruimtestaat[[#This Row],[Oppervlak (netto)]]</f>
        <v>0</v>
      </c>
      <c r="AC63" s="87">
        <f>IF(AB63&gt;0,Ruimtestaat[[#This Row],[Prest. (m2 /jaar) weekend]]/Ruimtestaat[[#This Row],[Norm (m2/uur) weekend]],0)</f>
        <v>0</v>
      </c>
      <c r="AD63" s="88">
        <f>Ruimtestaat[[#This Row],[uren / jaar weekend]]*Tariefsopbouw!$D$40</f>
        <v>0</v>
      </c>
      <c r="AE63" s="89">
        <f>Ruimtestaat[[#This Row],[Prest. (m2 /jaar) weekend]]+Ruimtestaat[[#This Row],[Prest. (m2 /jaar) werkdagen]]</f>
        <v>9800</v>
      </c>
      <c r="AF63" s="89">
        <f>Ruimtestaat[[#This Row],[uren / jaar weekend]]+Ruimtestaat[[#This Row],[uren / jaar werkdagen]]</f>
        <v>0</v>
      </c>
      <c r="AG63" s="90">
        <f>Ruimtestaat[[#This Row],[kosten / jaar weekend]]+Ruimtestaat[[#This Row],[kosten / jaar werkdagen]]</f>
        <v>0</v>
      </c>
      <c r="AH63" s="91"/>
      <c r="HL63" s="67"/>
    </row>
    <row r="64" spans="1:220" ht="15" customHeight="1">
      <c r="A64" s="53">
        <v>1</v>
      </c>
      <c r="B64" s="53" t="str">
        <f>VLOOKUP(Ruimtestaat[[#This Row],[Code]],Locaties[#All],2,FALSE)</f>
        <v>Ir. Lely Lyceum</v>
      </c>
      <c r="C64" s="53" t="str">
        <f>VLOOKUP(Ruimtestaat[[#This Row],[Code]],Locaties[#All],4,FALSE)</f>
        <v>Ravenswaaipad 3</v>
      </c>
      <c r="D64" s="53" t="str">
        <f>VLOOKUP(Ruimtestaat[[#This Row],[Code]],Locaties[#All],5,FALSE)</f>
        <v>1106 AW</v>
      </c>
      <c r="E64" s="53" t="str">
        <f>VLOOKUP(Ruimtestaat[[#This Row],[Code]],Locaties[#All],6,FALSE)</f>
        <v>Amsterdam</v>
      </c>
      <c r="F64" s="78" t="s">
        <v>347</v>
      </c>
      <c r="G64" s="53" t="s">
        <v>348</v>
      </c>
      <c r="H64" s="95" t="s">
        <v>436</v>
      </c>
      <c r="I64" s="23" t="s">
        <v>428</v>
      </c>
      <c r="J64" s="53">
        <v>16</v>
      </c>
      <c r="K64" s="78" t="str">
        <f>VLOOKUP(J64,Ruimtegroepen[],2,FALSE)</f>
        <v>Leslokalen theorie</v>
      </c>
      <c r="L64" s="53" t="s">
        <v>280</v>
      </c>
      <c r="M64" s="53" t="s">
        <v>353</v>
      </c>
      <c r="N64" s="79">
        <v>49</v>
      </c>
      <c r="O64" s="79"/>
      <c r="P64" s="80" t="str">
        <f>LEFT(VLOOKUP(Ruimtestaat[[#This Row],[Ruimte code]],Ruimtegroepen[#All],4,1),2)</f>
        <v xml:space="preserve">L </v>
      </c>
      <c r="Q64" s="79"/>
      <c r="R64" s="81">
        <v>40</v>
      </c>
      <c r="S64" s="81" t="s">
        <v>298</v>
      </c>
      <c r="T64" s="82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4" s="82">
        <f>IF(T64&gt;0,VLOOKUP($J64,Ruimtegroepen[],3,FALSE)*VLOOKUP($L64,Vloersoorten[],3,FALSE)*VLOOKUP($S64,Frequenties[],3,FALSE)*VLOOKUP($A64,Locaties[],3,FALSE),0)</f>
        <v>0</v>
      </c>
      <c r="V64" s="83">
        <f>Ruimtestaat[[#This Row],[Uitvoeringen werkdagen]]*Ruimtestaat[[#This Row],[Oppervlak (netto)]]</f>
        <v>9800</v>
      </c>
      <c r="W64" s="84">
        <f>IF(U64&gt;0,Ruimtestaat[[#This Row],[Prest. (m2 /jaar) werkdagen]]/Ruimtestaat[[#This Row],[Norm (m2/uur) werkdagen]],0)</f>
        <v>0</v>
      </c>
      <c r="X64" s="85">
        <f>Ruimtestaat[[#This Row],[uren / jaar werkdagen]]*Tariefsopbouw!$E$35</f>
        <v>0</v>
      </c>
      <c r="Y64" s="82"/>
      <c r="Z64" s="86">
        <f>IF(Ruimtestaat[[#This Row],[Frequentie weekend]]&gt;0,VALUE(LEFT(Y64,1))*R64,0)</f>
        <v>0</v>
      </c>
      <c r="AA64" s="82">
        <f>IF($Z64&gt;0,VLOOKUP($J64,Ruimtegroepen[],3,FALSE)*VLOOKUP($L64,Vloersoorten[],3,FALSE)*VLOOKUP($Y64,Frequenties[],3,FALSE)*VLOOKUP($A55,Locaties[],3,FALSE),0)</f>
        <v>0</v>
      </c>
      <c r="AB64" s="84">
        <f>Ruimtestaat[[#This Row],[Uitvoeringen weekend]]*Ruimtestaat[[#This Row],[Oppervlak (netto)]]</f>
        <v>0</v>
      </c>
      <c r="AC64" s="87">
        <f>IF(AB64&gt;0,Ruimtestaat[[#This Row],[Prest. (m2 /jaar) weekend]]/Ruimtestaat[[#This Row],[Norm (m2/uur) weekend]],0)</f>
        <v>0</v>
      </c>
      <c r="AD64" s="88">
        <f>Ruimtestaat[[#This Row],[uren / jaar weekend]]*Tariefsopbouw!$D$40</f>
        <v>0</v>
      </c>
      <c r="AE64" s="89">
        <f>Ruimtestaat[[#This Row],[Prest. (m2 /jaar) weekend]]+Ruimtestaat[[#This Row],[Prest. (m2 /jaar) werkdagen]]</f>
        <v>9800</v>
      </c>
      <c r="AF64" s="89">
        <f>Ruimtestaat[[#This Row],[uren / jaar weekend]]+Ruimtestaat[[#This Row],[uren / jaar werkdagen]]</f>
        <v>0</v>
      </c>
      <c r="AG64" s="90">
        <f>Ruimtestaat[[#This Row],[kosten / jaar weekend]]+Ruimtestaat[[#This Row],[kosten / jaar werkdagen]]</f>
        <v>0</v>
      </c>
      <c r="AH64" s="91"/>
      <c r="HL64" s="67"/>
    </row>
    <row r="65" spans="1:220" ht="15" customHeight="1">
      <c r="A65" s="53">
        <v>1</v>
      </c>
      <c r="B65" s="53" t="str">
        <f>VLOOKUP(Ruimtestaat[[#This Row],[Code]],Locaties[#All],2,FALSE)</f>
        <v>Ir. Lely Lyceum</v>
      </c>
      <c r="C65" s="53" t="str">
        <f>VLOOKUP(Ruimtestaat[[#This Row],[Code]],Locaties[#All],4,FALSE)</f>
        <v>Ravenswaaipad 3</v>
      </c>
      <c r="D65" s="53" t="str">
        <f>VLOOKUP(Ruimtestaat[[#This Row],[Code]],Locaties[#All],5,FALSE)</f>
        <v>1106 AW</v>
      </c>
      <c r="E65" s="53" t="str">
        <f>VLOOKUP(Ruimtestaat[[#This Row],[Code]],Locaties[#All],6,FALSE)</f>
        <v>Amsterdam</v>
      </c>
      <c r="F65" s="78" t="s">
        <v>347</v>
      </c>
      <c r="G65" s="53" t="s">
        <v>348</v>
      </c>
      <c r="H65" s="95" t="s">
        <v>437</v>
      </c>
      <c r="I65" s="23" t="s">
        <v>428</v>
      </c>
      <c r="J65" s="53">
        <v>16</v>
      </c>
      <c r="K65" s="78" t="str">
        <f>VLOOKUP(J65,Ruimtegroepen[],2,FALSE)</f>
        <v>Leslokalen theorie</v>
      </c>
      <c r="L65" s="53" t="s">
        <v>280</v>
      </c>
      <c r="M65" s="53" t="s">
        <v>353</v>
      </c>
      <c r="N65" s="79">
        <v>49</v>
      </c>
      <c r="O65" s="79"/>
      <c r="P65" s="80" t="str">
        <f>LEFT(VLOOKUP(Ruimtestaat[[#This Row],[Ruimte code]],Ruimtegroepen[#All],4,1),2)</f>
        <v xml:space="preserve">L </v>
      </c>
      <c r="Q65" s="79"/>
      <c r="R65" s="81">
        <v>40</v>
      </c>
      <c r="S65" s="81" t="s">
        <v>298</v>
      </c>
      <c r="T65" s="82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5" s="82">
        <f>IF(T65&gt;0,VLOOKUP($J65,Ruimtegroepen[],3,FALSE)*VLOOKUP($L65,Vloersoorten[],3,FALSE)*VLOOKUP($S65,Frequenties[],3,FALSE)*VLOOKUP($A65,Locaties[],3,FALSE),0)</f>
        <v>0</v>
      </c>
      <c r="V65" s="83">
        <f>Ruimtestaat[[#This Row],[Uitvoeringen werkdagen]]*Ruimtestaat[[#This Row],[Oppervlak (netto)]]</f>
        <v>9800</v>
      </c>
      <c r="W65" s="84">
        <f>IF(U65&gt;0,Ruimtestaat[[#This Row],[Prest. (m2 /jaar) werkdagen]]/Ruimtestaat[[#This Row],[Norm (m2/uur) werkdagen]],0)</f>
        <v>0</v>
      </c>
      <c r="X65" s="85">
        <f>Ruimtestaat[[#This Row],[uren / jaar werkdagen]]*Tariefsopbouw!$E$35</f>
        <v>0</v>
      </c>
      <c r="Y65" s="82"/>
      <c r="Z65" s="86">
        <f>IF(Ruimtestaat[[#This Row],[Frequentie weekend]]&gt;0,VALUE(LEFT(Y65,1))*R65,0)</f>
        <v>0</v>
      </c>
      <c r="AA65" s="82">
        <f>IF($Z65&gt;0,VLOOKUP($J65,Ruimtegroepen[],3,FALSE)*VLOOKUP($L65,Vloersoorten[],3,FALSE)*VLOOKUP($Y65,Frequenties[],3,FALSE)*VLOOKUP($A56,Locaties[],3,FALSE),0)</f>
        <v>0</v>
      </c>
      <c r="AB65" s="84">
        <f>Ruimtestaat[[#This Row],[Uitvoeringen weekend]]*Ruimtestaat[[#This Row],[Oppervlak (netto)]]</f>
        <v>0</v>
      </c>
      <c r="AC65" s="87">
        <f>IF(AB65&gt;0,Ruimtestaat[[#This Row],[Prest. (m2 /jaar) weekend]]/Ruimtestaat[[#This Row],[Norm (m2/uur) weekend]],0)</f>
        <v>0</v>
      </c>
      <c r="AD65" s="88">
        <f>Ruimtestaat[[#This Row],[uren / jaar weekend]]*Tariefsopbouw!$D$40</f>
        <v>0</v>
      </c>
      <c r="AE65" s="89">
        <f>Ruimtestaat[[#This Row],[Prest. (m2 /jaar) weekend]]+Ruimtestaat[[#This Row],[Prest. (m2 /jaar) werkdagen]]</f>
        <v>9800</v>
      </c>
      <c r="AF65" s="89">
        <f>Ruimtestaat[[#This Row],[uren / jaar weekend]]+Ruimtestaat[[#This Row],[uren / jaar werkdagen]]</f>
        <v>0</v>
      </c>
      <c r="AG65" s="90">
        <f>Ruimtestaat[[#This Row],[kosten / jaar weekend]]+Ruimtestaat[[#This Row],[kosten / jaar werkdagen]]</f>
        <v>0</v>
      </c>
      <c r="AH65" s="91"/>
      <c r="HL65" s="67"/>
    </row>
    <row r="66" spans="1:220" ht="15" customHeight="1">
      <c r="A66" s="53">
        <v>1</v>
      </c>
      <c r="B66" s="53" t="str">
        <f>VLOOKUP(Ruimtestaat[[#This Row],[Code]],Locaties[#All],2,FALSE)</f>
        <v>Ir. Lely Lyceum</v>
      </c>
      <c r="C66" s="53" t="str">
        <f>VLOOKUP(Ruimtestaat[[#This Row],[Code]],Locaties[#All],4,FALSE)</f>
        <v>Ravenswaaipad 3</v>
      </c>
      <c r="D66" s="53" t="str">
        <f>VLOOKUP(Ruimtestaat[[#This Row],[Code]],Locaties[#All],5,FALSE)</f>
        <v>1106 AW</v>
      </c>
      <c r="E66" s="53" t="str">
        <f>VLOOKUP(Ruimtestaat[[#This Row],[Code]],Locaties[#All],6,FALSE)</f>
        <v>Amsterdam</v>
      </c>
      <c r="F66" s="78" t="s">
        <v>347</v>
      </c>
      <c r="G66" s="53" t="s">
        <v>348</v>
      </c>
      <c r="H66" s="95" t="s">
        <v>438</v>
      </c>
      <c r="I66" s="23" t="s">
        <v>383</v>
      </c>
      <c r="J66" s="53">
        <v>2</v>
      </c>
      <c r="K66" s="78" t="str">
        <f>VLOOKUP(J66,Ruimtegroepen[],2,FALSE)</f>
        <v>Kantoren</v>
      </c>
      <c r="L66" s="53" t="s">
        <v>280</v>
      </c>
      <c r="M66" s="53" t="s">
        <v>353</v>
      </c>
      <c r="N66" s="79">
        <v>22.75</v>
      </c>
      <c r="O66" s="79"/>
      <c r="P66" s="80" t="str">
        <f>LEFT(VLOOKUP(Ruimtestaat[[#This Row],[Ruimte code]],Ruimtegroepen[#All],4,1),2)</f>
        <v xml:space="preserve">B </v>
      </c>
      <c r="Q66" s="79"/>
      <c r="R66" s="81">
        <v>40</v>
      </c>
      <c r="S66" s="81" t="s">
        <v>298</v>
      </c>
      <c r="T66" s="82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6" s="82">
        <f>IF(T66&gt;0,VLOOKUP($J66,Ruimtegroepen[],3,FALSE)*VLOOKUP($L66,Vloersoorten[],3,FALSE)*VLOOKUP($S66,Frequenties[],3,FALSE)*VLOOKUP($A66,Locaties[],3,FALSE),0)</f>
        <v>0</v>
      </c>
      <c r="V66" s="83">
        <f>Ruimtestaat[[#This Row],[Uitvoeringen werkdagen]]*Ruimtestaat[[#This Row],[Oppervlak (netto)]]</f>
        <v>4550</v>
      </c>
      <c r="W66" s="84">
        <f>IF(U66&gt;0,Ruimtestaat[[#This Row],[Prest. (m2 /jaar) werkdagen]]/Ruimtestaat[[#This Row],[Norm (m2/uur) werkdagen]],0)</f>
        <v>0</v>
      </c>
      <c r="X66" s="85">
        <f>Ruimtestaat[[#This Row],[uren / jaar werkdagen]]*Tariefsopbouw!$E$35</f>
        <v>0</v>
      </c>
      <c r="Y66" s="82"/>
      <c r="Z66" s="86">
        <f>IF(Ruimtestaat[[#This Row],[Frequentie weekend]]&gt;0,VALUE(LEFT(Y66,1))*R66,0)</f>
        <v>0</v>
      </c>
      <c r="AA66" s="82">
        <f>IF($Z66&gt;0,VLOOKUP($J66,Ruimtegroepen[],3,FALSE)*VLOOKUP($L66,Vloersoorten[],3,FALSE)*VLOOKUP($Y66,Frequenties[],3,FALSE)*VLOOKUP($A62,Locaties[],3,FALSE),0)</f>
        <v>0</v>
      </c>
      <c r="AB66" s="84">
        <f>Ruimtestaat[[#This Row],[Uitvoeringen weekend]]*Ruimtestaat[[#This Row],[Oppervlak (netto)]]</f>
        <v>0</v>
      </c>
      <c r="AC66" s="87">
        <f>IF(AB66&gt;0,Ruimtestaat[[#This Row],[Prest. (m2 /jaar) weekend]]/Ruimtestaat[[#This Row],[Norm (m2/uur) weekend]],0)</f>
        <v>0</v>
      </c>
      <c r="AD66" s="88">
        <f>Ruimtestaat[[#This Row],[uren / jaar weekend]]*Tariefsopbouw!$D$40</f>
        <v>0</v>
      </c>
      <c r="AE66" s="89">
        <f>Ruimtestaat[[#This Row],[Prest. (m2 /jaar) weekend]]+Ruimtestaat[[#This Row],[Prest. (m2 /jaar) werkdagen]]</f>
        <v>4550</v>
      </c>
      <c r="AF66" s="89">
        <f>Ruimtestaat[[#This Row],[uren / jaar weekend]]+Ruimtestaat[[#This Row],[uren / jaar werkdagen]]</f>
        <v>0</v>
      </c>
      <c r="AG66" s="90">
        <f>Ruimtestaat[[#This Row],[kosten / jaar weekend]]+Ruimtestaat[[#This Row],[kosten / jaar werkdagen]]</f>
        <v>0</v>
      </c>
      <c r="AH66" s="91"/>
      <c r="HL66" s="67"/>
    </row>
    <row r="67" spans="1:220" ht="15" customHeight="1">
      <c r="A67" s="53">
        <v>1</v>
      </c>
      <c r="B67" s="53" t="str">
        <f>VLOOKUP(Ruimtestaat[[#This Row],[Code]],Locaties[#All],2,FALSE)</f>
        <v>Ir. Lely Lyceum</v>
      </c>
      <c r="C67" s="53" t="str">
        <f>VLOOKUP(Ruimtestaat[[#This Row],[Code]],Locaties[#All],4,FALSE)</f>
        <v>Ravenswaaipad 3</v>
      </c>
      <c r="D67" s="53" t="str">
        <f>VLOOKUP(Ruimtestaat[[#This Row],[Code]],Locaties[#All],5,FALSE)</f>
        <v>1106 AW</v>
      </c>
      <c r="E67" s="53" t="str">
        <f>VLOOKUP(Ruimtestaat[[#This Row],[Code]],Locaties[#All],6,FALSE)</f>
        <v>Amsterdam</v>
      </c>
      <c r="F67" s="78" t="s">
        <v>347</v>
      </c>
      <c r="G67" s="53" t="s">
        <v>348</v>
      </c>
      <c r="H67" s="95" t="s">
        <v>439</v>
      </c>
      <c r="I67" s="23" t="s">
        <v>440</v>
      </c>
      <c r="J67" s="53">
        <v>6</v>
      </c>
      <c r="K67" s="78" t="str">
        <f>VLOOKUP(J67,Ruimtegroepen[],2,FALSE)</f>
        <v>Gangen/hallen</v>
      </c>
      <c r="L67" s="53" t="s">
        <v>285</v>
      </c>
      <c r="M67" s="53" t="s">
        <v>441</v>
      </c>
      <c r="N67" s="79">
        <v>10.5</v>
      </c>
      <c r="O67" s="79"/>
      <c r="P67" s="80" t="str">
        <f>LEFT(VLOOKUP(Ruimtestaat[[#This Row],[Ruimte code]],Ruimtegroepen[#All],4,1),2)</f>
        <v xml:space="preserve">V </v>
      </c>
      <c r="Q67" s="79"/>
      <c r="R67" s="81">
        <v>40</v>
      </c>
      <c r="S67" s="81" t="s">
        <v>298</v>
      </c>
      <c r="T67" s="82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7" s="82">
        <f>IF(T67&gt;0,VLOOKUP($J67,Ruimtegroepen[],3,FALSE)*VLOOKUP($L67,Vloersoorten[],3,FALSE)*VLOOKUP($S67,Frequenties[],3,FALSE)*VLOOKUP($A67,Locaties[],3,FALSE),0)</f>
        <v>0</v>
      </c>
      <c r="V67" s="83">
        <f>Ruimtestaat[[#This Row],[Uitvoeringen werkdagen]]*Ruimtestaat[[#This Row],[Oppervlak (netto)]]</f>
        <v>2100</v>
      </c>
      <c r="W67" s="84">
        <f>IF(U67&gt;0,Ruimtestaat[[#This Row],[Prest. (m2 /jaar) werkdagen]]/Ruimtestaat[[#This Row],[Norm (m2/uur) werkdagen]],0)</f>
        <v>0</v>
      </c>
      <c r="X67" s="85">
        <f>Ruimtestaat[[#This Row],[uren / jaar werkdagen]]*Tariefsopbouw!$E$35</f>
        <v>0</v>
      </c>
      <c r="Y67" s="82"/>
      <c r="Z67" s="86">
        <f>IF(Ruimtestaat[[#This Row],[Frequentie weekend]]&gt;0,VALUE(LEFT(Y67,1))*R67,0)</f>
        <v>0</v>
      </c>
      <c r="AA67" s="82">
        <f>IF($Z67&gt;0,VLOOKUP($J67,Ruimtegroepen[],3,FALSE)*VLOOKUP($L67,Vloersoorten[],3,FALSE)*VLOOKUP($Y67,Frequenties[],3,FALSE)*VLOOKUP($A63,Locaties[],3,FALSE),0)</f>
        <v>0</v>
      </c>
      <c r="AB67" s="84">
        <f>Ruimtestaat[[#This Row],[Uitvoeringen weekend]]*Ruimtestaat[[#This Row],[Oppervlak (netto)]]</f>
        <v>0</v>
      </c>
      <c r="AC67" s="87">
        <f>IF(AB67&gt;0,Ruimtestaat[[#This Row],[Prest. (m2 /jaar) weekend]]/Ruimtestaat[[#This Row],[Norm (m2/uur) weekend]],0)</f>
        <v>0</v>
      </c>
      <c r="AD67" s="88">
        <f>Ruimtestaat[[#This Row],[uren / jaar weekend]]*Tariefsopbouw!$D$40</f>
        <v>0</v>
      </c>
      <c r="AE67" s="89">
        <f>Ruimtestaat[[#This Row],[Prest. (m2 /jaar) weekend]]+Ruimtestaat[[#This Row],[Prest. (m2 /jaar) werkdagen]]</f>
        <v>2100</v>
      </c>
      <c r="AF67" s="89">
        <f>Ruimtestaat[[#This Row],[uren / jaar weekend]]+Ruimtestaat[[#This Row],[uren / jaar werkdagen]]</f>
        <v>0</v>
      </c>
      <c r="AG67" s="90">
        <f>Ruimtestaat[[#This Row],[kosten / jaar weekend]]+Ruimtestaat[[#This Row],[kosten / jaar werkdagen]]</f>
        <v>0</v>
      </c>
      <c r="AH67" s="91"/>
      <c r="HL67" s="67"/>
    </row>
    <row r="68" spans="1:220" ht="15" customHeight="1">
      <c r="A68" s="53">
        <v>1</v>
      </c>
      <c r="B68" s="53" t="str">
        <f>VLOOKUP(Ruimtestaat[[#This Row],[Code]],Locaties[#All],2,FALSE)</f>
        <v>Ir. Lely Lyceum</v>
      </c>
      <c r="C68" s="53" t="str">
        <f>VLOOKUP(Ruimtestaat[[#This Row],[Code]],Locaties[#All],4,FALSE)</f>
        <v>Ravenswaaipad 3</v>
      </c>
      <c r="D68" s="53" t="str">
        <f>VLOOKUP(Ruimtestaat[[#This Row],[Code]],Locaties[#All],5,FALSE)</f>
        <v>1106 AW</v>
      </c>
      <c r="E68" s="53" t="str">
        <f>VLOOKUP(Ruimtestaat[[#This Row],[Code]],Locaties[#All],6,FALSE)</f>
        <v>Amsterdam</v>
      </c>
      <c r="F68" s="78" t="s">
        <v>347</v>
      </c>
      <c r="G68" s="53" t="s">
        <v>348</v>
      </c>
      <c r="H68" s="95" t="s">
        <v>442</v>
      </c>
      <c r="I68" s="23" t="s">
        <v>443</v>
      </c>
      <c r="J68" s="53">
        <v>20</v>
      </c>
      <c r="K68" s="78" t="str">
        <f>VLOOKUP(J68,Ruimtegroepen[],2,FALSE)</f>
        <v>Niet in onderhoud</v>
      </c>
      <c r="L68" s="53" t="s">
        <v>285</v>
      </c>
      <c r="M68" s="53" t="s">
        <v>441</v>
      </c>
      <c r="N68" s="79"/>
      <c r="O68" s="79">
        <v>10.5</v>
      </c>
      <c r="P68" s="80" t="str">
        <f>LEFT(VLOOKUP(Ruimtestaat[[#This Row],[Ruimte code]],Ruimtegroepen[#All],4,1),2)</f>
        <v/>
      </c>
      <c r="Q68" s="79"/>
      <c r="R68" s="81"/>
      <c r="S68" s="81"/>
      <c r="T68" s="82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68" s="82">
        <f>IF(T68&gt;0,VLOOKUP($J68,Ruimtegroepen[],3,FALSE)*VLOOKUP($L68,Vloersoorten[],3,FALSE)*VLOOKUP($S68,Frequenties[],3,FALSE)*VLOOKUP($A68,Locaties[],3,FALSE),0)</f>
        <v>0</v>
      </c>
      <c r="V68" s="83">
        <f>Ruimtestaat[[#This Row],[Uitvoeringen werkdagen]]*Ruimtestaat[[#This Row],[Oppervlak (netto)]]</f>
        <v>0</v>
      </c>
      <c r="W68" s="84">
        <f>IF(U68&gt;0,Ruimtestaat[[#This Row],[Prest. (m2 /jaar) werkdagen]]/Ruimtestaat[[#This Row],[Norm (m2/uur) werkdagen]],0)</f>
        <v>0</v>
      </c>
      <c r="X68" s="85">
        <f>Ruimtestaat[[#This Row],[uren / jaar werkdagen]]*Tariefsopbouw!$E$35</f>
        <v>0</v>
      </c>
      <c r="Y68" s="82"/>
      <c r="Z68" s="86">
        <f>IF(Ruimtestaat[[#This Row],[Frequentie weekend]]&gt;0,VALUE(LEFT(Y68,1))*R68,0)</f>
        <v>0</v>
      </c>
      <c r="AA68" s="82">
        <f>IF($Z68&gt;0,VLOOKUP($J68,Ruimtegroepen[],3,FALSE)*VLOOKUP($L68,Vloersoorten[],3,FALSE)*VLOOKUP($Y68,Frequenties[],3,FALSE)*VLOOKUP($A64,Locaties[],3,FALSE),0)</f>
        <v>0</v>
      </c>
      <c r="AB68" s="84">
        <f>Ruimtestaat[[#This Row],[Uitvoeringen weekend]]*Ruimtestaat[[#This Row],[Oppervlak (netto)]]</f>
        <v>0</v>
      </c>
      <c r="AC68" s="87">
        <f>IF(AB68&gt;0,Ruimtestaat[[#This Row],[Prest. (m2 /jaar) weekend]]/Ruimtestaat[[#This Row],[Norm (m2/uur) weekend]],0)</f>
        <v>0</v>
      </c>
      <c r="AD68" s="88">
        <f>Ruimtestaat[[#This Row],[uren / jaar weekend]]*Tariefsopbouw!$D$40</f>
        <v>0</v>
      </c>
      <c r="AE68" s="89">
        <f>Ruimtestaat[[#This Row],[Prest. (m2 /jaar) weekend]]+Ruimtestaat[[#This Row],[Prest. (m2 /jaar) werkdagen]]</f>
        <v>0</v>
      </c>
      <c r="AF68" s="89">
        <f>Ruimtestaat[[#This Row],[uren / jaar weekend]]+Ruimtestaat[[#This Row],[uren / jaar werkdagen]]</f>
        <v>0</v>
      </c>
      <c r="AG68" s="90">
        <f>Ruimtestaat[[#This Row],[kosten / jaar weekend]]+Ruimtestaat[[#This Row],[kosten / jaar werkdagen]]</f>
        <v>0</v>
      </c>
      <c r="AH68" s="91"/>
      <c r="HL68" s="67"/>
    </row>
    <row r="69" spans="1:220" ht="15" customHeight="1">
      <c r="A69" s="53">
        <v>1</v>
      </c>
      <c r="B69" s="53" t="str">
        <f>VLOOKUP(Ruimtestaat[[#This Row],[Code]],Locaties[#All],2,FALSE)</f>
        <v>Ir. Lely Lyceum</v>
      </c>
      <c r="C69" s="53" t="str">
        <f>VLOOKUP(Ruimtestaat[[#This Row],[Code]],Locaties[#All],4,FALSE)</f>
        <v>Ravenswaaipad 3</v>
      </c>
      <c r="D69" s="53" t="str">
        <f>VLOOKUP(Ruimtestaat[[#This Row],[Code]],Locaties[#All],5,FALSE)</f>
        <v>1106 AW</v>
      </c>
      <c r="E69" s="53" t="str">
        <f>VLOOKUP(Ruimtestaat[[#This Row],[Code]],Locaties[#All],6,FALSE)</f>
        <v>Amsterdam</v>
      </c>
      <c r="F69" s="78" t="s">
        <v>347</v>
      </c>
      <c r="G69" s="53" t="s">
        <v>348</v>
      </c>
      <c r="H69" s="95" t="s">
        <v>444</v>
      </c>
      <c r="I69" s="23" t="s">
        <v>369</v>
      </c>
      <c r="J69" s="53">
        <v>5</v>
      </c>
      <c r="K69" s="78" t="str">
        <f>VLOOKUP(J69,Ruimtegroepen[],2,FALSE)</f>
        <v>Sanitair</v>
      </c>
      <c r="L69" s="53" t="s">
        <v>285</v>
      </c>
      <c r="M69" s="53" t="s">
        <v>370</v>
      </c>
      <c r="N69" s="79">
        <v>9.4499999999999993</v>
      </c>
      <c r="O69" s="79"/>
      <c r="P69" s="80" t="str">
        <f>LEFT(VLOOKUP(Ruimtestaat[[#This Row],[Ruimte code]],Ruimtegroepen[#All],4,1),2)</f>
        <v xml:space="preserve">S </v>
      </c>
      <c r="Q69" s="79"/>
      <c r="R69" s="81">
        <v>40</v>
      </c>
      <c r="S69" s="81" t="s">
        <v>298</v>
      </c>
      <c r="T69" s="82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69" s="82">
        <f>IF(T69&gt;0,VLOOKUP($J69,Ruimtegroepen[],3,FALSE)*VLOOKUP($L69,Vloersoorten[],3,FALSE)*VLOOKUP($S69,Frequenties[],3,FALSE)*VLOOKUP($A69,Locaties[],3,FALSE),0)</f>
        <v>0</v>
      </c>
      <c r="V69" s="83">
        <f>Ruimtestaat[[#This Row],[Uitvoeringen werkdagen]]*Ruimtestaat[[#This Row],[Oppervlak (netto)]]</f>
        <v>1889.9999999999998</v>
      </c>
      <c r="W69" s="84">
        <f>IF(U69&gt;0,Ruimtestaat[[#This Row],[Prest. (m2 /jaar) werkdagen]]/Ruimtestaat[[#This Row],[Norm (m2/uur) werkdagen]],0)</f>
        <v>0</v>
      </c>
      <c r="X69" s="85">
        <f>Ruimtestaat[[#This Row],[uren / jaar werkdagen]]*Tariefsopbouw!$E$35</f>
        <v>0</v>
      </c>
      <c r="Y69" s="82"/>
      <c r="Z69" s="86">
        <f>IF(Ruimtestaat[[#This Row],[Frequentie weekend]]&gt;0,VALUE(LEFT(Y69,1))*R69,0)</f>
        <v>0</v>
      </c>
      <c r="AA69" s="82">
        <f>IF($Z69&gt;0,VLOOKUP($J69,Ruimtegroepen[],3,FALSE)*VLOOKUP($L69,Vloersoorten[],3,FALSE)*VLOOKUP($Y69,Frequenties[],3,FALSE)*VLOOKUP($A65,Locaties[],3,FALSE),0)</f>
        <v>0</v>
      </c>
      <c r="AB69" s="84">
        <f>Ruimtestaat[[#This Row],[Uitvoeringen weekend]]*Ruimtestaat[[#This Row],[Oppervlak (netto)]]</f>
        <v>0</v>
      </c>
      <c r="AC69" s="87">
        <f>IF(AB69&gt;0,Ruimtestaat[[#This Row],[Prest. (m2 /jaar) weekend]]/Ruimtestaat[[#This Row],[Norm (m2/uur) weekend]],0)</f>
        <v>0</v>
      </c>
      <c r="AD69" s="88">
        <f>Ruimtestaat[[#This Row],[uren / jaar weekend]]*Tariefsopbouw!$D$40</f>
        <v>0</v>
      </c>
      <c r="AE69" s="89">
        <f>Ruimtestaat[[#This Row],[Prest. (m2 /jaar) weekend]]+Ruimtestaat[[#This Row],[Prest. (m2 /jaar) werkdagen]]</f>
        <v>1889.9999999999998</v>
      </c>
      <c r="AF69" s="89">
        <f>Ruimtestaat[[#This Row],[uren / jaar weekend]]+Ruimtestaat[[#This Row],[uren / jaar werkdagen]]</f>
        <v>0</v>
      </c>
      <c r="AG69" s="90">
        <f>Ruimtestaat[[#This Row],[kosten / jaar weekend]]+Ruimtestaat[[#This Row],[kosten / jaar werkdagen]]</f>
        <v>0</v>
      </c>
      <c r="AH69" s="91"/>
      <c r="HL69" s="67"/>
    </row>
    <row r="70" spans="1:220" ht="15" customHeight="1">
      <c r="A70" s="53">
        <v>1</v>
      </c>
      <c r="B70" s="53" t="str">
        <f>VLOOKUP(Ruimtestaat[[#This Row],[Code]],Locaties[#All],2,FALSE)</f>
        <v>Ir. Lely Lyceum</v>
      </c>
      <c r="C70" s="53" t="str">
        <f>VLOOKUP(Ruimtestaat[[#This Row],[Code]],Locaties[#All],4,FALSE)</f>
        <v>Ravenswaaipad 3</v>
      </c>
      <c r="D70" s="53" t="str">
        <f>VLOOKUP(Ruimtestaat[[#This Row],[Code]],Locaties[#All],5,FALSE)</f>
        <v>1106 AW</v>
      </c>
      <c r="E70" s="53" t="str">
        <f>VLOOKUP(Ruimtestaat[[#This Row],[Code]],Locaties[#All],6,FALSE)</f>
        <v>Amsterdam</v>
      </c>
      <c r="F70" s="78" t="s">
        <v>347</v>
      </c>
      <c r="G70" s="53" t="s">
        <v>348</v>
      </c>
      <c r="H70" s="95" t="s">
        <v>445</v>
      </c>
      <c r="I70" s="23" t="s">
        <v>372</v>
      </c>
      <c r="J70" s="53">
        <v>5</v>
      </c>
      <c r="K70" s="78" t="str">
        <f>VLOOKUP(J70,Ruimtegroepen[],2,FALSE)</f>
        <v>Sanitair</v>
      </c>
      <c r="L70" s="53" t="s">
        <v>285</v>
      </c>
      <c r="M70" s="53" t="s">
        <v>370</v>
      </c>
      <c r="N70" s="79">
        <v>9.4499999999999993</v>
      </c>
      <c r="O70" s="79"/>
      <c r="P70" s="80" t="str">
        <f>LEFT(VLOOKUP(Ruimtestaat[[#This Row],[Ruimte code]],Ruimtegroepen[#All],4,1),2)</f>
        <v xml:space="preserve">S </v>
      </c>
      <c r="Q70" s="79"/>
      <c r="R70" s="81">
        <v>40</v>
      </c>
      <c r="S70" s="81" t="s">
        <v>298</v>
      </c>
      <c r="T70" s="82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0" s="82">
        <f>IF(T70&gt;0,VLOOKUP($J70,Ruimtegroepen[],3,FALSE)*VLOOKUP($L70,Vloersoorten[],3,FALSE)*VLOOKUP($S70,Frequenties[],3,FALSE)*VLOOKUP($A70,Locaties[],3,FALSE),0)</f>
        <v>0</v>
      </c>
      <c r="V70" s="83">
        <f>Ruimtestaat[[#This Row],[Uitvoeringen werkdagen]]*Ruimtestaat[[#This Row],[Oppervlak (netto)]]</f>
        <v>1889.9999999999998</v>
      </c>
      <c r="W70" s="84">
        <f>IF(U70&gt;0,Ruimtestaat[[#This Row],[Prest. (m2 /jaar) werkdagen]]/Ruimtestaat[[#This Row],[Norm (m2/uur) werkdagen]],0)</f>
        <v>0</v>
      </c>
      <c r="X70" s="85">
        <f>Ruimtestaat[[#This Row],[uren / jaar werkdagen]]*Tariefsopbouw!$E$35</f>
        <v>0</v>
      </c>
      <c r="Y70" s="82"/>
      <c r="Z70" s="86">
        <f>IF(Ruimtestaat[[#This Row],[Frequentie weekend]]&gt;0,VALUE(LEFT(Y70,1))*R70,0)</f>
        <v>0</v>
      </c>
      <c r="AA70" s="82">
        <f>IF($Z70&gt;0,VLOOKUP($J70,Ruimtegroepen[],3,FALSE)*VLOOKUP($L70,Vloersoorten[],3,FALSE)*VLOOKUP($Y70,Frequenties[],3,FALSE)*VLOOKUP($A66,Locaties[],3,FALSE),0)</f>
        <v>0</v>
      </c>
      <c r="AB70" s="84">
        <f>Ruimtestaat[[#This Row],[Uitvoeringen weekend]]*Ruimtestaat[[#This Row],[Oppervlak (netto)]]</f>
        <v>0</v>
      </c>
      <c r="AC70" s="87">
        <f>IF(AB70&gt;0,Ruimtestaat[[#This Row],[Prest. (m2 /jaar) weekend]]/Ruimtestaat[[#This Row],[Norm (m2/uur) weekend]],0)</f>
        <v>0</v>
      </c>
      <c r="AD70" s="88">
        <f>Ruimtestaat[[#This Row],[uren / jaar weekend]]*Tariefsopbouw!$D$40</f>
        <v>0</v>
      </c>
      <c r="AE70" s="89">
        <f>Ruimtestaat[[#This Row],[Prest. (m2 /jaar) weekend]]+Ruimtestaat[[#This Row],[Prest. (m2 /jaar) werkdagen]]</f>
        <v>1889.9999999999998</v>
      </c>
      <c r="AF70" s="89">
        <f>Ruimtestaat[[#This Row],[uren / jaar weekend]]+Ruimtestaat[[#This Row],[uren / jaar werkdagen]]</f>
        <v>0</v>
      </c>
      <c r="AG70" s="90">
        <f>Ruimtestaat[[#This Row],[kosten / jaar weekend]]+Ruimtestaat[[#This Row],[kosten / jaar werkdagen]]</f>
        <v>0</v>
      </c>
      <c r="AH70" s="91"/>
      <c r="HL70" s="67"/>
    </row>
    <row r="71" spans="1:220" ht="15" customHeight="1">
      <c r="A71" s="53">
        <v>1</v>
      </c>
      <c r="B71" s="53" t="str">
        <f>VLOOKUP(Ruimtestaat[[#This Row],[Code]],Locaties[#All],2,FALSE)</f>
        <v>Ir. Lely Lyceum</v>
      </c>
      <c r="C71" s="53" t="str">
        <f>VLOOKUP(Ruimtestaat[[#This Row],[Code]],Locaties[#All],4,FALSE)</f>
        <v>Ravenswaaipad 3</v>
      </c>
      <c r="D71" s="53" t="str">
        <f>VLOOKUP(Ruimtestaat[[#This Row],[Code]],Locaties[#All],5,FALSE)</f>
        <v>1106 AW</v>
      </c>
      <c r="E71" s="53" t="str">
        <f>VLOOKUP(Ruimtestaat[[#This Row],[Code]],Locaties[#All],6,FALSE)</f>
        <v>Amsterdam</v>
      </c>
      <c r="F71" s="78" t="s">
        <v>347</v>
      </c>
      <c r="G71" s="53" t="s">
        <v>348</v>
      </c>
      <c r="H71" s="95" t="s">
        <v>446</v>
      </c>
      <c r="I71" s="23" t="s">
        <v>447</v>
      </c>
      <c r="J71" s="53">
        <v>8</v>
      </c>
      <c r="K71" s="78" t="str">
        <f>VLOOKUP(J71,Ruimtegroepen[],2,FALSE)</f>
        <v>Mediatheek / OLC</v>
      </c>
      <c r="L71" s="53" t="s">
        <v>280</v>
      </c>
      <c r="M71" s="53" t="s">
        <v>353</v>
      </c>
      <c r="N71" s="79">
        <v>98.7</v>
      </c>
      <c r="O71" s="79"/>
      <c r="P71" s="80" t="str">
        <f>LEFT(VLOOKUP(Ruimtestaat[[#This Row],[Ruimte code]],Ruimtegroepen[#All],4,1),2)</f>
        <v xml:space="preserve">L </v>
      </c>
      <c r="Q71" s="79"/>
      <c r="R71" s="81">
        <v>40</v>
      </c>
      <c r="S71" s="81" t="s">
        <v>298</v>
      </c>
      <c r="T71" s="82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1" s="82">
        <f>IF(T71&gt;0,VLOOKUP($J71,Ruimtegroepen[],3,FALSE)*VLOOKUP($L71,Vloersoorten[],3,FALSE)*VLOOKUP($S71,Frequenties[],3,FALSE)*VLOOKUP($A71,Locaties[],3,FALSE),0)</f>
        <v>0</v>
      </c>
      <c r="V71" s="83">
        <f>Ruimtestaat[[#This Row],[Uitvoeringen werkdagen]]*Ruimtestaat[[#This Row],[Oppervlak (netto)]]</f>
        <v>19740</v>
      </c>
      <c r="W71" s="84">
        <f>IF(U71&gt;0,Ruimtestaat[[#This Row],[Prest. (m2 /jaar) werkdagen]]/Ruimtestaat[[#This Row],[Norm (m2/uur) werkdagen]],0)</f>
        <v>0</v>
      </c>
      <c r="X71" s="85">
        <f>Ruimtestaat[[#This Row],[uren / jaar werkdagen]]*Tariefsopbouw!$E$35</f>
        <v>0</v>
      </c>
      <c r="Y71" s="82"/>
      <c r="Z71" s="86">
        <f>IF(Ruimtestaat[[#This Row],[Frequentie weekend]]&gt;0,VALUE(LEFT(Y71,1))*R71,0)</f>
        <v>0</v>
      </c>
      <c r="AA71" s="82">
        <f>IF($Z71&gt;0,VLOOKUP($J71,Ruimtegroepen[],3,FALSE)*VLOOKUP($L71,Vloersoorten[],3,FALSE)*VLOOKUP($Y71,Frequenties[],3,FALSE)*VLOOKUP($A67,Locaties[],3,FALSE),0)</f>
        <v>0</v>
      </c>
      <c r="AB71" s="84">
        <f>Ruimtestaat[[#This Row],[Uitvoeringen weekend]]*Ruimtestaat[[#This Row],[Oppervlak (netto)]]</f>
        <v>0</v>
      </c>
      <c r="AC71" s="87">
        <f>IF(AB71&gt;0,Ruimtestaat[[#This Row],[Prest. (m2 /jaar) weekend]]/Ruimtestaat[[#This Row],[Norm (m2/uur) weekend]],0)</f>
        <v>0</v>
      </c>
      <c r="AD71" s="88">
        <f>Ruimtestaat[[#This Row],[uren / jaar weekend]]*Tariefsopbouw!$D$40</f>
        <v>0</v>
      </c>
      <c r="AE71" s="89">
        <f>Ruimtestaat[[#This Row],[Prest. (m2 /jaar) weekend]]+Ruimtestaat[[#This Row],[Prest. (m2 /jaar) werkdagen]]</f>
        <v>19740</v>
      </c>
      <c r="AF71" s="89">
        <f>Ruimtestaat[[#This Row],[uren / jaar weekend]]+Ruimtestaat[[#This Row],[uren / jaar werkdagen]]</f>
        <v>0</v>
      </c>
      <c r="AG71" s="90">
        <f>Ruimtestaat[[#This Row],[kosten / jaar weekend]]+Ruimtestaat[[#This Row],[kosten / jaar werkdagen]]</f>
        <v>0</v>
      </c>
      <c r="AH71" s="91"/>
      <c r="HL71" s="67"/>
    </row>
    <row r="72" spans="1:220" ht="15" customHeight="1">
      <c r="A72" s="53">
        <v>1</v>
      </c>
      <c r="B72" s="53" t="str">
        <f>VLOOKUP(Ruimtestaat[[#This Row],[Code]],Locaties[#All],2,FALSE)</f>
        <v>Ir. Lely Lyceum</v>
      </c>
      <c r="C72" s="53" t="str">
        <f>VLOOKUP(Ruimtestaat[[#This Row],[Code]],Locaties[#All],4,FALSE)</f>
        <v>Ravenswaaipad 3</v>
      </c>
      <c r="D72" s="53" t="str">
        <f>VLOOKUP(Ruimtestaat[[#This Row],[Code]],Locaties[#All],5,FALSE)</f>
        <v>1106 AW</v>
      </c>
      <c r="E72" s="53" t="str">
        <f>VLOOKUP(Ruimtestaat[[#This Row],[Code]],Locaties[#All],6,FALSE)</f>
        <v>Amsterdam</v>
      </c>
      <c r="F72" s="78" t="s">
        <v>347</v>
      </c>
      <c r="G72" s="53" t="s">
        <v>348</v>
      </c>
      <c r="H72" s="95" t="s">
        <v>448</v>
      </c>
      <c r="I72" s="23" t="s">
        <v>352</v>
      </c>
      <c r="J72" s="53">
        <v>6</v>
      </c>
      <c r="K72" s="78" t="str">
        <f>VLOOKUP(J72,Ruimtegroepen[],2,FALSE)</f>
        <v>Gangen/hallen</v>
      </c>
      <c r="L72" s="53" t="s">
        <v>280</v>
      </c>
      <c r="M72" s="53" t="s">
        <v>353</v>
      </c>
      <c r="N72" s="79">
        <v>76.650000000000006</v>
      </c>
      <c r="O72" s="79"/>
      <c r="P72" s="80" t="str">
        <f>LEFT(VLOOKUP(Ruimtestaat[[#This Row],[Ruimte code]],Ruimtegroepen[#All],4,1),2)</f>
        <v xml:space="preserve">V </v>
      </c>
      <c r="Q72" s="79"/>
      <c r="R72" s="81">
        <v>40</v>
      </c>
      <c r="S72" s="81" t="s">
        <v>298</v>
      </c>
      <c r="T72" s="82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2" s="82">
        <f>IF(T72&gt;0,VLOOKUP($J72,Ruimtegroepen[],3,FALSE)*VLOOKUP($L72,Vloersoorten[],3,FALSE)*VLOOKUP($S72,Frequenties[],3,FALSE)*VLOOKUP($A72,Locaties[],3,FALSE),0)</f>
        <v>0</v>
      </c>
      <c r="V72" s="83">
        <f>Ruimtestaat[[#This Row],[Uitvoeringen werkdagen]]*Ruimtestaat[[#This Row],[Oppervlak (netto)]]</f>
        <v>15330.000000000002</v>
      </c>
      <c r="W72" s="84">
        <f>IF(U72&gt;0,Ruimtestaat[[#This Row],[Prest. (m2 /jaar) werkdagen]]/Ruimtestaat[[#This Row],[Norm (m2/uur) werkdagen]],0)</f>
        <v>0</v>
      </c>
      <c r="X72" s="85">
        <f>Ruimtestaat[[#This Row],[uren / jaar werkdagen]]*Tariefsopbouw!$E$35</f>
        <v>0</v>
      </c>
      <c r="Y72" s="82"/>
      <c r="Z72" s="86">
        <f>IF(Ruimtestaat[[#This Row],[Frequentie weekend]]&gt;0,VALUE(LEFT(Y72,1))*R72,0)</f>
        <v>0</v>
      </c>
      <c r="AA72" s="82">
        <f>IF($Z72&gt;0,VLOOKUP($J72,Ruimtegroepen[],3,FALSE)*VLOOKUP($L72,Vloersoorten[],3,FALSE)*VLOOKUP($Y72,Frequenties[],3,FALSE)*VLOOKUP($A68,Locaties[],3,FALSE),0)</f>
        <v>0</v>
      </c>
      <c r="AB72" s="84">
        <f>Ruimtestaat[[#This Row],[Uitvoeringen weekend]]*Ruimtestaat[[#This Row],[Oppervlak (netto)]]</f>
        <v>0</v>
      </c>
      <c r="AC72" s="87">
        <f>IF(AB72&gt;0,Ruimtestaat[[#This Row],[Prest. (m2 /jaar) weekend]]/Ruimtestaat[[#This Row],[Norm (m2/uur) weekend]],0)</f>
        <v>0</v>
      </c>
      <c r="AD72" s="88">
        <f>Ruimtestaat[[#This Row],[uren / jaar weekend]]*Tariefsopbouw!$D$40</f>
        <v>0</v>
      </c>
      <c r="AE72" s="89">
        <f>Ruimtestaat[[#This Row],[Prest. (m2 /jaar) weekend]]+Ruimtestaat[[#This Row],[Prest. (m2 /jaar) werkdagen]]</f>
        <v>15330.000000000002</v>
      </c>
      <c r="AF72" s="89">
        <f>Ruimtestaat[[#This Row],[uren / jaar weekend]]+Ruimtestaat[[#This Row],[uren / jaar werkdagen]]</f>
        <v>0</v>
      </c>
      <c r="AG72" s="90">
        <f>Ruimtestaat[[#This Row],[kosten / jaar weekend]]+Ruimtestaat[[#This Row],[kosten / jaar werkdagen]]</f>
        <v>0</v>
      </c>
      <c r="AH72" s="91"/>
      <c r="HL72" s="67"/>
    </row>
    <row r="73" spans="1:220" ht="15" customHeight="1">
      <c r="A73" s="53">
        <v>1</v>
      </c>
      <c r="B73" s="53" t="str">
        <f>VLOOKUP(Ruimtestaat[[#This Row],[Code]],Locaties[#All],2,FALSE)</f>
        <v>Ir. Lely Lyceum</v>
      </c>
      <c r="C73" s="53" t="str">
        <f>VLOOKUP(Ruimtestaat[[#This Row],[Code]],Locaties[#All],4,FALSE)</f>
        <v>Ravenswaaipad 3</v>
      </c>
      <c r="D73" s="53" t="str">
        <f>VLOOKUP(Ruimtestaat[[#This Row],[Code]],Locaties[#All],5,FALSE)</f>
        <v>1106 AW</v>
      </c>
      <c r="E73" s="53" t="str">
        <f>VLOOKUP(Ruimtestaat[[#This Row],[Code]],Locaties[#All],6,FALSE)</f>
        <v>Amsterdam</v>
      </c>
      <c r="F73" s="78" t="s">
        <v>347</v>
      </c>
      <c r="G73" s="53" t="s">
        <v>348</v>
      </c>
      <c r="H73" s="95" t="s">
        <v>449</v>
      </c>
      <c r="I73" s="23" t="s">
        <v>352</v>
      </c>
      <c r="J73" s="53">
        <v>6</v>
      </c>
      <c r="K73" s="78" t="str">
        <f>VLOOKUP(J73,Ruimtegroepen[],2,FALSE)</f>
        <v>Gangen/hallen</v>
      </c>
      <c r="L73" s="53" t="s">
        <v>280</v>
      </c>
      <c r="M73" s="53" t="s">
        <v>353</v>
      </c>
      <c r="N73" s="79">
        <v>131.35</v>
      </c>
      <c r="O73" s="79"/>
      <c r="P73" s="80" t="str">
        <f>LEFT(VLOOKUP(Ruimtestaat[[#This Row],[Ruimte code]],Ruimtegroepen[#All],4,1),2)</f>
        <v xml:space="preserve">V </v>
      </c>
      <c r="Q73" s="79"/>
      <c r="R73" s="81">
        <v>40</v>
      </c>
      <c r="S73" s="81" t="s">
        <v>298</v>
      </c>
      <c r="T73" s="82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3" s="82">
        <f>IF(T73&gt;0,VLOOKUP($J73,Ruimtegroepen[],3,FALSE)*VLOOKUP($L73,Vloersoorten[],3,FALSE)*VLOOKUP($S73,Frequenties[],3,FALSE)*VLOOKUP($A73,Locaties[],3,FALSE),0)</f>
        <v>0</v>
      </c>
      <c r="V73" s="83">
        <f>Ruimtestaat[[#This Row],[Uitvoeringen werkdagen]]*Ruimtestaat[[#This Row],[Oppervlak (netto)]]</f>
        <v>26270</v>
      </c>
      <c r="W73" s="84">
        <f>IF(U73&gt;0,Ruimtestaat[[#This Row],[Prest. (m2 /jaar) werkdagen]]/Ruimtestaat[[#This Row],[Norm (m2/uur) werkdagen]],0)</f>
        <v>0</v>
      </c>
      <c r="X73" s="85">
        <f>Ruimtestaat[[#This Row],[uren / jaar werkdagen]]*Tariefsopbouw!$E$35</f>
        <v>0</v>
      </c>
      <c r="Y73" s="82"/>
      <c r="Z73" s="86">
        <f>IF(Ruimtestaat[[#This Row],[Frequentie weekend]]&gt;0,VALUE(LEFT(Y73,1))*R73,0)</f>
        <v>0</v>
      </c>
      <c r="AA73" s="82">
        <f>IF($Z73&gt;0,VLOOKUP($J73,Ruimtegroepen[],3,FALSE)*VLOOKUP($L73,Vloersoorten[],3,FALSE)*VLOOKUP($Y73,Frequenties[],3,FALSE)*VLOOKUP($A69,Locaties[],3,FALSE),0)</f>
        <v>0</v>
      </c>
      <c r="AB73" s="84">
        <f>Ruimtestaat[[#This Row],[Uitvoeringen weekend]]*Ruimtestaat[[#This Row],[Oppervlak (netto)]]</f>
        <v>0</v>
      </c>
      <c r="AC73" s="87">
        <f>IF(AB73&gt;0,Ruimtestaat[[#This Row],[Prest. (m2 /jaar) weekend]]/Ruimtestaat[[#This Row],[Norm (m2/uur) weekend]],0)</f>
        <v>0</v>
      </c>
      <c r="AD73" s="88">
        <f>Ruimtestaat[[#This Row],[uren / jaar weekend]]*Tariefsopbouw!$D$40</f>
        <v>0</v>
      </c>
      <c r="AE73" s="89">
        <f>Ruimtestaat[[#This Row],[Prest. (m2 /jaar) weekend]]+Ruimtestaat[[#This Row],[Prest. (m2 /jaar) werkdagen]]</f>
        <v>26270</v>
      </c>
      <c r="AF73" s="89">
        <f>Ruimtestaat[[#This Row],[uren / jaar weekend]]+Ruimtestaat[[#This Row],[uren / jaar werkdagen]]</f>
        <v>0</v>
      </c>
      <c r="AG73" s="90">
        <f>Ruimtestaat[[#This Row],[kosten / jaar weekend]]+Ruimtestaat[[#This Row],[kosten / jaar werkdagen]]</f>
        <v>0</v>
      </c>
      <c r="AH73" s="91"/>
      <c r="HL73" s="67"/>
    </row>
    <row r="74" spans="1:220" ht="15" customHeight="1">
      <c r="A74" s="53">
        <v>1</v>
      </c>
      <c r="B74" s="53" t="str">
        <f>VLOOKUP(Ruimtestaat[[#This Row],[Code]],Locaties[#All],2,FALSE)</f>
        <v>Ir. Lely Lyceum</v>
      </c>
      <c r="C74" s="53" t="str">
        <f>VLOOKUP(Ruimtestaat[[#This Row],[Code]],Locaties[#All],4,FALSE)</f>
        <v>Ravenswaaipad 3</v>
      </c>
      <c r="D74" s="53" t="str">
        <f>VLOOKUP(Ruimtestaat[[#This Row],[Code]],Locaties[#All],5,FALSE)</f>
        <v>1106 AW</v>
      </c>
      <c r="E74" s="53" t="str">
        <f>VLOOKUP(Ruimtestaat[[#This Row],[Code]],Locaties[#All],6,FALSE)</f>
        <v>Amsterdam</v>
      </c>
      <c r="F74" s="78" t="s">
        <v>347</v>
      </c>
      <c r="G74" s="53" t="s">
        <v>450</v>
      </c>
      <c r="H74" s="95" t="s">
        <v>451</v>
      </c>
      <c r="I74" s="23" t="s">
        <v>378</v>
      </c>
      <c r="J74" s="53">
        <v>10</v>
      </c>
      <c r="K74" s="78" t="str">
        <f>VLOOKUP(J74,Ruimtegroepen[],2,FALSE)</f>
        <v>Trappenhuizen/lift</v>
      </c>
      <c r="L74" s="53" t="s">
        <v>280</v>
      </c>
      <c r="M74" s="53" t="s">
        <v>353</v>
      </c>
      <c r="N74" s="79">
        <v>24.5</v>
      </c>
      <c r="O74" s="79"/>
      <c r="P74" s="80" t="str">
        <f>LEFT(VLOOKUP(Ruimtestaat[[#This Row],[Ruimte code]],Ruimtegroepen[#All],4,1),2)</f>
        <v xml:space="preserve">V </v>
      </c>
      <c r="Q74" s="79"/>
      <c r="R74" s="81">
        <v>40</v>
      </c>
      <c r="S74" s="81" t="s">
        <v>298</v>
      </c>
      <c r="T74" s="82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4" s="82">
        <f>IF(T74&gt;0,VLOOKUP($J74,Ruimtegroepen[],3,FALSE)*VLOOKUP($L74,Vloersoorten[],3,FALSE)*VLOOKUP($S74,Frequenties[],3,FALSE)*VLOOKUP($A74,Locaties[],3,FALSE),0)</f>
        <v>0</v>
      </c>
      <c r="V74" s="83">
        <f>Ruimtestaat[[#This Row],[Uitvoeringen werkdagen]]*Ruimtestaat[[#This Row],[Oppervlak (netto)]]</f>
        <v>4900</v>
      </c>
      <c r="W74" s="84">
        <f>IF(U74&gt;0,Ruimtestaat[[#This Row],[Prest. (m2 /jaar) werkdagen]]/Ruimtestaat[[#This Row],[Norm (m2/uur) werkdagen]],0)</f>
        <v>0</v>
      </c>
      <c r="X74" s="85">
        <f>Ruimtestaat[[#This Row],[uren / jaar werkdagen]]*Tariefsopbouw!$E$35</f>
        <v>0</v>
      </c>
      <c r="Y74" s="82"/>
      <c r="Z74" s="86">
        <f>IF(Ruimtestaat[[#This Row],[Frequentie weekend]]&gt;0,VALUE(LEFT(Y74,1))*R74,0)</f>
        <v>0</v>
      </c>
      <c r="AA74" s="82">
        <f>IF($Z74&gt;0,VLOOKUP($J74,Ruimtegroepen[],3,FALSE)*VLOOKUP($L74,Vloersoorten[],3,FALSE)*VLOOKUP($Y74,Frequenties[],3,FALSE)*VLOOKUP($A70,Locaties[],3,FALSE),0)</f>
        <v>0</v>
      </c>
      <c r="AB74" s="84">
        <f>Ruimtestaat[[#This Row],[Uitvoeringen weekend]]*Ruimtestaat[[#This Row],[Oppervlak (netto)]]</f>
        <v>0</v>
      </c>
      <c r="AC74" s="87">
        <f>IF(AB74&gt;0,Ruimtestaat[[#This Row],[Prest. (m2 /jaar) weekend]]/Ruimtestaat[[#This Row],[Norm (m2/uur) weekend]],0)</f>
        <v>0</v>
      </c>
      <c r="AD74" s="88">
        <f>Ruimtestaat[[#This Row],[uren / jaar weekend]]*Tariefsopbouw!$D$40</f>
        <v>0</v>
      </c>
      <c r="AE74" s="89">
        <f>Ruimtestaat[[#This Row],[Prest. (m2 /jaar) weekend]]+Ruimtestaat[[#This Row],[Prest. (m2 /jaar) werkdagen]]</f>
        <v>4900</v>
      </c>
      <c r="AF74" s="89">
        <f>Ruimtestaat[[#This Row],[uren / jaar weekend]]+Ruimtestaat[[#This Row],[uren / jaar werkdagen]]</f>
        <v>0</v>
      </c>
      <c r="AG74" s="90">
        <f>Ruimtestaat[[#This Row],[kosten / jaar weekend]]+Ruimtestaat[[#This Row],[kosten / jaar werkdagen]]</f>
        <v>0</v>
      </c>
      <c r="AH74" s="91"/>
      <c r="HL74" s="67"/>
    </row>
    <row r="75" spans="1:220" ht="15" customHeight="1">
      <c r="A75" s="53">
        <v>1</v>
      </c>
      <c r="B75" s="53" t="str">
        <f>VLOOKUP(Ruimtestaat[[#This Row],[Code]],Locaties[#All],2,FALSE)</f>
        <v>Ir. Lely Lyceum</v>
      </c>
      <c r="C75" s="53" t="str">
        <f>VLOOKUP(Ruimtestaat[[#This Row],[Code]],Locaties[#All],4,FALSE)</f>
        <v>Ravenswaaipad 3</v>
      </c>
      <c r="D75" s="53" t="str">
        <f>VLOOKUP(Ruimtestaat[[#This Row],[Code]],Locaties[#All],5,FALSE)</f>
        <v>1106 AW</v>
      </c>
      <c r="E75" s="53" t="str">
        <f>VLOOKUP(Ruimtestaat[[#This Row],[Code]],Locaties[#All],6,FALSE)</f>
        <v>Amsterdam</v>
      </c>
      <c r="F75" s="78" t="s">
        <v>347</v>
      </c>
      <c r="G75" s="53" t="s">
        <v>450</v>
      </c>
      <c r="H75" s="95" t="s">
        <v>452</v>
      </c>
      <c r="I75" s="23" t="s">
        <v>81</v>
      </c>
      <c r="J75" s="53">
        <v>10</v>
      </c>
      <c r="K75" s="78" t="str">
        <f>VLOOKUP(J75,Ruimtegroepen[],2,FALSE)</f>
        <v>Trappenhuizen/lift</v>
      </c>
      <c r="L75" s="53" t="s">
        <v>280</v>
      </c>
      <c r="M75" s="53" t="s">
        <v>353</v>
      </c>
      <c r="N75" s="79">
        <v>1.5</v>
      </c>
      <c r="O75" s="79"/>
      <c r="P75" s="80" t="str">
        <f>LEFT(VLOOKUP(Ruimtestaat[[#This Row],[Ruimte code]],Ruimtegroepen[#All],4,1),2)</f>
        <v xml:space="preserve">V </v>
      </c>
      <c r="Q75" s="79"/>
      <c r="R75" s="81">
        <v>40</v>
      </c>
      <c r="S75" s="81" t="s">
        <v>298</v>
      </c>
      <c r="T75" s="82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5" s="82">
        <f>IF(T75&gt;0,VLOOKUP($J75,Ruimtegroepen[],3,FALSE)*VLOOKUP($L75,Vloersoorten[],3,FALSE)*VLOOKUP($S75,Frequenties[],3,FALSE)*VLOOKUP($A75,Locaties[],3,FALSE),0)</f>
        <v>0</v>
      </c>
      <c r="V75" s="83">
        <f>Ruimtestaat[[#This Row],[Uitvoeringen werkdagen]]*Ruimtestaat[[#This Row],[Oppervlak (netto)]]</f>
        <v>300</v>
      </c>
      <c r="W75" s="84">
        <f>IF(U75&gt;0,Ruimtestaat[[#This Row],[Prest. (m2 /jaar) werkdagen]]/Ruimtestaat[[#This Row],[Norm (m2/uur) werkdagen]],0)</f>
        <v>0</v>
      </c>
      <c r="X75" s="85">
        <f>Ruimtestaat[[#This Row],[uren / jaar werkdagen]]*Tariefsopbouw!$E$35</f>
        <v>0</v>
      </c>
      <c r="Y75" s="82"/>
      <c r="Z75" s="86">
        <f>IF(Ruimtestaat[[#This Row],[Frequentie weekend]]&gt;0,VALUE(LEFT(Y75,1))*R75,0)</f>
        <v>0</v>
      </c>
      <c r="AA75" s="82">
        <f>IF($Z75&gt;0,VLOOKUP($J75,Ruimtegroepen[],3,FALSE)*VLOOKUP($L75,Vloersoorten[],3,FALSE)*VLOOKUP($Y75,Frequenties[],3,FALSE)*VLOOKUP($A71,Locaties[],3,FALSE),0)</f>
        <v>0</v>
      </c>
      <c r="AB75" s="84">
        <f>Ruimtestaat[[#This Row],[Uitvoeringen weekend]]*Ruimtestaat[[#This Row],[Oppervlak (netto)]]</f>
        <v>0</v>
      </c>
      <c r="AC75" s="87">
        <f>IF(AB75&gt;0,Ruimtestaat[[#This Row],[Prest. (m2 /jaar) weekend]]/Ruimtestaat[[#This Row],[Norm (m2/uur) weekend]],0)</f>
        <v>0</v>
      </c>
      <c r="AD75" s="88">
        <f>Ruimtestaat[[#This Row],[uren / jaar weekend]]*Tariefsopbouw!$D$40</f>
        <v>0</v>
      </c>
      <c r="AE75" s="89">
        <f>Ruimtestaat[[#This Row],[Prest. (m2 /jaar) weekend]]+Ruimtestaat[[#This Row],[Prest. (m2 /jaar) werkdagen]]</f>
        <v>300</v>
      </c>
      <c r="AF75" s="89">
        <f>Ruimtestaat[[#This Row],[uren / jaar weekend]]+Ruimtestaat[[#This Row],[uren / jaar werkdagen]]</f>
        <v>0</v>
      </c>
      <c r="AG75" s="90">
        <f>Ruimtestaat[[#This Row],[kosten / jaar weekend]]+Ruimtestaat[[#This Row],[kosten / jaar werkdagen]]</f>
        <v>0</v>
      </c>
      <c r="AH75" s="91"/>
      <c r="HL75" s="67"/>
    </row>
    <row r="76" spans="1:220" ht="15" customHeight="1">
      <c r="A76" s="53">
        <v>1</v>
      </c>
      <c r="B76" s="53" t="str">
        <f>VLOOKUP(Ruimtestaat[[#This Row],[Code]],Locaties[#All],2,FALSE)</f>
        <v>Ir. Lely Lyceum</v>
      </c>
      <c r="C76" s="53" t="str">
        <f>VLOOKUP(Ruimtestaat[[#This Row],[Code]],Locaties[#All],4,FALSE)</f>
        <v>Ravenswaaipad 3</v>
      </c>
      <c r="D76" s="53" t="str">
        <f>VLOOKUP(Ruimtestaat[[#This Row],[Code]],Locaties[#All],5,FALSE)</f>
        <v>1106 AW</v>
      </c>
      <c r="E76" s="53" t="str">
        <f>VLOOKUP(Ruimtestaat[[#This Row],[Code]],Locaties[#All],6,FALSE)</f>
        <v>Amsterdam</v>
      </c>
      <c r="F76" s="78" t="s">
        <v>347</v>
      </c>
      <c r="G76" s="53" t="s">
        <v>450</v>
      </c>
      <c r="H76" s="95" t="s">
        <v>453</v>
      </c>
      <c r="I76" s="23" t="s">
        <v>454</v>
      </c>
      <c r="J76" s="53">
        <v>20</v>
      </c>
      <c r="K76" s="78" t="str">
        <f>VLOOKUP(J76,Ruimtegroepen[],2,FALSE)</f>
        <v>Niet in onderhoud</v>
      </c>
      <c r="L76" s="53" t="s">
        <v>285</v>
      </c>
      <c r="M76" s="53" t="s">
        <v>441</v>
      </c>
      <c r="N76" s="79"/>
      <c r="O76" s="79">
        <v>1.5</v>
      </c>
      <c r="P76" s="80" t="str">
        <f>LEFT(VLOOKUP(Ruimtestaat[[#This Row],[Ruimte code]],Ruimtegroepen[#All],4,1),2)</f>
        <v/>
      </c>
      <c r="Q76" s="79"/>
      <c r="R76" s="81"/>
      <c r="S76" s="81"/>
      <c r="T76" s="82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76" s="82">
        <f>IF(T76&gt;0,VLOOKUP($J76,Ruimtegroepen[],3,FALSE)*VLOOKUP($L76,Vloersoorten[],3,FALSE)*VLOOKUP($S76,Frequenties[],3,FALSE)*VLOOKUP($A76,Locaties[],3,FALSE),0)</f>
        <v>0</v>
      </c>
      <c r="V76" s="83">
        <f>Ruimtestaat[[#This Row],[Uitvoeringen werkdagen]]*Ruimtestaat[[#This Row],[Oppervlak (netto)]]</f>
        <v>0</v>
      </c>
      <c r="W76" s="84">
        <f>IF(U76&gt;0,Ruimtestaat[[#This Row],[Prest. (m2 /jaar) werkdagen]]/Ruimtestaat[[#This Row],[Norm (m2/uur) werkdagen]],0)</f>
        <v>0</v>
      </c>
      <c r="X76" s="85">
        <f>Ruimtestaat[[#This Row],[uren / jaar werkdagen]]*Tariefsopbouw!$E$35</f>
        <v>0</v>
      </c>
      <c r="Y76" s="82"/>
      <c r="Z76" s="86">
        <f>IF(Ruimtestaat[[#This Row],[Frequentie weekend]]&gt;0,VALUE(LEFT(Y76,1))*R76,0)</f>
        <v>0</v>
      </c>
      <c r="AA76" s="82">
        <f>IF($Z76&gt;0,VLOOKUP($J76,Ruimtegroepen[],3,FALSE)*VLOOKUP($L76,Vloersoorten[],3,FALSE)*VLOOKUP($Y76,Frequenties[],3,FALSE)*VLOOKUP($A72,Locaties[],3,FALSE),0)</f>
        <v>0</v>
      </c>
      <c r="AB76" s="84">
        <f>Ruimtestaat[[#This Row],[Uitvoeringen weekend]]*Ruimtestaat[[#This Row],[Oppervlak (netto)]]</f>
        <v>0</v>
      </c>
      <c r="AC76" s="87">
        <f>IF(AB76&gt;0,Ruimtestaat[[#This Row],[Prest. (m2 /jaar) weekend]]/Ruimtestaat[[#This Row],[Norm (m2/uur) weekend]],0)</f>
        <v>0</v>
      </c>
      <c r="AD76" s="88">
        <f>Ruimtestaat[[#This Row],[uren / jaar weekend]]*Tariefsopbouw!$D$40</f>
        <v>0</v>
      </c>
      <c r="AE76" s="89">
        <f>Ruimtestaat[[#This Row],[Prest. (m2 /jaar) weekend]]+Ruimtestaat[[#This Row],[Prest. (m2 /jaar) werkdagen]]</f>
        <v>0</v>
      </c>
      <c r="AF76" s="89">
        <f>Ruimtestaat[[#This Row],[uren / jaar weekend]]+Ruimtestaat[[#This Row],[uren / jaar werkdagen]]</f>
        <v>0</v>
      </c>
      <c r="AG76" s="90">
        <f>Ruimtestaat[[#This Row],[kosten / jaar weekend]]+Ruimtestaat[[#This Row],[kosten / jaar werkdagen]]</f>
        <v>0</v>
      </c>
      <c r="AH76" s="91"/>
      <c r="HL76" s="67"/>
    </row>
    <row r="77" spans="1:220" ht="15" customHeight="1">
      <c r="A77" s="53">
        <v>1</v>
      </c>
      <c r="B77" s="53" t="str">
        <f>VLOOKUP(Ruimtestaat[[#This Row],[Code]],Locaties[#All],2,FALSE)</f>
        <v>Ir. Lely Lyceum</v>
      </c>
      <c r="C77" s="53" t="str">
        <f>VLOOKUP(Ruimtestaat[[#This Row],[Code]],Locaties[#All],4,FALSE)</f>
        <v>Ravenswaaipad 3</v>
      </c>
      <c r="D77" s="53" t="str">
        <f>VLOOKUP(Ruimtestaat[[#This Row],[Code]],Locaties[#All],5,FALSE)</f>
        <v>1106 AW</v>
      </c>
      <c r="E77" s="53" t="str">
        <f>VLOOKUP(Ruimtestaat[[#This Row],[Code]],Locaties[#All],6,FALSE)</f>
        <v>Amsterdam</v>
      </c>
      <c r="F77" s="78" t="s">
        <v>347</v>
      </c>
      <c r="G77" s="53" t="s">
        <v>450</v>
      </c>
      <c r="H77" s="95" t="s">
        <v>455</v>
      </c>
      <c r="I77" s="23" t="s">
        <v>456</v>
      </c>
      <c r="J77" s="53">
        <v>6</v>
      </c>
      <c r="K77" s="78" t="str">
        <f>VLOOKUP(J77,Ruimtegroepen[],2,FALSE)</f>
        <v>Gangen/hallen</v>
      </c>
      <c r="L77" s="53" t="s">
        <v>280</v>
      </c>
      <c r="M77" s="53" t="s">
        <v>353</v>
      </c>
      <c r="N77" s="79">
        <v>142.75</v>
      </c>
      <c r="O77" s="79"/>
      <c r="P77" s="80" t="str">
        <f>LEFT(VLOOKUP(Ruimtestaat[[#This Row],[Ruimte code]],Ruimtegroepen[#All],4,1),2)</f>
        <v xml:space="preserve">V </v>
      </c>
      <c r="Q77" s="79"/>
      <c r="R77" s="81">
        <v>40</v>
      </c>
      <c r="S77" s="81" t="s">
        <v>298</v>
      </c>
      <c r="T77" s="82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7" s="82">
        <f>IF(T77&gt;0,VLOOKUP($J77,Ruimtegroepen[],3,FALSE)*VLOOKUP($L77,Vloersoorten[],3,FALSE)*VLOOKUP($S77,Frequenties[],3,FALSE)*VLOOKUP($A77,Locaties[],3,FALSE),0)</f>
        <v>0</v>
      </c>
      <c r="V77" s="83">
        <f>Ruimtestaat[[#This Row],[Uitvoeringen werkdagen]]*Ruimtestaat[[#This Row],[Oppervlak (netto)]]</f>
        <v>28550</v>
      </c>
      <c r="W77" s="84">
        <f>IF(U77&gt;0,Ruimtestaat[[#This Row],[Prest. (m2 /jaar) werkdagen]]/Ruimtestaat[[#This Row],[Norm (m2/uur) werkdagen]],0)</f>
        <v>0</v>
      </c>
      <c r="X77" s="85">
        <f>Ruimtestaat[[#This Row],[uren / jaar werkdagen]]*Tariefsopbouw!$E$35</f>
        <v>0</v>
      </c>
      <c r="Y77" s="82"/>
      <c r="Z77" s="86">
        <f>IF(Ruimtestaat[[#This Row],[Frequentie weekend]]&gt;0,VALUE(LEFT(Y77,1))*R77,0)</f>
        <v>0</v>
      </c>
      <c r="AA77" s="82">
        <f>IF($Z77&gt;0,VLOOKUP($J77,Ruimtegroepen[],3,FALSE)*VLOOKUP($L77,Vloersoorten[],3,FALSE)*VLOOKUP($Y77,Frequenties[],3,FALSE)*VLOOKUP($A73,Locaties[],3,FALSE),0)</f>
        <v>0</v>
      </c>
      <c r="AB77" s="84">
        <f>Ruimtestaat[[#This Row],[Uitvoeringen weekend]]*Ruimtestaat[[#This Row],[Oppervlak (netto)]]</f>
        <v>0</v>
      </c>
      <c r="AC77" s="87">
        <f>IF(AB77&gt;0,Ruimtestaat[[#This Row],[Prest. (m2 /jaar) weekend]]/Ruimtestaat[[#This Row],[Norm (m2/uur) weekend]],0)</f>
        <v>0</v>
      </c>
      <c r="AD77" s="88">
        <f>Ruimtestaat[[#This Row],[uren / jaar weekend]]*Tariefsopbouw!$D$40</f>
        <v>0</v>
      </c>
      <c r="AE77" s="89">
        <f>Ruimtestaat[[#This Row],[Prest. (m2 /jaar) weekend]]+Ruimtestaat[[#This Row],[Prest. (m2 /jaar) werkdagen]]</f>
        <v>28550</v>
      </c>
      <c r="AF77" s="89">
        <f>Ruimtestaat[[#This Row],[uren / jaar weekend]]+Ruimtestaat[[#This Row],[uren / jaar werkdagen]]</f>
        <v>0</v>
      </c>
      <c r="AG77" s="90">
        <f>Ruimtestaat[[#This Row],[kosten / jaar weekend]]+Ruimtestaat[[#This Row],[kosten / jaar werkdagen]]</f>
        <v>0</v>
      </c>
      <c r="AH77" s="91"/>
      <c r="HL77" s="67"/>
    </row>
    <row r="78" spans="1:220" ht="15" customHeight="1">
      <c r="A78" s="53">
        <v>1</v>
      </c>
      <c r="B78" s="53" t="str">
        <f>VLOOKUP(Ruimtestaat[[#This Row],[Code]],Locaties[#All],2,FALSE)</f>
        <v>Ir. Lely Lyceum</v>
      </c>
      <c r="C78" s="53" t="str">
        <f>VLOOKUP(Ruimtestaat[[#This Row],[Code]],Locaties[#All],4,FALSE)</f>
        <v>Ravenswaaipad 3</v>
      </c>
      <c r="D78" s="53" t="str">
        <f>VLOOKUP(Ruimtestaat[[#This Row],[Code]],Locaties[#All],5,FALSE)</f>
        <v>1106 AW</v>
      </c>
      <c r="E78" s="53" t="str">
        <f>VLOOKUP(Ruimtestaat[[#This Row],[Code]],Locaties[#All],6,FALSE)</f>
        <v>Amsterdam</v>
      </c>
      <c r="F78" s="78" t="s">
        <v>347</v>
      </c>
      <c r="G78" s="53" t="s">
        <v>450</v>
      </c>
      <c r="H78" s="53" t="s">
        <v>457</v>
      </c>
      <c r="I78" s="23" t="s">
        <v>383</v>
      </c>
      <c r="J78" s="53">
        <v>2</v>
      </c>
      <c r="K78" s="78" t="str">
        <f>VLOOKUP(J78,Ruimtegroepen[],2,FALSE)</f>
        <v>Kantoren</v>
      </c>
      <c r="L78" s="53" t="s">
        <v>280</v>
      </c>
      <c r="M78" s="53" t="s">
        <v>353</v>
      </c>
      <c r="N78" s="92">
        <v>59.5</v>
      </c>
      <c r="O78" s="79"/>
      <c r="P78" s="80" t="str">
        <f>LEFT(VLOOKUP(Ruimtestaat[[#This Row],[Ruimte code]],Ruimtegroepen[#All],4,1),2)</f>
        <v xml:space="preserve">B </v>
      </c>
      <c r="Q78" s="79"/>
      <c r="R78" s="81">
        <v>40</v>
      </c>
      <c r="S78" s="81" t="s">
        <v>298</v>
      </c>
      <c r="T78" s="82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8" s="82">
        <f>IF(T78&gt;0,VLOOKUP($J78,Ruimtegroepen[],3,FALSE)*VLOOKUP($L78,Vloersoorten[],3,FALSE)*VLOOKUP($S78,Frequenties[],3,FALSE)*VLOOKUP($A78,Locaties[],3,FALSE),0)</f>
        <v>0</v>
      </c>
      <c r="V78" s="83">
        <f>Ruimtestaat[[#This Row],[Uitvoeringen werkdagen]]*Ruimtestaat[[#This Row],[Oppervlak (netto)]]</f>
        <v>11900</v>
      </c>
      <c r="W78" s="84">
        <f>IF(U78&gt;0,Ruimtestaat[[#This Row],[Prest. (m2 /jaar) werkdagen]]/Ruimtestaat[[#This Row],[Norm (m2/uur) werkdagen]],0)</f>
        <v>0</v>
      </c>
      <c r="X78" s="85">
        <f>Ruimtestaat[[#This Row],[uren / jaar werkdagen]]*Tariefsopbouw!$E$35</f>
        <v>0</v>
      </c>
      <c r="Y78" s="82"/>
      <c r="Z78" s="86">
        <f>IF(Ruimtestaat[[#This Row],[Frequentie weekend]]&gt;0,VALUE(LEFT(Y78,1))*R78,0)</f>
        <v>0</v>
      </c>
      <c r="AA78" s="82">
        <f>IF($Z78&gt;0,VLOOKUP($J78,Ruimtegroepen[],3,FALSE)*VLOOKUP($L78,Vloersoorten[],3,FALSE)*VLOOKUP($Y78,Frequenties[],3,FALSE)*VLOOKUP($A74,Locaties[],3,FALSE),0)</f>
        <v>0</v>
      </c>
      <c r="AB78" s="84">
        <f>Ruimtestaat[[#This Row],[Uitvoeringen weekend]]*Ruimtestaat[[#This Row],[Oppervlak (netto)]]</f>
        <v>0</v>
      </c>
      <c r="AC78" s="87">
        <f>IF(AB78&gt;0,Ruimtestaat[[#This Row],[Prest. (m2 /jaar) weekend]]/Ruimtestaat[[#This Row],[Norm (m2/uur) weekend]],0)</f>
        <v>0</v>
      </c>
      <c r="AD78" s="88">
        <f>Ruimtestaat[[#This Row],[uren / jaar weekend]]*Tariefsopbouw!$D$40</f>
        <v>0</v>
      </c>
      <c r="AE78" s="89">
        <f>Ruimtestaat[[#This Row],[Prest. (m2 /jaar) weekend]]+Ruimtestaat[[#This Row],[Prest. (m2 /jaar) werkdagen]]</f>
        <v>11900</v>
      </c>
      <c r="AF78" s="89">
        <f>Ruimtestaat[[#This Row],[uren / jaar weekend]]+Ruimtestaat[[#This Row],[uren / jaar werkdagen]]</f>
        <v>0</v>
      </c>
      <c r="AG78" s="90">
        <f>Ruimtestaat[[#This Row],[kosten / jaar weekend]]+Ruimtestaat[[#This Row],[kosten / jaar werkdagen]]</f>
        <v>0</v>
      </c>
      <c r="AH78" s="91"/>
      <c r="HL78" s="67"/>
    </row>
    <row r="79" spans="1:220" ht="15" customHeight="1">
      <c r="A79" s="53">
        <v>1</v>
      </c>
      <c r="B79" s="53" t="str">
        <f>VLOOKUP(Ruimtestaat[[#This Row],[Code]],Locaties[#All],2,FALSE)</f>
        <v>Ir. Lely Lyceum</v>
      </c>
      <c r="C79" s="53" t="str">
        <f>VLOOKUP(Ruimtestaat[[#This Row],[Code]],Locaties[#All],4,FALSE)</f>
        <v>Ravenswaaipad 3</v>
      </c>
      <c r="D79" s="53" t="str">
        <f>VLOOKUP(Ruimtestaat[[#This Row],[Code]],Locaties[#All],5,FALSE)</f>
        <v>1106 AW</v>
      </c>
      <c r="E79" s="53" t="str">
        <f>VLOOKUP(Ruimtestaat[[#This Row],[Code]],Locaties[#All],6,FALSE)</f>
        <v>Amsterdam</v>
      </c>
      <c r="F79" s="78" t="s">
        <v>347</v>
      </c>
      <c r="G79" s="53" t="s">
        <v>450</v>
      </c>
      <c r="H79" s="95" t="s">
        <v>458</v>
      </c>
      <c r="I79" s="23" t="s">
        <v>383</v>
      </c>
      <c r="J79" s="53">
        <v>2</v>
      </c>
      <c r="K79" s="78" t="str">
        <f>VLOOKUP(J79,Ruimtegroepen[],2,FALSE)</f>
        <v>Kantoren</v>
      </c>
      <c r="L79" s="53" t="s">
        <v>280</v>
      </c>
      <c r="M79" s="53" t="s">
        <v>353</v>
      </c>
      <c r="N79" s="92">
        <v>12.25</v>
      </c>
      <c r="O79" s="79"/>
      <c r="P79" s="80" t="str">
        <f>LEFT(VLOOKUP(Ruimtestaat[[#This Row],[Ruimte code]],Ruimtegroepen[#All],4,1),2)</f>
        <v xml:space="preserve">B </v>
      </c>
      <c r="Q79" s="79"/>
      <c r="R79" s="81">
        <v>40</v>
      </c>
      <c r="S79" s="81" t="s">
        <v>298</v>
      </c>
      <c r="T79" s="82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79" s="82">
        <f>IF(T79&gt;0,VLOOKUP($J79,Ruimtegroepen[],3,FALSE)*VLOOKUP($L79,Vloersoorten[],3,FALSE)*VLOOKUP($S79,Frequenties[],3,FALSE)*VLOOKUP($A79,Locaties[],3,FALSE),0)</f>
        <v>0</v>
      </c>
      <c r="V79" s="83">
        <f>Ruimtestaat[[#This Row],[Uitvoeringen werkdagen]]*Ruimtestaat[[#This Row],[Oppervlak (netto)]]</f>
        <v>2450</v>
      </c>
      <c r="W79" s="84">
        <f>IF(U79&gt;0,Ruimtestaat[[#This Row],[Prest. (m2 /jaar) werkdagen]]/Ruimtestaat[[#This Row],[Norm (m2/uur) werkdagen]],0)</f>
        <v>0</v>
      </c>
      <c r="X79" s="85">
        <f>Ruimtestaat[[#This Row],[uren / jaar werkdagen]]*Tariefsopbouw!$E$35</f>
        <v>0</v>
      </c>
      <c r="Y79" s="82"/>
      <c r="Z79" s="86">
        <f>IF(Ruimtestaat[[#This Row],[Frequentie weekend]]&gt;0,VALUE(LEFT(Y79,1))*R79,0)</f>
        <v>0</v>
      </c>
      <c r="AA79" s="82">
        <f>IF($Z79&gt;0,VLOOKUP($J79,Ruimtegroepen[],3,FALSE)*VLOOKUP($L79,Vloersoorten[],3,FALSE)*VLOOKUP($Y79,Frequenties[],3,FALSE)*VLOOKUP($A75,Locaties[],3,FALSE),0)</f>
        <v>0</v>
      </c>
      <c r="AB79" s="84">
        <f>Ruimtestaat[[#This Row],[Uitvoeringen weekend]]*Ruimtestaat[[#This Row],[Oppervlak (netto)]]</f>
        <v>0</v>
      </c>
      <c r="AC79" s="87">
        <f>IF(AB79&gt;0,Ruimtestaat[[#This Row],[Prest. (m2 /jaar) weekend]]/Ruimtestaat[[#This Row],[Norm (m2/uur) weekend]],0)</f>
        <v>0</v>
      </c>
      <c r="AD79" s="88">
        <f>Ruimtestaat[[#This Row],[uren / jaar weekend]]*Tariefsopbouw!$D$40</f>
        <v>0</v>
      </c>
      <c r="AE79" s="89">
        <f>Ruimtestaat[[#This Row],[Prest. (m2 /jaar) weekend]]+Ruimtestaat[[#This Row],[Prest. (m2 /jaar) werkdagen]]</f>
        <v>2450</v>
      </c>
      <c r="AF79" s="89">
        <f>Ruimtestaat[[#This Row],[uren / jaar weekend]]+Ruimtestaat[[#This Row],[uren / jaar werkdagen]]</f>
        <v>0</v>
      </c>
      <c r="AG79" s="90">
        <f>Ruimtestaat[[#This Row],[kosten / jaar weekend]]+Ruimtestaat[[#This Row],[kosten / jaar werkdagen]]</f>
        <v>0</v>
      </c>
      <c r="AH79" s="91"/>
      <c r="HL79" s="67"/>
    </row>
    <row r="80" spans="1:220" ht="15" customHeight="1">
      <c r="A80" s="53">
        <v>1</v>
      </c>
      <c r="B80" s="53" t="str">
        <f>VLOOKUP(Ruimtestaat[[#This Row],[Code]],Locaties[#All],2,FALSE)</f>
        <v>Ir. Lely Lyceum</v>
      </c>
      <c r="C80" s="53" t="str">
        <f>VLOOKUP(Ruimtestaat[[#This Row],[Code]],Locaties[#All],4,FALSE)</f>
        <v>Ravenswaaipad 3</v>
      </c>
      <c r="D80" s="53" t="str">
        <f>VLOOKUP(Ruimtestaat[[#This Row],[Code]],Locaties[#All],5,FALSE)</f>
        <v>1106 AW</v>
      </c>
      <c r="E80" s="53" t="str">
        <f>VLOOKUP(Ruimtestaat[[#This Row],[Code]],Locaties[#All],6,FALSE)</f>
        <v>Amsterdam</v>
      </c>
      <c r="F80" s="78" t="s">
        <v>347</v>
      </c>
      <c r="G80" s="53" t="s">
        <v>450</v>
      </c>
      <c r="H80" s="95" t="s">
        <v>459</v>
      </c>
      <c r="I80" s="23" t="s">
        <v>383</v>
      </c>
      <c r="J80" s="53">
        <v>2</v>
      </c>
      <c r="K80" s="78" t="str">
        <f>VLOOKUP(J80,Ruimtegroepen[],2,FALSE)</f>
        <v>Kantoren</v>
      </c>
      <c r="L80" s="53" t="s">
        <v>280</v>
      </c>
      <c r="M80" s="53" t="s">
        <v>353</v>
      </c>
      <c r="N80" s="92">
        <v>12.25</v>
      </c>
      <c r="O80" s="79"/>
      <c r="P80" s="80" t="str">
        <f>LEFT(VLOOKUP(Ruimtestaat[[#This Row],[Ruimte code]],Ruimtegroepen[#All],4,1),2)</f>
        <v xml:space="preserve">B </v>
      </c>
      <c r="Q80" s="79"/>
      <c r="R80" s="81">
        <v>40</v>
      </c>
      <c r="S80" s="81" t="s">
        <v>298</v>
      </c>
      <c r="T80" s="82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0" s="82">
        <f>IF(T80&gt;0,VLOOKUP($J80,Ruimtegroepen[],3,FALSE)*VLOOKUP($L80,Vloersoorten[],3,FALSE)*VLOOKUP($S80,Frequenties[],3,FALSE)*VLOOKUP($A80,Locaties[],3,FALSE),0)</f>
        <v>0</v>
      </c>
      <c r="V80" s="83">
        <f>Ruimtestaat[[#This Row],[Uitvoeringen werkdagen]]*Ruimtestaat[[#This Row],[Oppervlak (netto)]]</f>
        <v>2450</v>
      </c>
      <c r="W80" s="84">
        <f>IF(U80&gt;0,Ruimtestaat[[#This Row],[Prest. (m2 /jaar) werkdagen]]/Ruimtestaat[[#This Row],[Norm (m2/uur) werkdagen]],0)</f>
        <v>0</v>
      </c>
      <c r="X80" s="85">
        <f>Ruimtestaat[[#This Row],[uren / jaar werkdagen]]*Tariefsopbouw!$E$35</f>
        <v>0</v>
      </c>
      <c r="Y80" s="82"/>
      <c r="Z80" s="86">
        <f>IF(Ruimtestaat[[#This Row],[Frequentie weekend]]&gt;0,VALUE(LEFT(Y80,1))*R80,0)</f>
        <v>0</v>
      </c>
      <c r="AA80" s="82">
        <f>IF($Z80&gt;0,VLOOKUP($J80,Ruimtegroepen[],3,FALSE)*VLOOKUP($L80,Vloersoorten[],3,FALSE)*VLOOKUP($Y80,Frequenties[],3,FALSE)*VLOOKUP($A76,Locaties[],3,FALSE),0)</f>
        <v>0</v>
      </c>
      <c r="AB80" s="84">
        <f>Ruimtestaat[[#This Row],[Uitvoeringen weekend]]*Ruimtestaat[[#This Row],[Oppervlak (netto)]]</f>
        <v>0</v>
      </c>
      <c r="AC80" s="87">
        <f>IF(AB80&gt;0,Ruimtestaat[[#This Row],[Prest. (m2 /jaar) weekend]]/Ruimtestaat[[#This Row],[Norm (m2/uur) weekend]],0)</f>
        <v>0</v>
      </c>
      <c r="AD80" s="88">
        <f>Ruimtestaat[[#This Row],[uren / jaar weekend]]*Tariefsopbouw!$D$40</f>
        <v>0</v>
      </c>
      <c r="AE80" s="89">
        <f>Ruimtestaat[[#This Row],[Prest. (m2 /jaar) weekend]]+Ruimtestaat[[#This Row],[Prest. (m2 /jaar) werkdagen]]</f>
        <v>2450</v>
      </c>
      <c r="AF80" s="89">
        <f>Ruimtestaat[[#This Row],[uren / jaar weekend]]+Ruimtestaat[[#This Row],[uren / jaar werkdagen]]</f>
        <v>0</v>
      </c>
      <c r="AG80" s="90">
        <f>Ruimtestaat[[#This Row],[kosten / jaar weekend]]+Ruimtestaat[[#This Row],[kosten / jaar werkdagen]]</f>
        <v>0</v>
      </c>
      <c r="AH80" s="91"/>
      <c r="HL80" s="67"/>
    </row>
    <row r="81" spans="1:220" ht="15" customHeight="1">
      <c r="A81" s="53">
        <v>1</v>
      </c>
      <c r="B81" s="53" t="str">
        <f>VLOOKUP(Ruimtestaat[[#This Row],[Code]],Locaties[#All],2,FALSE)</f>
        <v>Ir. Lely Lyceum</v>
      </c>
      <c r="C81" s="53" t="str">
        <f>VLOOKUP(Ruimtestaat[[#This Row],[Code]],Locaties[#All],4,FALSE)</f>
        <v>Ravenswaaipad 3</v>
      </c>
      <c r="D81" s="53" t="str">
        <f>VLOOKUP(Ruimtestaat[[#This Row],[Code]],Locaties[#All],5,FALSE)</f>
        <v>1106 AW</v>
      </c>
      <c r="E81" s="53" t="str">
        <f>VLOOKUP(Ruimtestaat[[#This Row],[Code]],Locaties[#All],6,FALSE)</f>
        <v>Amsterdam</v>
      </c>
      <c r="F81" s="78" t="s">
        <v>347</v>
      </c>
      <c r="G81" s="53" t="s">
        <v>450</v>
      </c>
      <c r="H81" s="95" t="s">
        <v>460</v>
      </c>
      <c r="I81" s="23" t="s">
        <v>383</v>
      </c>
      <c r="J81" s="53">
        <v>2</v>
      </c>
      <c r="K81" s="78" t="str">
        <f>VLOOKUP(J81,Ruimtegroepen[],2,FALSE)</f>
        <v>Kantoren</v>
      </c>
      <c r="L81" s="53" t="s">
        <v>280</v>
      </c>
      <c r="M81" s="53" t="s">
        <v>353</v>
      </c>
      <c r="N81" s="79">
        <v>12.25</v>
      </c>
      <c r="O81" s="79"/>
      <c r="P81" s="80" t="str">
        <f>LEFT(VLOOKUP(Ruimtestaat[[#This Row],[Ruimte code]],Ruimtegroepen[#All],4,1),2)</f>
        <v xml:space="preserve">B </v>
      </c>
      <c r="Q81" s="79"/>
      <c r="R81" s="81">
        <v>40</v>
      </c>
      <c r="S81" s="81" t="s">
        <v>298</v>
      </c>
      <c r="T81" s="82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1" s="82">
        <f>IF(T81&gt;0,VLOOKUP($J81,Ruimtegroepen[],3,FALSE)*VLOOKUP($L81,Vloersoorten[],3,FALSE)*VLOOKUP($S81,Frequenties[],3,FALSE)*VLOOKUP($A81,Locaties[],3,FALSE),0)</f>
        <v>0</v>
      </c>
      <c r="V81" s="83">
        <f>Ruimtestaat[[#This Row],[Uitvoeringen werkdagen]]*Ruimtestaat[[#This Row],[Oppervlak (netto)]]</f>
        <v>2450</v>
      </c>
      <c r="W81" s="84">
        <f>IF(U81&gt;0,Ruimtestaat[[#This Row],[Prest. (m2 /jaar) werkdagen]]/Ruimtestaat[[#This Row],[Norm (m2/uur) werkdagen]],0)</f>
        <v>0</v>
      </c>
      <c r="X81" s="85">
        <f>Ruimtestaat[[#This Row],[uren / jaar werkdagen]]*Tariefsopbouw!$E$35</f>
        <v>0</v>
      </c>
      <c r="Y81" s="82"/>
      <c r="Z81" s="86">
        <f>IF(Ruimtestaat[[#This Row],[Frequentie weekend]]&gt;0,VALUE(LEFT(Y81,1))*R81,0)</f>
        <v>0</v>
      </c>
      <c r="AA81" s="82">
        <f>IF($Z81&gt;0,VLOOKUP($J81,Ruimtegroepen[],3,FALSE)*VLOOKUP($L81,Vloersoorten[],3,FALSE)*VLOOKUP($Y81,Frequenties[],3,FALSE)*VLOOKUP($A77,Locaties[],3,FALSE),0)</f>
        <v>0</v>
      </c>
      <c r="AB81" s="84">
        <f>Ruimtestaat[[#This Row],[Uitvoeringen weekend]]*Ruimtestaat[[#This Row],[Oppervlak (netto)]]</f>
        <v>0</v>
      </c>
      <c r="AC81" s="87">
        <f>IF(AB81&gt;0,Ruimtestaat[[#This Row],[Prest. (m2 /jaar) weekend]]/Ruimtestaat[[#This Row],[Norm (m2/uur) weekend]],0)</f>
        <v>0</v>
      </c>
      <c r="AD81" s="88">
        <f>Ruimtestaat[[#This Row],[uren / jaar weekend]]*Tariefsopbouw!$D$40</f>
        <v>0</v>
      </c>
      <c r="AE81" s="89">
        <f>Ruimtestaat[[#This Row],[Prest. (m2 /jaar) weekend]]+Ruimtestaat[[#This Row],[Prest. (m2 /jaar) werkdagen]]</f>
        <v>2450</v>
      </c>
      <c r="AF81" s="89">
        <f>Ruimtestaat[[#This Row],[uren / jaar weekend]]+Ruimtestaat[[#This Row],[uren / jaar werkdagen]]</f>
        <v>0</v>
      </c>
      <c r="AG81" s="90">
        <f>Ruimtestaat[[#This Row],[kosten / jaar weekend]]+Ruimtestaat[[#This Row],[kosten / jaar werkdagen]]</f>
        <v>0</v>
      </c>
      <c r="AH81" s="91"/>
      <c r="HL81" s="67"/>
    </row>
    <row r="82" spans="1:220" ht="15" customHeight="1">
      <c r="A82" s="53">
        <v>1</v>
      </c>
      <c r="B82" s="53" t="str">
        <f>VLOOKUP(Ruimtestaat[[#This Row],[Code]],Locaties[#All],2,FALSE)</f>
        <v>Ir. Lely Lyceum</v>
      </c>
      <c r="C82" s="53" t="str">
        <f>VLOOKUP(Ruimtestaat[[#This Row],[Code]],Locaties[#All],4,FALSE)</f>
        <v>Ravenswaaipad 3</v>
      </c>
      <c r="D82" s="53" t="str">
        <f>VLOOKUP(Ruimtestaat[[#This Row],[Code]],Locaties[#All],5,FALSE)</f>
        <v>1106 AW</v>
      </c>
      <c r="E82" s="53" t="str">
        <f>VLOOKUP(Ruimtestaat[[#This Row],[Code]],Locaties[#All],6,FALSE)</f>
        <v>Amsterdam</v>
      </c>
      <c r="F82" s="78" t="s">
        <v>347</v>
      </c>
      <c r="G82" s="53" t="s">
        <v>450</v>
      </c>
      <c r="H82" s="95" t="s">
        <v>461</v>
      </c>
      <c r="I82" s="23" t="s">
        <v>383</v>
      </c>
      <c r="J82" s="53">
        <v>2</v>
      </c>
      <c r="K82" s="78" t="str">
        <f>VLOOKUP(J82,Ruimtegroepen[],2,FALSE)</f>
        <v>Kantoren</v>
      </c>
      <c r="L82" s="53" t="s">
        <v>280</v>
      </c>
      <c r="M82" s="53" t="s">
        <v>353</v>
      </c>
      <c r="N82" s="79">
        <v>12.25</v>
      </c>
      <c r="O82" s="79"/>
      <c r="P82" s="80" t="str">
        <f>LEFT(VLOOKUP(Ruimtestaat[[#This Row],[Ruimte code]],Ruimtegroepen[#All],4,1),2)</f>
        <v xml:space="preserve">B </v>
      </c>
      <c r="Q82" s="79"/>
      <c r="R82" s="81">
        <v>40</v>
      </c>
      <c r="S82" s="81" t="s">
        <v>298</v>
      </c>
      <c r="T82" s="82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2" s="82">
        <f>IF(T82&gt;0,VLOOKUP($J82,Ruimtegroepen[],3,FALSE)*VLOOKUP($L82,Vloersoorten[],3,FALSE)*VLOOKUP($S82,Frequenties[],3,FALSE)*VLOOKUP($A82,Locaties[],3,FALSE),0)</f>
        <v>0</v>
      </c>
      <c r="V82" s="83">
        <f>Ruimtestaat[[#This Row],[Uitvoeringen werkdagen]]*Ruimtestaat[[#This Row],[Oppervlak (netto)]]</f>
        <v>2450</v>
      </c>
      <c r="W82" s="84">
        <f>IF(U82&gt;0,Ruimtestaat[[#This Row],[Prest. (m2 /jaar) werkdagen]]/Ruimtestaat[[#This Row],[Norm (m2/uur) werkdagen]],0)</f>
        <v>0</v>
      </c>
      <c r="X82" s="85">
        <f>Ruimtestaat[[#This Row],[uren / jaar werkdagen]]*Tariefsopbouw!$E$35</f>
        <v>0</v>
      </c>
      <c r="Y82" s="82"/>
      <c r="Z82" s="86">
        <f>IF(Ruimtestaat[[#This Row],[Frequentie weekend]]&gt;0,VALUE(LEFT(Y82,1))*R82,0)</f>
        <v>0</v>
      </c>
      <c r="AA82" s="82">
        <f>IF($Z82&gt;0,VLOOKUP($J82,Ruimtegroepen[],3,FALSE)*VLOOKUP($L82,Vloersoorten[],3,FALSE)*VLOOKUP($Y82,Frequenties[],3,FALSE)*VLOOKUP($A78,Locaties[],3,FALSE),0)</f>
        <v>0</v>
      </c>
      <c r="AB82" s="84">
        <f>Ruimtestaat[[#This Row],[Uitvoeringen weekend]]*Ruimtestaat[[#This Row],[Oppervlak (netto)]]</f>
        <v>0</v>
      </c>
      <c r="AC82" s="87">
        <f>IF(AB82&gt;0,Ruimtestaat[[#This Row],[Prest. (m2 /jaar) weekend]]/Ruimtestaat[[#This Row],[Norm (m2/uur) weekend]],0)</f>
        <v>0</v>
      </c>
      <c r="AD82" s="88">
        <f>Ruimtestaat[[#This Row],[uren / jaar weekend]]*Tariefsopbouw!$D$40</f>
        <v>0</v>
      </c>
      <c r="AE82" s="89">
        <f>Ruimtestaat[[#This Row],[Prest. (m2 /jaar) weekend]]+Ruimtestaat[[#This Row],[Prest. (m2 /jaar) werkdagen]]</f>
        <v>2450</v>
      </c>
      <c r="AF82" s="89">
        <f>Ruimtestaat[[#This Row],[uren / jaar weekend]]+Ruimtestaat[[#This Row],[uren / jaar werkdagen]]</f>
        <v>0</v>
      </c>
      <c r="AG82" s="90">
        <f>Ruimtestaat[[#This Row],[kosten / jaar weekend]]+Ruimtestaat[[#This Row],[kosten / jaar werkdagen]]</f>
        <v>0</v>
      </c>
      <c r="AH82" s="91"/>
      <c r="HL82" s="67"/>
    </row>
    <row r="83" spans="1:220" ht="15" customHeight="1">
      <c r="A83" s="53">
        <v>1</v>
      </c>
      <c r="B83" s="53" t="str">
        <f>VLOOKUP(Ruimtestaat[[#This Row],[Code]],Locaties[#All],2,FALSE)</f>
        <v>Ir. Lely Lyceum</v>
      </c>
      <c r="C83" s="53" t="str">
        <f>VLOOKUP(Ruimtestaat[[#This Row],[Code]],Locaties[#All],4,FALSE)</f>
        <v>Ravenswaaipad 3</v>
      </c>
      <c r="D83" s="53" t="str">
        <f>VLOOKUP(Ruimtestaat[[#This Row],[Code]],Locaties[#All],5,FALSE)</f>
        <v>1106 AW</v>
      </c>
      <c r="E83" s="53" t="str">
        <f>VLOOKUP(Ruimtestaat[[#This Row],[Code]],Locaties[#All],6,FALSE)</f>
        <v>Amsterdam</v>
      </c>
      <c r="F83" s="78" t="s">
        <v>347</v>
      </c>
      <c r="G83" s="53" t="s">
        <v>450</v>
      </c>
      <c r="H83" s="95" t="s">
        <v>462</v>
      </c>
      <c r="I83" s="23" t="s">
        <v>383</v>
      </c>
      <c r="J83" s="53">
        <v>2</v>
      </c>
      <c r="K83" s="78" t="str">
        <f>VLOOKUP(J83,Ruimtegroepen[],2,FALSE)</f>
        <v>Kantoren</v>
      </c>
      <c r="L83" s="53" t="s">
        <v>280</v>
      </c>
      <c r="M83" s="53" t="s">
        <v>353</v>
      </c>
      <c r="N83" s="79">
        <v>12.25</v>
      </c>
      <c r="O83" s="79"/>
      <c r="P83" s="80" t="str">
        <f>LEFT(VLOOKUP(Ruimtestaat[[#This Row],[Ruimte code]],Ruimtegroepen[#All],4,1),2)</f>
        <v xml:space="preserve">B </v>
      </c>
      <c r="Q83" s="79"/>
      <c r="R83" s="81">
        <v>40</v>
      </c>
      <c r="S83" s="81" t="s">
        <v>298</v>
      </c>
      <c r="T83" s="82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3" s="82">
        <f>IF(T83&gt;0,VLOOKUP($J83,Ruimtegroepen[],3,FALSE)*VLOOKUP($L83,Vloersoorten[],3,FALSE)*VLOOKUP($S83,Frequenties[],3,FALSE)*VLOOKUP($A83,Locaties[],3,FALSE),0)</f>
        <v>0</v>
      </c>
      <c r="V83" s="83">
        <f>Ruimtestaat[[#This Row],[Uitvoeringen werkdagen]]*Ruimtestaat[[#This Row],[Oppervlak (netto)]]</f>
        <v>2450</v>
      </c>
      <c r="W83" s="84">
        <f>IF(U83&gt;0,Ruimtestaat[[#This Row],[Prest. (m2 /jaar) werkdagen]]/Ruimtestaat[[#This Row],[Norm (m2/uur) werkdagen]],0)</f>
        <v>0</v>
      </c>
      <c r="X83" s="85">
        <f>Ruimtestaat[[#This Row],[uren / jaar werkdagen]]*Tariefsopbouw!$E$35</f>
        <v>0</v>
      </c>
      <c r="Y83" s="82"/>
      <c r="Z83" s="86">
        <f>IF(Ruimtestaat[[#This Row],[Frequentie weekend]]&gt;0,VALUE(LEFT(Y83,1))*R83,0)</f>
        <v>0</v>
      </c>
      <c r="AA83" s="82">
        <f>IF($Z83&gt;0,VLOOKUP($J83,Ruimtegroepen[],3,FALSE)*VLOOKUP($L83,Vloersoorten[],3,FALSE)*VLOOKUP($Y83,Frequenties[],3,FALSE)*VLOOKUP($A79,Locaties[],3,FALSE),0)</f>
        <v>0</v>
      </c>
      <c r="AB83" s="84">
        <f>Ruimtestaat[[#This Row],[Uitvoeringen weekend]]*Ruimtestaat[[#This Row],[Oppervlak (netto)]]</f>
        <v>0</v>
      </c>
      <c r="AC83" s="87">
        <f>IF(AB83&gt;0,Ruimtestaat[[#This Row],[Prest. (m2 /jaar) weekend]]/Ruimtestaat[[#This Row],[Norm (m2/uur) weekend]],0)</f>
        <v>0</v>
      </c>
      <c r="AD83" s="88">
        <f>Ruimtestaat[[#This Row],[uren / jaar weekend]]*Tariefsopbouw!$D$40</f>
        <v>0</v>
      </c>
      <c r="AE83" s="89">
        <f>Ruimtestaat[[#This Row],[Prest. (m2 /jaar) weekend]]+Ruimtestaat[[#This Row],[Prest. (m2 /jaar) werkdagen]]</f>
        <v>2450</v>
      </c>
      <c r="AF83" s="89">
        <f>Ruimtestaat[[#This Row],[uren / jaar weekend]]+Ruimtestaat[[#This Row],[uren / jaar werkdagen]]</f>
        <v>0</v>
      </c>
      <c r="AG83" s="90">
        <f>Ruimtestaat[[#This Row],[kosten / jaar weekend]]+Ruimtestaat[[#This Row],[kosten / jaar werkdagen]]</f>
        <v>0</v>
      </c>
      <c r="AH83" s="91"/>
      <c r="HL83" s="67"/>
    </row>
    <row r="84" spans="1:220" ht="15" customHeight="1">
      <c r="A84" s="53">
        <v>1</v>
      </c>
      <c r="B84" s="53" t="str">
        <f>VLOOKUP(Ruimtestaat[[#This Row],[Code]],Locaties[#All],2,FALSE)</f>
        <v>Ir. Lely Lyceum</v>
      </c>
      <c r="C84" s="53" t="str">
        <f>VLOOKUP(Ruimtestaat[[#This Row],[Code]],Locaties[#All],4,FALSE)</f>
        <v>Ravenswaaipad 3</v>
      </c>
      <c r="D84" s="53" t="str">
        <f>VLOOKUP(Ruimtestaat[[#This Row],[Code]],Locaties[#All],5,FALSE)</f>
        <v>1106 AW</v>
      </c>
      <c r="E84" s="53" t="str">
        <f>VLOOKUP(Ruimtestaat[[#This Row],[Code]],Locaties[#All],6,FALSE)</f>
        <v>Amsterdam</v>
      </c>
      <c r="F84" s="78" t="s">
        <v>347</v>
      </c>
      <c r="G84" s="53" t="s">
        <v>450</v>
      </c>
      <c r="H84" s="95" t="s">
        <v>463</v>
      </c>
      <c r="I84" s="23" t="s">
        <v>464</v>
      </c>
      <c r="J84" s="53">
        <v>12</v>
      </c>
      <c r="K84" s="78" t="str">
        <f>VLOOKUP(J84,Ruimtegroepen[],2,FALSE)</f>
        <v>Kantine</v>
      </c>
      <c r="L84" s="53" t="s">
        <v>280</v>
      </c>
      <c r="M84" s="53" t="s">
        <v>353</v>
      </c>
      <c r="N84" s="79">
        <v>207</v>
      </c>
      <c r="O84" s="79"/>
      <c r="P84" s="80" t="str">
        <f>LEFT(VLOOKUP(Ruimtestaat[[#This Row],[Ruimte code]],Ruimtegroepen[#All],4,1),2)</f>
        <v xml:space="preserve">V </v>
      </c>
      <c r="Q84" s="79"/>
      <c r="R84" s="81">
        <v>40</v>
      </c>
      <c r="S84" s="81" t="s">
        <v>298</v>
      </c>
      <c r="T84" s="82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4" s="82">
        <f>IF(T84&gt;0,VLOOKUP($J84,Ruimtegroepen[],3,FALSE)*VLOOKUP($L84,Vloersoorten[],3,FALSE)*VLOOKUP($S84,Frequenties[],3,FALSE)*VLOOKUP($A84,Locaties[],3,FALSE),0)</f>
        <v>0</v>
      </c>
      <c r="V84" s="83">
        <f>Ruimtestaat[[#This Row],[Uitvoeringen werkdagen]]*Ruimtestaat[[#This Row],[Oppervlak (netto)]]</f>
        <v>41400</v>
      </c>
      <c r="W84" s="84">
        <f>IF(U84&gt;0,Ruimtestaat[[#This Row],[Prest. (m2 /jaar) werkdagen]]/Ruimtestaat[[#This Row],[Norm (m2/uur) werkdagen]],0)</f>
        <v>0</v>
      </c>
      <c r="X84" s="85">
        <f>Ruimtestaat[[#This Row],[uren / jaar werkdagen]]*Tariefsopbouw!$E$35</f>
        <v>0</v>
      </c>
      <c r="Y84" s="82"/>
      <c r="Z84" s="86">
        <f>IF(Ruimtestaat[[#This Row],[Frequentie weekend]]&gt;0,VALUE(LEFT(Y84,1))*R84,0)</f>
        <v>0</v>
      </c>
      <c r="AA84" s="82">
        <f>IF($Z84&gt;0,VLOOKUP($J84,Ruimtegroepen[],3,FALSE)*VLOOKUP($L84,Vloersoorten[],3,FALSE)*VLOOKUP($Y84,Frequenties[],3,FALSE)*VLOOKUP($A80,Locaties[],3,FALSE),0)</f>
        <v>0</v>
      </c>
      <c r="AB84" s="84">
        <f>Ruimtestaat[[#This Row],[Uitvoeringen weekend]]*Ruimtestaat[[#This Row],[Oppervlak (netto)]]</f>
        <v>0</v>
      </c>
      <c r="AC84" s="87">
        <f>IF(AB84&gt;0,Ruimtestaat[[#This Row],[Prest. (m2 /jaar) weekend]]/Ruimtestaat[[#This Row],[Norm (m2/uur) weekend]],0)</f>
        <v>0</v>
      </c>
      <c r="AD84" s="88">
        <f>Ruimtestaat[[#This Row],[uren / jaar weekend]]*Tariefsopbouw!$D$40</f>
        <v>0</v>
      </c>
      <c r="AE84" s="89">
        <f>Ruimtestaat[[#This Row],[Prest. (m2 /jaar) weekend]]+Ruimtestaat[[#This Row],[Prest. (m2 /jaar) werkdagen]]</f>
        <v>41400</v>
      </c>
      <c r="AF84" s="89">
        <f>Ruimtestaat[[#This Row],[uren / jaar weekend]]+Ruimtestaat[[#This Row],[uren / jaar werkdagen]]</f>
        <v>0</v>
      </c>
      <c r="AG84" s="90">
        <f>Ruimtestaat[[#This Row],[kosten / jaar weekend]]+Ruimtestaat[[#This Row],[kosten / jaar werkdagen]]</f>
        <v>0</v>
      </c>
      <c r="AH84" s="91"/>
      <c r="HL84" s="67"/>
    </row>
    <row r="85" spans="1:220" ht="15" customHeight="1">
      <c r="A85" s="53">
        <v>1</v>
      </c>
      <c r="B85" s="53" t="str">
        <f>VLOOKUP(Ruimtestaat[[#This Row],[Code]],Locaties[#All],2,FALSE)</f>
        <v>Ir. Lely Lyceum</v>
      </c>
      <c r="C85" s="53" t="str">
        <f>VLOOKUP(Ruimtestaat[[#This Row],[Code]],Locaties[#All],4,FALSE)</f>
        <v>Ravenswaaipad 3</v>
      </c>
      <c r="D85" s="53" t="str">
        <f>VLOOKUP(Ruimtestaat[[#This Row],[Code]],Locaties[#All],5,FALSE)</f>
        <v>1106 AW</v>
      </c>
      <c r="E85" s="53" t="str">
        <f>VLOOKUP(Ruimtestaat[[#This Row],[Code]],Locaties[#All],6,FALSE)</f>
        <v>Amsterdam</v>
      </c>
      <c r="F85" s="78" t="s">
        <v>347</v>
      </c>
      <c r="G85" s="53" t="s">
        <v>450</v>
      </c>
      <c r="H85" s="95" t="s">
        <v>465</v>
      </c>
      <c r="I85" s="23" t="s">
        <v>466</v>
      </c>
      <c r="J85" s="53">
        <v>5</v>
      </c>
      <c r="K85" s="78" t="str">
        <f>VLOOKUP(J85,Ruimtegroepen[],2,FALSE)</f>
        <v>Sanitair</v>
      </c>
      <c r="L85" s="53" t="s">
        <v>285</v>
      </c>
      <c r="M85" s="53" t="s">
        <v>370</v>
      </c>
      <c r="N85" s="79">
        <v>7</v>
      </c>
      <c r="O85" s="79"/>
      <c r="P85" s="80" t="str">
        <f>LEFT(VLOOKUP(Ruimtestaat[[#This Row],[Ruimte code]],Ruimtegroepen[#All],4,1),2)</f>
        <v xml:space="preserve">S </v>
      </c>
      <c r="Q85" s="79"/>
      <c r="R85" s="81">
        <v>40</v>
      </c>
      <c r="S85" s="81" t="s">
        <v>298</v>
      </c>
      <c r="T85" s="82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5" s="82">
        <f>IF(T85&gt;0,VLOOKUP($J85,Ruimtegroepen[],3,FALSE)*VLOOKUP($L85,Vloersoorten[],3,FALSE)*VLOOKUP($S85,Frequenties[],3,FALSE)*VLOOKUP($A85,Locaties[],3,FALSE),0)</f>
        <v>0</v>
      </c>
      <c r="V85" s="83">
        <f>Ruimtestaat[[#This Row],[Uitvoeringen werkdagen]]*Ruimtestaat[[#This Row],[Oppervlak (netto)]]</f>
        <v>1400</v>
      </c>
      <c r="W85" s="84">
        <f>IF(U85&gt;0,Ruimtestaat[[#This Row],[Prest. (m2 /jaar) werkdagen]]/Ruimtestaat[[#This Row],[Norm (m2/uur) werkdagen]],0)</f>
        <v>0</v>
      </c>
      <c r="X85" s="85">
        <f>Ruimtestaat[[#This Row],[uren / jaar werkdagen]]*Tariefsopbouw!$E$35</f>
        <v>0</v>
      </c>
      <c r="Y85" s="82"/>
      <c r="Z85" s="86">
        <f>IF(Ruimtestaat[[#This Row],[Frequentie weekend]]&gt;0,VALUE(LEFT(Y85,1))*R85,0)</f>
        <v>0</v>
      </c>
      <c r="AA85" s="82">
        <f>IF($Z85&gt;0,VLOOKUP($J85,Ruimtegroepen[],3,FALSE)*VLOOKUP($L85,Vloersoorten[],3,FALSE)*VLOOKUP($Y85,Frequenties[],3,FALSE)*VLOOKUP($A81,Locaties[],3,FALSE),0)</f>
        <v>0</v>
      </c>
      <c r="AB85" s="84">
        <f>Ruimtestaat[[#This Row],[Uitvoeringen weekend]]*Ruimtestaat[[#This Row],[Oppervlak (netto)]]</f>
        <v>0</v>
      </c>
      <c r="AC85" s="87">
        <f>IF(AB85&gt;0,Ruimtestaat[[#This Row],[Prest. (m2 /jaar) weekend]]/Ruimtestaat[[#This Row],[Norm (m2/uur) weekend]],0)</f>
        <v>0</v>
      </c>
      <c r="AD85" s="88">
        <f>Ruimtestaat[[#This Row],[uren / jaar weekend]]*Tariefsopbouw!$D$40</f>
        <v>0</v>
      </c>
      <c r="AE85" s="89">
        <f>Ruimtestaat[[#This Row],[Prest. (m2 /jaar) weekend]]+Ruimtestaat[[#This Row],[Prest. (m2 /jaar) werkdagen]]</f>
        <v>1400</v>
      </c>
      <c r="AF85" s="89">
        <f>Ruimtestaat[[#This Row],[uren / jaar weekend]]+Ruimtestaat[[#This Row],[uren / jaar werkdagen]]</f>
        <v>0</v>
      </c>
      <c r="AG85" s="90">
        <f>Ruimtestaat[[#This Row],[kosten / jaar weekend]]+Ruimtestaat[[#This Row],[kosten / jaar werkdagen]]</f>
        <v>0</v>
      </c>
      <c r="AH85" s="91"/>
      <c r="HL85" s="67"/>
    </row>
    <row r="86" spans="1:220" ht="15" customHeight="1">
      <c r="A86" s="53">
        <v>1</v>
      </c>
      <c r="B86" s="53" t="str">
        <f>VLOOKUP(Ruimtestaat[[#This Row],[Code]],Locaties[#All],2,FALSE)</f>
        <v>Ir. Lely Lyceum</v>
      </c>
      <c r="C86" s="53" t="str">
        <f>VLOOKUP(Ruimtestaat[[#This Row],[Code]],Locaties[#All],4,FALSE)</f>
        <v>Ravenswaaipad 3</v>
      </c>
      <c r="D86" s="53" t="str">
        <f>VLOOKUP(Ruimtestaat[[#This Row],[Code]],Locaties[#All],5,FALSE)</f>
        <v>1106 AW</v>
      </c>
      <c r="E86" s="53" t="str">
        <f>VLOOKUP(Ruimtestaat[[#This Row],[Code]],Locaties[#All],6,FALSE)</f>
        <v>Amsterdam</v>
      </c>
      <c r="F86" s="78" t="s">
        <v>347</v>
      </c>
      <c r="G86" s="53" t="s">
        <v>450</v>
      </c>
      <c r="H86" s="95" t="s">
        <v>467</v>
      </c>
      <c r="I86" s="23" t="s">
        <v>466</v>
      </c>
      <c r="J86" s="53">
        <v>5</v>
      </c>
      <c r="K86" s="78" t="str">
        <f>VLOOKUP(J86,Ruimtegroepen[],2,FALSE)</f>
        <v>Sanitair</v>
      </c>
      <c r="L86" s="53" t="s">
        <v>285</v>
      </c>
      <c r="M86" s="53" t="s">
        <v>370</v>
      </c>
      <c r="N86" s="79">
        <v>7</v>
      </c>
      <c r="O86" s="79"/>
      <c r="P86" s="80" t="str">
        <f>LEFT(VLOOKUP(Ruimtestaat[[#This Row],[Ruimte code]],Ruimtegroepen[#All],4,1),2)</f>
        <v xml:space="preserve">S </v>
      </c>
      <c r="Q86" s="79"/>
      <c r="R86" s="81">
        <v>40</v>
      </c>
      <c r="S86" s="81" t="s">
        <v>298</v>
      </c>
      <c r="T86" s="82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6" s="82">
        <f>IF(T86&gt;0,VLOOKUP($J86,Ruimtegroepen[],3,FALSE)*VLOOKUP($L86,Vloersoorten[],3,FALSE)*VLOOKUP($S86,Frequenties[],3,FALSE)*VLOOKUP($A86,Locaties[],3,FALSE),0)</f>
        <v>0</v>
      </c>
      <c r="V86" s="83">
        <f>Ruimtestaat[[#This Row],[Uitvoeringen werkdagen]]*Ruimtestaat[[#This Row],[Oppervlak (netto)]]</f>
        <v>1400</v>
      </c>
      <c r="W86" s="84">
        <f>IF(U86&gt;0,Ruimtestaat[[#This Row],[Prest. (m2 /jaar) werkdagen]]/Ruimtestaat[[#This Row],[Norm (m2/uur) werkdagen]],0)</f>
        <v>0</v>
      </c>
      <c r="X86" s="85">
        <f>Ruimtestaat[[#This Row],[uren / jaar werkdagen]]*Tariefsopbouw!$E$35</f>
        <v>0</v>
      </c>
      <c r="Y86" s="82"/>
      <c r="Z86" s="86">
        <f>IF(Ruimtestaat[[#This Row],[Frequentie weekend]]&gt;0,VALUE(LEFT(Y86,1))*R86,0)</f>
        <v>0</v>
      </c>
      <c r="AA86" s="82">
        <f>IF($Z86&gt;0,VLOOKUP($J86,Ruimtegroepen[],3,FALSE)*VLOOKUP($L86,Vloersoorten[],3,FALSE)*VLOOKUP($Y86,Frequenties[],3,FALSE)*VLOOKUP($A82,Locaties[],3,FALSE),0)</f>
        <v>0</v>
      </c>
      <c r="AB86" s="84">
        <f>Ruimtestaat[[#This Row],[Uitvoeringen weekend]]*Ruimtestaat[[#This Row],[Oppervlak (netto)]]</f>
        <v>0</v>
      </c>
      <c r="AC86" s="87">
        <f>IF(AB86&gt;0,Ruimtestaat[[#This Row],[Prest. (m2 /jaar) weekend]]/Ruimtestaat[[#This Row],[Norm (m2/uur) weekend]],0)</f>
        <v>0</v>
      </c>
      <c r="AD86" s="88">
        <f>Ruimtestaat[[#This Row],[uren / jaar weekend]]*Tariefsopbouw!$D$40</f>
        <v>0</v>
      </c>
      <c r="AE86" s="89">
        <f>Ruimtestaat[[#This Row],[Prest. (m2 /jaar) weekend]]+Ruimtestaat[[#This Row],[Prest. (m2 /jaar) werkdagen]]</f>
        <v>1400</v>
      </c>
      <c r="AF86" s="89">
        <f>Ruimtestaat[[#This Row],[uren / jaar weekend]]+Ruimtestaat[[#This Row],[uren / jaar werkdagen]]</f>
        <v>0</v>
      </c>
      <c r="AG86" s="90">
        <f>Ruimtestaat[[#This Row],[kosten / jaar weekend]]+Ruimtestaat[[#This Row],[kosten / jaar werkdagen]]</f>
        <v>0</v>
      </c>
      <c r="AH86" s="91"/>
      <c r="HL86" s="67"/>
    </row>
    <row r="87" spans="1:220" ht="15" customHeight="1">
      <c r="A87" s="53">
        <v>1</v>
      </c>
      <c r="B87" s="53" t="str">
        <f>VLOOKUP(Ruimtestaat[[#This Row],[Code]],Locaties[#All],2,FALSE)</f>
        <v>Ir. Lely Lyceum</v>
      </c>
      <c r="C87" s="53" t="str">
        <f>VLOOKUP(Ruimtestaat[[#This Row],[Code]],Locaties[#All],4,FALSE)</f>
        <v>Ravenswaaipad 3</v>
      </c>
      <c r="D87" s="53" t="str">
        <f>VLOOKUP(Ruimtestaat[[#This Row],[Code]],Locaties[#All],5,FALSE)</f>
        <v>1106 AW</v>
      </c>
      <c r="E87" s="53" t="str">
        <f>VLOOKUP(Ruimtestaat[[#This Row],[Code]],Locaties[#All],6,FALSE)</f>
        <v>Amsterdam</v>
      </c>
      <c r="F87" s="78" t="s">
        <v>347</v>
      </c>
      <c r="G87" s="53" t="s">
        <v>450</v>
      </c>
      <c r="H87" s="95" t="s">
        <v>468</v>
      </c>
      <c r="I87" s="23" t="s">
        <v>469</v>
      </c>
      <c r="J87" s="53">
        <v>14</v>
      </c>
      <c r="K87" s="78" t="str">
        <f>VLOOKUP(J87,Ruimtegroepen[],2,FALSE)</f>
        <v>Praktijklokalen binas/zorg</v>
      </c>
      <c r="L87" s="53" t="s">
        <v>280</v>
      </c>
      <c r="M87" s="53" t="s">
        <v>353</v>
      </c>
      <c r="N87" s="79">
        <v>49</v>
      </c>
      <c r="O87" s="79"/>
      <c r="P87" s="80" t="str">
        <f>LEFT(VLOOKUP(Ruimtestaat[[#This Row],[Ruimte code]],Ruimtegroepen[#All],4,1),2)</f>
        <v xml:space="preserve">L </v>
      </c>
      <c r="Q87" s="80"/>
      <c r="R87" s="81">
        <v>40</v>
      </c>
      <c r="S87" s="81" t="s">
        <v>298</v>
      </c>
      <c r="T87" s="82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7" s="82">
        <f>IF(T87&gt;0,VLOOKUP($J87,Ruimtegroepen[],3,FALSE)*VLOOKUP($L87,Vloersoorten[],3,FALSE)*VLOOKUP($S87,Frequenties[],3,FALSE)*VLOOKUP($A87,Locaties[],3,FALSE),0)</f>
        <v>0</v>
      </c>
      <c r="V87" s="83">
        <f>Ruimtestaat[[#This Row],[Uitvoeringen werkdagen]]*Ruimtestaat[[#This Row],[Oppervlak (netto)]]</f>
        <v>9800</v>
      </c>
      <c r="W87" s="84">
        <f>IF(U87&gt;0,Ruimtestaat[[#This Row],[Prest. (m2 /jaar) werkdagen]]/Ruimtestaat[[#This Row],[Norm (m2/uur) werkdagen]],0)</f>
        <v>0</v>
      </c>
      <c r="X87" s="85">
        <f>Ruimtestaat[[#This Row],[uren / jaar werkdagen]]*Tariefsopbouw!$E$35</f>
        <v>0</v>
      </c>
      <c r="Y87" s="82"/>
      <c r="Z87" s="86">
        <f>IF(Ruimtestaat[[#This Row],[Frequentie weekend]]&gt;0,VALUE(LEFT(Y87,1))*R87,0)</f>
        <v>0</v>
      </c>
      <c r="AA87" s="82">
        <f>IF($Z87&gt;0,VLOOKUP($J87,Ruimtegroepen[],3,FALSE)*VLOOKUP($L87,Vloersoorten[],3,FALSE)*VLOOKUP($Y87,Frequenties[],3,FALSE)*VLOOKUP($A83,Locaties[],3,FALSE),0)</f>
        <v>0</v>
      </c>
      <c r="AB87" s="84">
        <f>Ruimtestaat[[#This Row],[Uitvoeringen weekend]]*Ruimtestaat[[#This Row],[Oppervlak (netto)]]</f>
        <v>0</v>
      </c>
      <c r="AC87" s="87">
        <f>IF(AB87&gt;0,Ruimtestaat[[#This Row],[Prest. (m2 /jaar) weekend]]/Ruimtestaat[[#This Row],[Norm (m2/uur) weekend]],0)</f>
        <v>0</v>
      </c>
      <c r="AD87" s="88">
        <f>Ruimtestaat[[#This Row],[uren / jaar weekend]]*Tariefsopbouw!$D$40</f>
        <v>0</v>
      </c>
      <c r="AE87" s="89">
        <f>Ruimtestaat[[#This Row],[Prest. (m2 /jaar) weekend]]+Ruimtestaat[[#This Row],[Prest. (m2 /jaar) werkdagen]]</f>
        <v>9800</v>
      </c>
      <c r="AF87" s="89">
        <f>Ruimtestaat[[#This Row],[uren / jaar weekend]]+Ruimtestaat[[#This Row],[uren / jaar werkdagen]]</f>
        <v>0</v>
      </c>
      <c r="AG87" s="90">
        <f>Ruimtestaat[[#This Row],[kosten / jaar weekend]]+Ruimtestaat[[#This Row],[kosten / jaar werkdagen]]</f>
        <v>0</v>
      </c>
      <c r="AH87" s="91"/>
      <c r="HL87" s="67"/>
    </row>
    <row r="88" spans="1:220" ht="15" customHeight="1">
      <c r="A88" s="53">
        <v>1</v>
      </c>
      <c r="B88" s="53" t="str">
        <f>VLOOKUP(Ruimtestaat[[#This Row],[Code]],Locaties[#All],2,FALSE)</f>
        <v>Ir. Lely Lyceum</v>
      </c>
      <c r="C88" s="53" t="str">
        <f>VLOOKUP(Ruimtestaat[[#This Row],[Code]],Locaties[#All],4,FALSE)</f>
        <v>Ravenswaaipad 3</v>
      </c>
      <c r="D88" s="53" t="str">
        <f>VLOOKUP(Ruimtestaat[[#This Row],[Code]],Locaties[#All],5,FALSE)</f>
        <v>1106 AW</v>
      </c>
      <c r="E88" s="53" t="str">
        <f>VLOOKUP(Ruimtestaat[[#This Row],[Code]],Locaties[#All],6,FALSE)</f>
        <v>Amsterdam</v>
      </c>
      <c r="F88" s="78" t="s">
        <v>347</v>
      </c>
      <c r="G88" s="53" t="s">
        <v>450</v>
      </c>
      <c r="H88" s="95" t="s">
        <v>470</v>
      </c>
      <c r="I88" s="23" t="s">
        <v>469</v>
      </c>
      <c r="J88" s="53">
        <v>14</v>
      </c>
      <c r="K88" s="78" t="str">
        <f>VLOOKUP(J88,Ruimtegroepen[],2,FALSE)</f>
        <v>Praktijklokalen binas/zorg</v>
      </c>
      <c r="L88" s="53" t="s">
        <v>280</v>
      </c>
      <c r="M88" s="53" t="s">
        <v>353</v>
      </c>
      <c r="N88" s="79">
        <v>73.5</v>
      </c>
      <c r="O88" s="79"/>
      <c r="P88" s="80" t="str">
        <f>LEFT(VLOOKUP(Ruimtestaat[[#This Row],[Ruimte code]],Ruimtegroepen[#All],4,1),2)</f>
        <v xml:space="preserve">L </v>
      </c>
      <c r="Q88" s="80"/>
      <c r="R88" s="81">
        <v>40</v>
      </c>
      <c r="S88" s="81" t="s">
        <v>298</v>
      </c>
      <c r="T88" s="82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8" s="82">
        <f>IF(T88&gt;0,VLOOKUP($J88,Ruimtegroepen[],3,FALSE)*VLOOKUP($L88,Vloersoorten[],3,FALSE)*VLOOKUP($S88,Frequenties[],3,FALSE)*VLOOKUP($A88,Locaties[],3,FALSE),0)</f>
        <v>0</v>
      </c>
      <c r="V88" s="83">
        <f>Ruimtestaat[[#This Row],[Uitvoeringen werkdagen]]*Ruimtestaat[[#This Row],[Oppervlak (netto)]]</f>
        <v>14700</v>
      </c>
      <c r="W88" s="84">
        <f>IF(U88&gt;0,Ruimtestaat[[#This Row],[Prest. (m2 /jaar) werkdagen]]/Ruimtestaat[[#This Row],[Norm (m2/uur) werkdagen]],0)</f>
        <v>0</v>
      </c>
      <c r="X88" s="85">
        <f>Ruimtestaat[[#This Row],[uren / jaar werkdagen]]*Tariefsopbouw!$E$35</f>
        <v>0</v>
      </c>
      <c r="Y88" s="82"/>
      <c r="Z88" s="86">
        <f>IF(Ruimtestaat[[#This Row],[Frequentie weekend]]&gt;0,VALUE(LEFT(Y88,1))*R88,0)</f>
        <v>0</v>
      </c>
      <c r="AA88" s="82">
        <f>IF($Z88&gt;0,VLOOKUP($J88,Ruimtegroepen[],3,FALSE)*VLOOKUP($L88,Vloersoorten[],3,FALSE)*VLOOKUP($Y88,Frequenties[],3,FALSE)*VLOOKUP($A84,Locaties[],3,FALSE),0)</f>
        <v>0</v>
      </c>
      <c r="AB88" s="84">
        <f>Ruimtestaat[[#This Row],[Uitvoeringen weekend]]*Ruimtestaat[[#This Row],[Oppervlak (netto)]]</f>
        <v>0</v>
      </c>
      <c r="AC88" s="87">
        <f>IF(AB88&gt;0,Ruimtestaat[[#This Row],[Prest. (m2 /jaar) weekend]]/Ruimtestaat[[#This Row],[Norm (m2/uur) weekend]],0)</f>
        <v>0</v>
      </c>
      <c r="AD88" s="88">
        <f>Ruimtestaat[[#This Row],[uren / jaar weekend]]*Tariefsopbouw!$D$40</f>
        <v>0</v>
      </c>
      <c r="AE88" s="89">
        <f>Ruimtestaat[[#This Row],[Prest. (m2 /jaar) weekend]]+Ruimtestaat[[#This Row],[Prest. (m2 /jaar) werkdagen]]</f>
        <v>14700</v>
      </c>
      <c r="AF88" s="89">
        <f>Ruimtestaat[[#This Row],[uren / jaar weekend]]+Ruimtestaat[[#This Row],[uren / jaar werkdagen]]</f>
        <v>0</v>
      </c>
      <c r="AG88" s="90">
        <f>Ruimtestaat[[#This Row],[kosten / jaar weekend]]+Ruimtestaat[[#This Row],[kosten / jaar werkdagen]]</f>
        <v>0</v>
      </c>
      <c r="AH88" s="91"/>
      <c r="HL88" s="67"/>
    </row>
    <row r="89" spans="1:220" ht="15" customHeight="1">
      <c r="A89" s="53">
        <v>1</v>
      </c>
      <c r="B89" s="53" t="str">
        <f>VLOOKUP(Ruimtestaat[[#This Row],[Code]],Locaties[#All],2,FALSE)</f>
        <v>Ir. Lely Lyceum</v>
      </c>
      <c r="C89" s="53" t="str">
        <f>VLOOKUP(Ruimtestaat[[#This Row],[Code]],Locaties[#All],4,FALSE)</f>
        <v>Ravenswaaipad 3</v>
      </c>
      <c r="D89" s="53" t="str">
        <f>VLOOKUP(Ruimtestaat[[#This Row],[Code]],Locaties[#All],5,FALSE)</f>
        <v>1106 AW</v>
      </c>
      <c r="E89" s="53" t="str">
        <f>VLOOKUP(Ruimtestaat[[#This Row],[Code]],Locaties[#All],6,FALSE)</f>
        <v>Amsterdam</v>
      </c>
      <c r="F89" s="78" t="s">
        <v>347</v>
      </c>
      <c r="G89" s="53" t="s">
        <v>450</v>
      </c>
      <c r="H89" s="95" t="s">
        <v>471</v>
      </c>
      <c r="I89" s="23" t="s">
        <v>469</v>
      </c>
      <c r="J89" s="53">
        <v>14</v>
      </c>
      <c r="K89" s="78" t="str">
        <f>VLOOKUP(J89,Ruimtegroepen[],2,FALSE)</f>
        <v>Praktijklokalen binas/zorg</v>
      </c>
      <c r="L89" s="53" t="s">
        <v>280</v>
      </c>
      <c r="M89" s="53" t="s">
        <v>353</v>
      </c>
      <c r="N89" s="79">
        <v>66.5</v>
      </c>
      <c r="O89" s="79"/>
      <c r="P89" s="80" t="str">
        <f>LEFT(VLOOKUP(Ruimtestaat[[#This Row],[Ruimte code]],Ruimtegroepen[#All],4,1),2)</f>
        <v xml:space="preserve">L </v>
      </c>
      <c r="Q89" s="80"/>
      <c r="R89" s="81">
        <v>40</v>
      </c>
      <c r="S89" s="81" t="s">
        <v>298</v>
      </c>
      <c r="T89" s="82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89" s="82">
        <f>IF(T89&gt;0,VLOOKUP($J89,Ruimtegroepen[],3,FALSE)*VLOOKUP($L89,Vloersoorten[],3,FALSE)*VLOOKUP($S89,Frequenties[],3,FALSE)*VLOOKUP($A89,Locaties[],3,FALSE),0)</f>
        <v>0</v>
      </c>
      <c r="V89" s="83">
        <f>Ruimtestaat[[#This Row],[Uitvoeringen werkdagen]]*Ruimtestaat[[#This Row],[Oppervlak (netto)]]</f>
        <v>13300</v>
      </c>
      <c r="W89" s="84">
        <f>IF(U89&gt;0,Ruimtestaat[[#This Row],[Prest. (m2 /jaar) werkdagen]]/Ruimtestaat[[#This Row],[Norm (m2/uur) werkdagen]],0)</f>
        <v>0</v>
      </c>
      <c r="X89" s="85">
        <f>Ruimtestaat[[#This Row],[uren / jaar werkdagen]]*Tariefsopbouw!$E$35</f>
        <v>0</v>
      </c>
      <c r="Y89" s="82"/>
      <c r="Z89" s="86">
        <f>IF(Ruimtestaat[[#This Row],[Frequentie weekend]]&gt;0,VALUE(LEFT(Y89,1))*R89,0)</f>
        <v>0</v>
      </c>
      <c r="AA89" s="82">
        <f>IF($Z89&gt;0,VLOOKUP($J89,Ruimtegroepen[],3,FALSE)*VLOOKUP($L89,Vloersoorten[],3,FALSE)*VLOOKUP($Y89,Frequenties[],3,FALSE)*VLOOKUP($A84,Locaties[],3,FALSE),0)</f>
        <v>0</v>
      </c>
      <c r="AB89" s="84">
        <f>Ruimtestaat[[#This Row],[Uitvoeringen weekend]]*Ruimtestaat[[#This Row],[Oppervlak (netto)]]</f>
        <v>0</v>
      </c>
      <c r="AC89" s="87">
        <f>IF(AB89&gt;0,Ruimtestaat[[#This Row],[Prest. (m2 /jaar) weekend]]/Ruimtestaat[[#This Row],[Norm (m2/uur) weekend]],0)</f>
        <v>0</v>
      </c>
      <c r="AD89" s="88">
        <f>Ruimtestaat[[#This Row],[uren / jaar weekend]]*Tariefsopbouw!$D$40</f>
        <v>0</v>
      </c>
      <c r="AE89" s="89">
        <f>Ruimtestaat[[#This Row],[Prest. (m2 /jaar) weekend]]+Ruimtestaat[[#This Row],[Prest. (m2 /jaar) werkdagen]]</f>
        <v>13300</v>
      </c>
      <c r="AF89" s="89">
        <f>Ruimtestaat[[#This Row],[uren / jaar weekend]]+Ruimtestaat[[#This Row],[uren / jaar werkdagen]]</f>
        <v>0</v>
      </c>
      <c r="AG89" s="90">
        <f>Ruimtestaat[[#This Row],[kosten / jaar weekend]]+Ruimtestaat[[#This Row],[kosten / jaar werkdagen]]</f>
        <v>0</v>
      </c>
      <c r="AH89" s="91"/>
      <c r="HL89" s="67"/>
    </row>
    <row r="90" spans="1:220" ht="15" customHeight="1">
      <c r="A90" s="53">
        <v>1</v>
      </c>
      <c r="B90" s="53" t="str">
        <f>VLOOKUP(Ruimtestaat[[#This Row],[Code]],Locaties[#All],2,FALSE)</f>
        <v>Ir. Lely Lyceum</v>
      </c>
      <c r="C90" s="53" t="str">
        <f>VLOOKUP(Ruimtestaat[[#This Row],[Code]],Locaties[#All],4,FALSE)</f>
        <v>Ravenswaaipad 3</v>
      </c>
      <c r="D90" s="53" t="str">
        <f>VLOOKUP(Ruimtestaat[[#This Row],[Code]],Locaties[#All],5,FALSE)</f>
        <v>1106 AW</v>
      </c>
      <c r="E90" s="53" t="str">
        <f>VLOOKUP(Ruimtestaat[[#This Row],[Code]],Locaties[#All],6,FALSE)</f>
        <v>Amsterdam</v>
      </c>
      <c r="F90" s="78" t="s">
        <v>347</v>
      </c>
      <c r="G90" s="53" t="s">
        <v>450</v>
      </c>
      <c r="H90" s="95" t="s">
        <v>472</v>
      </c>
      <c r="I90" s="23" t="s">
        <v>473</v>
      </c>
      <c r="J90" s="53">
        <v>11</v>
      </c>
      <c r="K90" s="78" t="str">
        <f>VLOOKUP(J90,Ruimtegroepen[],2,FALSE)</f>
        <v>Kooklokaal/leskeuken</v>
      </c>
      <c r="L90" s="53" t="s">
        <v>280</v>
      </c>
      <c r="M90" s="53" t="s">
        <v>353</v>
      </c>
      <c r="N90" s="79">
        <v>15.75</v>
      </c>
      <c r="O90" s="79"/>
      <c r="P90" s="80" t="str">
        <f>LEFT(VLOOKUP(Ruimtestaat[[#This Row],[Ruimte code]],Ruimtegroepen[#All],4,1),2)</f>
        <v xml:space="preserve">L </v>
      </c>
      <c r="Q90" s="80"/>
      <c r="R90" s="81">
        <v>40</v>
      </c>
      <c r="S90" s="81" t="s">
        <v>298</v>
      </c>
      <c r="T90" s="82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0" s="82">
        <f>IF(T90&gt;0,VLOOKUP($J90,Ruimtegroepen[],3,FALSE)*VLOOKUP($L90,Vloersoorten[],3,FALSE)*VLOOKUP($S90,Frequenties[],3,FALSE)*VLOOKUP($A90,Locaties[],3,FALSE),0)</f>
        <v>0</v>
      </c>
      <c r="V90" s="83">
        <f>Ruimtestaat[[#This Row],[Uitvoeringen werkdagen]]*Ruimtestaat[[#This Row],[Oppervlak (netto)]]</f>
        <v>3150</v>
      </c>
      <c r="W90" s="84">
        <f>IF(U90&gt;0,Ruimtestaat[[#This Row],[Prest. (m2 /jaar) werkdagen]]/Ruimtestaat[[#This Row],[Norm (m2/uur) werkdagen]],0)</f>
        <v>0</v>
      </c>
      <c r="X90" s="85">
        <f>Ruimtestaat[[#This Row],[uren / jaar werkdagen]]*Tariefsopbouw!$E$35</f>
        <v>0</v>
      </c>
      <c r="Y90" s="82"/>
      <c r="Z90" s="86">
        <f>IF(Ruimtestaat[[#This Row],[Frequentie weekend]]&gt;0,VALUE(LEFT(Y90,1))*R90,0)</f>
        <v>0</v>
      </c>
      <c r="AA90" s="82">
        <f>IF($Z90&gt;0,VLOOKUP($J90,Ruimtegroepen[],3,FALSE)*VLOOKUP($L90,Vloersoorten[],3,FALSE)*VLOOKUP($Y90,Frequenties[],3,FALSE)*VLOOKUP($A85,Locaties[],3,FALSE),0)</f>
        <v>0</v>
      </c>
      <c r="AB90" s="84">
        <f>Ruimtestaat[[#This Row],[Uitvoeringen weekend]]*Ruimtestaat[[#This Row],[Oppervlak (netto)]]</f>
        <v>0</v>
      </c>
      <c r="AC90" s="87">
        <f>IF(AB90&gt;0,Ruimtestaat[[#This Row],[Prest. (m2 /jaar) weekend]]/Ruimtestaat[[#This Row],[Norm (m2/uur) weekend]],0)</f>
        <v>0</v>
      </c>
      <c r="AD90" s="88">
        <f>Ruimtestaat[[#This Row],[uren / jaar weekend]]*Tariefsopbouw!$D$40</f>
        <v>0</v>
      </c>
      <c r="AE90" s="89">
        <f>Ruimtestaat[[#This Row],[Prest. (m2 /jaar) weekend]]+Ruimtestaat[[#This Row],[Prest. (m2 /jaar) werkdagen]]</f>
        <v>3150</v>
      </c>
      <c r="AF90" s="89">
        <f>Ruimtestaat[[#This Row],[uren / jaar weekend]]+Ruimtestaat[[#This Row],[uren / jaar werkdagen]]</f>
        <v>0</v>
      </c>
      <c r="AG90" s="90">
        <f>Ruimtestaat[[#This Row],[kosten / jaar weekend]]+Ruimtestaat[[#This Row],[kosten / jaar werkdagen]]</f>
        <v>0</v>
      </c>
      <c r="AH90" s="91"/>
      <c r="HL90" s="67"/>
    </row>
    <row r="91" spans="1:220" ht="15" customHeight="1">
      <c r="A91" s="53">
        <v>1</v>
      </c>
      <c r="B91" s="53" t="str">
        <f>VLOOKUP(Ruimtestaat[[#This Row],[Code]],Locaties[#All],2,FALSE)</f>
        <v>Ir. Lely Lyceum</v>
      </c>
      <c r="C91" s="53" t="str">
        <f>VLOOKUP(Ruimtestaat[[#This Row],[Code]],Locaties[#All],4,FALSE)</f>
        <v>Ravenswaaipad 3</v>
      </c>
      <c r="D91" s="53" t="str">
        <f>VLOOKUP(Ruimtestaat[[#This Row],[Code]],Locaties[#All],5,FALSE)</f>
        <v>1106 AW</v>
      </c>
      <c r="E91" s="53" t="str">
        <f>VLOOKUP(Ruimtestaat[[#This Row],[Code]],Locaties[#All],6,FALSE)</f>
        <v>Amsterdam</v>
      </c>
      <c r="F91" s="78" t="s">
        <v>347</v>
      </c>
      <c r="G91" s="53" t="s">
        <v>450</v>
      </c>
      <c r="H91" s="95" t="s">
        <v>474</v>
      </c>
      <c r="I91" s="23" t="s">
        <v>375</v>
      </c>
      <c r="J91" s="53">
        <v>20</v>
      </c>
      <c r="K91" s="78" t="str">
        <f>VLOOKUP(J91,Ruimtegroepen[],2,FALSE)</f>
        <v>Niet in onderhoud</v>
      </c>
      <c r="L91" s="53" t="s">
        <v>280</v>
      </c>
      <c r="M91" s="53" t="s">
        <v>353</v>
      </c>
      <c r="N91" s="79"/>
      <c r="O91" s="79">
        <v>15.75</v>
      </c>
      <c r="P91" s="80" t="str">
        <f>LEFT(VLOOKUP(Ruimtestaat[[#This Row],[Ruimte code]],Ruimtegroepen[#All],4,1),2)</f>
        <v/>
      </c>
      <c r="Q91" s="80"/>
      <c r="R91" s="81"/>
      <c r="S91" s="81"/>
      <c r="T91" s="82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1" s="82">
        <f>IF(T91&gt;0,VLOOKUP($J91,Ruimtegroepen[],3,FALSE)*VLOOKUP($L91,Vloersoorten[],3,FALSE)*VLOOKUP($S91,Frequenties[],3,FALSE)*VLOOKUP($A91,Locaties[],3,FALSE),0)</f>
        <v>0</v>
      </c>
      <c r="V91" s="83">
        <f>Ruimtestaat[[#This Row],[Uitvoeringen werkdagen]]*Ruimtestaat[[#This Row],[Oppervlak (netto)]]</f>
        <v>0</v>
      </c>
      <c r="W91" s="84">
        <f>IF(U91&gt;0,Ruimtestaat[[#This Row],[Prest. (m2 /jaar) werkdagen]]/Ruimtestaat[[#This Row],[Norm (m2/uur) werkdagen]],0)</f>
        <v>0</v>
      </c>
      <c r="X91" s="85">
        <f>Ruimtestaat[[#This Row],[uren / jaar werkdagen]]*Tariefsopbouw!$E$35</f>
        <v>0</v>
      </c>
      <c r="Y91" s="82"/>
      <c r="Z91" s="86">
        <f>IF(Ruimtestaat[[#This Row],[Frequentie weekend]]&gt;0,VALUE(LEFT(Y91,1))*R91,0)</f>
        <v>0</v>
      </c>
      <c r="AA91" s="82">
        <f>IF($Z91&gt;0,VLOOKUP($J91,Ruimtegroepen[],3,FALSE)*VLOOKUP($L91,Vloersoorten[],3,FALSE)*VLOOKUP($Y91,Frequenties[],3,FALSE)*VLOOKUP($A86,Locaties[],3,FALSE),0)</f>
        <v>0</v>
      </c>
      <c r="AB91" s="84">
        <f>Ruimtestaat[[#This Row],[Uitvoeringen weekend]]*Ruimtestaat[[#This Row],[Oppervlak (netto)]]</f>
        <v>0</v>
      </c>
      <c r="AC91" s="87">
        <f>IF(AB91&gt;0,Ruimtestaat[[#This Row],[Prest. (m2 /jaar) weekend]]/Ruimtestaat[[#This Row],[Norm (m2/uur) weekend]],0)</f>
        <v>0</v>
      </c>
      <c r="AD91" s="88">
        <f>Ruimtestaat[[#This Row],[uren / jaar weekend]]*Tariefsopbouw!$D$40</f>
        <v>0</v>
      </c>
      <c r="AE91" s="89">
        <f>Ruimtestaat[[#This Row],[Prest. (m2 /jaar) weekend]]+Ruimtestaat[[#This Row],[Prest. (m2 /jaar) werkdagen]]</f>
        <v>0</v>
      </c>
      <c r="AF91" s="89">
        <f>Ruimtestaat[[#This Row],[uren / jaar weekend]]+Ruimtestaat[[#This Row],[uren / jaar werkdagen]]</f>
        <v>0</v>
      </c>
      <c r="AG91" s="90">
        <f>Ruimtestaat[[#This Row],[kosten / jaar weekend]]+Ruimtestaat[[#This Row],[kosten / jaar werkdagen]]</f>
        <v>0</v>
      </c>
      <c r="AH91" s="91"/>
      <c r="HL91" s="67"/>
    </row>
    <row r="92" spans="1:220" ht="15" customHeight="1">
      <c r="A92" s="53">
        <v>1</v>
      </c>
      <c r="B92" s="53" t="str">
        <f>VLOOKUP(Ruimtestaat[[#This Row],[Code]],Locaties[#All],2,FALSE)</f>
        <v>Ir. Lely Lyceum</v>
      </c>
      <c r="C92" s="53" t="str">
        <f>VLOOKUP(Ruimtestaat[[#This Row],[Code]],Locaties[#All],4,FALSE)</f>
        <v>Ravenswaaipad 3</v>
      </c>
      <c r="D92" s="53" t="str">
        <f>VLOOKUP(Ruimtestaat[[#This Row],[Code]],Locaties[#All],5,FALSE)</f>
        <v>1106 AW</v>
      </c>
      <c r="E92" s="53" t="str">
        <f>VLOOKUP(Ruimtestaat[[#This Row],[Code]],Locaties[#All],6,FALSE)</f>
        <v>Amsterdam</v>
      </c>
      <c r="F92" s="78" t="s">
        <v>347</v>
      </c>
      <c r="G92" s="53" t="s">
        <v>450</v>
      </c>
      <c r="H92" s="95" t="s">
        <v>475</v>
      </c>
      <c r="I92" s="23" t="s">
        <v>456</v>
      </c>
      <c r="J92" s="53">
        <v>6</v>
      </c>
      <c r="K92" s="78" t="str">
        <f>VLOOKUP(J92,Ruimtegroepen[],2,FALSE)</f>
        <v>Gangen/hallen</v>
      </c>
      <c r="L92" s="53" t="s">
        <v>280</v>
      </c>
      <c r="M92" s="53" t="s">
        <v>353</v>
      </c>
      <c r="N92" s="79">
        <v>59.15</v>
      </c>
      <c r="O92" s="79"/>
      <c r="P92" s="80" t="str">
        <f>LEFT(VLOOKUP(Ruimtestaat[[#This Row],[Ruimte code]],Ruimtegroepen[#All],4,1),2)</f>
        <v xml:space="preserve">V </v>
      </c>
      <c r="Q92" s="80"/>
      <c r="R92" s="81">
        <v>40</v>
      </c>
      <c r="S92" s="81" t="s">
        <v>298</v>
      </c>
      <c r="T92" s="82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2" s="82">
        <f>IF(T92&gt;0,VLOOKUP($J92,Ruimtegroepen[],3,FALSE)*VLOOKUP($L92,Vloersoorten[],3,FALSE)*VLOOKUP($S92,Frequenties[],3,FALSE)*VLOOKUP($A92,Locaties[],3,FALSE),0)</f>
        <v>0</v>
      </c>
      <c r="V92" s="83">
        <f>Ruimtestaat[[#This Row],[Uitvoeringen werkdagen]]*Ruimtestaat[[#This Row],[Oppervlak (netto)]]</f>
        <v>11830</v>
      </c>
      <c r="W92" s="84">
        <f>IF(U92&gt;0,Ruimtestaat[[#This Row],[Prest. (m2 /jaar) werkdagen]]/Ruimtestaat[[#This Row],[Norm (m2/uur) werkdagen]],0)</f>
        <v>0</v>
      </c>
      <c r="X92" s="85">
        <f>Ruimtestaat[[#This Row],[uren / jaar werkdagen]]*Tariefsopbouw!$E$35</f>
        <v>0</v>
      </c>
      <c r="Y92" s="82"/>
      <c r="Z92" s="86">
        <f>IF(Ruimtestaat[[#This Row],[Frequentie weekend]]&gt;0,VALUE(LEFT(Y92,1))*R92,0)</f>
        <v>0</v>
      </c>
      <c r="AA92" s="82">
        <f>IF($Z92&gt;0,VLOOKUP($J92,Ruimtegroepen[],3,FALSE)*VLOOKUP($L92,Vloersoorten[],3,FALSE)*VLOOKUP($Y92,Frequenties[],3,FALSE)*VLOOKUP($A87,Locaties[],3,FALSE),0)</f>
        <v>0</v>
      </c>
      <c r="AB92" s="84">
        <f>Ruimtestaat[[#This Row],[Uitvoeringen weekend]]*Ruimtestaat[[#This Row],[Oppervlak (netto)]]</f>
        <v>0</v>
      </c>
      <c r="AC92" s="87">
        <f>IF(AB92&gt;0,Ruimtestaat[[#This Row],[Prest. (m2 /jaar) weekend]]/Ruimtestaat[[#This Row],[Norm (m2/uur) weekend]],0)</f>
        <v>0</v>
      </c>
      <c r="AD92" s="88">
        <f>Ruimtestaat[[#This Row],[uren / jaar weekend]]*Tariefsopbouw!$D$40</f>
        <v>0</v>
      </c>
      <c r="AE92" s="89">
        <f>Ruimtestaat[[#This Row],[Prest. (m2 /jaar) weekend]]+Ruimtestaat[[#This Row],[Prest. (m2 /jaar) werkdagen]]</f>
        <v>11830</v>
      </c>
      <c r="AF92" s="89">
        <f>Ruimtestaat[[#This Row],[uren / jaar weekend]]+Ruimtestaat[[#This Row],[uren / jaar werkdagen]]</f>
        <v>0</v>
      </c>
      <c r="AG92" s="90">
        <f>Ruimtestaat[[#This Row],[kosten / jaar weekend]]+Ruimtestaat[[#This Row],[kosten / jaar werkdagen]]</f>
        <v>0</v>
      </c>
      <c r="AH92" s="91"/>
      <c r="HL92" s="67"/>
    </row>
    <row r="93" spans="1:220" ht="15" customHeight="1">
      <c r="A93" s="53">
        <v>1</v>
      </c>
      <c r="B93" s="53" t="str">
        <f>VLOOKUP(Ruimtestaat[[#This Row],[Code]],Locaties[#All],2,FALSE)</f>
        <v>Ir. Lely Lyceum</v>
      </c>
      <c r="C93" s="53" t="str">
        <f>VLOOKUP(Ruimtestaat[[#This Row],[Code]],Locaties[#All],4,FALSE)</f>
        <v>Ravenswaaipad 3</v>
      </c>
      <c r="D93" s="53" t="str">
        <f>VLOOKUP(Ruimtestaat[[#This Row],[Code]],Locaties[#All],5,FALSE)</f>
        <v>1106 AW</v>
      </c>
      <c r="E93" s="53" t="str">
        <f>VLOOKUP(Ruimtestaat[[#This Row],[Code]],Locaties[#All],6,FALSE)</f>
        <v>Amsterdam</v>
      </c>
      <c r="F93" s="78" t="s">
        <v>347</v>
      </c>
      <c r="G93" s="53" t="s">
        <v>450</v>
      </c>
      <c r="H93" s="95" t="s">
        <v>476</v>
      </c>
      <c r="I93" s="23" t="s">
        <v>469</v>
      </c>
      <c r="J93" s="53">
        <v>14</v>
      </c>
      <c r="K93" s="78" t="str">
        <f>VLOOKUP(J93,Ruimtegroepen[],2,FALSE)</f>
        <v>Praktijklokalen binas/zorg</v>
      </c>
      <c r="L93" s="53" t="s">
        <v>280</v>
      </c>
      <c r="M93" s="53" t="s">
        <v>353</v>
      </c>
      <c r="N93" s="79">
        <v>73.5</v>
      </c>
      <c r="O93" s="79"/>
      <c r="P93" s="80" t="str">
        <f>LEFT(VLOOKUP(Ruimtestaat[[#This Row],[Ruimte code]],Ruimtegroepen[#All],4,1),2)</f>
        <v xml:space="preserve">L </v>
      </c>
      <c r="Q93" s="80"/>
      <c r="R93" s="81">
        <v>40</v>
      </c>
      <c r="S93" s="81" t="s">
        <v>298</v>
      </c>
      <c r="T93" s="82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3" s="82">
        <f>IF(T93&gt;0,VLOOKUP($J93,Ruimtegroepen[],3,FALSE)*VLOOKUP($L93,Vloersoorten[],3,FALSE)*VLOOKUP($S93,Frequenties[],3,FALSE)*VLOOKUP($A93,Locaties[],3,FALSE),0)</f>
        <v>0</v>
      </c>
      <c r="V93" s="83">
        <f>Ruimtestaat[[#This Row],[Uitvoeringen werkdagen]]*Ruimtestaat[[#This Row],[Oppervlak (netto)]]</f>
        <v>14700</v>
      </c>
      <c r="W93" s="84">
        <f>IF(U93&gt;0,Ruimtestaat[[#This Row],[Prest. (m2 /jaar) werkdagen]]/Ruimtestaat[[#This Row],[Norm (m2/uur) werkdagen]],0)</f>
        <v>0</v>
      </c>
      <c r="X93" s="85">
        <f>Ruimtestaat[[#This Row],[uren / jaar werkdagen]]*Tariefsopbouw!$E$35</f>
        <v>0</v>
      </c>
      <c r="Y93" s="82"/>
      <c r="Z93" s="86">
        <f>IF(Ruimtestaat[[#This Row],[Frequentie weekend]]&gt;0,VALUE(LEFT(Y93,1))*R93,0)</f>
        <v>0</v>
      </c>
      <c r="AA93" s="82">
        <f>IF($Z93&gt;0,VLOOKUP($J93,Ruimtegroepen[],3,FALSE)*VLOOKUP($L93,Vloersoorten[],3,FALSE)*VLOOKUP($Y93,Frequenties[],3,FALSE)*VLOOKUP($A88,Locaties[],3,FALSE),0)</f>
        <v>0</v>
      </c>
      <c r="AB93" s="84">
        <f>Ruimtestaat[[#This Row],[Uitvoeringen weekend]]*Ruimtestaat[[#This Row],[Oppervlak (netto)]]</f>
        <v>0</v>
      </c>
      <c r="AC93" s="87">
        <f>IF(AB93&gt;0,Ruimtestaat[[#This Row],[Prest. (m2 /jaar) weekend]]/Ruimtestaat[[#This Row],[Norm (m2/uur) weekend]],0)</f>
        <v>0</v>
      </c>
      <c r="AD93" s="88">
        <f>Ruimtestaat[[#This Row],[uren / jaar weekend]]*Tariefsopbouw!$D$40</f>
        <v>0</v>
      </c>
      <c r="AE93" s="89">
        <f>Ruimtestaat[[#This Row],[Prest. (m2 /jaar) weekend]]+Ruimtestaat[[#This Row],[Prest. (m2 /jaar) werkdagen]]</f>
        <v>14700</v>
      </c>
      <c r="AF93" s="89">
        <f>Ruimtestaat[[#This Row],[uren / jaar weekend]]+Ruimtestaat[[#This Row],[uren / jaar werkdagen]]</f>
        <v>0</v>
      </c>
      <c r="AG93" s="90">
        <f>Ruimtestaat[[#This Row],[kosten / jaar weekend]]+Ruimtestaat[[#This Row],[kosten / jaar werkdagen]]</f>
        <v>0</v>
      </c>
      <c r="AH93" s="91"/>
      <c r="HL93" s="67"/>
    </row>
    <row r="94" spans="1:220" ht="15" customHeight="1">
      <c r="A94" s="53">
        <v>1</v>
      </c>
      <c r="B94" s="53" t="str">
        <f>VLOOKUP(Ruimtestaat[[#This Row],[Code]],Locaties[#All],2,FALSE)</f>
        <v>Ir. Lely Lyceum</v>
      </c>
      <c r="C94" s="53" t="str">
        <f>VLOOKUP(Ruimtestaat[[#This Row],[Code]],Locaties[#All],4,FALSE)</f>
        <v>Ravenswaaipad 3</v>
      </c>
      <c r="D94" s="53" t="str">
        <f>VLOOKUP(Ruimtestaat[[#This Row],[Code]],Locaties[#All],5,FALSE)</f>
        <v>1106 AW</v>
      </c>
      <c r="E94" s="53" t="str">
        <f>VLOOKUP(Ruimtestaat[[#This Row],[Code]],Locaties[#All],6,FALSE)</f>
        <v>Amsterdam</v>
      </c>
      <c r="F94" s="78" t="s">
        <v>347</v>
      </c>
      <c r="G94" s="53" t="s">
        <v>450</v>
      </c>
      <c r="H94" s="95" t="s">
        <v>477</v>
      </c>
      <c r="I94" s="78" t="s">
        <v>478</v>
      </c>
      <c r="J94" s="53">
        <v>11</v>
      </c>
      <c r="K94" s="78" t="str">
        <f>VLOOKUP(J94,Ruimtegroepen[],2,FALSE)</f>
        <v>Kooklokaal/leskeuken</v>
      </c>
      <c r="L94" s="53" t="s">
        <v>280</v>
      </c>
      <c r="M94" s="53" t="s">
        <v>353</v>
      </c>
      <c r="N94" s="79">
        <v>24.5</v>
      </c>
      <c r="O94" s="92"/>
      <c r="P94" s="80" t="str">
        <f>LEFT(VLOOKUP(Ruimtestaat[[#This Row],[Ruimte code]],Ruimtegroepen[#All],4,1),2)</f>
        <v xml:space="preserve">L </v>
      </c>
      <c r="Q94" s="93"/>
      <c r="R94" s="81">
        <v>40</v>
      </c>
      <c r="S94" s="81" t="s">
        <v>298</v>
      </c>
      <c r="T94" s="82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4" s="82">
        <f>IF(T94&gt;0,VLOOKUP($J94,Ruimtegroepen[],3,FALSE)*VLOOKUP($L94,Vloersoorten[],3,FALSE)*VLOOKUP($S94,Frequenties[],3,FALSE)*VLOOKUP($A94,Locaties[],3,FALSE),0)</f>
        <v>0</v>
      </c>
      <c r="V94" s="83">
        <f>Ruimtestaat[[#This Row],[Uitvoeringen werkdagen]]*Ruimtestaat[[#This Row],[Oppervlak (netto)]]</f>
        <v>4900</v>
      </c>
      <c r="W94" s="84">
        <f>IF(U94&gt;0,Ruimtestaat[[#This Row],[Prest. (m2 /jaar) werkdagen]]/Ruimtestaat[[#This Row],[Norm (m2/uur) werkdagen]],0)</f>
        <v>0</v>
      </c>
      <c r="X94" s="85">
        <f>Ruimtestaat[[#This Row],[uren / jaar werkdagen]]*Tariefsopbouw!$E$35</f>
        <v>0</v>
      </c>
      <c r="Y94" s="82"/>
      <c r="Z94" s="86">
        <f>IF(Ruimtestaat[[#This Row],[Frequentie weekend]]&gt;0,VALUE(LEFT(Y94,1))*R94,0)</f>
        <v>0</v>
      </c>
      <c r="AA94" s="82">
        <f>IF($Z94&gt;0,VLOOKUP($J94,Ruimtegroepen[],3,FALSE)*VLOOKUP($L94,Vloersoorten[],3,FALSE)*VLOOKUP($Y94,Frequenties[],3,FALSE)*VLOOKUP($A90,Locaties[],3,FALSE),0)</f>
        <v>0</v>
      </c>
      <c r="AB94" s="84">
        <f>Ruimtestaat[[#This Row],[Uitvoeringen weekend]]*Ruimtestaat[[#This Row],[Oppervlak (netto)]]</f>
        <v>0</v>
      </c>
      <c r="AC94" s="87">
        <f>IF(AB94&gt;0,Ruimtestaat[[#This Row],[Prest. (m2 /jaar) weekend]]/Ruimtestaat[[#This Row],[Norm (m2/uur) weekend]],0)</f>
        <v>0</v>
      </c>
      <c r="AD94" s="88">
        <f>Ruimtestaat[[#This Row],[uren / jaar weekend]]*Tariefsopbouw!$D$40</f>
        <v>0</v>
      </c>
      <c r="AE94" s="89">
        <f>Ruimtestaat[[#This Row],[Prest. (m2 /jaar) weekend]]+Ruimtestaat[[#This Row],[Prest. (m2 /jaar) werkdagen]]</f>
        <v>4900</v>
      </c>
      <c r="AF94" s="89">
        <f>Ruimtestaat[[#This Row],[uren / jaar weekend]]+Ruimtestaat[[#This Row],[uren / jaar werkdagen]]</f>
        <v>0</v>
      </c>
      <c r="AG94" s="90">
        <f>Ruimtestaat[[#This Row],[kosten / jaar weekend]]+Ruimtestaat[[#This Row],[kosten / jaar werkdagen]]</f>
        <v>0</v>
      </c>
      <c r="AH94" s="91"/>
      <c r="HL94" s="67"/>
    </row>
    <row r="95" spans="1:220" ht="15" customHeight="1">
      <c r="A95" s="53">
        <v>1</v>
      </c>
      <c r="B95" s="53" t="str">
        <f>VLOOKUP(Ruimtestaat[[#This Row],[Code]],Locaties[#All],2,FALSE)</f>
        <v>Ir. Lely Lyceum</v>
      </c>
      <c r="C95" s="53" t="str">
        <f>VLOOKUP(Ruimtestaat[[#This Row],[Code]],Locaties[#All],4,FALSE)</f>
        <v>Ravenswaaipad 3</v>
      </c>
      <c r="D95" s="53" t="str">
        <f>VLOOKUP(Ruimtestaat[[#This Row],[Code]],Locaties[#All],5,FALSE)</f>
        <v>1106 AW</v>
      </c>
      <c r="E95" s="53" t="str">
        <f>VLOOKUP(Ruimtestaat[[#This Row],[Code]],Locaties[#All],6,FALSE)</f>
        <v>Amsterdam</v>
      </c>
      <c r="F95" s="78" t="s">
        <v>347</v>
      </c>
      <c r="G95" s="53" t="s">
        <v>450</v>
      </c>
      <c r="H95" s="95" t="s">
        <v>479</v>
      </c>
      <c r="I95" s="23" t="s">
        <v>378</v>
      </c>
      <c r="J95" s="53">
        <v>10</v>
      </c>
      <c r="K95" s="78" t="str">
        <f>VLOOKUP(J95,Ruimtegroepen[],2,FALSE)</f>
        <v>Trappenhuizen/lift</v>
      </c>
      <c r="L95" s="53" t="s">
        <v>280</v>
      </c>
      <c r="M95" s="53" t="s">
        <v>353</v>
      </c>
      <c r="N95" s="79">
        <v>21</v>
      </c>
      <c r="O95" s="79"/>
      <c r="P95" s="80" t="str">
        <f>LEFT(VLOOKUP(Ruimtestaat[[#This Row],[Ruimte code]],Ruimtegroepen[#All],4,1),2)</f>
        <v xml:space="preserve">V </v>
      </c>
      <c r="Q95" s="80"/>
      <c r="R95" s="81">
        <v>40</v>
      </c>
      <c r="S95" s="81" t="s">
        <v>298</v>
      </c>
      <c r="T95" s="82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5" s="82">
        <f>IF(T95&gt;0,VLOOKUP($J95,Ruimtegroepen[],3,FALSE)*VLOOKUP($L95,Vloersoorten[],3,FALSE)*VLOOKUP($S95,Frequenties[],3,FALSE)*VLOOKUP($A95,Locaties[],3,FALSE),0)</f>
        <v>0</v>
      </c>
      <c r="V95" s="83">
        <f>Ruimtestaat[[#This Row],[Uitvoeringen werkdagen]]*Ruimtestaat[[#This Row],[Oppervlak (netto)]]</f>
        <v>4200</v>
      </c>
      <c r="W95" s="84">
        <f>IF(U95&gt;0,Ruimtestaat[[#This Row],[Prest. (m2 /jaar) werkdagen]]/Ruimtestaat[[#This Row],[Norm (m2/uur) werkdagen]],0)</f>
        <v>0</v>
      </c>
      <c r="X95" s="85">
        <f>Ruimtestaat[[#This Row],[uren / jaar werkdagen]]*Tariefsopbouw!$E$35</f>
        <v>0</v>
      </c>
      <c r="Y95" s="82"/>
      <c r="Z95" s="86">
        <f>IF(Ruimtestaat[[#This Row],[Frequentie weekend]]&gt;0,VALUE(LEFT(Y95,1))*R95,0)</f>
        <v>0</v>
      </c>
      <c r="AA95" s="82">
        <f>IF($Z95&gt;0,VLOOKUP($J95,Ruimtegroepen[],3,FALSE)*VLOOKUP($L95,Vloersoorten[],3,FALSE)*VLOOKUP($Y95,Frequenties[],3,FALSE)*VLOOKUP($A91,Locaties[],3,FALSE),0)</f>
        <v>0</v>
      </c>
      <c r="AB95" s="84">
        <f>Ruimtestaat[[#This Row],[Uitvoeringen weekend]]*Ruimtestaat[[#This Row],[Oppervlak (netto)]]</f>
        <v>0</v>
      </c>
      <c r="AC95" s="87">
        <f>IF(AB95&gt;0,Ruimtestaat[[#This Row],[Prest. (m2 /jaar) weekend]]/Ruimtestaat[[#This Row],[Norm (m2/uur) weekend]],0)</f>
        <v>0</v>
      </c>
      <c r="AD95" s="88">
        <f>Ruimtestaat[[#This Row],[uren / jaar weekend]]*Tariefsopbouw!$D$40</f>
        <v>0</v>
      </c>
      <c r="AE95" s="89">
        <f>Ruimtestaat[[#This Row],[Prest. (m2 /jaar) weekend]]+Ruimtestaat[[#This Row],[Prest. (m2 /jaar) werkdagen]]</f>
        <v>4200</v>
      </c>
      <c r="AF95" s="89">
        <f>Ruimtestaat[[#This Row],[uren / jaar weekend]]+Ruimtestaat[[#This Row],[uren / jaar werkdagen]]</f>
        <v>0</v>
      </c>
      <c r="AG95" s="90">
        <f>Ruimtestaat[[#This Row],[kosten / jaar weekend]]+Ruimtestaat[[#This Row],[kosten / jaar werkdagen]]</f>
        <v>0</v>
      </c>
      <c r="AH95" s="91"/>
      <c r="HL95" s="67"/>
    </row>
    <row r="96" spans="1:220" ht="15" customHeight="1">
      <c r="A96" s="53">
        <v>1</v>
      </c>
      <c r="B96" s="53" t="str">
        <f>VLOOKUP(Ruimtestaat[[#This Row],[Code]],Locaties[#All],2,FALSE)</f>
        <v>Ir. Lely Lyceum</v>
      </c>
      <c r="C96" s="53" t="str">
        <f>VLOOKUP(Ruimtestaat[[#This Row],[Code]],Locaties[#All],4,FALSE)</f>
        <v>Ravenswaaipad 3</v>
      </c>
      <c r="D96" s="53" t="str">
        <f>VLOOKUP(Ruimtestaat[[#This Row],[Code]],Locaties[#All],5,FALSE)</f>
        <v>1106 AW</v>
      </c>
      <c r="E96" s="53" t="str">
        <f>VLOOKUP(Ruimtestaat[[#This Row],[Code]],Locaties[#All],6,FALSE)</f>
        <v>Amsterdam</v>
      </c>
      <c r="F96" s="78" t="s">
        <v>347</v>
      </c>
      <c r="G96" s="53" t="s">
        <v>450</v>
      </c>
      <c r="H96" s="95" t="s">
        <v>480</v>
      </c>
      <c r="I96" s="23" t="s">
        <v>383</v>
      </c>
      <c r="J96" s="53">
        <v>2</v>
      </c>
      <c r="K96" s="78" t="str">
        <f>VLOOKUP(J96,Ruimtegroepen[],2,FALSE)</f>
        <v>Kantoren</v>
      </c>
      <c r="L96" s="53" t="s">
        <v>280</v>
      </c>
      <c r="M96" s="53" t="s">
        <v>353</v>
      </c>
      <c r="N96" s="79">
        <v>24.5</v>
      </c>
      <c r="O96" s="79"/>
      <c r="P96" s="80" t="str">
        <f>LEFT(VLOOKUP(Ruimtestaat[[#This Row],[Ruimte code]],Ruimtegroepen[#All],4,1),2)</f>
        <v xml:space="preserve">B </v>
      </c>
      <c r="Q96" s="80"/>
      <c r="R96" s="81">
        <v>40</v>
      </c>
      <c r="S96" s="81" t="s">
        <v>298</v>
      </c>
      <c r="T96" s="82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6" s="82">
        <f>IF(T96&gt;0,VLOOKUP($J96,Ruimtegroepen[],3,FALSE)*VLOOKUP($L96,Vloersoorten[],3,FALSE)*VLOOKUP($S96,Frequenties[],3,FALSE)*VLOOKUP($A96,Locaties[],3,FALSE),0)</f>
        <v>0</v>
      </c>
      <c r="V96" s="83">
        <f>Ruimtestaat[[#This Row],[Uitvoeringen werkdagen]]*Ruimtestaat[[#This Row],[Oppervlak (netto)]]</f>
        <v>4900</v>
      </c>
      <c r="W96" s="84">
        <f>IF(U96&gt;0,Ruimtestaat[[#This Row],[Prest. (m2 /jaar) werkdagen]]/Ruimtestaat[[#This Row],[Norm (m2/uur) werkdagen]],0)</f>
        <v>0</v>
      </c>
      <c r="X96" s="85">
        <f>Ruimtestaat[[#This Row],[uren / jaar werkdagen]]*Tariefsopbouw!$E$35</f>
        <v>0</v>
      </c>
      <c r="Y96" s="82"/>
      <c r="Z96" s="86">
        <f>IF(Ruimtestaat[[#This Row],[Frequentie weekend]]&gt;0,VALUE(LEFT(Y96,1))*R96,0)</f>
        <v>0</v>
      </c>
      <c r="AA96" s="82">
        <f>IF($Z96&gt;0,VLOOKUP($J96,Ruimtegroepen[],3,FALSE)*VLOOKUP($L96,Vloersoorten[],3,FALSE)*VLOOKUP($Y96,Frequenties[],3,FALSE)*VLOOKUP($A92,Locaties[],3,FALSE),0)</f>
        <v>0</v>
      </c>
      <c r="AB96" s="84">
        <f>Ruimtestaat[[#This Row],[Uitvoeringen weekend]]*Ruimtestaat[[#This Row],[Oppervlak (netto)]]</f>
        <v>0</v>
      </c>
      <c r="AC96" s="87">
        <f>IF(AB96&gt;0,Ruimtestaat[[#This Row],[Prest. (m2 /jaar) weekend]]/Ruimtestaat[[#This Row],[Norm (m2/uur) weekend]],0)</f>
        <v>0</v>
      </c>
      <c r="AD96" s="88">
        <f>Ruimtestaat[[#This Row],[uren / jaar weekend]]*Tariefsopbouw!$D$40</f>
        <v>0</v>
      </c>
      <c r="AE96" s="89">
        <f>Ruimtestaat[[#This Row],[Prest. (m2 /jaar) weekend]]+Ruimtestaat[[#This Row],[Prest. (m2 /jaar) werkdagen]]</f>
        <v>4900</v>
      </c>
      <c r="AF96" s="89">
        <f>Ruimtestaat[[#This Row],[uren / jaar weekend]]+Ruimtestaat[[#This Row],[uren / jaar werkdagen]]</f>
        <v>0</v>
      </c>
      <c r="AG96" s="90">
        <f>Ruimtestaat[[#This Row],[kosten / jaar weekend]]+Ruimtestaat[[#This Row],[kosten / jaar werkdagen]]</f>
        <v>0</v>
      </c>
      <c r="AH96" s="91"/>
      <c r="HL96" s="67"/>
    </row>
    <row r="97" spans="1:220" ht="15" customHeight="1">
      <c r="A97" s="53">
        <v>1</v>
      </c>
      <c r="B97" s="53" t="str">
        <f>VLOOKUP(Ruimtestaat[[#This Row],[Code]],Locaties[#All],2,FALSE)</f>
        <v>Ir. Lely Lyceum</v>
      </c>
      <c r="C97" s="53" t="str">
        <f>VLOOKUP(Ruimtestaat[[#This Row],[Code]],Locaties[#All],4,FALSE)</f>
        <v>Ravenswaaipad 3</v>
      </c>
      <c r="D97" s="53" t="str">
        <f>VLOOKUP(Ruimtestaat[[#This Row],[Code]],Locaties[#All],5,FALSE)</f>
        <v>1106 AW</v>
      </c>
      <c r="E97" s="53" t="str">
        <f>VLOOKUP(Ruimtestaat[[#This Row],[Code]],Locaties[#All],6,FALSE)</f>
        <v>Amsterdam</v>
      </c>
      <c r="F97" s="78" t="s">
        <v>347</v>
      </c>
      <c r="G97" s="53" t="s">
        <v>450</v>
      </c>
      <c r="H97" s="95" t="s">
        <v>481</v>
      </c>
      <c r="I97" s="23" t="s">
        <v>375</v>
      </c>
      <c r="J97" s="53">
        <v>20</v>
      </c>
      <c r="K97" s="78" t="str">
        <f>VLOOKUP(J97,Ruimtegroepen[],2,FALSE)</f>
        <v>Niet in onderhoud</v>
      </c>
      <c r="L97" s="53" t="s">
        <v>280</v>
      </c>
      <c r="M97" s="53" t="s">
        <v>353</v>
      </c>
      <c r="N97" s="79"/>
      <c r="O97" s="79">
        <v>24.5</v>
      </c>
      <c r="P97" s="80" t="str">
        <f>LEFT(VLOOKUP(Ruimtestaat[[#This Row],[Ruimte code]],Ruimtegroepen[#All],4,1),2)</f>
        <v/>
      </c>
      <c r="Q97" s="80"/>
      <c r="R97" s="81"/>
      <c r="S97" s="81"/>
      <c r="T97" s="82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97" s="82">
        <f>IF(T97&gt;0,VLOOKUP($J97,Ruimtegroepen[],3,FALSE)*VLOOKUP($L97,Vloersoorten[],3,FALSE)*VLOOKUP($S97,Frequenties[],3,FALSE)*VLOOKUP($A97,Locaties[],3,FALSE),0)</f>
        <v>0</v>
      </c>
      <c r="V97" s="83">
        <f>Ruimtestaat[[#This Row],[Uitvoeringen werkdagen]]*Ruimtestaat[[#This Row],[Oppervlak (netto)]]</f>
        <v>0</v>
      </c>
      <c r="W97" s="84">
        <f>IF(U97&gt;0,Ruimtestaat[[#This Row],[Prest. (m2 /jaar) werkdagen]]/Ruimtestaat[[#This Row],[Norm (m2/uur) werkdagen]],0)</f>
        <v>0</v>
      </c>
      <c r="X97" s="85">
        <f>Ruimtestaat[[#This Row],[uren / jaar werkdagen]]*Tariefsopbouw!$E$35</f>
        <v>0</v>
      </c>
      <c r="Y97" s="82"/>
      <c r="Z97" s="86">
        <f>IF(Ruimtestaat[[#This Row],[Frequentie weekend]]&gt;0,VALUE(LEFT(Y97,1))*R97,0)</f>
        <v>0</v>
      </c>
      <c r="AA97" s="82">
        <f>IF($Z97&gt;0,VLOOKUP($J97,Ruimtegroepen[],3,FALSE)*VLOOKUP($L97,Vloersoorten[],3,FALSE)*VLOOKUP($Y97,Frequenties[],3,FALSE)*VLOOKUP($A93,Locaties[],3,FALSE),0)</f>
        <v>0</v>
      </c>
      <c r="AB97" s="84">
        <f>Ruimtestaat[[#This Row],[Uitvoeringen weekend]]*Ruimtestaat[[#This Row],[Oppervlak (netto)]]</f>
        <v>0</v>
      </c>
      <c r="AC97" s="87">
        <f>IF(AB97&gt;0,Ruimtestaat[[#This Row],[Prest. (m2 /jaar) weekend]]/Ruimtestaat[[#This Row],[Norm (m2/uur) weekend]],0)</f>
        <v>0</v>
      </c>
      <c r="AD97" s="88">
        <f>Ruimtestaat[[#This Row],[uren / jaar weekend]]*Tariefsopbouw!$D$40</f>
        <v>0</v>
      </c>
      <c r="AE97" s="89">
        <f>Ruimtestaat[[#This Row],[Prest. (m2 /jaar) weekend]]+Ruimtestaat[[#This Row],[Prest. (m2 /jaar) werkdagen]]</f>
        <v>0</v>
      </c>
      <c r="AF97" s="89">
        <f>Ruimtestaat[[#This Row],[uren / jaar weekend]]+Ruimtestaat[[#This Row],[uren / jaar werkdagen]]</f>
        <v>0</v>
      </c>
      <c r="AG97" s="90">
        <f>Ruimtestaat[[#This Row],[kosten / jaar weekend]]+Ruimtestaat[[#This Row],[kosten / jaar werkdagen]]</f>
        <v>0</v>
      </c>
      <c r="AH97" s="91"/>
      <c r="HL97" s="67"/>
    </row>
    <row r="98" spans="1:220" ht="15" customHeight="1">
      <c r="A98" s="53">
        <v>1</v>
      </c>
      <c r="B98" s="53" t="str">
        <f>VLOOKUP(Ruimtestaat[[#This Row],[Code]],Locaties[#All],2,FALSE)</f>
        <v>Ir. Lely Lyceum</v>
      </c>
      <c r="C98" s="53" t="str">
        <f>VLOOKUP(Ruimtestaat[[#This Row],[Code]],Locaties[#All],4,FALSE)</f>
        <v>Ravenswaaipad 3</v>
      </c>
      <c r="D98" s="53" t="str">
        <f>VLOOKUP(Ruimtestaat[[#This Row],[Code]],Locaties[#All],5,FALSE)</f>
        <v>1106 AW</v>
      </c>
      <c r="E98" s="53" t="str">
        <f>VLOOKUP(Ruimtestaat[[#This Row],[Code]],Locaties[#All],6,FALSE)</f>
        <v>Amsterdam</v>
      </c>
      <c r="F98" s="78" t="s">
        <v>347</v>
      </c>
      <c r="G98" s="53" t="s">
        <v>450</v>
      </c>
      <c r="H98" s="95" t="s">
        <v>482</v>
      </c>
      <c r="I98" s="23" t="s">
        <v>369</v>
      </c>
      <c r="J98" s="53">
        <v>5</v>
      </c>
      <c r="K98" s="78" t="str">
        <f>VLOOKUP(J98,Ruimtegroepen[],2,FALSE)</f>
        <v>Sanitair</v>
      </c>
      <c r="L98" s="53" t="s">
        <v>285</v>
      </c>
      <c r="M98" s="53" t="s">
        <v>370</v>
      </c>
      <c r="N98" s="79">
        <v>10.5</v>
      </c>
      <c r="O98" s="79"/>
      <c r="P98" s="80" t="str">
        <f>LEFT(VLOOKUP(Ruimtestaat[[#This Row],[Ruimte code]],Ruimtegroepen[#All],4,1),2)</f>
        <v xml:space="preserve">S </v>
      </c>
      <c r="Q98" s="80"/>
      <c r="R98" s="81">
        <v>40</v>
      </c>
      <c r="S98" s="81" t="s">
        <v>298</v>
      </c>
      <c r="T98" s="82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8" s="82">
        <f>IF(T98&gt;0,VLOOKUP($J98,Ruimtegroepen[],3,FALSE)*VLOOKUP($L98,Vloersoorten[],3,FALSE)*VLOOKUP($S98,Frequenties[],3,FALSE)*VLOOKUP($A98,Locaties[],3,FALSE),0)</f>
        <v>0</v>
      </c>
      <c r="V98" s="83">
        <f>Ruimtestaat[[#This Row],[Uitvoeringen werkdagen]]*Ruimtestaat[[#This Row],[Oppervlak (netto)]]</f>
        <v>2100</v>
      </c>
      <c r="W98" s="84">
        <f>IF(U98&gt;0,Ruimtestaat[[#This Row],[Prest. (m2 /jaar) werkdagen]]/Ruimtestaat[[#This Row],[Norm (m2/uur) werkdagen]],0)</f>
        <v>0</v>
      </c>
      <c r="X98" s="85">
        <f>Ruimtestaat[[#This Row],[uren / jaar werkdagen]]*Tariefsopbouw!$E$35</f>
        <v>0</v>
      </c>
      <c r="Y98" s="82"/>
      <c r="Z98" s="86">
        <f>IF(Ruimtestaat[[#This Row],[Frequentie weekend]]&gt;0,VALUE(LEFT(Y98,1))*R98,0)</f>
        <v>0</v>
      </c>
      <c r="AA98" s="82">
        <f>IF($Z98&gt;0,VLOOKUP($J98,Ruimtegroepen[],3,FALSE)*VLOOKUP($L98,Vloersoorten[],3,FALSE)*VLOOKUP($Y98,Frequenties[],3,FALSE)*VLOOKUP($A94,Locaties[],3,FALSE),0)</f>
        <v>0</v>
      </c>
      <c r="AB98" s="84">
        <f>Ruimtestaat[[#This Row],[Uitvoeringen weekend]]*Ruimtestaat[[#This Row],[Oppervlak (netto)]]</f>
        <v>0</v>
      </c>
      <c r="AC98" s="87">
        <f>IF(AB98&gt;0,Ruimtestaat[[#This Row],[Prest. (m2 /jaar) weekend]]/Ruimtestaat[[#This Row],[Norm (m2/uur) weekend]],0)</f>
        <v>0</v>
      </c>
      <c r="AD98" s="88">
        <f>Ruimtestaat[[#This Row],[uren / jaar weekend]]*Tariefsopbouw!$D$40</f>
        <v>0</v>
      </c>
      <c r="AE98" s="89">
        <f>Ruimtestaat[[#This Row],[Prest. (m2 /jaar) weekend]]+Ruimtestaat[[#This Row],[Prest. (m2 /jaar) werkdagen]]</f>
        <v>2100</v>
      </c>
      <c r="AF98" s="89">
        <f>Ruimtestaat[[#This Row],[uren / jaar weekend]]+Ruimtestaat[[#This Row],[uren / jaar werkdagen]]</f>
        <v>0</v>
      </c>
      <c r="AG98" s="90">
        <f>Ruimtestaat[[#This Row],[kosten / jaar weekend]]+Ruimtestaat[[#This Row],[kosten / jaar werkdagen]]</f>
        <v>0</v>
      </c>
      <c r="AH98" s="91"/>
      <c r="HL98" s="67"/>
    </row>
    <row r="99" spans="1:220" ht="15" customHeight="1">
      <c r="A99" s="53">
        <v>1</v>
      </c>
      <c r="B99" s="53" t="str">
        <f>VLOOKUP(Ruimtestaat[[#This Row],[Code]],Locaties[#All],2,FALSE)</f>
        <v>Ir. Lely Lyceum</v>
      </c>
      <c r="C99" s="53" t="str">
        <f>VLOOKUP(Ruimtestaat[[#This Row],[Code]],Locaties[#All],4,FALSE)</f>
        <v>Ravenswaaipad 3</v>
      </c>
      <c r="D99" s="53" t="str">
        <f>VLOOKUP(Ruimtestaat[[#This Row],[Code]],Locaties[#All],5,FALSE)</f>
        <v>1106 AW</v>
      </c>
      <c r="E99" s="53" t="str">
        <f>VLOOKUP(Ruimtestaat[[#This Row],[Code]],Locaties[#All],6,FALSE)</f>
        <v>Amsterdam</v>
      </c>
      <c r="F99" s="78" t="s">
        <v>347</v>
      </c>
      <c r="G99" s="53" t="s">
        <v>450</v>
      </c>
      <c r="H99" s="95" t="s">
        <v>483</v>
      </c>
      <c r="I99" s="23" t="s">
        <v>372</v>
      </c>
      <c r="J99" s="53">
        <v>5</v>
      </c>
      <c r="K99" s="78" t="str">
        <f>VLOOKUP(J99,Ruimtegroepen[],2,FALSE)</f>
        <v>Sanitair</v>
      </c>
      <c r="L99" s="53" t="s">
        <v>285</v>
      </c>
      <c r="M99" s="53" t="s">
        <v>370</v>
      </c>
      <c r="N99" s="79">
        <v>10.5</v>
      </c>
      <c r="O99" s="79"/>
      <c r="P99" s="80" t="str">
        <f>LEFT(VLOOKUP(Ruimtestaat[[#This Row],[Ruimte code]],Ruimtegroepen[#All],4,1),2)</f>
        <v xml:space="preserve">S </v>
      </c>
      <c r="Q99" s="80"/>
      <c r="R99" s="81">
        <v>40</v>
      </c>
      <c r="S99" s="81" t="s">
        <v>298</v>
      </c>
      <c r="T99" s="82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99" s="82">
        <f>IF(T99&gt;0,VLOOKUP($J99,Ruimtegroepen[],3,FALSE)*VLOOKUP($L99,Vloersoorten[],3,FALSE)*VLOOKUP($S99,Frequenties[],3,FALSE)*VLOOKUP($A99,Locaties[],3,FALSE),0)</f>
        <v>0</v>
      </c>
      <c r="V99" s="83">
        <f>Ruimtestaat[[#This Row],[Uitvoeringen werkdagen]]*Ruimtestaat[[#This Row],[Oppervlak (netto)]]</f>
        <v>2100</v>
      </c>
      <c r="W99" s="84">
        <f>IF(U99&gt;0,Ruimtestaat[[#This Row],[Prest. (m2 /jaar) werkdagen]]/Ruimtestaat[[#This Row],[Norm (m2/uur) werkdagen]],0)</f>
        <v>0</v>
      </c>
      <c r="X99" s="85">
        <f>Ruimtestaat[[#This Row],[uren / jaar werkdagen]]*Tariefsopbouw!$E$35</f>
        <v>0</v>
      </c>
      <c r="Y99" s="82"/>
      <c r="Z99" s="86">
        <f>IF(Ruimtestaat[[#This Row],[Frequentie weekend]]&gt;0,VALUE(LEFT(Y99,1))*R99,0)</f>
        <v>0</v>
      </c>
      <c r="AA99" s="82">
        <f>IF($Z99&gt;0,VLOOKUP($J99,Ruimtegroepen[],3,FALSE)*VLOOKUP($L99,Vloersoorten[],3,FALSE)*VLOOKUP($Y99,Frequenties[],3,FALSE)*VLOOKUP($A95,Locaties[],3,FALSE),0)</f>
        <v>0</v>
      </c>
      <c r="AB99" s="84">
        <f>Ruimtestaat[[#This Row],[Uitvoeringen weekend]]*Ruimtestaat[[#This Row],[Oppervlak (netto)]]</f>
        <v>0</v>
      </c>
      <c r="AC99" s="87">
        <f>IF(AB99&gt;0,Ruimtestaat[[#This Row],[Prest. (m2 /jaar) weekend]]/Ruimtestaat[[#This Row],[Norm (m2/uur) weekend]],0)</f>
        <v>0</v>
      </c>
      <c r="AD99" s="88">
        <f>Ruimtestaat[[#This Row],[uren / jaar weekend]]*Tariefsopbouw!$D$40</f>
        <v>0</v>
      </c>
      <c r="AE99" s="89">
        <f>Ruimtestaat[[#This Row],[Prest. (m2 /jaar) weekend]]+Ruimtestaat[[#This Row],[Prest. (m2 /jaar) werkdagen]]</f>
        <v>2100</v>
      </c>
      <c r="AF99" s="89">
        <f>Ruimtestaat[[#This Row],[uren / jaar weekend]]+Ruimtestaat[[#This Row],[uren / jaar werkdagen]]</f>
        <v>0</v>
      </c>
      <c r="AG99" s="90">
        <f>Ruimtestaat[[#This Row],[kosten / jaar weekend]]+Ruimtestaat[[#This Row],[kosten / jaar werkdagen]]</f>
        <v>0</v>
      </c>
      <c r="AH99" s="91"/>
      <c r="HL99" s="67"/>
    </row>
    <row r="100" spans="1:220" ht="15" customHeight="1">
      <c r="A100" s="53">
        <v>1</v>
      </c>
      <c r="B100" s="53" t="str">
        <f>VLOOKUP(Ruimtestaat[[#This Row],[Code]],Locaties[#All],2,FALSE)</f>
        <v>Ir. Lely Lyceum</v>
      </c>
      <c r="C100" s="53" t="str">
        <f>VLOOKUP(Ruimtestaat[[#This Row],[Code]],Locaties[#All],4,FALSE)</f>
        <v>Ravenswaaipad 3</v>
      </c>
      <c r="D100" s="53" t="str">
        <f>VLOOKUP(Ruimtestaat[[#This Row],[Code]],Locaties[#All],5,FALSE)</f>
        <v>1106 AW</v>
      </c>
      <c r="E100" s="53" t="str">
        <f>VLOOKUP(Ruimtestaat[[#This Row],[Code]],Locaties[#All],6,FALSE)</f>
        <v>Amsterdam</v>
      </c>
      <c r="F100" s="78" t="s">
        <v>347</v>
      </c>
      <c r="G100" s="53" t="s">
        <v>450</v>
      </c>
      <c r="H100" s="95" t="s">
        <v>484</v>
      </c>
      <c r="I100" s="23" t="s">
        <v>428</v>
      </c>
      <c r="J100" s="53">
        <v>16</v>
      </c>
      <c r="K100" s="78" t="str">
        <f>VLOOKUP(J100,Ruimtegroepen[],2,FALSE)</f>
        <v>Leslokalen theorie</v>
      </c>
      <c r="L100" s="53" t="s">
        <v>280</v>
      </c>
      <c r="M100" s="53" t="s">
        <v>353</v>
      </c>
      <c r="N100" s="79">
        <v>59.5</v>
      </c>
      <c r="O100" s="79"/>
      <c r="P100" s="80" t="str">
        <f>LEFT(VLOOKUP(Ruimtestaat[[#This Row],[Ruimte code]],Ruimtegroepen[#All],4,1),2)</f>
        <v xml:space="preserve">L </v>
      </c>
      <c r="Q100" s="80"/>
      <c r="R100" s="81">
        <v>40</v>
      </c>
      <c r="S100" s="81" t="s">
        <v>298</v>
      </c>
      <c r="T100" s="82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0" s="82">
        <f>IF(T100&gt;0,VLOOKUP($J100,Ruimtegroepen[],3,FALSE)*VLOOKUP($L100,Vloersoorten[],3,FALSE)*VLOOKUP($S100,Frequenties[],3,FALSE)*VLOOKUP($A100,Locaties[],3,FALSE),0)</f>
        <v>0</v>
      </c>
      <c r="V100" s="83">
        <f>Ruimtestaat[[#This Row],[Uitvoeringen werkdagen]]*Ruimtestaat[[#This Row],[Oppervlak (netto)]]</f>
        <v>11900</v>
      </c>
      <c r="W100" s="84">
        <f>IF(U100&gt;0,Ruimtestaat[[#This Row],[Prest. (m2 /jaar) werkdagen]]/Ruimtestaat[[#This Row],[Norm (m2/uur) werkdagen]],0)</f>
        <v>0</v>
      </c>
      <c r="X100" s="85">
        <f>Ruimtestaat[[#This Row],[uren / jaar werkdagen]]*Tariefsopbouw!$E$35</f>
        <v>0</v>
      </c>
      <c r="Y100" s="82"/>
      <c r="Z100" s="86">
        <f>IF(Ruimtestaat[[#This Row],[Frequentie weekend]]&gt;0,VALUE(LEFT(Y100,1))*R100,0)</f>
        <v>0</v>
      </c>
      <c r="AA100" s="82">
        <f>IF($Z100&gt;0,VLOOKUP($J100,Ruimtegroepen[],3,FALSE)*VLOOKUP($L100,Vloersoorten[],3,FALSE)*VLOOKUP($Y100,Frequenties[],3,FALSE)*VLOOKUP($A96,Locaties[],3,FALSE),0)</f>
        <v>0</v>
      </c>
      <c r="AB100" s="84">
        <f>Ruimtestaat[[#This Row],[Uitvoeringen weekend]]*Ruimtestaat[[#This Row],[Oppervlak (netto)]]</f>
        <v>0</v>
      </c>
      <c r="AC100" s="87">
        <f>IF(AB100&gt;0,Ruimtestaat[[#This Row],[Prest. (m2 /jaar) weekend]]/Ruimtestaat[[#This Row],[Norm (m2/uur) weekend]],0)</f>
        <v>0</v>
      </c>
      <c r="AD100" s="88">
        <f>Ruimtestaat[[#This Row],[uren / jaar weekend]]*Tariefsopbouw!$D$40</f>
        <v>0</v>
      </c>
      <c r="AE100" s="89">
        <f>Ruimtestaat[[#This Row],[Prest. (m2 /jaar) weekend]]+Ruimtestaat[[#This Row],[Prest. (m2 /jaar) werkdagen]]</f>
        <v>11900</v>
      </c>
      <c r="AF100" s="89">
        <f>Ruimtestaat[[#This Row],[uren / jaar weekend]]+Ruimtestaat[[#This Row],[uren / jaar werkdagen]]</f>
        <v>0</v>
      </c>
      <c r="AG100" s="90">
        <f>Ruimtestaat[[#This Row],[kosten / jaar weekend]]+Ruimtestaat[[#This Row],[kosten / jaar werkdagen]]</f>
        <v>0</v>
      </c>
      <c r="AH100" s="91"/>
      <c r="HL100" s="67"/>
    </row>
    <row r="101" spans="1:220" ht="15" customHeight="1">
      <c r="A101" s="53">
        <v>1</v>
      </c>
      <c r="B101" s="53" t="str">
        <f>VLOOKUP(Ruimtestaat[[#This Row],[Code]],Locaties[#All],2,FALSE)</f>
        <v>Ir. Lely Lyceum</v>
      </c>
      <c r="C101" s="53" t="str">
        <f>VLOOKUP(Ruimtestaat[[#This Row],[Code]],Locaties[#All],4,FALSE)</f>
        <v>Ravenswaaipad 3</v>
      </c>
      <c r="D101" s="53" t="str">
        <f>VLOOKUP(Ruimtestaat[[#This Row],[Code]],Locaties[#All],5,FALSE)</f>
        <v>1106 AW</v>
      </c>
      <c r="E101" s="53" t="str">
        <f>VLOOKUP(Ruimtestaat[[#This Row],[Code]],Locaties[#All],6,FALSE)</f>
        <v>Amsterdam</v>
      </c>
      <c r="F101" s="78" t="s">
        <v>347</v>
      </c>
      <c r="G101" s="53" t="s">
        <v>450</v>
      </c>
      <c r="H101" s="95"/>
      <c r="I101" s="23" t="s">
        <v>485</v>
      </c>
      <c r="J101" s="53">
        <v>2</v>
      </c>
      <c r="K101" s="78" t="str">
        <f>VLOOKUP(J101,Ruimtegroepen[],2,FALSE)</f>
        <v>Kantoren</v>
      </c>
      <c r="L101" s="53" t="s">
        <v>280</v>
      </c>
      <c r="M101" s="53" t="s">
        <v>353</v>
      </c>
      <c r="N101" s="79">
        <v>13.3</v>
      </c>
      <c r="O101" s="79"/>
      <c r="P101" s="80" t="str">
        <f>LEFT(VLOOKUP(Ruimtestaat[[#This Row],[Ruimte code]],Ruimtegroepen[#All],4,1),2)</f>
        <v xml:space="preserve">B </v>
      </c>
      <c r="Q101" s="80"/>
      <c r="R101" s="81">
        <v>40</v>
      </c>
      <c r="S101" s="81" t="s">
        <v>298</v>
      </c>
      <c r="T101" s="82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1" s="82">
        <f>IF(T101&gt;0,VLOOKUP($J101,Ruimtegroepen[],3,FALSE)*VLOOKUP($L101,Vloersoorten[],3,FALSE)*VLOOKUP($S101,Frequenties[],3,FALSE)*VLOOKUP($A101,Locaties[],3,FALSE),0)</f>
        <v>0</v>
      </c>
      <c r="V101" s="83">
        <f>Ruimtestaat[[#This Row],[Uitvoeringen werkdagen]]*Ruimtestaat[[#This Row],[Oppervlak (netto)]]</f>
        <v>2660</v>
      </c>
      <c r="W101" s="84">
        <f>IF(U101&gt;0,Ruimtestaat[[#This Row],[Prest. (m2 /jaar) werkdagen]]/Ruimtestaat[[#This Row],[Norm (m2/uur) werkdagen]],0)</f>
        <v>0</v>
      </c>
      <c r="X101" s="85">
        <f>Ruimtestaat[[#This Row],[uren / jaar werkdagen]]*Tariefsopbouw!$E$35</f>
        <v>0</v>
      </c>
      <c r="Y101" s="82"/>
      <c r="Z101" s="86">
        <f>IF(Ruimtestaat[[#This Row],[Frequentie weekend]]&gt;0,VALUE(LEFT(Y101,1))*R101,0)</f>
        <v>0</v>
      </c>
      <c r="AA101" s="82">
        <f>IF($Z101&gt;0,VLOOKUP($J101,Ruimtegroepen[],3,FALSE)*VLOOKUP($L101,Vloersoorten[],3,FALSE)*VLOOKUP($Y101,Frequenties[],3,FALSE)*VLOOKUP($A97,Locaties[],3,FALSE),0)</f>
        <v>0</v>
      </c>
      <c r="AB101" s="84">
        <f>Ruimtestaat[[#This Row],[Uitvoeringen weekend]]*Ruimtestaat[[#This Row],[Oppervlak (netto)]]</f>
        <v>0</v>
      </c>
      <c r="AC101" s="87">
        <f>IF(AB101&gt;0,Ruimtestaat[[#This Row],[Prest. (m2 /jaar) weekend]]/Ruimtestaat[[#This Row],[Norm (m2/uur) weekend]],0)</f>
        <v>0</v>
      </c>
      <c r="AD101" s="88">
        <f>Ruimtestaat[[#This Row],[uren / jaar weekend]]*Tariefsopbouw!$D$40</f>
        <v>0</v>
      </c>
      <c r="AE101" s="89">
        <f>Ruimtestaat[[#This Row],[Prest. (m2 /jaar) weekend]]+Ruimtestaat[[#This Row],[Prest. (m2 /jaar) werkdagen]]</f>
        <v>2660</v>
      </c>
      <c r="AF101" s="89">
        <f>Ruimtestaat[[#This Row],[uren / jaar weekend]]+Ruimtestaat[[#This Row],[uren / jaar werkdagen]]</f>
        <v>0</v>
      </c>
      <c r="AG101" s="90">
        <f>Ruimtestaat[[#This Row],[kosten / jaar weekend]]+Ruimtestaat[[#This Row],[kosten / jaar werkdagen]]</f>
        <v>0</v>
      </c>
      <c r="AH101" s="91"/>
      <c r="HL101" s="67"/>
    </row>
    <row r="102" spans="1:220" ht="15" customHeight="1">
      <c r="A102" s="53">
        <v>1</v>
      </c>
      <c r="B102" s="53" t="str">
        <f>VLOOKUP(Ruimtestaat[[#This Row],[Code]],Locaties[#All],2,FALSE)</f>
        <v>Ir. Lely Lyceum</v>
      </c>
      <c r="C102" s="53" t="str">
        <f>VLOOKUP(Ruimtestaat[[#This Row],[Code]],Locaties[#All],4,FALSE)</f>
        <v>Ravenswaaipad 3</v>
      </c>
      <c r="D102" s="53" t="str">
        <f>VLOOKUP(Ruimtestaat[[#This Row],[Code]],Locaties[#All],5,FALSE)</f>
        <v>1106 AW</v>
      </c>
      <c r="E102" s="53" t="str">
        <f>VLOOKUP(Ruimtestaat[[#This Row],[Code]],Locaties[#All],6,FALSE)</f>
        <v>Amsterdam</v>
      </c>
      <c r="F102" s="78" t="s">
        <v>347</v>
      </c>
      <c r="G102" s="53" t="s">
        <v>450</v>
      </c>
      <c r="H102" s="95" t="s">
        <v>486</v>
      </c>
      <c r="I102" s="23" t="s">
        <v>428</v>
      </c>
      <c r="J102" s="53">
        <v>16</v>
      </c>
      <c r="K102" s="78" t="str">
        <f>VLOOKUP(J102,Ruimtegroepen[],2,FALSE)</f>
        <v>Leslokalen theorie</v>
      </c>
      <c r="L102" s="53" t="s">
        <v>280</v>
      </c>
      <c r="M102" s="53" t="s">
        <v>353</v>
      </c>
      <c r="N102" s="79">
        <v>49</v>
      </c>
      <c r="O102" s="79"/>
      <c r="P102" s="80" t="str">
        <f>LEFT(VLOOKUP(Ruimtestaat[[#This Row],[Ruimte code]],Ruimtegroepen[#All],4,1),2)</f>
        <v xml:space="preserve">L </v>
      </c>
      <c r="Q102" s="80"/>
      <c r="R102" s="81">
        <v>40</v>
      </c>
      <c r="S102" s="81" t="s">
        <v>298</v>
      </c>
      <c r="T102" s="82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2" s="82">
        <f>IF(T102&gt;0,VLOOKUP($J102,Ruimtegroepen[],3,FALSE)*VLOOKUP($L102,Vloersoorten[],3,FALSE)*VLOOKUP($S102,Frequenties[],3,FALSE)*VLOOKUP($A102,Locaties[],3,FALSE),0)</f>
        <v>0</v>
      </c>
      <c r="V102" s="83">
        <f>Ruimtestaat[[#This Row],[Uitvoeringen werkdagen]]*Ruimtestaat[[#This Row],[Oppervlak (netto)]]</f>
        <v>9800</v>
      </c>
      <c r="W102" s="84">
        <f>IF(U102&gt;0,Ruimtestaat[[#This Row],[Prest. (m2 /jaar) werkdagen]]/Ruimtestaat[[#This Row],[Norm (m2/uur) werkdagen]],0)</f>
        <v>0</v>
      </c>
      <c r="X102" s="85">
        <f>Ruimtestaat[[#This Row],[uren / jaar werkdagen]]*Tariefsopbouw!$E$35</f>
        <v>0</v>
      </c>
      <c r="Y102" s="82"/>
      <c r="Z102" s="86">
        <f>IF(Ruimtestaat[[#This Row],[Frequentie weekend]]&gt;0,VALUE(LEFT(Y102,1))*R102,0)</f>
        <v>0</v>
      </c>
      <c r="AA102" s="82">
        <f>IF($Z102&gt;0,VLOOKUP($J102,Ruimtegroepen[],3,FALSE)*VLOOKUP($L102,Vloersoorten[],3,FALSE)*VLOOKUP($Y102,Frequenties[],3,FALSE)*VLOOKUP($A96,Locaties[],3,FALSE),0)</f>
        <v>0</v>
      </c>
      <c r="AB102" s="84">
        <f>Ruimtestaat[[#This Row],[Uitvoeringen weekend]]*Ruimtestaat[[#This Row],[Oppervlak (netto)]]</f>
        <v>0</v>
      </c>
      <c r="AC102" s="87">
        <f>IF(AB102&gt;0,Ruimtestaat[[#This Row],[Prest. (m2 /jaar) weekend]]/Ruimtestaat[[#This Row],[Norm (m2/uur) weekend]],0)</f>
        <v>0</v>
      </c>
      <c r="AD102" s="88">
        <f>Ruimtestaat[[#This Row],[uren / jaar weekend]]*Tariefsopbouw!$D$40</f>
        <v>0</v>
      </c>
      <c r="AE102" s="89">
        <f>Ruimtestaat[[#This Row],[Prest. (m2 /jaar) weekend]]+Ruimtestaat[[#This Row],[Prest. (m2 /jaar) werkdagen]]</f>
        <v>9800</v>
      </c>
      <c r="AF102" s="89">
        <f>Ruimtestaat[[#This Row],[uren / jaar weekend]]+Ruimtestaat[[#This Row],[uren / jaar werkdagen]]</f>
        <v>0</v>
      </c>
      <c r="AG102" s="90">
        <f>Ruimtestaat[[#This Row],[kosten / jaar weekend]]+Ruimtestaat[[#This Row],[kosten / jaar werkdagen]]</f>
        <v>0</v>
      </c>
      <c r="AH102" s="91"/>
      <c r="HL102" s="67"/>
    </row>
    <row r="103" spans="1:220" ht="15" customHeight="1">
      <c r="A103" s="53">
        <v>1</v>
      </c>
      <c r="B103" s="53" t="str">
        <f>VLOOKUP(Ruimtestaat[[#This Row],[Code]],Locaties[#All],2,FALSE)</f>
        <v>Ir. Lely Lyceum</v>
      </c>
      <c r="C103" s="53" t="str">
        <f>VLOOKUP(Ruimtestaat[[#This Row],[Code]],Locaties[#All],4,FALSE)</f>
        <v>Ravenswaaipad 3</v>
      </c>
      <c r="D103" s="53" t="str">
        <f>VLOOKUP(Ruimtestaat[[#This Row],[Code]],Locaties[#All],5,FALSE)</f>
        <v>1106 AW</v>
      </c>
      <c r="E103" s="53" t="str">
        <f>VLOOKUP(Ruimtestaat[[#This Row],[Code]],Locaties[#All],6,FALSE)</f>
        <v>Amsterdam</v>
      </c>
      <c r="F103" s="78" t="s">
        <v>347</v>
      </c>
      <c r="G103" s="53" t="s">
        <v>450</v>
      </c>
      <c r="H103" s="95" t="s">
        <v>487</v>
      </c>
      <c r="I103" s="23" t="s">
        <v>428</v>
      </c>
      <c r="J103" s="53">
        <v>16</v>
      </c>
      <c r="K103" s="78" t="str">
        <f>VLOOKUP(J103,Ruimtegroepen[],2,FALSE)</f>
        <v>Leslokalen theorie</v>
      </c>
      <c r="L103" s="53" t="s">
        <v>280</v>
      </c>
      <c r="M103" s="53" t="s">
        <v>353</v>
      </c>
      <c r="N103" s="79">
        <v>49</v>
      </c>
      <c r="O103" s="79"/>
      <c r="P103" s="80" t="str">
        <f>LEFT(VLOOKUP(Ruimtestaat[[#This Row],[Ruimte code]],Ruimtegroepen[#All],4,1),2)</f>
        <v xml:space="preserve">L </v>
      </c>
      <c r="Q103" s="80"/>
      <c r="R103" s="81">
        <v>40</v>
      </c>
      <c r="S103" s="81" t="s">
        <v>298</v>
      </c>
      <c r="T103" s="82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3" s="82">
        <f>IF(T103&gt;0,VLOOKUP($J103,Ruimtegroepen[],3,FALSE)*VLOOKUP($L103,Vloersoorten[],3,FALSE)*VLOOKUP($S103,Frequenties[],3,FALSE)*VLOOKUP($A103,Locaties[],3,FALSE),0)</f>
        <v>0</v>
      </c>
      <c r="V103" s="83">
        <f>Ruimtestaat[[#This Row],[Uitvoeringen werkdagen]]*Ruimtestaat[[#This Row],[Oppervlak (netto)]]</f>
        <v>9800</v>
      </c>
      <c r="W103" s="84">
        <f>IF(U103&gt;0,Ruimtestaat[[#This Row],[Prest. (m2 /jaar) werkdagen]]/Ruimtestaat[[#This Row],[Norm (m2/uur) werkdagen]],0)</f>
        <v>0</v>
      </c>
      <c r="X103" s="85">
        <f>Ruimtestaat[[#This Row],[uren / jaar werkdagen]]*Tariefsopbouw!$E$35</f>
        <v>0</v>
      </c>
      <c r="Y103" s="82"/>
      <c r="Z103" s="86">
        <f>IF(Ruimtestaat[[#This Row],[Frequentie weekend]]&gt;0,VALUE(LEFT(Y103,1))*R103,0)</f>
        <v>0</v>
      </c>
      <c r="AA103" s="82">
        <f>IF($Z103&gt;0,VLOOKUP($J103,Ruimtegroepen[],3,FALSE)*VLOOKUP($L103,Vloersoorten[],3,FALSE)*VLOOKUP($Y103,Frequenties[],3,FALSE)*VLOOKUP($A97,Locaties[],3,FALSE),0)</f>
        <v>0</v>
      </c>
      <c r="AB103" s="84">
        <f>Ruimtestaat[[#This Row],[Uitvoeringen weekend]]*Ruimtestaat[[#This Row],[Oppervlak (netto)]]</f>
        <v>0</v>
      </c>
      <c r="AC103" s="87">
        <f>IF(AB103&gt;0,Ruimtestaat[[#This Row],[Prest. (m2 /jaar) weekend]]/Ruimtestaat[[#This Row],[Norm (m2/uur) weekend]],0)</f>
        <v>0</v>
      </c>
      <c r="AD103" s="88">
        <f>Ruimtestaat[[#This Row],[uren / jaar weekend]]*Tariefsopbouw!$D$40</f>
        <v>0</v>
      </c>
      <c r="AE103" s="89">
        <f>Ruimtestaat[[#This Row],[Prest. (m2 /jaar) weekend]]+Ruimtestaat[[#This Row],[Prest. (m2 /jaar) werkdagen]]</f>
        <v>9800</v>
      </c>
      <c r="AF103" s="89">
        <f>Ruimtestaat[[#This Row],[uren / jaar weekend]]+Ruimtestaat[[#This Row],[uren / jaar werkdagen]]</f>
        <v>0</v>
      </c>
      <c r="AG103" s="90">
        <f>Ruimtestaat[[#This Row],[kosten / jaar weekend]]+Ruimtestaat[[#This Row],[kosten / jaar werkdagen]]</f>
        <v>0</v>
      </c>
      <c r="AH103" s="91"/>
      <c r="HL103" s="67"/>
    </row>
    <row r="104" spans="1:220" ht="15" customHeight="1">
      <c r="A104" s="53">
        <v>1</v>
      </c>
      <c r="B104" s="53" t="str">
        <f>VLOOKUP(Ruimtestaat[[#This Row],[Code]],Locaties[#All],2,FALSE)</f>
        <v>Ir. Lely Lyceum</v>
      </c>
      <c r="C104" s="53" t="str">
        <f>VLOOKUP(Ruimtestaat[[#This Row],[Code]],Locaties[#All],4,FALSE)</f>
        <v>Ravenswaaipad 3</v>
      </c>
      <c r="D104" s="53" t="str">
        <f>VLOOKUP(Ruimtestaat[[#This Row],[Code]],Locaties[#All],5,FALSE)</f>
        <v>1106 AW</v>
      </c>
      <c r="E104" s="53" t="str">
        <f>VLOOKUP(Ruimtestaat[[#This Row],[Code]],Locaties[#All],6,FALSE)</f>
        <v>Amsterdam</v>
      </c>
      <c r="F104" s="78" t="s">
        <v>347</v>
      </c>
      <c r="G104" s="53" t="s">
        <v>450</v>
      </c>
      <c r="H104" s="95" t="s">
        <v>488</v>
      </c>
      <c r="I104" s="23" t="s">
        <v>428</v>
      </c>
      <c r="J104" s="53">
        <v>16</v>
      </c>
      <c r="K104" s="78" t="str">
        <f>VLOOKUP(J104,Ruimtegroepen[],2,FALSE)</f>
        <v>Leslokalen theorie</v>
      </c>
      <c r="L104" s="53" t="s">
        <v>280</v>
      </c>
      <c r="M104" s="53" t="s">
        <v>353</v>
      </c>
      <c r="N104" s="79">
        <v>49</v>
      </c>
      <c r="O104" s="79"/>
      <c r="P104" s="80" t="str">
        <f>LEFT(VLOOKUP(Ruimtestaat[[#This Row],[Ruimte code]],Ruimtegroepen[#All],4,1),2)</f>
        <v xml:space="preserve">L </v>
      </c>
      <c r="Q104" s="80"/>
      <c r="R104" s="81">
        <v>40</v>
      </c>
      <c r="S104" s="81" t="s">
        <v>298</v>
      </c>
      <c r="T104" s="82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4" s="82">
        <f>IF(T104&gt;0,VLOOKUP($J104,Ruimtegroepen[],3,FALSE)*VLOOKUP($L104,Vloersoorten[],3,FALSE)*VLOOKUP($S104,Frequenties[],3,FALSE)*VLOOKUP($A104,Locaties[],3,FALSE),0)</f>
        <v>0</v>
      </c>
      <c r="V104" s="83">
        <f>Ruimtestaat[[#This Row],[Uitvoeringen werkdagen]]*Ruimtestaat[[#This Row],[Oppervlak (netto)]]</f>
        <v>9800</v>
      </c>
      <c r="W104" s="84">
        <f>IF(U104&gt;0,Ruimtestaat[[#This Row],[Prest. (m2 /jaar) werkdagen]]/Ruimtestaat[[#This Row],[Norm (m2/uur) werkdagen]],0)</f>
        <v>0</v>
      </c>
      <c r="X104" s="85">
        <f>Ruimtestaat[[#This Row],[uren / jaar werkdagen]]*Tariefsopbouw!$E$35</f>
        <v>0</v>
      </c>
      <c r="Y104" s="82"/>
      <c r="Z104" s="86">
        <f>IF(Ruimtestaat[[#This Row],[Frequentie weekend]]&gt;0,VALUE(LEFT(Y104,1))*R104,0)</f>
        <v>0</v>
      </c>
      <c r="AA104" s="82">
        <f>IF($Z104&gt;0,VLOOKUP($J104,Ruimtegroepen[],3,FALSE)*VLOOKUP($L104,Vloersoorten[],3,FALSE)*VLOOKUP($Y104,Frequenties[],3,FALSE)*VLOOKUP($A98,Locaties[],3,FALSE),0)</f>
        <v>0</v>
      </c>
      <c r="AB104" s="84">
        <f>Ruimtestaat[[#This Row],[Uitvoeringen weekend]]*Ruimtestaat[[#This Row],[Oppervlak (netto)]]</f>
        <v>0</v>
      </c>
      <c r="AC104" s="87">
        <f>IF(AB104&gt;0,Ruimtestaat[[#This Row],[Prest. (m2 /jaar) weekend]]/Ruimtestaat[[#This Row],[Norm (m2/uur) weekend]],0)</f>
        <v>0</v>
      </c>
      <c r="AD104" s="88">
        <f>Ruimtestaat[[#This Row],[uren / jaar weekend]]*Tariefsopbouw!$D$40</f>
        <v>0</v>
      </c>
      <c r="AE104" s="89">
        <f>Ruimtestaat[[#This Row],[Prest. (m2 /jaar) weekend]]+Ruimtestaat[[#This Row],[Prest. (m2 /jaar) werkdagen]]</f>
        <v>9800</v>
      </c>
      <c r="AF104" s="89">
        <f>Ruimtestaat[[#This Row],[uren / jaar weekend]]+Ruimtestaat[[#This Row],[uren / jaar werkdagen]]</f>
        <v>0</v>
      </c>
      <c r="AG104" s="90">
        <f>Ruimtestaat[[#This Row],[kosten / jaar weekend]]+Ruimtestaat[[#This Row],[kosten / jaar werkdagen]]</f>
        <v>0</v>
      </c>
      <c r="AH104" s="91"/>
      <c r="HL104" s="67"/>
    </row>
    <row r="105" spans="1:220" ht="15" customHeight="1">
      <c r="A105" s="53">
        <v>1</v>
      </c>
      <c r="B105" s="53" t="str">
        <f>VLOOKUP(Ruimtestaat[[#This Row],[Code]],Locaties[#All],2,FALSE)</f>
        <v>Ir. Lely Lyceum</v>
      </c>
      <c r="C105" s="53" t="str">
        <f>VLOOKUP(Ruimtestaat[[#This Row],[Code]],Locaties[#All],4,FALSE)</f>
        <v>Ravenswaaipad 3</v>
      </c>
      <c r="D105" s="53" t="str">
        <f>VLOOKUP(Ruimtestaat[[#This Row],[Code]],Locaties[#All],5,FALSE)</f>
        <v>1106 AW</v>
      </c>
      <c r="E105" s="53" t="str">
        <f>VLOOKUP(Ruimtestaat[[#This Row],[Code]],Locaties[#All],6,FALSE)</f>
        <v>Amsterdam</v>
      </c>
      <c r="F105" s="78" t="s">
        <v>347</v>
      </c>
      <c r="G105" s="53" t="s">
        <v>450</v>
      </c>
      <c r="H105" s="95" t="s">
        <v>489</v>
      </c>
      <c r="I105" s="23" t="s">
        <v>428</v>
      </c>
      <c r="J105" s="53">
        <v>16</v>
      </c>
      <c r="K105" s="78" t="str">
        <f>VLOOKUP(J105,Ruimtegroepen[],2,FALSE)</f>
        <v>Leslokalen theorie</v>
      </c>
      <c r="L105" s="53" t="s">
        <v>280</v>
      </c>
      <c r="M105" s="53" t="s">
        <v>353</v>
      </c>
      <c r="N105" s="79">
        <v>42</v>
      </c>
      <c r="O105" s="79"/>
      <c r="P105" s="80" t="str">
        <f>LEFT(VLOOKUP(Ruimtestaat[[#This Row],[Ruimte code]],Ruimtegroepen[#All],4,1),2)</f>
        <v xml:space="preserve">L </v>
      </c>
      <c r="Q105" s="80"/>
      <c r="R105" s="81">
        <v>40</v>
      </c>
      <c r="S105" s="81" t="s">
        <v>298</v>
      </c>
      <c r="T105" s="82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5" s="82">
        <f>IF(T105&gt;0,VLOOKUP($J105,Ruimtegroepen[],3,FALSE)*VLOOKUP($L105,Vloersoorten[],3,FALSE)*VLOOKUP($S105,Frequenties[],3,FALSE)*VLOOKUP($A105,Locaties[],3,FALSE),0)</f>
        <v>0</v>
      </c>
      <c r="V105" s="83">
        <f>Ruimtestaat[[#This Row],[Uitvoeringen werkdagen]]*Ruimtestaat[[#This Row],[Oppervlak (netto)]]</f>
        <v>8400</v>
      </c>
      <c r="W105" s="84">
        <f>IF(U105&gt;0,Ruimtestaat[[#This Row],[Prest. (m2 /jaar) werkdagen]]/Ruimtestaat[[#This Row],[Norm (m2/uur) werkdagen]],0)</f>
        <v>0</v>
      </c>
      <c r="X105" s="85">
        <f>Ruimtestaat[[#This Row],[uren / jaar werkdagen]]*Tariefsopbouw!$E$35</f>
        <v>0</v>
      </c>
      <c r="Y105" s="82"/>
      <c r="Z105" s="86">
        <f>IF(Ruimtestaat[[#This Row],[Frequentie weekend]]&gt;0,VALUE(LEFT(Y105,1))*R105,0)</f>
        <v>0</v>
      </c>
      <c r="AA105" s="82">
        <f>IF($Z105&gt;0,VLOOKUP($J105,Ruimtegroepen[],3,FALSE)*VLOOKUP($L105,Vloersoorten[],3,FALSE)*VLOOKUP($Y105,Frequenties[],3,FALSE)*VLOOKUP($A99,Locaties[],3,FALSE),0)</f>
        <v>0</v>
      </c>
      <c r="AB105" s="84">
        <f>Ruimtestaat[[#This Row],[Uitvoeringen weekend]]*Ruimtestaat[[#This Row],[Oppervlak (netto)]]</f>
        <v>0</v>
      </c>
      <c r="AC105" s="87">
        <f>IF(AB105&gt;0,Ruimtestaat[[#This Row],[Prest. (m2 /jaar) weekend]]/Ruimtestaat[[#This Row],[Norm (m2/uur) weekend]],0)</f>
        <v>0</v>
      </c>
      <c r="AD105" s="88">
        <f>Ruimtestaat[[#This Row],[uren / jaar weekend]]*Tariefsopbouw!$D$40</f>
        <v>0</v>
      </c>
      <c r="AE105" s="89">
        <f>Ruimtestaat[[#This Row],[Prest. (m2 /jaar) weekend]]+Ruimtestaat[[#This Row],[Prest. (m2 /jaar) werkdagen]]</f>
        <v>8400</v>
      </c>
      <c r="AF105" s="89">
        <f>Ruimtestaat[[#This Row],[uren / jaar weekend]]+Ruimtestaat[[#This Row],[uren / jaar werkdagen]]</f>
        <v>0</v>
      </c>
      <c r="AG105" s="90">
        <f>Ruimtestaat[[#This Row],[kosten / jaar weekend]]+Ruimtestaat[[#This Row],[kosten / jaar werkdagen]]</f>
        <v>0</v>
      </c>
      <c r="AH105" s="91"/>
      <c r="HL105" s="67"/>
    </row>
    <row r="106" spans="1:220" ht="15" customHeight="1">
      <c r="A106" s="53">
        <v>1</v>
      </c>
      <c r="B106" s="53" t="str">
        <f>VLOOKUP(Ruimtestaat[[#This Row],[Code]],Locaties[#All],2,FALSE)</f>
        <v>Ir. Lely Lyceum</v>
      </c>
      <c r="C106" s="53" t="str">
        <f>VLOOKUP(Ruimtestaat[[#This Row],[Code]],Locaties[#All],4,FALSE)</f>
        <v>Ravenswaaipad 3</v>
      </c>
      <c r="D106" s="53" t="str">
        <f>VLOOKUP(Ruimtestaat[[#This Row],[Code]],Locaties[#All],5,FALSE)</f>
        <v>1106 AW</v>
      </c>
      <c r="E106" s="53" t="str">
        <f>VLOOKUP(Ruimtestaat[[#This Row],[Code]],Locaties[#All],6,FALSE)</f>
        <v>Amsterdam</v>
      </c>
      <c r="F106" s="78" t="s">
        <v>347</v>
      </c>
      <c r="G106" s="53" t="s">
        <v>450</v>
      </c>
      <c r="H106" s="95" t="s">
        <v>490</v>
      </c>
      <c r="I106" s="23" t="s">
        <v>428</v>
      </c>
      <c r="J106" s="53">
        <v>16</v>
      </c>
      <c r="K106" s="78" t="str">
        <f>VLOOKUP(J106,Ruimtegroepen[],2,FALSE)</f>
        <v>Leslokalen theorie</v>
      </c>
      <c r="L106" s="53" t="s">
        <v>280</v>
      </c>
      <c r="M106" s="53" t="s">
        <v>353</v>
      </c>
      <c r="N106" s="79">
        <v>42</v>
      </c>
      <c r="O106" s="79"/>
      <c r="P106" s="80" t="str">
        <f>LEFT(VLOOKUP(Ruimtestaat[[#This Row],[Ruimte code]],Ruimtegroepen[#All],4,1),2)</f>
        <v xml:space="preserve">L </v>
      </c>
      <c r="Q106" s="80"/>
      <c r="R106" s="81">
        <v>40</v>
      </c>
      <c r="S106" s="81" t="s">
        <v>298</v>
      </c>
      <c r="T106" s="82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6" s="82">
        <f>IF(T106&gt;0,VLOOKUP($J106,Ruimtegroepen[],3,FALSE)*VLOOKUP($L106,Vloersoorten[],3,FALSE)*VLOOKUP($S106,Frequenties[],3,FALSE)*VLOOKUP($A106,Locaties[],3,FALSE),0)</f>
        <v>0</v>
      </c>
      <c r="V106" s="83">
        <f>Ruimtestaat[[#This Row],[Uitvoeringen werkdagen]]*Ruimtestaat[[#This Row],[Oppervlak (netto)]]</f>
        <v>8400</v>
      </c>
      <c r="W106" s="84">
        <f>IF(U106&gt;0,Ruimtestaat[[#This Row],[Prest. (m2 /jaar) werkdagen]]/Ruimtestaat[[#This Row],[Norm (m2/uur) werkdagen]],0)</f>
        <v>0</v>
      </c>
      <c r="X106" s="85">
        <f>Ruimtestaat[[#This Row],[uren / jaar werkdagen]]*Tariefsopbouw!$E$35</f>
        <v>0</v>
      </c>
      <c r="Y106" s="82"/>
      <c r="Z106" s="86">
        <f>IF(Ruimtestaat[[#This Row],[Frequentie weekend]]&gt;0,VALUE(LEFT(Y106,1))*R106,0)</f>
        <v>0</v>
      </c>
      <c r="AA106" s="82">
        <f>IF($Z106&gt;0,VLOOKUP($J106,Ruimtegroepen[],3,FALSE)*VLOOKUP($L106,Vloersoorten[],3,FALSE)*VLOOKUP($Y106,Frequenties[],3,FALSE)*VLOOKUP($A102,Locaties[],3,FALSE),0)</f>
        <v>0</v>
      </c>
      <c r="AB106" s="84">
        <f>Ruimtestaat[[#This Row],[Uitvoeringen weekend]]*Ruimtestaat[[#This Row],[Oppervlak (netto)]]</f>
        <v>0</v>
      </c>
      <c r="AC106" s="87">
        <f>IF(AB106&gt;0,Ruimtestaat[[#This Row],[Prest. (m2 /jaar) weekend]]/Ruimtestaat[[#This Row],[Norm (m2/uur) weekend]],0)</f>
        <v>0</v>
      </c>
      <c r="AD106" s="88">
        <f>Ruimtestaat[[#This Row],[uren / jaar weekend]]*Tariefsopbouw!$D$40</f>
        <v>0</v>
      </c>
      <c r="AE106" s="89">
        <f>Ruimtestaat[[#This Row],[Prest. (m2 /jaar) weekend]]+Ruimtestaat[[#This Row],[Prest. (m2 /jaar) werkdagen]]</f>
        <v>8400</v>
      </c>
      <c r="AF106" s="89">
        <f>Ruimtestaat[[#This Row],[uren / jaar weekend]]+Ruimtestaat[[#This Row],[uren / jaar werkdagen]]</f>
        <v>0</v>
      </c>
      <c r="AG106" s="90">
        <f>Ruimtestaat[[#This Row],[kosten / jaar weekend]]+Ruimtestaat[[#This Row],[kosten / jaar werkdagen]]</f>
        <v>0</v>
      </c>
      <c r="AH106" s="91"/>
      <c r="HL106" s="67"/>
    </row>
    <row r="107" spans="1:220" ht="15" customHeight="1">
      <c r="A107" s="53">
        <v>1</v>
      </c>
      <c r="B107" s="53" t="str">
        <f>VLOOKUP(Ruimtestaat[[#This Row],[Code]],Locaties[#All],2,FALSE)</f>
        <v>Ir. Lely Lyceum</v>
      </c>
      <c r="C107" s="53" t="str">
        <f>VLOOKUP(Ruimtestaat[[#This Row],[Code]],Locaties[#All],4,FALSE)</f>
        <v>Ravenswaaipad 3</v>
      </c>
      <c r="D107" s="53" t="str">
        <f>VLOOKUP(Ruimtestaat[[#This Row],[Code]],Locaties[#All],5,FALSE)</f>
        <v>1106 AW</v>
      </c>
      <c r="E107" s="53" t="str">
        <f>VLOOKUP(Ruimtestaat[[#This Row],[Code]],Locaties[#All],6,FALSE)</f>
        <v>Amsterdam</v>
      </c>
      <c r="F107" s="78" t="s">
        <v>347</v>
      </c>
      <c r="G107" s="53" t="s">
        <v>450</v>
      </c>
      <c r="H107" s="95" t="s">
        <v>491</v>
      </c>
      <c r="I107" s="23" t="s">
        <v>428</v>
      </c>
      <c r="J107" s="53">
        <v>16</v>
      </c>
      <c r="K107" s="78" t="str">
        <f>VLOOKUP(J107,Ruimtegroepen[],2,FALSE)</f>
        <v>Leslokalen theorie</v>
      </c>
      <c r="L107" s="53" t="s">
        <v>280</v>
      </c>
      <c r="M107" s="53" t="s">
        <v>353</v>
      </c>
      <c r="N107" s="79">
        <v>49</v>
      </c>
      <c r="O107" s="79"/>
      <c r="P107" s="80" t="str">
        <f>LEFT(VLOOKUP(Ruimtestaat[[#This Row],[Ruimte code]],Ruimtegroepen[#All],4,1),2)</f>
        <v xml:space="preserve">L </v>
      </c>
      <c r="Q107" s="80"/>
      <c r="R107" s="81">
        <v>40</v>
      </c>
      <c r="S107" s="81" t="s">
        <v>298</v>
      </c>
      <c r="T107" s="82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7" s="82">
        <f>IF(T107&gt;0,VLOOKUP($J107,Ruimtegroepen[],3,FALSE)*VLOOKUP($L107,Vloersoorten[],3,FALSE)*VLOOKUP($S107,Frequenties[],3,FALSE)*VLOOKUP($A107,Locaties[],3,FALSE),0)</f>
        <v>0</v>
      </c>
      <c r="V107" s="83">
        <f>Ruimtestaat[[#This Row],[Uitvoeringen werkdagen]]*Ruimtestaat[[#This Row],[Oppervlak (netto)]]</f>
        <v>9800</v>
      </c>
      <c r="W107" s="84">
        <f>IF(U107&gt;0,Ruimtestaat[[#This Row],[Prest. (m2 /jaar) werkdagen]]/Ruimtestaat[[#This Row],[Norm (m2/uur) werkdagen]],0)</f>
        <v>0</v>
      </c>
      <c r="X107" s="85">
        <f>Ruimtestaat[[#This Row],[uren / jaar werkdagen]]*Tariefsopbouw!$E$35</f>
        <v>0</v>
      </c>
      <c r="Y107" s="82"/>
      <c r="Z107" s="86">
        <f>IF(Ruimtestaat[[#This Row],[Frequentie weekend]]&gt;0,VALUE(LEFT(Y107,1))*R107,0)</f>
        <v>0</v>
      </c>
      <c r="AA107" s="82">
        <f>IF($Z107&gt;0,VLOOKUP($J107,Ruimtegroepen[],3,FALSE)*VLOOKUP($L107,Vloersoorten[],3,FALSE)*VLOOKUP($Y107,Frequenties[],3,FALSE)*VLOOKUP($A103,Locaties[],3,FALSE),0)</f>
        <v>0</v>
      </c>
      <c r="AB107" s="84">
        <f>Ruimtestaat[[#This Row],[Uitvoeringen weekend]]*Ruimtestaat[[#This Row],[Oppervlak (netto)]]</f>
        <v>0</v>
      </c>
      <c r="AC107" s="87">
        <f>IF(AB107&gt;0,Ruimtestaat[[#This Row],[Prest. (m2 /jaar) weekend]]/Ruimtestaat[[#This Row],[Norm (m2/uur) weekend]],0)</f>
        <v>0</v>
      </c>
      <c r="AD107" s="88">
        <f>Ruimtestaat[[#This Row],[uren / jaar weekend]]*Tariefsopbouw!$D$40</f>
        <v>0</v>
      </c>
      <c r="AE107" s="89">
        <f>Ruimtestaat[[#This Row],[Prest. (m2 /jaar) weekend]]+Ruimtestaat[[#This Row],[Prest. (m2 /jaar) werkdagen]]</f>
        <v>9800</v>
      </c>
      <c r="AF107" s="89">
        <f>Ruimtestaat[[#This Row],[uren / jaar weekend]]+Ruimtestaat[[#This Row],[uren / jaar werkdagen]]</f>
        <v>0</v>
      </c>
      <c r="AG107" s="90">
        <f>Ruimtestaat[[#This Row],[kosten / jaar weekend]]+Ruimtestaat[[#This Row],[kosten / jaar werkdagen]]</f>
        <v>0</v>
      </c>
      <c r="AH107" s="91"/>
      <c r="HL107" s="67"/>
    </row>
    <row r="108" spans="1:220" ht="15" customHeight="1">
      <c r="A108" s="53">
        <v>1</v>
      </c>
      <c r="B108" s="53" t="str">
        <f>VLOOKUP(Ruimtestaat[[#This Row],[Code]],Locaties[#All],2,FALSE)</f>
        <v>Ir. Lely Lyceum</v>
      </c>
      <c r="C108" s="53" t="str">
        <f>VLOOKUP(Ruimtestaat[[#This Row],[Code]],Locaties[#All],4,FALSE)</f>
        <v>Ravenswaaipad 3</v>
      </c>
      <c r="D108" s="53" t="str">
        <f>VLOOKUP(Ruimtestaat[[#This Row],[Code]],Locaties[#All],5,FALSE)</f>
        <v>1106 AW</v>
      </c>
      <c r="E108" s="53" t="str">
        <f>VLOOKUP(Ruimtestaat[[#This Row],[Code]],Locaties[#All],6,FALSE)</f>
        <v>Amsterdam</v>
      </c>
      <c r="F108" s="78" t="s">
        <v>347</v>
      </c>
      <c r="G108" s="53" t="s">
        <v>450</v>
      </c>
      <c r="H108" s="95" t="s">
        <v>492</v>
      </c>
      <c r="I108" s="23" t="s">
        <v>428</v>
      </c>
      <c r="J108" s="53">
        <v>16</v>
      </c>
      <c r="K108" s="78" t="str">
        <f>VLOOKUP(J108,Ruimtegroepen[],2,FALSE)</f>
        <v>Leslokalen theorie</v>
      </c>
      <c r="L108" s="53" t="s">
        <v>280</v>
      </c>
      <c r="M108" s="53" t="s">
        <v>353</v>
      </c>
      <c r="N108" s="79">
        <v>49</v>
      </c>
      <c r="O108" s="79"/>
      <c r="P108" s="80" t="str">
        <f>LEFT(VLOOKUP(Ruimtestaat[[#This Row],[Ruimte code]],Ruimtegroepen[#All],4,1),2)</f>
        <v xml:space="preserve">L </v>
      </c>
      <c r="Q108" s="80"/>
      <c r="R108" s="81">
        <v>40</v>
      </c>
      <c r="S108" s="81" t="s">
        <v>298</v>
      </c>
      <c r="T108" s="82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8" s="82">
        <f>IF(T108&gt;0,VLOOKUP($J108,Ruimtegroepen[],3,FALSE)*VLOOKUP($L108,Vloersoorten[],3,FALSE)*VLOOKUP($S108,Frequenties[],3,FALSE)*VLOOKUP($A108,Locaties[],3,FALSE),0)</f>
        <v>0</v>
      </c>
      <c r="V108" s="83">
        <f>Ruimtestaat[[#This Row],[Uitvoeringen werkdagen]]*Ruimtestaat[[#This Row],[Oppervlak (netto)]]</f>
        <v>9800</v>
      </c>
      <c r="W108" s="84">
        <f>IF(U108&gt;0,Ruimtestaat[[#This Row],[Prest. (m2 /jaar) werkdagen]]/Ruimtestaat[[#This Row],[Norm (m2/uur) werkdagen]],0)</f>
        <v>0</v>
      </c>
      <c r="X108" s="85">
        <f>Ruimtestaat[[#This Row],[uren / jaar werkdagen]]*Tariefsopbouw!$E$35</f>
        <v>0</v>
      </c>
      <c r="Y108" s="82"/>
      <c r="Z108" s="86">
        <f>IF(Ruimtestaat[[#This Row],[Frequentie weekend]]&gt;0,VALUE(LEFT(Y108,1))*R108,0)</f>
        <v>0</v>
      </c>
      <c r="AA108" s="82">
        <f>IF($Z108&gt;0,VLOOKUP($J108,Ruimtegroepen[],3,FALSE)*VLOOKUP($L108,Vloersoorten[],3,FALSE)*VLOOKUP($Y108,Frequenties[],3,FALSE)*VLOOKUP($A103,Locaties[],3,FALSE),0)</f>
        <v>0</v>
      </c>
      <c r="AB108" s="84">
        <f>Ruimtestaat[[#This Row],[Uitvoeringen weekend]]*Ruimtestaat[[#This Row],[Oppervlak (netto)]]</f>
        <v>0</v>
      </c>
      <c r="AC108" s="87">
        <f>IF(AB108&gt;0,Ruimtestaat[[#This Row],[Prest. (m2 /jaar) weekend]]/Ruimtestaat[[#This Row],[Norm (m2/uur) weekend]],0)</f>
        <v>0</v>
      </c>
      <c r="AD108" s="88">
        <f>Ruimtestaat[[#This Row],[uren / jaar weekend]]*Tariefsopbouw!$D$40</f>
        <v>0</v>
      </c>
      <c r="AE108" s="89">
        <f>Ruimtestaat[[#This Row],[Prest. (m2 /jaar) weekend]]+Ruimtestaat[[#This Row],[Prest. (m2 /jaar) werkdagen]]</f>
        <v>9800</v>
      </c>
      <c r="AF108" s="89">
        <f>Ruimtestaat[[#This Row],[uren / jaar weekend]]+Ruimtestaat[[#This Row],[uren / jaar werkdagen]]</f>
        <v>0</v>
      </c>
      <c r="AG108" s="90">
        <f>Ruimtestaat[[#This Row],[kosten / jaar weekend]]+Ruimtestaat[[#This Row],[kosten / jaar werkdagen]]</f>
        <v>0</v>
      </c>
      <c r="AH108" s="91"/>
      <c r="HL108" s="67"/>
    </row>
    <row r="109" spans="1:220" ht="15" customHeight="1">
      <c r="A109" s="53">
        <v>1</v>
      </c>
      <c r="B109" s="53" t="str">
        <f>VLOOKUP(Ruimtestaat[[#This Row],[Code]],Locaties[#All],2,FALSE)</f>
        <v>Ir. Lely Lyceum</v>
      </c>
      <c r="C109" s="53" t="str">
        <f>VLOOKUP(Ruimtestaat[[#This Row],[Code]],Locaties[#All],4,FALSE)</f>
        <v>Ravenswaaipad 3</v>
      </c>
      <c r="D109" s="53" t="str">
        <f>VLOOKUP(Ruimtestaat[[#This Row],[Code]],Locaties[#All],5,FALSE)</f>
        <v>1106 AW</v>
      </c>
      <c r="E109" s="53" t="str">
        <f>VLOOKUP(Ruimtestaat[[#This Row],[Code]],Locaties[#All],6,FALSE)</f>
        <v>Amsterdam</v>
      </c>
      <c r="F109" s="78" t="s">
        <v>347</v>
      </c>
      <c r="G109" s="53" t="s">
        <v>450</v>
      </c>
      <c r="H109" s="95" t="s">
        <v>493</v>
      </c>
      <c r="I109" s="23" t="s">
        <v>428</v>
      </c>
      <c r="J109" s="53">
        <v>16</v>
      </c>
      <c r="K109" s="78" t="str">
        <f>VLOOKUP(J109,Ruimtegroepen[],2,FALSE)</f>
        <v>Leslokalen theorie</v>
      </c>
      <c r="L109" s="53" t="s">
        <v>280</v>
      </c>
      <c r="M109" s="53" t="s">
        <v>353</v>
      </c>
      <c r="N109" s="79">
        <v>73.5</v>
      </c>
      <c r="O109" s="79"/>
      <c r="P109" s="80" t="str">
        <f>LEFT(VLOOKUP(Ruimtestaat[[#This Row],[Ruimte code]],Ruimtegroepen[#All],4,1),2)</f>
        <v xml:space="preserve">L </v>
      </c>
      <c r="Q109" s="80"/>
      <c r="R109" s="81">
        <v>40</v>
      </c>
      <c r="S109" s="81" t="s">
        <v>298</v>
      </c>
      <c r="T109" s="82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09" s="82">
        <f>IF(T109&gt;0,VLOOKUP($J109,Ruimtegroepen[],3,FALSE)*VLOOKUP($L109,Vloersoorten[],3,FALSE)*VLOOKUP($S109,Frequenties[],3,FALSE)*VLOOKUP($A109,Locaties[],3,FALSE),0)</f>
        <v>0</v>
      </c>
      <c r="V109" s="83">
        <f>Ruimtestaat[[#This Row],[Uitvoeringen werkdagen]]*Ruimtestaat[[#This Row],[Oppervlak (netto)]]</f>
        <v>14700</v>
      </c>
      <c r="W109" s="84">
        <f>IF(U109&gt;0,Ruimtestaat[[#This Row],[Prest. (m2 /jaar) werkdagen]]/Ruimtestaat[[#This Row],[Norm (m2/uur) werkdagen]],0)</f>
        <v>0</v>
      </c>
      <c r="X109" s="85">
        <f>Ruimtestaat[[#This Row],[uren / jaar werkdagen]]*Tariefsopbouw!$E$35</f>
        <v>0</v>
      </c>
      <c r="Y109" s="82"/>
      <c r="Z109" s="86">
        <f>IF(Ruimtestaat[[#This Row],[Frequentie weekend]]&gt;0,VALUE(LEFT(Y109,1))*R109,0)</f>
        <v>0</v>
      </c>
      <c r="AA109" s="82">
        <f>IF($Z109&gt;0,VLOOKUP($J109,Ruimtegroepen[],3,FALSE)*VLOOKUP($L109,Vloersoorten[],3,FALSE)*VLOOKUP($Y109,Frequenties[],3,FALSE)*VLOOKUP($A104,Locaties[],3,FALSE),0)</f>
        <v>0</v>
      </c>
      <c r="AB109" s="84">
        <f>Ruimtestaat[[#This Row],[Uitvoeringen weekend]]*Ruimtestaat[[#This Row],[Oppervlak (netto)]]</f>
        <v>0</v>
      </c>
      <c r="AC109" s="87">
        <f>IF(AB109&gt;0,Ruimtestaat[[#This Row],[Prest. (m2 /jaar) weekend]]/Ruimtestaat[[#This Row],[Norm (m2/uur) weekend]],0)</f>
        <v>0</v>
      </c>
      <c r="AD109" s="88">
        <f>Ruimtestaat[[#This Row],[uren / jaar weekend]]*Tariefsopbouw!$D$40</f>
        <v>0</v>
      </c>
      <c r="AE109" s="89">
        <f>Ruimtestaat[[#This Row],[Prest. (m2 /jaar) weekend]]+Ruimtestaat[[#This Row],[Prest. (m2 /jaar) werkdagen]]</f>
        <v>14700</v>
      </c>
      <c r="AF109" s="89">
        <f>Ruimtestaat[[#This Row],[uren / jaar weekend]]+Ruimtestaat[[#This Row],[uren / jaar werkdagen]]</f>
        <v>0</v>
      </c>
      <c r="AG109" s="90">
        <f>Ruimtestaat[[#This Row],[kosten / jaar weekend]]+Ruimtestaat[[#This Row],[kosten / jaar werkdagen]]</f>
        <v>0</v>
      </c>
      <c r="AH109" s="91"/>
      <c r="HL109" s="67"/>
    </row>
    <row r="110" spans="1:220" ht="15" customHeight="1">
      <c r="A110" s="53">
        <v>1</v>
      </c>
      <c r="B110" s="53" t="str">
        <f>VLOOKUP(Ruimtestaat[[#This Row],[Code]],Locaties[#All],2,FALSE)</f>
        <v>Ir. Lely Lyceum</v>
      </c>
      <c r="C110" s="53" t="str">
        <f>VLOOKUP(Ruimtestaat[[#This Row],[Code]],Locaties[#All],4,FALSE)</f>
        <v>Ravenswaaipad 3</v>
      </c>
      <c r="D110" s="53" t="str">
        <f>VLOOKUP(Ruimtestaat[[#This Row],[Code]],Locaties[#All],5,FALSE)</f>
        <v>1106 AW</v>
      </c>
      <c r="E110" s="53" t="str">
        <f>VLOOKUP(Ruimtestaat[[#This Row],[Code]],Locaties[#All],6,FALSE)</f>
        <v>Amsterdam</v>
      </c>
      <c r="F110" s="78" t="s">
        <v>347</v>
      </c>
      <c r="G110" s="53" t="s">
        <v>450</v>
      </c>
      <c r="H110" s="95" t="s">
        <v>494</v>
      </c>
      <c r="I110" s="23" t="s">
        <v>456</v>
      </c>
      <c r="J110" s="53">
        <v>6</v>
      </c>
      <c r="K110" s="78" t="str">
        <f>VLOOKUP(J110,Ruimtegroepen[],2,FALSE)</f>
        <v>Gangen/hallen</v>
      </c>
      <c r="L110" s="53" t="s">
        <v>280</v>
      </c>
      <c r="M110" s="53" t="s">
        <v>353</v>
      </c>
      <c r="N110" s="79">
        <v>109.9</v>
      </c>
      <c r="O110" s="79"/>
      <c r="P110" s="80" t="str">
        <f>LEFT(VLOOKUP(Ruimtestaat[[#This Row],[Ruimte code]],Ruimtegroepen[#All],4,1),2)</f>
        <v xml:space="preserve">V </v>
      </c>
      <c r="Q110" s="80"/>
      <c r="R110" s="81">
        <v>40</v>
      </c>
      <c r="S110" s="81" t="s">
        <v>298</v>
      </c>
      <c r="T110" s="82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0" s="82">
        <f>IF(T110&gt;0,VLOOKUP($J110,Ruimtegroepen[],3,FALSE)*VLOOKUP($L110,Vloersoorten[],3,FALSE)*VLOOKUP($S110,Frequenties[],3,FALSE)*VLOOKUP($A110,Locaties[],3,FALSE),0)</f>
        <v>0</v>
      </c>
      <c r="V110" s="83">
        <f>Ruimtestaat[[#This Row],[Uitvoeringen werkdagen]]*Ruimtestaat[[#This Row],[Oppervlak (netto)]]</f>
        <v>21980</v>
      </c>
      <c r="W110" s="84">
        <f>IF(U110&gt;0,Ruimtestaat[[#This Row],[Prest. (m2 /jaar) werkdagen]]/Ruimtestaat[[#This Row],[Norm (m2/uur) werkdagen]],0)</f>
        <v>0</v>
      </c>
      <c r="X110" s="85">
        <f>Ruimtestaat[[#This Row],[uren / jaar werkdagen]]*Tariefsopbouw!$E$35</f>
        <v>0</v>
      </c>
      <c r="Y110" s="82"/>
      <c r="Z110" s="86">
        <f>IF(Ruimtestaat[[#This Row],[Frequentie weekend]]&gt;0,VALUE(LEFT(Y110,1))*R110,0)</f>
        <v>0</v>
      </c>
      <c r="AA110" s="82">
        <f>IF($Z110&gt;0,VLOOKUP($J110,Ruimtegroepen[],3,FALSE)*VLOOKUP($L110,Vloersoorten[],3,FALSE)*VLOOKUP($Y110,Frequenties[],3,FALSE)*VLOOKUP($A105,Locaties[],3,FALSE),0)</f>
        <v>0</v>
      </c>
      <c r="AB110" s="84">
        <f>Ruimtestaat[[#This Row],[Uitvoeringen weekend]]*Ruimtestaat[[#This Row],[Oppervlak (netto)]]</f>
        <v>0</v>
      </c>
      <c r="AC110" s="87">
        <f>IF(AB110&gt;0,Ruimtestaat[[#This Row],[Prest. (m2 /jaar) weekend]]/Ruimtestaat[[#This Row],[Norm (m2/uur) weekend]],0)</f>
        <v>0</v>
      </c>
      <c r="AD110" s="88">
        <f>Ruimtestaat[[#This Row],[uren / jaar weekend]]*Tariefsopbouw!$D$40</f>
        <v>0</v>
      </c>
      <c r="AE110" s="89">
        <f>Ruimtestaat[[#This Row],[Prest. (m2 /jaar) weekend]]+Ruimtestaat[[#This Row],[Prest. (m2 /jaar) werkdagen]]</f>
        <v>21980</v>
      </c>
      <c r="AF110" s="89">
        <f>Ruimtestaat[[#This Row],[uren / jaar weekend]]+Ruimtestaat[[#This Row],[uren / jaar werkdagen]]</f>
        <v>0</v>
      </c>
      <c r="AG110" s="90">
        <f>Ruimtestaat[[#This Row],[kosten / jaar weekend]]+Ruimtestaat[[#This Row],[kosten / jaar werkdagen]]</f>
        <v>0</v>
      </c>
      <c r="AH110" s="91"/>
      <c r="HL110" s="67"/>
    </row>
    <row r="111" spans="1:220" ht="15" customHeight="1">
      <c r="A111" s="53">
        <v>1</v>
      </c>
      <c r="B111" s="53" t="str">
        <f>VLOOKUP(Ruimtestaat[[#This Row],[Code]],Locaties[#All],2,FALSE)</f>
        <v>Ir. Lely Lyceum</v>
      </c>
      <c r="C111" s="53" t="str">
        <f>VLOOKUP(Ruimtestaat[[#This Row],[Code]],Locaties[#All],4,FALSE)</f>
        <v>Ravenswaaipad 3</v>
      </c>
      <c r="D111" s="53" t="str">
        <f>VLOOKUP(Ruimtestaat[[#This Row],[Code]],Locaties[#All],5,FALSE)</f>
        <v>1106 AW</v>
      </c>
      <c r="E111" s="53" t="str">
        <f>VLOOKUP(Ruimtestaat[[#This Row],[Code]],Locaties[#All],6,FALSE)</f>
        <v>Amsterdam</v>
      </c>
      <c r="F111" s="78" t="s">
        <v>347</v>
      </c>
      <c r="G111" s="53" t="s">
        <v>450</v>
      </c>
      <c r="H111" s="95" t="s">
        <v>495</v>
      </c>
      <c r="I111" s="23" t="s">
        <v>383</v>
      </c>
      <c r="J111" s="53">
        <v>2</v>
      </c>
      <c r="K111" s="78" t="str">
        <f>VLOOKUP(J111,Ruimtegroepen[],2,FALSE)</f>
        <v>Kantoren</v>
      </c>
      <c r="L111" s="53" t="s">
        <v>280</v>
      </c>
      <c r="M111" s="53" t="s">
        <v>353</v>
      </c>
      <c r="N111" s="79">
        <v>24.5</v>
      </c>
      <c r="O111" s="79"/>
      <c r="P111" s="80" t="str">
        <f>LEFT(VLOOKUP(Ruimtestaat[[#This Row],[Ruimte code]],Ruimtegroepen[#All],4,1),2)</f>
        <v xml:space="preserve">B </v>
      </c>
      <c r="Q111" s="80"/>
      <c r="R111" s="81">
        <v>40</v>
      </c>
      <c r="S111" s="81" t="s">
        <v>298</v>
      </c>
      <c r="T111" s="82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1" s="82">
        <f>IF(T111&gt;0,VLOOKUP($J111,Ruimtegroepen[],3,FALSE)*VLOOKUP($L111,Vloersoorten[],3,FALSE)*VLOOKUP($S111,Frequenties[],3,FALSE)*VLOOKUP($A111,Locaties[],3,FALSE),0)</f>
        <v>0</v>
      </c>
      <c r="V111" s="83">
        <f>Ruimtestaat[[#This Row],[Uitvoeringen werkdagen]]*Ruimtestaat[[#This Row],[Oppervlak (netto)]]</f>
        <v>4900</v>
      </c>
      <c r="W111" s="84">
        <f>IF(U111&gt;0,Ruimtestaat[[#This Row],[Prest. (m2 /jaar) werkdagen]]/Ruimtestaat[[#This Row],[Norm (m2/uur) werkdagen]],0)</f>
        <v>0</v>
      </c>
      <c r="X111" s="85">
        <f>Ruimtestaat[[#This Row],[uren / jaar werkdagen]]*Tariefsopbouw!$E$35</f>
        <v>0</v>
      </c>
      <c r="Y111" s="82"/>
      <c r="Z111" s="86">
        <f>IF(Ruimtestaat[[#This Row],[Frequentie weekend]]&gt;0,VALUE(LEFT(Y111,1))*R111,0)</f>
        <v>0</v>
      </c>
      <c r="AA111" s="82">
        <f>IF($Z111&gt;0,VLOOKUP($J111,Ruimtegroepen[],3,FALSE)*VLOOKUP($L111,Vloersoorten[],3,FALSE)*VLOOKUP($Y111,Frequenties[],3,FALSE)*VLOOKUP($A106,Locaties[],3,FALSE),0)</f>
        <v>0</v>
      </c>
      <c r="AB111" s="84">
        <f>Ruimtestaat[[#This Row],[Uitvoeringen weekend]]*Ruimtestaat[[#This Row],[Oppervlak (netto)]]</f>
        <v>0</v>
      </c>
      <c r="AC111" s="87">
        <f>IF(AB111&gt;0,Ruimtestaat[[#This Row],[Prest. (m2 /jaar) weekend]]/Ruimtestaat[[#This Row],[Norm (m2/uur) weekend]],0)</f>
        <v>0</v>
      </c>
      <c r="AD111" s="88">
        <f>Ruimtestaat[[#This Row],[uren / jaar weekend]]*Tariefsopbouw!$D$40</f>
        <v>0</v>
      </c>
      <c r="AE111" s="89">
        <f>Ruimtestaat[[#This Row],[Prest. (m2 /jaar) weekend]]+Ruimtestaat[[#This Row],[Prest. (m2 /jaar) werkdagen]]</f>
        <v>4900</v>
      </c>
      <c r="AF111" s="89">
        <f>Ruimtestaat[[#This Row],[uren / jaar weekend]]+Ruimtestaat[[#This Row],[uren / jaar werkdagen]]</f>
        <v>0</v>
      </c>
      <c r="AG111" s="90">
        <f>Ruimtestaat[[#This Row],[kosten / jaar weekend]]+Ruimtestaat[[#This Row],[kosten / jaar werkdagen]]</f>
        <v>0</v>
      </c>
      <c r="AH111" s="91"/>
      <c r="HL111" s="67"/>
    </row>
    <row r="112" spans="1:220" ht="15" customHeight="1">
      <c r="A112" s="53">
        <v>1</v>
      </c>
      <c r="B112" s="53" t="str">
        <f>VLOOKUP(Ruimtestaat[[#This Row],[Code]],Locaties[#All],2,FALSE)</f>
        <v>Ir. Lely Lyceum</v>
      </c>
      <c r="C112" s="53" t="str">
        <f>VLOOKUP(Ruimtestaat[[#This Row],[Code]],Locaties[#All],4,FALSE)</f>
        <v>Ravenswaaipad 3</v>
      </c>
      <c r="D112" s="53" t="str">
        <f>VLOOKUP(Ruimtestaat[[#This Row],[Code]],Locaties[#All],5,FALSE)</f>
        <v>1106 AW</v>
      </c>
      <c r="E112" s="53" t="str">
        <f>VLOOKUP(Ruimtestaat[[#This Row],[Code]],Locaties[#All],6,FALSE)</f>
        <v>Amsterdam</v>
      </c>
      <c r="F112" s="78" t="s">
        <v>347</v>
      </c>
      <c r="G112" s="53" t="s">
        <v>450</v>
      </c>
      <c r="H112" s="95" t="s">
        <v>496</v>
      </c>
      <c r="I112" s="23" t="s">
        <v>383</v>
      </c>
      <c r="J112" s="53">
        <v>2</v>
      </c>
      <c r="K112" s="78" t="str">
        <f>VLOOKUP(J112,Ruimtegroepen[],2,FALSE)</f>
        <v>Kantoren</v>
      </c>
      <c r="L112" s="53" t="s">
        <v>280</v>
      </c>
      <c r="M112" s="53" t="s">
        <v>353</v>
      </c>
      <c r="N112" s="79">
        <v>24.5</v>
      </c>
      <c r="O112" s="79"/>
      <c r="P112" s="80" t="str">
        <f>LEFT(VLOOKUP(Ruimtestaat[[#This Row],[Ruimte code]],Ruimtegroepen[#All],4,1),2)</f>
        <v xml:space="preserve">B </v>
      </c>
      <c r="Q112" s="80"/>
      <c r="R112" s="81">
        <v>40</v>
      </c>
      <c r="S112" s="81" t="s">
        <v>298</v>
      </c>
      <c r="T112" s="82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2" s="82">
        <f>IF(T112&gt;0,VLOOKUP($J112,Ruimtegroepen[],3,FALSE)*VLOOKUP($L112,Vloersoorten[],3,FALSE)*VLOOKUP($S112,Frequenties[],3,FALSE)*VLOOKUP($A112,Locaties[],3,FALSE),0)</f>
        <v>0</v>
      </c>
      <c r="V112" s="83">
        <f>Ruimtestaat[[#This Row],[Uitvoeringen werkdagen]]*Ruimtestaat[[#This Row],[Oppervlak (netto)]]</f>
        <v>4900</v>
      </c>
      <c r="W112" s="84">
        <f>IF(U112&gt;0,Ruimtestaat[[#This Row],[Prest. (m2 /jaar) werkdagen]]/Ruimtestaat[[#This Row],[Norm (m2/uur) werkdagen]],0)</f>
        <v>0</v>
      </c>
      <c r="X112" s="85">
        <f>Ruimtestaat[[#This Row],[uren / jaar werkdagen]]*Tariefsopbouw!$E$35</f>
        <v>0</v>
      </c>
      <c r="Y112" s="82"/>
      <c r="Z112" s="86">
        <f>IF(Ruimtestaat[[#This Row],[Frequentie weekend]]&gt;0,VALUE(LEFT(Y112,1))*R112,0)</f>
        <v>0</v>
      </c>
      <c r="AA112" s="82">
        <f>IF($Z112&gt;0,VLOOKUP($J112,Ruimtegroepen[],3,FALSE)*VLOOKUP($L112,Vloersoorten[],3,FALSE)*VLOOKUP($Y112,Frequenties[],3,FALSE)*VLOOKUP($A108,Locaties[],3,FALSE),0)</f>
        <v>0</v>
      </c>
      <c r="AB112" s="84">
        <f>Ruimtestaat[[#This Row],[Uitvoeringen weekend]]*Ruimtestaat[[#This Row],[Oppervlak (netto)]]</f>
        <v>0</v>
      </c>
      <c r="AC112" s="87">
        <f>IF(AB112&gt;0,Ruimtestaat[[#This Row],[Prest. (m2 /jaar) weekend]]/Ruimtestaat[[#This Row],[Norm (m2/uur) weekend]],0)</f>
        <v>0</v>
      </c>
      <c r="AD112" s="88">
        <f>Ruimtestaat[[#This Row],[uren / jaar weekend]]*Tariefsopbouw!$D$40</f>
        <v>0</v>
      </c>
      <c r="AE112" s="89">
        <f>Ruimtestaat[[#This Row],[Prest. (m2 /jaar) weekend]]+Ruimtestaat[[#This Row],[Prest. (m2 /jaar) werkdagen]]</f>
        <v>4900</v>
      </c>
      <c r="AF112" s="89">
        <f>Ruimtestaat[[#This Row],[uren / jaar weekend]]+Ruimtestaat[[#This Row],[uren / jaar werkdagen]]</f>
        <v>0</v>
      </c>
      <c r="AG112" s="90">
        <f>Ruimtestaat[[#This Row],[kosten / jaar weekend]]+Ruimtestaat[[#This Row],[kosten / jaar werkdagen]]</f>
        <v>0</v>
      </c>
      <c r="AH112" s="91"/>
      <c r="HL112" s="67"/>
    </row>
    <row r="113" spans="1:220" ht="15" customHeight="1">
      <c r="A113" s="53">
        <v>1</v>
      </c>
      <c r="B113" s="53" t="str">
        <f>VLOOKUP(Ruimtestaat[[#This Row],[Code]],Locaties[#All],2,FALSE)</f>
        <v>Ir. Lely Lyceum</v>
      </c>
      <c r="C113" s="53" t="str">
        <f>VLOOKUP(Ruimtestaat[[#This Row],[Code]],Locaties[#All],4,FALSE)</f>
        <v>Ravenswaaipad 3</v>
      </c>
      <c r="D113" s="53" t="str">
        <f>VLOOKUP(Ruimtestaat[[#This Row],[Code]],Locaties[#All],5,FALSE)</f>
        <v>1106 AW</v>
      </c>
      <c r="E113" s="53" t="str">
        <f>VLOOKUP(Ruimtestaat[[#This Row],[Code]],Locaties[#All],6,FALSE)</f>
        <v>Amsterdam</v>
      </c>
      <c r="F113" s="78" t="s">
        <v>347</v>
      </c>
      <c r="G113" s="53" t="s">
        <v>450</v>
      </c>
      <c r="H113" s="95" t="s">
        <v>497</v>
      </c>
      <c r="I113" s="23" t="s">
        <v>498</v>
      </c>
      <c r="J113" s="53">
        <v>16</v>
      </c>
      <c r="K113" s="78" t="str">
        <f>VLOOKUP(J113,Ruimtegroepen[],2,FALSE)</f>
        <v>Leslokalen theorie</v>
      </c>
      <c r="L113" s="53" t="s">
        <v>280</v>
      </c>
      <c r="M113" s="53" t="s">
        <v>353</v>
      </c>
      <c r="N113" s="79">
        <v>49</v>
      </c>
      <c r="O113" s="79"/>
      <c r="P113" s="80" t="str">
        <f>LEFT(VLOOKUP(Ruimtestaat[[#This Row],[Ruimte code]],Ruimtegroepen[#All],4,1),2)</f>
        <v xml:space="preserve">L </v>
      </c>
      <c r="Q113" s="80"/>
      <c r="R113" s="81">
        <v>40</v>
      </c>
      <c r="S113" s="81" t="s">
        <v>298</v>
      </c>
      <c r="T113" s="82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3" s="82">
        <f>IF(T113&gt;0,VLOOKUP($J113,Ruimtegroepen[],3,FALSE)*VLOOKUP($L113,Vloersoorten[],3,FALSE)*VLOOKUP($S113,Frequenties[],3,FALSE)*VLOOKUP($A113,Locaties[],3,FALSE),0)</f>
        <v>0</v>
      </c>
      <c r="V113" s="83">
        <f>Ruimtestaat[[#This Row],[Uitvoeringen werkdagen]]*Ruimtestaat[[#This Row],[Oppervlak (netto)]]</f>
        <v>9800</v>
      </c>
      <c r="W113" s="84">
        <f>IF(U113&gt;0,Ruimtestaat[[#This Row],[Prest. (m2 /jaar) werkdagen]]/Ruimtestaat[[#This Row],[Norm (m2/uur) werkdagen]],0)</f>
        <v>0</v>
      </c>
      <c r="X113" s="85">
        <f>Ruimtestaat[[#This Row],[uren / jaar werkdagen]]*Tariefsopbouw!$E$35</f>
        <v>0</v>
      </c>
      <c r="Y113" s="82"/>
      <c r="Z113" s="86">
        <f>IF(Ruimtestaat[[#This Row],[Frequentie weekend]]&gt;0,VALUE(LEFT(Y113,1))*R113,0)</f>
        <v>0</v>
      </c>
      <c r="AA113" s="82">
        <f>IF($Z113&gt;0,VLOOKUP($J113,Ruimtegroepen[],3,FALSE)*VLOOKUP($L113,Vloersoorten[],3,FALSE)*VLOOKUP($Y113,Frequenties[],3,FALSE)*VLOOKUP($A109,Locaties[],3,FALSE),0)</f>
        <v>0</v>
      </c>
      <c r="AB113" s="84">
        <f>Ruimtestaat[[#This Row],[Uitvoeringen weekend]]*Ruimtestaat[[#This Row],[Oppervlak (netto)]]</f>
        <v>0</v>
      </c>
      <c r="AC113" s="87">
        <f>IF(AB113&gt;0,Ruimtestaat[[#This Row],[Prest. (m2 /jaar) weekend]]/Ruimtestaat[[#This Row],[Norm (m2/uur) weekend]],0)</f>
        <v>0</v>
      </c>
      <c r="AD113" s="88">
        <f>Ruimtestaat[[#This Row],[uren / jaar weekend]]*Tariefsopbouw!$D$40</f>
        <v>0</v>
      </c>
      <c r="AE113" s="89">
        <f>Ruimtestaat[[#This Row],[Prest. (m2 /jaar) weekend]]+Ruimtestaat[[#This Row],[Prest. (m2 /jaar) werkdagen]]</f>
        <v>9800</v>
      </c>
      <c r="AF113" s="89">
        <f>Ruimtestaat[[#This Row],[uren / jaar weekend]]+Ruimtestaat[[#This Row],[uren / jaar werkdagen]]</f>
        <v>0</v>
      </c>
      <c r="AG113" s="90">
        <f>Ruimtestaat[[#This Row],[kosten / jaar weekend]]+Ruimtestaat[[#This Row],[kosten / jaar werkdagen]]</f>
        <v>0</v>
      </c>
      <c r="AH113" s="91"/>
      <c r="HL113" s="67"/>
    </row>
    <row r="114" spans="1:220" ht="15" customHeight="1">
      <c r="A114" s="53">
        <v>1</v>
      </c>
      <c r="B114" s="53" t="str">
        <f>VLOOKUP(Ruimtestaat[[#This Row],[Code]],Locaties[#All],2,FALSE)</f>
        <v>Ir. Lely Lyceum</v>
      </c>
      <c r="C114" s="53" t="str">
        <f>VLOOKUP(Ruimtestaat[[#This Row],[Code]],Locaties[#All],4,FALSE)</f>
        <v>Ravenswaaipad 3</v>
      </c>
      <c r="D114" s="53" t="str">
        <f>VLOOKUP(Ruimtestaat[[#This Row],[Code]],Locaties[#All],5,FALSE)</f>
        <v>1106 AW</v>
      </c>
      <c r="E114" s="53" t="str">
        <f>VLOOKUP(Ruimtestaat[[#This Row],[Code]],Locaties[#All],6,FALSE)</f>
        <v>Amsterdam</v>
      </c>
      <c r="F114" s="78" t="s">
        <v>347</v>
      </c>
      <c r="G114" s="53" t="s">
        <v>450</v>
      </c>
      <c r="H114" s="95" t="s">
        <v>499</v>
      </c>
      <c r="I114" s="23" t="s">
        <v>498</v>
      </c>
      <c r="J114" s="53">
        <v>16</v>
      </c>
      <c r="K114" s="78" t="str">
        <f>VLOOKUP(J114,Ruimtegroepen[],2,FALSE)</f>
        <v>Leslokalen theorie</v>
      </c>
      <c r="L114" s="53" t="s">
        <v>280</v>
      </c>
      <c r="M114" s="53" t="s">
        <v>353</v>
      </c>
      <c r="N114" s="79">
        <v>49</v>
      </c>
      <c r="O114" s="79"/>
      <c r="P114" s="80" t="str">
        <f>LEFT(VLOOKUP(Ruimtestaat[[#This Row],[Ruimte code]],Ruimtegroepen[#All],4,1),2)</f>
        <v xml:space="preserve">L </v>
      </c>
      <c r="Q114" s="80"/>
      <c r="R114" s="81">
        <v>40</v>
      </c>
      <c r="S114" s="81" t="s">
        <v>298</v>
      </c>
      <c r="T114" s="82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4" s="82">
        <f>IF(T114&gt;0,VLOOKUP($J114,Ruimtegroepen[],3,FALSE)*VLOOKUP($L114,Vloersoorten[],3,FALSE)*VLOOKUP($S114,Frequenties[],3,FALSE)*VLOOKUP($A114,Locaties[],3,FALSE),0)</f>
        <v>0</v>
      </c>
      <c r="V114" s="83">
        <f>Ruimtestaat[[#This Row],[Uitvoeringen werkdagen]]*Ruimtestaat[[#This Row],[Oppervlak (netto)]]</f>
        <v>9800</v>
      </c>
      <c r="W114" s="84">
        <f>IF(U114&gt;0,Ruimtestaat[[#This Row],[Prest. (m2 /jaar) werkdagen]]/Ruimtestaat[[#This Row],[Norm (m2/uur) werkdagen]],0)</f>
        <v>0</v>
      </c>
      <c r="X114" s="85">
        <f>Ruimtestaat[[#This Row],[uren / jaar werkdagen]]*Tariefsopbouw!$E$35</f>
        <v>0</v>
      </c>
      <c r="Y114" s="82"/>
      <c r="Z114" s="86">
        <f>IF(Ruimtestaat[[#This Row],[Frequentie weekend]]&gt;0,VALUE(LEFT(Y114,1))*R114,0)</f>
        <v>0</v>
      </c>
      <c r="AA114" s="82">
        <f>IF($Z114&gt;0,VLOOKUP($J114,Ruimtegroepen[],3,FALSE)*VLOOKUP($L114,Vloersoorten[],3,FALSE)*VLOOKUP($Y114,Frequenties[],3,FALSE)*VLOOKUP($A110,Locaties[],3,FALSE),0)</f>
        <v>0</v>
      </c>
      <c r="AB114" s="84">
        <f>Ruimtestaat[[#This Row],[Uitvoeringen weekend]]*Ruimtestaat[[#This Row],[Oppervlak (netto)]]</f>
        <v>0</v>
      </c>
      <c r="AC114" s="87">
        <f>IF(AB114&gt;0,Ruimtestaat[[#This Row],[Prest. (m2 /jaar) weekend]]/Ruimtestaat[[#This Row],[Norm (m2/uur) weekend]],0)</f>
        <v>0</v>
      </c>
      <c r="AD114" s="88">
        <f>Ruimtestaat[[#This Row],[uren / jaar weekend]]*Tariefsopbouw!$D$40</f>
        <v>0</v>
      </c>
      <c r="AE114" s="89">
        <f>Ruimtestaat[[#This Row],[Prest. (m2 /jaar) weekend]]+Ruimtestaat[[#This Row],[Prest. (m2 /jaar) werkdagen]]</f>
        <v>9800</v>
      </c>
      <c r="AF114" s="89">
        <f>Ruimtestaat[[#This Row],[uren / jaar weekend]]+Ruimtestaat[[#This Row],[uren / jaar werkdagen]]</f>
        <v>0</v>
      </c>
      <c r="AG114" s="90">
        <f>Ruimtestaat[[#This Row],[kosten / jaar weekend]]+Ruimtestaat[[#This Row],[kosten / jaar werkdagen]]</f>
        <v>0</v>
      </c>
      <c r="AH114" s="91"/>
      <c r="HL114" s="67"/>
    </row>
    <row r="115" spans="1:220" ht="15" customHeight="1">
      <c r="A115" s="53">
        <v>1</v>
      </c>
      <c r="B115" s="53" t="str">
        <f>VLOOKUP(Ruimtestaat[[#This Row],[Code]],Locaties[#All],2,FALSE)</f>
        <v>Ir. Lely Lyceum</v>
      </c>
      <c r="C115" s="53" t="str">
        <f>VLOOKUP(Ruimtestaat[[#This Row],[Code]],Locaties[#All],4,FALSE)</f>
        <v>Ravenswaaipad 3</v>
      </c>
      <c r="D115" s="53" t="str">
        <f>VLOOKUP(Ruimtestaat[[#This Row],[Code]],Locaties[#All],5,FALSE)</f>
        <v>1106 AW</v>
      </c>
      <c r="E115" s="53" t="str">
        <f>VLOOKUP(Ruimtestaat[[#This Row],[Code]],Locaties[#All],6,FALSE)</f>
        <v>Amsterdam</v>
      </c>
      <c r="F115" s="78" t="s">
        <v>347</v>
      </c>
      <c r="G115" s="53" t="s">
        <v>450</v>
      </c>
      <c r="H115" s="95" t="s">
        <v>500</v>
      </c>
      <c r="I115" s="23" t="s">
        <v>383</v>
      </c>
      <c r="J115" s="53">
        <v>2</v>
      </c>
      <c r="K115" s="78" t="str">
        <f>VLOOKUP(J115,Ruimtegroepen[],2,FALSE)</f>
        <v>Kantoren</v>
      </c>
      <c r="L115" s="53" t="s">
        <v>280</v>
      </c>
      <c r="M115" s="53" t="s">
        <v>353</v>
      </c>
      <c r="N115" s="79">
        <v>24.5</v>
      </c>
      <c r="O115" s="79"/>
      <c r="P115" s="80" t="str">
        <f>LEFT(VLOOKUP(Ruimtestaat[[#This Row],[Ruimte code]],Ruimtegroepen[#All],4,1),2)</f>
        <v xml:space="preserve">B </v>
      </c>
      <c r="Q115" s="80"/>
      <c r="R115" s="81">
        <v>40</v>
      </c>
      <c r="S115" s="81" t="s">
        <v>298</v>
      </c>
      <c r="T115" s="82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5" s="82">
        <f>IF(T115&gt;0,VLOOKUP($J115,Ruimtegroepen[],3,FALSE)*VLOOKUP($L115,Vloersoorten[],3,FALSE)*VLOOKUP($S115,Frequenties[],3,FALSE)*VLOOKUP($A115,Locaties[],3,FALSE),0)</f>
        <v>0</v>
      </c>
      <c r="V115" s="83">
        <f>Ruimtestaat[[#This Row],[Uitvoeringen werkdagen]]*Ruimtestaat[[#This Row],[Oppervlak (netto)]]</f>
        <v>4900</v>
      </c>
      <c r="W115" s="84">
        <f>IF(U115&gt;0,Ruimtestaat[[#This Row],[Prest. (m2 /jaar) werkdagen]]/Ruimtestaat[[#This Row],[Norm (m2/uur) werkdagen]],0)</f>
        <v>0</v>
      </c>
      <c r="X115" s="85">
        <f>Ruimtestaat[[#This Row],[uren / jaar werkdagen]]*Tariefsopbouw!$E$35</f>
        <v>0</v>
      </c>
      <c r="Y115" s="82"/>
      <c r="Z115" s="86">
        <f>IF(Ruimtestaat[[#This Row],[Frequentie weekend]]&gt;0,VALUE(LEFT(Y115,1))*R115,0)</f>
        <v>0</v>
      </c>
      <c r="AA115" s="82">
        <f>IF($Z115&gt;0,VLOOKUP($J115,Ruimtegroepen[],3,FALSE)*VLOOKUP($L115,Vloersoorten[],3,FALSE)*VLOOKUP($Y115,Frequenties[],3,FALSE)*VLOOKUP($A111,Locaties[],3,FALSE),0)</f>
        <v>0</v>
      </c>
      <c r="AB115" s="84">
        <f>Ruimtestaat[[#This Row],[Uitvoeringen weekend]]*Ruimtestaat[[#This Row],[Oppervlak (netto)]]</f>
        <v>0</v>
      </c>
      <c r="AC115" s="87">
        <f>IF(AB115&gt;0,Ruimtestaat[[#This Row],[Prest. (m2 /jaar) weekend]]/Ruimtestaat[[#This Row],[Norm (m2/uur) weekend]],0)</f>
        <v>0</v>
      </c>
      <c r="AD115" s="88">
        <f>Ruimtestaat[[#This Row],[uren / jaar weekend]]*Tariefsopbouw!$D$40</f>
        <v>0</v>
      </c>
      <c r="AE115" s="89">
        <f>Ruimtestaat[[#This Row],[Prest. (m2 /jaar) weekend]]+Ruimtestaat[[#This Row],[Prest. (m2 /jaar) werkdagen]]</f>
        <v>4900</v>
      </c>
      <c r="AF115" s="89">
        <f>Ruimtestaat[[#This Row],[uren / jaar weekend]]+Ruimtestaat[[#This Row],[uren / jaar werkdagen]]</f>
        <v>0</v>
      </c>
      <c r="AG115" s="90">
        <f>Ruimtestaat[[#This Row],[kosten / jaar weekend]]+Ruimtestaat[[#This Row],[kosten / jaar werkdagen]]</f>
        <v>0</v>
      </c>
      <c r="AH115" s="91"/>
      <c r="HL115" s="67"/>
    </row>
    <row r="116" spans="1:220" ht="15" customHeight="1">
      <c r="A116" s="53">
        <v>1</v>
      </c>
      <c r="B116" s="53" t="str">
        <f>VLOOKUP(Ruimtestaat[[#This Row],[Code]],Locaties[#All],2,FALSE)</f>
        <v>Ir. Lely Lyceum</v>
      </c>
      <c r="C116" s="53" t="str">
        <f>VLOOKUP(Ruimtestaat[[#This Row],[Code]],Locaties[#All],4,FALSE)</f>
        <v>Ravenswaaipad 3</v>
      </c>
      <c r="D116" s="53" t="str">
        <f>VLOOKUP(Ruimtestaat[[#This Row],[Code]],Locaties[#All],5,FALSE)</f>
        <v>1106 AW</v>
      </c>
      <c r="E116" s="53" t="str">
        <f>VLOOKUP(Ruimtestaat[[#This Row],[Code]],Locaties[#All],6,FALSE)</f>
        <v>Amsterdam</v>
      </c>
      <c r="F116" s="78" t="s">
        <v>347</v>
      </c>
      <c r="G116" s="53" t="s">
        <v>450</v>
      </c>
      <c r="H116" s="95" t="s">
        <v>501</v>
      </c>
      <c r="I116" s="23" t="s">
        <v>498</v>
      </c>
      <c r="J116" s="53">
        <v>16</v>
      </c>
      <c r="K116" s="78" t="str">
        <f>VLOOKUP(J116,Ruimtegroepen[],2,FALSE)</f>
        <v>Leslokalen theorie</v>
      </c>
      <c r="L116" s="53" t="s">
        <v>280</v>
      </c>
      <c r="M116" s="53" t="s">
        <v>353</v>
      </c>
      <c r="N116" s="79">
        <v>82.5</v>
      </c>
      <c r="O116" s="79"/>
      <c r="P116" s="80" t="str">
        <f>LEFT(VLOOKUP(Ruimtestaat[[#This Row],[Ruimte code]],Ruimtegroepen[#All],4,1),2)</f>
        <v xml:space="preserve">L </v>
      </c>
      <c r="Q116" s="80"/>
      <c r="R116" s="81">
        <v>40</v>
      </c>
      <c r="S116" s="81" t="s">
        <v>298</v>
      </c>
      <c r="T116" s="82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6" s="82">
        <f>IF(T116&gt;0,VLOOKUP($J116,Ruimtegroepen[],3,FALSE)*VLOOKUP($L116,Vloersoorten[],3,FALSE)*VLOOKUP($S116,Frequenties[],3,FALSE)*VLOOKUP($A116,Locaties[],3,FALSE),0)</f>
        <v>0</v>
      </c>
      <c r="V116" s="83">
        <f>Ruimtestaat[[#This Row],[Uitvoeringen werkdagen]]*Ruimtestaat[[#This Row],[Oppervlak (netto)]]</f>
        <v>16500</v>
      </c>
      <c r="W116" s="84">
        <f>IF(U116&gt;0,Ruimtestaat[[#This Row],[Prest. (m2 /jaar) werkdagen]]/Ruimtestaat[[#This Row],[Norm (m2/uur) werkdagen]],0)</f>
        <v>0</v>
      </c>
      <c r="X116" s="85">
        <f>Ruimtestaat[[#This Row],[uren / jaar werkdagen]]*Tariefsopbouw!$E$35</f>
        <v>0</v>
      </c>
      <c r="Y116" s="82"/>
      <c r="Z116" s="86">
        <f>IF(Ruimtestaat[[#This Row],[Frequentie weekend]]&gt;0,VALUE(LEFT(Y116,1))*R116,0)</f>
        <v>0</v>
      </c>
      <c r="AA116" s="82">
        <f>IF($Z116&gt;0,VLOOKUP($J116,Ruimtegroepen[],3,FALSE)*VLOOKUP($L116,Vloersoorten[],3,FALSE)*VLOOKUP($Y116,Frequenties[],3,FALSE)*VLOOKUP($A112,Locaties[],3,FALSE),0)</f>
        <v>0</v>
      </c>
      <c r="AB116" s="84">
        <f>Ruimtestaat[[#This Row],[Uitvoeringen weekend]]*Ruimtestaat[[#This Row],[Oppervlak (netto)]]</f>
        <v>0</v>
      </c>
      <c r="AC116" s="87">
        <f>IF(AB116&gt;0,Ruimtestaat[[#This Row],[Prest. (m2 /jaar) weekend]]/Ruimtestaat[[#This Row],[Norm (m2/uur) weekend]],0)</f>
        <v>0</v>
      </c>
      <c r="AD116" s="88">
        <f>Ruimtestaat[[#This Row],[uren / jaar weekend]]*Tariefsopbouw!$D$40</f>
        <v>0</v>
      </c>
      <c r="AE116" s="89">
        <f>Ruimtestaat[[#This Row],[Prest. (m2 /jaar) weekend]]+Ruimtestaat[[#This Row],[Prest. (m2 /jaar) werkdagen]]</f>
        <v>16500</v>
      </c>
      <c r="AF116" s="89">
        <f>Ruimtestaat[[#This Row],[uren / jaar weekend]]+Ruimtestaat[[#This Row],[uren / jaar werkdagen]]</f>
        <v>0</v>
      </c>
      <c r="AG116" s="90">
        <f>Ruimtestaat[[#This Row],[kosten / jaar weekend]]+Ruimtestaat[[#This Row],[kosten / jaar werkdagen]]</f>
        <v>0</v>
      </c>
      <c r="AH116" s="91"/>
      <c r="HL116" s="67"/>
    </row>
    <row r="117" spans="1:220" ht="15" customHeight="1">
      <c r="A117" s="53">
        <v>1</v>
      </c>
      <c r="B117" s="53" t="str">
        <f>VLOOKUP(Ruimtestaat[[#This Row],[Code]],Locaties[#All],2,FALSE)</f>
        <v>Ir. Lely Lyceum</v>
      </c>
      <c r="C117" s="53" t="str">
        <f>VLOOKUP(Ruimtestaat[[#This Row],[Code]],Locaties[#All],4,FALSE)</f>
        <v>Ravenswaaipad 3</v>
      </c>
      <c r="D117" s="53" t="str">
        <f>VLOOKUP(Ruimtestaat[[#This Row],[Code]],Locaties[#All],5,FALSE)</f>
        <v>1106 AW</v>
      </c>
      <c r="E117" s="53" t="str">
        <f>VLOOKUP(Ruimtestaat[[#This Row],[Code]],Locaties[#All],6,FALSE)</f>
        <v>Amsterdam</v>
      </c>
      <c r="F117" s="78" t="s">
        <v>347</v>
      </c>
      <c r="G117" s="53" t="s">
        <v>450</v>
      </c>
      <c r="H117" s="95" t="s">
        <v>502</v>
      </c>
      <c r="I117" s="23" t="s">
        <v>428</v>
      </c>
      <c r="J117" s="53">
        <v>16</v>
      </c>
      <c r="K117" s="78" t="str">
        <f>VLOOKUP(J117,Ruimtegroepen[],2,FALSE)</f>
        <v>Leslokalen theorie</v>
      </c>
      <c r="L117" s="53" t="s">
        <v>280</v>
      </c>
      <c r="M117" s="53" t="s">
        <v>353</v>
      </c>
      <c r="N117" s="79">
        <v>33.75</v>
      </c>
      <c r="O117" s="79"/>
      <c r="P117" s="80" t="str">
        <f>LEFT(VLOOKUP(Ruimtestaat[[#This Row],[Ruimte code]],Ruimtegroepen[#All],4,1),2)</f>
        <v xml:space="preserve">L </v>
      </c>
      <c r="Q117" s="80"/>
      <c r="R117" s="81">
        <v>40</v>
      </c>
      <c r="S117" s="81" t="s">
        <v>298</v>
      </c>
      <c r="T117" s="82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7" s="82">
        <f>IF(T117&gt;0,VLOOKUP($J117,Ruimtegroepen[],3,FALSE)*VLOOKUP($L117,Vloersoorten[],3,FALSE)*VLOOKUP($S117,Frequenties[],3,FALSE)*VLOOKUP($A117,Locaties[],3,FALSE),0)</f>
        <v>0</v>
      </c>
      <c r="V117" s="83">
        <f>Ruimtestaat[[#This Row],[Uitvoeringen werkdagen]]*Ruimtestaat[[#This Row],[Oppervlak (netto)]]</f>
        <v>6750</v>
      </c>
      <c r="W117" s="84">
        <f>IF(U117&gt;0,Ruimtestaat[[#This Row],[Prest. (m2 /jaar) werkdagen]]/Ruimtestaat[[#This Row],[Norm (m2/uur) werkdagen]],0)</f>
        <v>0</v>
      </c>
      <c r="X117" s="85">
        <f>Ruimtestaat[[#This Row],[uren / jaar werkdagen]]*Tariefsopbouw!$E$35</f>
        <v>0</v>
      </c>
      <c r="Y117" s="82"/>
      <c r="Z117" s="86">
        <f>IF(Ruimtestaat[[#This Row],[Frequentie weekend]]&gt;0,VALUE(LEFT(Y117,1))*R117,0)</f>
        <v>0</v>
      </c>
      <c r="AA117" s="82">
        <f>IF($Z117&gt;0,VLOOKUP($J117,Ruimtegroepen[],3,FALSE)*VLOOKUP($L117,Vloersoorten[],3,FALSE)*VLOOKUP($Y117,Frequenties[],3,FALSE)*VLOOKUP($A113,Locaties[],3,FALSE),0)</f>
        <v>0</v>
      </c>
      <c r="AB117" s="84">
        <f>Ruimtestaat[[#This Row],[Uitvoeringen weekend]]*Ruimtestaat[[#This Row],[Oppervlak (netto)]]</f>
        <v>0</v>
      </c>
      <c r="AC117" s="87">
        <f>IF(AB117&gt;0,Ruimtestaat[[#This Row],[Prest. (m2 /jaar) weekend]]/Ruimtestaat[[#This Row],[Norm (m2/uur) weekend]],0)</f>
        <v>0</v>
      </c>
      <c r="AD117" s="88">
        <f>Ruimtestaat[[#This Row],[uren / jaar weekend]]*Tariefsopbouw!$D$40</f>
        <v>0</v>
      </c>
      <c r="AE117" s="89">
        <f>Ruimtestaat[[#This Row],[Prest. (m2 /jaar) weekend]]+Ruimtestaat[[#This Row],[Prest. (m2 /jaar) werkdagen]]</f>
        <v>6750</v>
      </c>
      <c r="AF117" s="89">
        <f>Ruimtestaat[[#This Row],[uren / jaar weekend]]+Ruimtestaat[[#This Row],[uren / jaar werkdagen]]</f>
        <v>0</v>
      </c>
      <c r="AG117" s="90">
        <f>Ruimtestaat[[#This Row],[kosten / jaar weekend]]+Ruimtestaat[[#This Row],[kosten / jaar werkdagen]]</f>
        <v>0</v>
      </c>
      <c r="AH117" s="91"/>
      <c r="HL117" s="67"/>
    </row>
    <row r="118" spans="1:220" ht="15" customHeight="1">
      <c r="A118" s="53">
        <v>1</v>
      </c>
      <c r="B118" s="53" t="str">
        <f>VLOOKUP(Ruimtestaat[[#This Row],[Code]],Locaties[#All],2,FALSE)</f>
        <v>Ir. Lely Lyceum</v>
      </c>
      <c r="C118" s="53" t="str">
        <f>VLOOKUP(Ruimtestaat[[#This Row],[Code]],Locaties[#All],4,FALSE)</f>
        <v>Ravenswaaipad 3</v>
      </c>
      <c r="D118" s="53" t="str">
        <f>VLOOKUP(Ruimtestaat[[#This Row],[Code]],Locaties[#All],5,FALSE)</f>
        <v>1106 AW</v>
      </c>
      <c r="E118" s="53" t="str">
        <f>VLOOKUP(Ruimtestaat[[#This Row],[Code]],Locaties[#All],6,FALSE)</f>
        <v>Amsterdam</v>
      </c>
      <c r="F118" s="78" t="s">
        <v>347</v>
      </c>
      <c r="G118" s="53" t="s">
        <v>450</v>
      </c>
      <c r="H118" s="95" t="s">
        <v>503</v>
      </c>
      <c r="I118" s="23" t="s">
        <v>428</v>
      </c>
      <c r="J118" s="53">
        <v>16</v>
      </c>
      <c r="K118" s="78" t="str">
        <f>VLOOKUP(J118,Ruimtegroepen[],2,FALSE)</f>
        <v>Leslokalen theorie</v>
      </c>
      <c r="L118" s="53" t="s">
        <v>280</v>
      </c>
      <c r="M118" s="53" t="s">
        <v>353</v>
      </c>
      <c r="N118" s="79">
        <v>78.75</v>
      </c>
      <c r="O118" s="79"/>
      <c r="P118" s="80" t="str">
        <f>LEFT(VLOOKUP(Ruimtestaat[[#This Row],[Ruimte code]],Ruimtegroepen[#All],4,1),2)</f>
        <v xml:space="preserve">L </v>
      </c>
      <c r="Q118" s="80"/>
      <c r="R118" s="81">
        <v>40</v>
      </c>
      <c r="S118" s="81" t="s">
        <v>298</v>
      </c>
      <c r="T118" s="82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8" s="82">
        <f>IF(T118&gt;0,VLOOKUP($J118,Ruimtegroepen[],3,FALSE)*VLOOKUP($L118,Vloersoorten[],3,FALSE)*VLOOKUP($S118,Frequenties[],3,FALSE)*VLOOKUP($A118,Locaties[],3,FALSE),0)</f>
        <v>0</v>
      </c>
      <c r="V118" s="83">
        <f>Ruimtestaat[[#This Row],[Uitvoeringen werkdagen]]*Ruimtestaat[[#This Row],[Oppervlak (netto)]]</f>
        <v>15750</v>
      </c>
      <c r="W118" s="84">
        <f>IF(U118&gt;0,Ruimtestaat[[#This Row],[Prest. (m2 /jaar) werkdagen]]/Ruimtestaat[[#This Row],[Norm (m2/uur) werkdagen]],0)</f>
        <v>0</v>
      </c>
      <c r="X118" s="85">
        <f>Ruimtestaat[[#This Row],[uren / jaar werkdagen]]*Tariefsopbouw!$E$35</f>
        <v>0</v>
      </c>
      <c r="Y118" s="82"/>
      <c r="Z118" s="86">
        <f>IF(Ruimtestaat[[#This Row],[Frequentie weekend]]&gt;0,VALUE(LEFT(Y118,1))*R118,0)</f>
        <v>0</v>
      </c>
      <c r="AA118" s="82">
        <f>IF($Z118&gt;0,VLOOKUP($J118,Ruimtegroepen[],3,FALSE)*VLOOKUP($L118,Vloersoorten[],3,FALSE)*VLOOKUP($Y118,Frequenties[],3,FALSE)*VLOOKUP($A114,Locaties[],3,FALSE),0)</f>
        <v>0</v>
      </c>
      <c r="AB118" s="84">
        <f>Ruimtestaat[[#This Row],[Uitvoeringen weekend]]*Ruimtestaat[[#This Row],[Oppervlak (netto)]]</f>
        <v>0</v>
      </c>
      <c r="AC118" s="87">
        <f>IF(AB118&gt;0,Ruimtestaat[[#This Row],[Prest. (m2 /jaar) weekend]]/Ruimtestaat[[#This Row],[Norm (m2/uur) weekend]],0)</f>
        <v>0</v>
      </c>
      <c r="AD118" s="88">
        <f>Ruimtestaat[[#This Row],[uren / jaar weekend]]*Tariefsopbouw!$D$40</f>
        <v>0</v>
      </c>
      <c r="AE118" s="89">
        <f>Ruimtestaat[[#This Row],[Prest. (m2 /jaar) weekend]]+Ruimtestaat[[#This Row],[Prest. (m2 /jaar) werkdagen]]</f>
        <v>15750</v>
      </c>
      <c r="AF118" s="89">
        <f>Ruimtestaat[[#This Row],[uren / jaar weekend]]+Ruimtestaat[[#This Row],[uren / jaar werkdagen]]</f>
        <v>0</v>
      </c>
      <c r="AG118" s="90">
        <f>Ruimtestaat[[#This Row],[kosten / jaar weekend]]+Ruimtestaat[[#This Row],[kosten / jaar werkdagen]]</f>
        <v>0</v>
      </c>
      <c r="AH118" s="91"/>
      <c r="HL118" s="67"/>
    </row>
    <row r="119" spans="1:220" ht="15" customHeight="1">
      <c r="A119" s="53">
        <v>1</v>
      </c>
      <c r="B119" s="53" t="str">
        <f>VLOOKUP(Ruimtestaat[[#This Row],[Code]],Locaties[#All],2,FALSE)</f>
        <v>Ir. Lely Lyceum</v>
      </c>
      <c r="C119" s="53" t="str">
        <f>VLOOKUP(Ruimtestaat[[#This Row],[Code]],Locaties[#All],4,FALSE)</f>
        <v>Ravenswaaipad 3</v>
      </c>
      <c r="D119" s="53" t="str">
        <f>VLOOKUP(Ruimtestaat[[#This Row],[Code]],Locaties[#All],5,FALSE)</f>
        <v>1106 AW</v>
      </c>
      <c r="E119" s="53" t="str">
        <f>VLOOKUP(Ruimtestaat[[#This Row],[Code]],Locaties[#All],6,FALSE)</f>
        <v>Amsterdam</v>
      </c>
      <c r="F119" s="78" t="s">
        <v>347</v>
      </c>
      <c r="G119" s="53" t="s">
        <v>450</v>
      </c>
      <c r="H119" s="95" t="s">
        <v>504</v>
      </c>
      <c r="I119" s="23" t="s">
        <v>378</v>
      </c>
      <c r="J119" s="53">
        <v>10</v>
      </c>
      <c r="K119" s="78" t="str">
        <f>VLOOKUP(J119,Ruimtegroepen[],2,FALSE)</f>
        <v>Trappenhuizen/lift</v>
      </c>
      <c r="L119" s="53" t="s">
        <v>280</v>
      </c>
      <c r="M119" s="53" t="s">
        <v>353</v>
      </c>
      <c r="N119" s="79">
        <v>21</v>
      </c>
      <c r="O119" s="79"/>
      <c r="P119" s="80" t="str">
        <f>LEFT(VLOOKUP(Ruimtestaat[[#This Row],[Ruimte code]],Ruimtegroepen[#All],4,1),2)</f>
        <v xml:space="preserve">V </v>
      </c>
      <c r="Q119" s="80"/>
      <c r="R119" s="81">
        <v>40</v>
      </c>
      <c r="S119" s="81" t="s">
        <v>298</v>
      </c>
      <c r="T119" s="82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19" s="82">
        <f>IF(T119&gt;0,VLOOKUP($J119,Ruimtegroepen[],3,FALSE)*VLOOKUP($L119,Vloersoorten[],3,FALSE)*VLOOKUP($S119,Frequenties[],3,FALSE)*VLOOKUP($A119,Locaties[],3,FALSE),0)</f>
        <v>0</v>
      </c>
      <c r="V119" s="83">
        <f>Ruimtestaat[[#This Row],[Uitvoeringen werkdagen]]*Ruimtestaat[[#This Row],[Oppervlak (netto)]]</f>
        <v>4200</v>
      </c>
      <c r="W119" s="84">
        <f>IF(U119&gt;0,Ruimtestaat[[#This Row],[Prest. (m2 /jaar) werkdagen]]/Ruimtestaat[[#This Row],[Norm (m2/uur) werkdagen]],0)</f>
        <v>0</v>
      </c>
      <c r="X119" s="85">
        <f>Ruimtestaat[[#This Row],[uren / jaar werkdagen]]*Tariefsopbouw!$E$35</f>
        <v>0</v>
      </c>
      <c r="Y119" s="82"/>
      <c r="Z119" s="86">
        <f>IF(Ruimtestaat[[#This Row],[Frequentie weekend]]&gt;0,VALUE(LEFT(Y119,1))*R119,0)</f>
        <v>0</v>
      </c>
      <c r="AA119" s="82">
        <f>IF($Z119&gt;0,VLOOKUP($J119,Ruimtegroepen[],3,FALSE)*VLOOKUP($L119,Vloersoorten[],3,FALSE)*VLOOKUP($Y119,Frequenties[],3,FALSE)*VLOOKUP($A114,Locaties[],3,FALSE),0)</f>
        <v>0</v>
      </c>
      <c r="AB119" s="84">
        <f>Ruimtestaat[[#This Row],[Uitvoeringen weekend]]*Ruimtestaat[[#This Row],[Oppervlak (netto)]]</f>
        <v>0</v>
      </c>
      <c r="AC119" s="87">
        <f>IF(AB119&gt;0,Ruimtestaat[[#This Row],[Prest. (m2 /jaar) weekend]]/Ruimtestaat[[#This Row],[Norm (m2/uur) weekend]],0)</f>
        <v>0</v>
      </c>
      <c r="AD119" s="88">
        <f>Ruimtestaat[[#This Row],[uren / jaar weekend]]*Tariefsopbouw!$D$40</f>
        <v>0</v>
      </c>
      <c r="AE119" s="89">
        <f>Ruimtestaat[[#This Row],[Prest. (m2 /jaar) weekend]]+Ruimtestaat[[#This Row],[Prest. (m2 /jaar) werkdagen]]</f>
        <v>4200</v>
      </c>
      <c r="AF119" s="89">
        <f>Ruimtestaat[[#This Row],[uren / jaar weekend]]+Ruimtestaat[[#This Row],[uren / jaar werkdagen]]</f>
        <v>0</v>
      </c>
      <c r="AG119" s="90">
        <f>Ruimtestaat[[#This Row],[kosten / jaar weekend]]+Ruimtestaat[[#This Row],[kosten / jaar werkdagen]]</f>
        <v>0</v>
      </c>
      <c r="AH119" s="91"/>
      <c r="HL119" s="67"/>
    </row>
    <row r="120" spans="1:220" ht="15" customHeight="1">
      <c r="A120" s="53">
        <v>1</v>
      </c>
      <c r="B120" s="53" t="str">
        <f>VLOOKUP(Ruimtestaat[[#This Row],[Code]],Locaties[#All],2,FALSE)</f>
        <v>Ir. Lely Lyceum</v>
      </c>
      <c r="C120" s="53" t="str">
        <f>VLOOKUP(Ruimtestaat[[#This Row],[Code]],Locaties[#All],4,FALSE)</f>
        <v>Ravenswaaipad 3</v>
      </c>
      <c r="D120" s="53" t="str">
        <f>VLOOKUP(Ruimtestaat[[#This Row],[Code]],Locaties[#All],5,FALSE)</f>
        <v>1106 AW</v>
      </c>
      <c r="E120" s="53" t="str">
        <f>VLOOKUP(Ruimtestaat[[#This Row],[Code]],Locaties[#All],6,FALSE)</f>
        <v>Amsterdam</v>
      </c>
      <c r="F120" s="78" t="s">
        <v>347</v>
      </c>
      <c r="G120" s="53" t="s">
        <v>450</v>
      </c>
      <c r="H120" s="95" t="s">
        <v>505</v>
      </c>
      <c r="I120" s="23" t="s">
        <v>428</v>
      </c>
      <c r="J120" s="53">
        <v>16</v>
      </c>
      <c r="K120" s="78" t="str">
        <f>VLOOKUP(J120,Ruimtegroepen[],2,FALSE)</f>
        <v>Leslokalen theorie</v>
      </c>
      <c r="L120" s="53" t="s">
        <v>280</v>
      </c>
      <c r="M120" s="53" t="s">
        <v>353</v>
      </c>
      <c r="N120" s="79">
        <v>49</v>
      </c>
      <c r="O120" s="79"/>
      <c r="P120" s="80" t="str">
        <f>LEFT(VLOOKUP(Ruimtestaat[[#This Row],[Ruimte code]],Ruimtegroepen[#All],4,1),2)</f>
        <v xml:space="preserve">L </v>
      </c>
      <c r="Q120" s="80"/>
      <c r="R120" s="81">
        <v>40</v>
      </c>
      <c r="S120" s="81" t="s">
        <v>298</v>
      </c>
      <c r="T120" s="82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0" s="82">
        <f>IF(T120&gt;0,VLOOKUP($J120,Ruimtegroepen[],3,FALSE)*VLOOKUP($L120,Vloersoorten[],3,FALSE)*VLOOKUP($S120,Frequenties[],3,FALSE)*VLOOKUP($A120,Locaties[],3,FALSE),0)</f>
        <v>0</v>
      </c>
      <c r="V120" s="83">
        <f>Ruimtestaat[[#This Row],[Uitvoeringen werkdagen]]*Ruimtestaat[[#This Row],[Oppervlak (netto)]]</f>
        <v>9800</v>
      </c>
      <c r="W120" s="84">
        <f>IF(U120&gt;0,Ruimtestaat[[#This Row],[Prest. (m2 /jaar) werkdagen]]/Ruimtestaat[[#This Row],[Norm (m2/uur) werkdagen]],0)</f>
        <v>0</v>
      </c>
      <c r="X120" s="85">
        <f>Ruimtestaat[[#This Row],[uren / jaar werkdagen]]*Tariefsopbouw!$E$35</f>
        <v>0</v>
      </c>
      <c r="Y120" s="82"/>
      <c r="Z120" s="86">
        <f>IF(Ruimtestaat[[#This Row],[Frequentie weekend]]&gt;0,VALUE(LEFT(Y120,1))*R120,0)</f>
        <v>0</v>
      </c>
      <c r="AA120" s="82">
        <f>IF($Z120&gt;0,VLOOKUP($J120,Ruimtegroepen[],3,FALSE)*VLOOKUP($L120,Vloersoorten[],3,FALSE)*VLOOKUP($Y120,Frequenties[],3,FALSE)*VLOOKUP($A115,Locaties[],3,FALSE),0)</f>
        <v>0</v>
      </c>
      <c r="AB120" s="84">
        <f>Ruimtestaat[[#This Row],[Uitvoeringen weekend]]*Ruimtestaat[[#This Row],[Oppervlak (netto)]]</f>
        <v>0</v>
      </c>
      <c r="AC120" s="87">
        <f>IF(AB120&gt;0,Ruimtestaat[[#This Row],[Prest. (m2 /jaar) weekend]]/Ruimtestaat[[#This Row],[Norm (m2/uur) weekend]],0)</f>
        <v>0</v>
      </c>
      <c r="AD120" s="88">
        <f>Ruimtestaat[[#This Row],[uren / jaar weekend]]*Tariefsopbouw!$D$40</f>
        <v>0</v>
      </c>
      <c r="AE120" s="89">
        <f>Ruimtestaat[[#This Row],[Prest. (m2 /jaar) weekend]]+Ruimtestaat[[#This Row],[Prest. (m2 /jaar) werkdagen]]</f>
        <v>9800</v>
      </c>
      <c r="AF120" s="89">
        <f>Ruimtestaat[[#This Row],[uren / jaar weekend]]+Ruimtestaat[[#This Row],[uren / jaar werkdagen]]</f>
        <v>0</v>
      </c>
      <c r="AG120" s="90">
        <f>Ruimtestaat[[#This Row],[kosten / jaar weekend]]+Ruimtestaat[[#This Row],[kosten / jaar werkdagen]]</f>
        <v>0</v>
      </c>
      <c r="AH120" s="91"/>
      <c r="HL120" s="67"/>
    </row>
    <row r="121" spans="1:220" ht="15" customHeight="1">
      <c r="A121" s="53">
        <v>1</v>
      </c>
      <c r="B121" s="53" t="str">
        <f>VLOOKUP(Ruimtestaat[[#This Row],[Code]],Locaties[#All],2,FALSE)</f>
        <v>Ir. Lely Lyceum</v>
      </c>
      <c r="C121" s="53" t="str">
        <f>VLOOKUP(Ruimtestaat[[#This Row],[Code]],Locaties[#All],4,FALSE)</f>
        <v>Ravenswaaipad 3</v>
      </c>
      <c r="D121" s="53" t="str">
        <f>VLOOKUP(Ruimtestaat[[#This Row],[Code]],Locaties[#All],5,FALSE)</f>
        <v>1106 AW</v>
      </c>
      <c r="E121" s="53" t="str">
        <f>VLOOKUP(Ruimtestaat[[#This Row],[Code]],Locaties[#All],6,FALSE)</f>
        <v>Amsterdam</v>
      </c>
      <c r="F121" s="78" t="s">
        <v>347</v>
      </c>
      <c r="G121" s="53" t="s">
        <v>450</v>
      </c>
      <c r="H121" s="95" t="s">
        <v>506</v>
      </c>
      <c r="I121" s="23" t="s">
        <v>428</v>
      </c>
      <c r="J121" s="53">
        <v>16</v>
      </c>
      <c r="K121" s="78" t="str">
        <f>VLOOKUP(J121,Ruimtegroepen[],2,FALSE)</f>
        <v>Leslokalen theorie</v>
      </c>
      <c r="L121" s="53" t="s">
        <v>280</v>
      </c>
      <c r="M121" s="53" t="s">
        <v>353</v>
      </c>
      <c r="N121" s="79">
        <v>49</v>
      </c>
      <c r="O121" s="79"/>
      <c r="P121" s="80" t="str">
        <f>LEFT(VLOOKUP(Ruimtestaat[[#This Row],[Ruimte code]],Ruimtegroepen[#All],4,1),2)</f>
        <v xml:space="preserve">L </v>
      </c>
      <c r="Q121" s="80"/>
      <c r="R121" s="81">
        <v>40</v>
      </c>
      <c r="S121" s="81" t="s">
        <v>298</v>
      </c>
      <c r="T121" s="82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1" s="82">
        <f>IF(T121&gt;0,VLOOKUP($J121,Ruimtegroepen[],3,FALSE)*VLOOKUP($L121,Vloersoorten[],3,FALSE)*VLOOKUP($S121,Frequenties[],3,FALSE)*VLOOKUP($A121,Locaties[],3,FALSE),0)</f>
        <v>0</v>
      </c>
      <c r="V121" s="83">
        <f>Ruimtestaat[[#This Row],[Uitvoeringen werkdagen]]*Ruimtestaat[[#This Row],[Oppervlak (netto)]]</f>
        <v>9800</v>
      </c>
      <c r="W121" s="84">
        <f>IF(U121&gt;0,Ruimtestaat[[#This Row],[Prest. (m2 /jaar) werkdagen]]/Ruimtestaat[[#This Row],[Norm (m2/uur) werkdagen]],0)</f>
        <v>0</v>
      </c>
      <c r="X121" s="85">
        <f>Ruimtestaat[[#This Row],[uren / jaar werkdagen]]*Tariefsopbouw!$E$35</f>
        <v>0</v>
      </c>
      <c r="Y121" s="82"/>
      <c r="Z121" s="86">
        <f>IF(Ruimtestaat[[#This Row],[Frequentie weekend]]&gt;0,VALUE(LEFT(Y121,1))*R121,0)</f>
        <v>0</v>
      </c>
      <c r="AA121" s="82">
        <f>IF($Z121&gt;0,VLOOKUP($J121,Ruimtegroepen[],3,FALSE)*VLOOKUP($L121,Vloersoorten[],3,FALSE)*VLOOKUP($Y121,Frequenties[],3,FALSE)*VLOOKUP($A116,Locaties[],3,FALSE),0)</f>
        <v>0</v>
      </c>
      <c r="AB121" s="84">
        <f>Ruimtestaat[[#This Row],[Uitvoeringen weekend]]*Ruimtestaat[[#This Row],[Oppervlak (netto)]]</f>
        <v>0</v>
      </c>
      <c r="AC121" s="87">
        <f>IF(AB121&gt;0,Ruimtestaat[[#This Row],[Prest. (m2 /jaar) weekend]]/Ruimtestaat[[#This Row],[Norm (m2/uur) weekend]],0)</f>
        <v>0</v>
      </c>
      <c r="AD121" s="88">
        <f>Ruimtestaat[[#This Row],[uren / jaar weekend]]*Tariefsopbouw!$D$40</f>
        <v>0</v>
      </c>
      <c r="AE121" s="89">
        <f>Ruimtestaat[[#This Row],[Prest. (m2 /jaar) weekend]]+Ruimtestaat[[#This Row],[Prest. (m2 /jaar) werkdagen]]</f>
        <v>9800</v>
      </c>
      <c r="AF121" s="89">
        <f>Ruimtestaat[[#This Row],[uren / jaar weekend]]+Ruimtestaat[[#This Row],[uren / jaar werkdagen]]</f>
        <v>0</v>
      </c>
      <c r="AG121" s="90">
        <f>Ruimtestaat[[#This Row],[kosten / jaar weekend]]+Ruimtestaat[[#This Row],[kosten / jaar werkdagen]]</f>
        <v>0</v>
      </c>
      <c r="AH121" s="91"/>
      <c r="HL121" s="67"/>
    </row>
    <row r="122" spans="1:220" ht="15" customHeight="1">
      <c r="A122" s="53">
        <v>1</v>
      </c>
      <c r="B122" s="53" t="str">
        <f>VLOOKUP(Ruimtestaat[[#This Row],[Code]],Locaties[#All],2,FALSE)</f>
        <v>Ir. Lely Lyceum</v>
      </c>
      <c r="C122" s="53" t="str">
        <f>VLOOKUP(Ruimtestaat[[#This Row],[Code]],Locaties[#All],4,FALSE)</f>
        <v>Ravenswaaipad 3</v>
      </c>
      <c r="D122" s="53" t="str">
        <f>VLOOKUP(Ruimtestaat[[#This Row],[Code]],Locaties[#All],5,FALSE)</f>
        <v>1106 AW</v>
      </c>
      <c r="E122" s="53" t="str">
        <f>VLOOKUP(Ruimtestaat[[#This Row],[Code]],Locaties[#All],6,FALSE)</f>
        <v>Amsterdam</v>
      </c>
      <c r="F122" s="78" t="s">
        <v>347</v>
      </c>
      <c r="G122" s="53" t="s">
        <v>450</v>
      </c>
      <c r="H122" s="95" t="s">
        <v>507</v>
      </c>
      <c r="I122" s="23" t="s">
        <v>428</v>
      </c>
      <c r="J122" s="53">
        <v>16</v>
      </c>
      <c r="K122" s="78" t="str">
        <f>VLOOKUP(J122,Ruimtegroepen[],2,FALSE)</f>
        <v>Leslokalen theorie</v>
      </c>
      <c r="L122" s="53" t="s">
        <v>280</v>
      </c>
      <c r="M122" s="53" t="s">
        <v>353</v>
      </c>
      <c r="N122" s="79">
        <v>49</v>
      </c>
      <c r="O122" s="79"/>
      <c r="P122" s="80" t="str">
        <f>LEFT(VLOOKUP(Ruimtestaat[[#This Row],[Ruimte code]],Ruimtegroepen[#All],4,1),2)</f>
        <v xml:space="preserve">L </v>
      </c>
      <c r="Q122" s="80"/>
      <c r="R122" s="81">
        <v>40</v>
      </c>
      <c r="S122" s="81" t="s">
        <v>298</v>
      </c>
      <c r="T122" s="82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2" s="82">
        <f>IF(T122&gt;0,VLOOKUP($J122,Ruimtegroepen[],3,FALSE)*VLOOKUP($L122,Vloersoorten[],3,FALSE)*VLOOKUP($S122,Frequenties[],3,FALSE)*VLOOKUP($A122,Locaties[],3,FALSE),0)</f>
        <v>0</v>
      </c>
      <c r="V122" s="83">
        <f>Ruimtestaat[[#This Row],[Uitvoeringen werkdagen]]*Ruimtestaat[[#This Row],[Oppervlak (netto)]]</f>
        <v>9800</v>
      </c>
      <c r="W122" s="84">
        <f>IF(U122&gt;0,Ruimtestaat[[#This Row],[Prest. (m2 /jaar) werkdagen]]/Ruimtestaat[[#This Row],[Norm (m2/uur) werkdagen]],0)</f>
        <v>0</v>
      </c>
      <c r="X122" s="85">
        <f>Ruimtestaat[[#This Row],[uren / jaar werkdagen]]*Tariefsopbouw!$E$35</f>
        <v>0</v>
      </c>
      <c r="Y122" s="82"/>
      <c r="Z122" s="86">
        <f>IF(Ruimtestaat[[#This Row],[Frequentie weekend]]&gt;0,VALUE(LEFT(Y122,1))*R122,0)</f>
        <v>0</v>
      </c>
      <c r="AA122" s="82">
        <f>IF($Z122&gt;0,VLOOKUP($J122,Ruimtegroepen[],3,FALSE)*VLOOKUP($L122,Vloersoorten[],3,FALSE)*VLOOKUP($Y122,Frequenties[],3,FALSE)*VLOOKUP($A117,Locaties[],3,FALSE),0)</f>
        <v>0</v>
      </c>
      <c r="AB122" s="84">
        <f>Ruimtestaat[[#This Row],[Uitvoeringen weekend]]*Ruimtestaat[[#This Row],[Oppervlak (netto)]]</f>
        <v>0</v>
      </c>
      <c r="AC122" s="87">
        <f>IF(AB122&gt;0,Ruimtestaat[[#This Row],[Prest. (m2 /jaar) weekend]]/Ruimtestaat[[#This Row],[Norm (m2/uur) weekend]],0)</f>
        <v>0</v>
      </c>
      <c r="AD122" s="88">
        <f>Ruimtestaat[[#This Row],[uren / jaar weekend]]*Tariefsopbouw!$D$40</f>
        <v>0</v>
      </c>
      <c r="AE122" s="89">
        <f>Ruimtestaat[[#This Row],[Prest. (m2 /jaar) weekend]]+Ruimtestaat[[#This Row],[Prest. (m2 /jaar) werkdagen]]</f>
        <v>9800</v>
      </c>
      <c r="AF122" s="89">
        <f>Ruimtestaat[[#This Row],[uren / jaar weekend]]+Ruimtestaat[[#This Row],[uren / jaar werkdagen]]</f>
        <v>0</v>
      </c>
      <c r="AG122" s="90">
        <f>Ruimtestaat[[#This Row],[kosten / jaar weekend]]+Ruimtestaat[[#This Row],[kosten / jaar werkdagen]]</f>
        <v>0</v>
      </c>
      <c r="AH122" s="91"/>
      <c r="HL122" s="67"/>
    </row>
    <row r="123" spans="1:220" ht="15" customHeight="1">
      <c r="A123" s="53">
        <v>1</v>
      </c>
      <c r="B123" s="53" t="str">
        <f>VLOOKUP(Ruimtestaat[[#This Row],[Code]],Locaties[#All],2,FALSE)</f>
        <v>Ir. Lely Lyceum</v>
      </c>
      <c r="C123" s="53" t="str">
        <f>VLOOKUP(Ruimtestaat[[#This Row],[Code]],Locaties[#All],4,FALSE)</f>
        <v>Ravenswaaipad 3</v>
      </c>
      <c r="D123" s="53" t="str">
        <f>VLOOKUP(Ruimtestaat[[#This Row],[Code]],Locaties[#All],5,FALSE)</f>
        <v>1106 AW</v>
      </c>
      <c r="E123" s="53" t="str">
        <f>VLOOKUP(Ruimtestaat[[#This Row],[Code]],Locaties[#All],6,FALSE)</f>
        <v>Amsterdam</v>
      </c>
      <c r="F123" s="78" t="s">
        <v>347</v>
      </c>
      <c r="G123" s="53" t="s">
        <v>450</v>
      </c>
      <c r="H123" s="95" t="s">
        <v>508</v>
      </c>
      <c r="I123" s="23" t="s">
        <v>428</v>
      </c>
      <c r="J123" s="53">
        <v>16</v>
      </c>
      <c r="K123" s="78" t="str">
        <f>VLOOKUP(J123,Ruimtegroepen[],2,FALSE)</f>
        <v>Leslokalen theorie</v>
      </c>
      <c r="L123" s="53" t="s">
        <v>280</v>
      </c>
      <c r="M123" s="53" t="s">
        <v>353</v>
      </c>
      <c r="N123" s="79">
        <v>49</v>
      </c>
      <c r="O123" s="79"/>
      <c r="P123" s="80" t="str">
        <f>LEFT(VLOOKUP(Ruimtestaat[[#This Row],[Ruimte code]],Ruimtegroepen[#All],4,1),2)</f>
        <v xml:space="preserve">L </v>
      </c>
      <c r="Q123" s="80"/>
      <c r="R123" s="81">
        <v>40</v>
      </c>
      <c r="S123" s="81" t="s">
        <v>298</v>
      </c>
      <c r="T123" s="82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3" s="82">
        <f>IF(T123&gt;0,VLOOKUP($J123,Ruimtegroepen[],3,FALSE)*VLOOKUP($L123,Vloersoorten[],3,FALSE)*VLOOKUP($S123,Frequenties[],3,FALSE)*VLOOKUP($A123,Locaties[],3,FALSE),0)</f>
        <v>0</v>
      </c>
      <c r="V123" s="83">
        <f>Ruimtestaat[[#This Row],[Uitvoeringen werkdagen]]*Ruimtestaat[[#This Row],[Oppervlak (netto)]]</f>
        <v>9800</v>
      </c>
      <c r="W123" s="84">
        <f>IF(U123&gt;0,Ruimtestaat[[#This Row],[Prest. (m2 /jaar) werkdagen]]/Ruimtestaat[[#This Row],[Norm (m2/uur) werkdagen]],0)</f>
        <v>0</v>
      </c>
      <c r="X123" s="85">
        <f>Ruimtestaat[[#This Row],[uren / jaar werkdagen]]*Tariefsopbouw!$E$35</f>
        <v>0</v>
      </c>
      <c r="Y123" s="82"/>
      <c r="Z123" s="86">
        <f>IF(Ruimtestaat[[#This Row],[Frequentie weekend]]&gt;0,VALUE(LEFT(Y123,1))*R123,0)</f>
        <v>0</v>
      </c>
      <c r="AA123" s="82">
        <f>IF($Z123&gt;0,VLOOKUP($J123,Ruimtegroepen[],3,FALSE)*VLOOKUP($L123,Vloersoorten[],3,FALSE)*VLOOKUP($Y123,Frequenties[],3,FALSE)*VLOOKUP($A119,Locaties[],3,FALSE),0)</f>
        <v>0</v>
      </c>
      <c r="AB123" s="84">
        <f>Ruimtestaat[[#This Row],[Uitvoeringen weekend]]*Ruimtestaat[[#This Row],[Oppervlak (netto)]]</f>
        <v>0</v>
      </c>
      <c r="AC123" s="87">
        <f>IF(AB123&gt;0,Ruimtestaat[[#This Row],[Prest. (m2 /jaar) weekend]]/Ruimtestaat[[#This Row],[Norm (m2/uur) weekend]],0)</f>
        <v>0</v>
      </c>
      <c r="AD123" s="88">
        <f>Ruimtestaat[[#This Row],[uren / jaar weekend]]*Tariefsopbouw!$D$40</f>
        <v>0</v>
      </c>
      <c r="AE123" s="89">
        <f>Ruimtestaat[[#This Row],[Prest. (m2 /jaar) weekend]]+Ruimtestaat[[#This Row],[Prest. (m2 /jaar) werkdagen]]</f>
        <v>9800</v>
      </c>
      <c r="AF123" s="89">
        <f>Ruimtestaat[[#This Row],[uren / jaar weekend]]+Ruimtestaat[[#This Row],[uren / jaar werkdagen]]</f>
        <v>0</v>
      </c>
      <c r="AG123" s="90">
        <f>Ruimtestaat[[#This Row],[kosten / jaar weekend]]+Ruimtestaat[[#This Row],[kosten / jaar werkdagen]]</f>
        <v>0</v>
      </c>
      <c r="AH123" s="91"/>
      <c r="HL123" s="67"/>
    </row>
    <row r="124" spans="1:220" ht="15" customHeight="1">
      <c r="A124" s="53">
        <v>1</v>
      </c>
      <c r="B124" s="53" t="str">
        <f>VLOOKUP(Ruimtestaat[[#This Row],[Code]],Locaties[#All],2,FALSE)</f>
        <v>Ir. Lely Lyceum</v>
      </c>
      <c r="C124" s="53" t="str">
        <f>VLOOKUP(Ruimtestaat[[#This Row],[Code]],Locaties[#All],4,FALSE)</f>
        <v>Ravenswaaipad 3</v>
      </c>
      <c r="D124" s="53" t="str">
        <f>VLOOKUP(Ruimtestaat[[#This Row],[Code]],Locaties[#All],5,FALSE)</f>
        <v>1106 AW</v>
      </c>
      <c r="E124" s="53" t="str">
        <f>VLOOKUP(Ruimtestaat[[#This Row],[Code]],Locaties[#All],6,FALSE)</f>
        <v>Amsterdam</v>
      </c>
      <c r="F124" s="78" t="s">
        <v>347</v>
      </c>
      <c r="G124" s="53" t="s">
        <v>450</v>
      </c>
      <c r="H124" s="95" t="s">
        <v>509</v>
      </c>
      <c r="I124" s="23" t="s">
        <v>372</v>
      </c>
      <c r="J124" s="53">
        <v>5</v>
      </c>
      <c r="K124" s="78" t="str">
        <f>VLOOKUP(J124,Ruimtegroepen[],2,FALSE)</f>
        <v>Sanitair</v>
      </c>
      <c r="L124" s="53" t="s">
        <v>285</v>
      </c>
      <c r="M124" s="53" t="s">
        <v>370</v>
      </c>
      <c r="N124" s="79">
        <v>10.5</v>
      </c>
      <c r="O124" s="79"/>
      <c r="P124" s="80" t="str">
        <f>LEFT(VLOOKUP(Ruimtestaat[[#This Row],[Ruimte code]],Ruimtegroepen[#All],4,1),2)</f>
        <v xml:space="preserve">S </v>
      </c>
      <c r="Q124" s="80"/>
      <c r="R124" s="81">
        <v>40</v>
      </c>
      <c r="S124" s="81" t="s">
        <v>298</v>
      </c>
      <c r="T124" s="82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4" s="82">
        <f>IF(T124&gt;0,VLOOKUP($J124,Ruimtegroepen[],3,FALSE)*VLOOKUP($L124,Vloersoorten[],3,FALSE)*VLOOKUP($S124,Frequenties[],3,FALSE)*VLOOKUP($A124,Locaties[],3,FALSE),0)</f>
        <v>0</v>
      </c>
      <c r="V124" s="83">
        <f>Ruimtestaat[[#This Row],[Uitvoeringen werkdagen]]*Ruimtestaat[[#This Row],[Oppervlak (netto)]]</f>
        <v>2100</v>
      </c>
      <c r="W124" s="84">
        <f>IF(U124&gt;0,Ruimtestaat[[#This Row],[Prest. (m2 /jaar) werkdagen]]/Ruimtestaat[[#This Row],[Norm (m2/uur) werkdagen]],0)</f>
        <v>0</v>
      </c>
      <c r="X124" s="85">
        <f>Ruimtestaat[[#This Row],[uren / jaar werkdagen]]*Tariefsopbouw!$E$35</f>
        <v>0</v>
      </c>
      <c r="Y124" s="82"/>
      <c r="Z124" s="86">
        <f>IF(Ruimtestaat[[#This Row],[Frequentie weekend]]&gt;0,VALUE(LEFT(Y124,1))*R124,0)</f>
        <v>0</v>
      </c>
      <c r="AA124" s="82">
        <f>IF($Z124&gt;0,VLOOKUP($J124,Ruimtegroepen[],3,FALSE)*VLOOKUP($L124,Vloersoorten[],3,FALSE)*VLOOKUP($Y124,Frequenties[],3,FALSE)*VLOOKUP($A120,Locaties[],3,FALSE),0)</f>
        <v>0</v>
      </c>
      <c r="AB124" s="84">
        <f>Ruimtestaat[[#This Row],[Uitvoeringen weekend]]*Ruimtestaat[[#This Row],[Oppervlak (netto)]]</f>
        <v>0</v>
      </c>
      <c r="AC124" s="87">
        <f>IF(AB124&gt;0,Ruimtestaat[[#This Row],[Prest. (m2 /jaar) weekend]]/Ruimtestaat[[#This Row],[Norm (m2/uur) weekend]],0)</f>
        <v>0</v>
      </c>
      <c r="AD124" s="88">
        <f>Ruimtestaat[[#This Row],[uren / jaar weekend]]*Tariefsopbouw!$D$40</f>
        <v>0</v>
      </c>
      <c r="AE124" s="89">
        <f>Ruimtestaat[[#This Row],[Prest. (m2 /jaar) weekend]]+Ruimtestaat[[#This Row],[Prest. (m2 /jaar) werkdagen]]</f>
        <v>2100</v>
      </c>
      <c r="AF124" s="89">
        <f>Ruimtestaat[[#This Row],[uren / jaar weekend]]+Ruimtestaat[[#This Row],[uren / jaar werkdagen]]</f>
        <v>0</v>
      </c>
      <c r="AG124" s="90">
        <f>Ruimtestaat[[#This Row],[kosten / jaar weekend]]+Ruimtestaat[[#This Row],[kosten / jaar werkdagen]]</f>
        <v>0</v>
      </c>
      <c r="AH124" s="91"/>
      <c r="HL124" s="67"/>
    </row>
    <row r="125" spans="1:220" ht="15" customHeight="1">
      <c r="A125" s="53">
        <v>1</v>
      </c>
      <c r="B125" s="53" t="str">
        <f>VLOOKUP(Ruimtestaat[[#This Row],[Code]],Locaties[#All],2,FALSE)</f>
        <v>Ir. Lely Lyceum</v>
      </c>
      <c r="C125" s="53" t="str">
        <f>VLOOKUP(Ruimtestaat[[#This Row],[Code]],Locaties[#All],4,FALSE)</f>
        <v>Ravenswaaipad 3</v>
      </c>
      <c r="D125" s="53" t="str">
        <f>VLOOKUP(Ruimtestaat[[#This Row],[Code]],Locaties[#All],5,FALSE)</f>
        <v>1106 AW</v>
      </c>
      <c r="E125" s="53" t="str">
        <f>VLOOKUP(Ruimtestaat[[#This Row],[Code]],Locaties[#All],6,FALSE)</f>
        <v>Amsterdam</v>
      </c>
      <c r="F125" s="78" t="s">
        <v>347</v>
      </c>
      <c r="G125" s="53" t="s">
        <v>450</v>
      </c>
      <c r="H125" s="95" t="s">
        <v>510</v>
      </c>
      <c r="I125" s="23" t="s">
        <v>369</v>
      </c>
      <c r="J125" s="53">
        <v>5</v>
      </c>
      <c r="K125" s="78" t="str">
        <f>VLOOKUP(J125,Ruimtegroepen[],2,FALSE)</f>
        <v>Sanitair</v>
      </c>
      <c r="L125" s="53" t="s">
        <v>285</v>
      </c>
      <c r="M125" s="53" t="s">
        <v>370</v>
      </c>
      <c r="N125" s="79">
        <v>10.5</v>
      </c>
      <c r="O125" s="79"/>
      <c r="P125" s="80" t="str">
        <f>LEFT(VLOOKUP(Ruimtestaat[[#This Row],[Ruimte code]],Ruimtegroepen[#All],4,1),2)</f>
        <v xml:space="preserve">S </v>
      </c>
      <c r="Q125" s="80"/>
      <c r="R125" s="81">
        <v>40</v>
      </c>
      <c r="S125" s="81" t="s">
        <v>298</v>
      </c>
      <c r="T125" s="82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5" s="82">
        <f>IF(T125&gt;0,VLOOKUP($J125,Ruimtegroepen[],3,FALSE)*VLOOKUP($L125,Vloersoorten[],3,FALSE)*VLOOKUP($S125,Frequenties[],3,FALSE)*VLOOKUP($A125,Locaties[],3,FALSE),0)</f>
        <v>0</v>
      </c>
      <c r="V125" s="83">
        <f>Ruimtestaat[[#This Row],[Uitvoeringen werkdagen]]*Ruimtestaat[[#This Row],[Oppervlak (netto)]]</f>
        <v>2100</v>
      </c>
      <c r="W125" s="84">
        <f>IF(U125&gt;0,Ruimtestaat[[#This Row],[Prest. (m2 /jaar) werkdagen]]/Ruimtestaat[[#This Row],[Norm (m2/uur) werkdagen]],0)</f>
        <v>0</v>
      </c>
      <c r="X125" s="85">
        <f>Ruimtestaat[[#This Row],[uren / jaar werkdagen]]*Tariefsopbouw!$E$35</f>
        <v>0</v>
      </c>
      <c r="Y125" s="82"/>
      <c r="Z125" s="86">
        <f>IF(Ruimtestaat[[#This Row],[Frequentie weekend]]&gt;0,VALUE(LEFT(Y125,1))*R125,0)</f>
        <v>0</v>
      </c>
      <c r="AA125" s="82">
        <f>IF($Z125&gt;0,VLOOKUP($J125,Ruimtegroepen[],3,FALSE)*VLOOKUP($L125,Vloersoorten[],3,FALSE)*VLOOKUP($Y125,Frequenties[],3,FALSE)*VLOOKUP($A121,Locaties[],3,FALSE),0)</f>
        <v>0</v>
      </c>
      <c r="AB125" s="84">
        <f>Ruimtestaat[[#This Row],[Uitvoeringen weekend]]*Ruimtestaat[[#This Row],[Oppervlak (netto)]]</f>
        <v>0</v>
      </c>
      <c r="AC125" s="87">
        <f>IF(AB125&gt;0,Ruimtestaat[[#This Row],[Prest. (m2 /jaar) weekend]]/Ruimtestaat[[#This Row],[Norm (m2/uur) weekend]],0)</f>
        <v>0</v>
      </c>
      <c r="AD125" s="88">
        <f>Ruimtestaat[[#This Row],[uren / jaar weekend]]*Tariefsopbouw!$D$40</f>
        <v>0</v>
      </c>
      <c r="AE125" s="89">
        <f>Ruimtestaat[[#This Row],[Prest. (m2 /jaar) weekend]]+Ruimtestaat[[#This Row],[Prest. (m2 /jaar) werkdagen]]</f>
        <v>2100</v>
      </c>
      <c r="AF125" s="89">
        <f>Ruimtestaat[[#This Row],[uren / jaar weekend]]+Ruimtestaat[[#This Row],[uren / jaar werkdagen]]</f>
        <v>0</v>
      </c>
      <c r="AG125" s="90">
        <f>Ruimtestaat[[#This Row],[kosten / jaar weekend]]+Ruimtestaat[[#This Row],[kosten / jaar werkdagen]]</f>
        <v>0</v>
      </c>
      <c r="AH125" s="91"/>
      <c r="HL125" s="67"/>
    </row>
    <row r="126" spans="1:220" ht="15" customHeight="1">
      <c r="A126" s="53">
        <v>1</v>
      </c>
      <c r="B126" s="53" t="str">
        <f>VLOOKUP(Ruimtestaat[[#This Row],[Code]],Locaties[#All],2,FALSE)</f>
        <v>Ir. Lely Lyceum</v>
      </c>
      <c r="C126" s="53" t="str">
        <f>VLOOKUP(Ruimtestaat[[#This Row],[Code]],Locaties[#All],4,FALSE)</f>
        <v>Ravenswaaipad 3</v>
      </c>
      <c r="D126" s="53" t="str">
        <f>VLOOKUP(Ruimtestaat[[#This Row],[Code]],Locaties[#All],5,FALSE)</f>
        <v>1106 AW</v>
      </c>
      <c r="E126" s="53" t="str">
        <f>VLOOKUP(Ruimtestaat[[#This Row],[Code]],Locaties[#All],6,FALSE)</f>
        <v>Amsterdam</v>
      </c>
      <c r="F126" s="78" t="s">
        <v>347</v>
      </c>
      <c r="G126" s="53" t="s">
        <v>450</v>
      </c>
      <c r="H126" s="95" t="s">
        <v>511</v>
      </c>
      <c r="I126" s="23" t="s">
        <v>383</v>
      </c>
      <c r="J126" s="53">
        <v>2</v>
      </c>
      <c r="K126" s="78" t="str">
        <f>VLOOKUP(J126,Ruimtegroepen[],2,FALSE)</f>
        <v>Kantoren</v>
      </c>
      <c r="L126" s="53" t="s">
        <v>280</v>
      </c>
      <c r="M126" s="53" t="s">
        <v>353</v>
      </c>
      <c r="N126" s="79">
        <v>15.75</v>
      </c>
      <c r="O126" s="79"/>
      <c r="P126" s="80" t="str">
        <f>LEFT(VLOOKUP(Ruimtestaat[[#This Row],[Ruimte code]],Ruimtegroepen[#All],4,1),2)</f>
        <v xml:space="preserve">B </v>
      </c>
      <c r="Q126" s="80"/>
      <c r="R126" s="81">
        <v>40</v>
      </c>
      <c r="S126" s="81" t="s">
        <v>298</v>
      </c>
      <c r="T126" s="82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6" s="82">
        <f>IF(T126&gt;0,VLOOKUP($J126,Ruimtegroepen[],3,FALSE)*VLOOKUP($L126,Vloersoorten[],3,FALSE)*VLOOKUP($S126,Frequenties[],3,FALSE)*VLOOKUP($A126,Locaties[],3,FALSE),0)</f>
        <v>0</v>
      </c>
      <c r="V126" s="83">
        <f>Ruimtestaat[[#This Row],[Uitvoeringen werkdagen]]*Ruimtestaat[[#This Row],[Oppervlak (netto)]]</f>
        <v>3150</v>
      </c>
      <c r="W126" s="84">
        <f>IF(U126&gt;0,Ruimtestaat[[#This Row],[Prest. (m2 /jaar) werkdagen]]/Ruimtestaat[[#This Row],[Norm (m2/uur) werkdagen]],0)</f>
        <v>0</v>
      </c>
      <c r="X126" s="85">
        <f>Ruimtestaat[[#This Row],[uren / jaar werkdagen]]*Tariefsopbouw!$E$35</f>
        <v>0</v>
      </c>
      <c r="Y126" s="82"/>
      <c r="Z126" s="86">
        <f>IF(Ruimtestaat[[#This Row],[Frequentie weekend]]&gt;0,VALUE(LEFT(Y126,1))*R126,0)</f>
        <v>0</v>
      </c>
      <c r="AA126" s="82">
        <f>IF($Z126&gt;0,VLOOKUP($J126,Ruimtegroepen[],3,FALSE)*VLOOKUP($L126,Vloersoorten[],3,FALSE)*VLOOKUP($Y126,Frequenties[],3,FALSE)*VLOOKUP($A122,Locaties[],3,FALSE),0)</f>
        <v>0</v>
      </c>
      <c r="AB126" s="84">
        <f>Ruimtestaat[[#This Row],[Uitvoeringen weekend]]*Ruimtestaat[[#This Row],[Oppervlak (netto)]]</f>
        <v>0</v>
      </c>
      <c r="AC126" s="87">
        <f>IF(AB126&gt;0,Ruimtestaat[[#This Row],[Prest. (m2 /jaar) weekend]]/Ruimtestaat[[#This Row],[Norm (m2/uur) weekend]],0)</f>
        <v>0</v>
      </c>
      <c r="AD126" s="88">
        <f>Ruimtestaat[[#This Row],[uren / jaar weekend]]*Tariefsopbouw!$D$40</f>
        <v>0</v>
      </c>
      <c r="AE126" s="89">
        <f>Ruimtestaat[[#This Row],[Prest. (m2 /jaar) weekend]]+Ruimtestaat[[#This Row],[Prest. (m2 /jaar) werkdagen]]</f>
        <v>3150</v>
      </c>
      <c r="AF126" s="89">
        <f>Ruimtestaat[[#This Row],[uren / jaar weekend]]+Ruimtestaat[[#This Row],[uren / jaar werkdagen]]</f>
        <v>0</v>
      </c>
      <c r="AG126" s="90">
        <f>Ruimtestaat[[#This Row],[kosten / jaar weekend]]+Ruimtestaat[[#This Row],[kosten / jaar werkdagen]]</f>
        <v>0</v>
      </c>
      <c r="AH126" s="91"/>
      <c r="HL126" s="67"/>
    </row>
    <row r="127" spans="1:220" ht="15" customHeight="1">
      <c r="A127" s="53">
        <v>1</v>
      </c>
      <c r="B127" s="53" t="str">
        <f>VLOOKUP(Ruimtestaat[[#This Row],[Code]],Locaties[#All],2,FALSE)</f>
        <v>Ir. Lely Lyceum</v>
      </c>
      <c r="C127" s="53" t="str">
        <f>VLOOKUP(Ruimtestaat[[#This Row],[Code]],Locaties[#All],4,FALSE)</f>
        <v>Ravenswaaipad 3</v>
      </c>
      <c r="D127" s="53" t="str">
        <f>VLOOKUP(Ruimtestaat[[#This Row],[Code]],Locaties[#All],5,FALSE)</f>
        <v>1106 AW</v>
      </c>
      <c r="E127" s="53" t="str">
        <f>VLOOKUP(Ruimtestaat[[#This Row],[Code]],Locaties[#All],6,FALSE)</f>
        <v>Amsterdam</v>
      </c>
      <c r="F127" s="78" t="s">
        <v>347</v>
      </c>
      <c r="G127" s="53" t="s">
        <v>450</v>
      </c>
      <c r="H127" s="95" t="s">
        <v>512</v>
      </c>
      <c r="I127" s="23" t="s">
        <v>383</v>
      </c>
      <c r="J127" s="53">
        <v>2</v>
      </c>
      <c r="K127" s="78" t="str">
        <f>VLOOKUP(J127,Ruimtegroepen[],2,FALSE)</f>
        <v>Kantoren</v>
      </c>
      <c r="L127" s="53" t="s">
        <v>280</v>
      </c>
      <c r="M127" s="53" t="s">
        <v>353</v>
      </c>
      <c r="N127" s="79">
        <v>21</v>
      </c>
      <c r="O127" s="79"/>
      <c r="P127" s="80" t="str">
        <f>LEFT(VLOOKUP(Ruimtestaat[[#This Row],[Ruimte code]],Ruimtegroepen[#All],4,1),2)</f>
        <v xml:space="preserve">B </v>
      </c>
      <c r="Q127" s="80"/>
      <c r="R127" s="81">
        <v>40</v>
      </c>
      <c r="S127" s="81" t="s">
        <v>298</v>
      </c>
      <c r="T127" s="82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7" s="82">
        <f>IF(T127&gt;0,VLOOKUP($J127,Ruimtegroepen[],3,FALSE)*VLOOKUP($L127,Vloersoorten[],3,FALSE)*VLOOKUP($S127,Frequenties[],3,FALSE)*VLOOKUP($A127,Locaties[],3,FALSE),0)</f>
        <v>0</v>
      </c>
      <c r="V127" s="83">
        <f>Ruimtestaat[[#This Row],[Uitvoeringen werkdagen]]*Ruimtestaat[[#This Row],[Oppervlak (netto)]]</f>
        <v>4200</v>
      </c>
      <c r="W127" s="84">
        <f>IF(U127&gt;0,Ruimtestaat[[#This Row],[Prest. (m2 /jaar) werkdagen]]/Ruimtestaat[[#This Row],[Norm (m2/uur) werkdagen]],0)</f>
        <v>0</v>
      </c>
      <c r="X127" s="85">
        <f>Ruimtestaat[[#This Row],[uren / jaar werkdagen]]*Tariefsopbouw!$E$35</f>
        <v>0</v>
      </c>
      <c r="Y127" s="82"/>
      <c r="Z127" s="86">
        <f>IF(Ruimtestaat[[#This Row],[Frequentie weekend]]&gt;0,VALUE(LEFT(Y127,1))*R127,0)</f>
        <v>0</v>
      </c>
      <c r="AA127" s="82">
        <f>IF($Z127&gt;0,VLOOKUP($J127,Ruimtegroepen[],3,FALSE)*VLOOKUP($L127,Vloersoorten[],3,FALSE)*VLOOKUP($Y127,Frequenties[],3,FALSE)*VLOOKUP($A98,Locaties[],3,FALSE),0)</f>
        <v>0</v>
      </c>
      <c r="AB127" s="84">
        <f>Ruimtestaat[[#This Row],[Uitvoeringen weekend]]*Ruimtestaat[[#This Row],[Oppervlak (netto)]]</f>
        <v>0</v>
      </c>
      <c r="AC127" s="87">
        <f>IF(AB127&gt;0,Ruimtestaat[[#This Row],[Prest. (m2 /jaar) weekend]]/Ruimtestaat[[#This Row],[Norm (m2/uur) weekend]],0)</f>
        <v>0</v>
      </c>
      <c r="AD127" s="88">
        <f>Ruimtestaat[[#This Row],[uren / jaar weekend]]*Tariefsopbouw!$D$40</f>
        <v>0</v>
      </c>
      <c r="AE127" s="89">
        <f>Ruimtestaat[[#This Row],[Prest. (m2 /jaar) weekend]]+Ruimtestaat[[#This Row],[Prest. (m2 /jaar) werkdagen]]</f>
        <v>4200</v>
      </c>
      <c r="AF127" s="89">
        <f>Ruimtestaat[[#This Row],[uren / jaar weekend]]+Ruimtestaat[[#This Row],[uren / jaar werkdagen]]</f>
        <v>0</v>
      </c>
      <c r="AG127" s="90">
        <f>Ruimtestaat[[#This Row],[kosten / jaar weekend]]+Ruimtestaat[[#This Row],[kosten / jaar werkdagen]]</f>
        <v>0</v>
      </c>
      <c r="AH127" s="91"/>
      <c r="HL127" s="67"/>
    </row>
    <row r="128" spans="1:220" ht="15" customHeight="1">
      <c r="A128" s="53">
        <v>1</v>
      </c>
      <c r="B128" s="53" t="str">
        <f>VLOOKUP(Ruimtestaat[[#This Row],[Code]],Locaties[#All],2,FALSE)</f>
        <v>Ir. Lely Lyceum</v>
      </c>
      <c r="C128" s="53" t="str">
        <f>VLOOKUP(Ruimtestaat[[#This Row],[Code]],Locaties[#All],4,FALSE)</f>
        <v>Ravenswaaipad 3</v>
      </c>
      <c r="D128" s="53" t="str">
        <f>VLOOKUP(Ruimtestaat[[#This Row],[Code]],Locaties[#All],5,FALSE)</f>
        <v>1106 AW</v>
      </c>
      <c r="E128" s="53" t="str">
        <f>VLOOKUP(Ruimtestaat[[#This Row],[Code]],Locaties[#All],6,FALSE)</f>
        <v>Amsterdam</v>
      </c>
      <c r="F128" s="78" t="s">
        <v>347</v>
      </c>
      <c r="G128" s="53" t="s">
        <v>450</v>
      </c>
      <c r="H128" s="95" t="s">
        <v>513</v>
      </c>
      <c r="I128" s="23" t="s">
        <v>375</v>
      </c>
      <c r="J128" s="53">
        <v>20</v>
      </c>
      <c r="K128" s="78" t="str">
        <f>VLOOKUP(J128,Ruimtegroepen[],2,FALSE)</f>
        <v>Niet in onderhoud</v>
      </c>
      <c r="L128" s="53" t="s">
        <v>280</v>
      </c>
      <c r="M128" s="53" t="s">
        <v>353</v>
      </c>
      <c r="N128" s="79"/>
      <c r="O128" s="79">
        <v>10.5</v>
      </c>
      <c r="P128" s="80" t="str">
        <f>LEFT(VLOOKUP(Ruimtestaat[[#This Row],[Ruimte code]],Ruimtegroepen[#All],4,1),2)</f>
        <v/>
      </c>
      <c r="Q128" s="80"/>
      <c r="R128" s="81"/>
      <c r="S128" s="81"/>
      <c r="T128" s="82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28" s="82">
        <f>IF(T128&gt;0,VLOOKUP($J128,Ruimtegroepen[],3,FALSE)*VLOOKUP($L128,Vloersoorten[],3,FALSE)*VLOOKUP($S128,Frequenties[],3,FALSE)*VLOOKUP($A128,Locaties[],3,FALSE),0)</f>
        <v>0</v>
      </c>
      <c r="V128" s="83">
        <f>Ruimtestaat[[#This Row],[Uitvoeringen werkdagen]]*Ruimtestaat[[#This Row],[Oppervlak (netto)]]</f>
        <v>0</v>
      </c>
      <c r="W128" s="84">
        <f>IF(U128&gt;0,Ruimtestaat[[#This Row],[Prest. (m2 /jaar) werkdagen]]/Ruimtestaat[[#This Row],[Norm (m2/uur) werkdagen]],0)</f>
        <v>0</v>
      </c>
      <c r="X128" s="85">
        <f>Ruimtestaat[[#This Row],[uren / jaar werkdagen]]*Tariefsopbouw!$E$35</f>
        <v>0</v>
      </c>
      <c r="Y128" s="82"/>
      <c r="Z128" s="86">
        <f>IF(Ruimtestaat[[#This Row],[Frequentie weekend]]&gt;0,VALUE(LEFT(Y128,1))*R128,0)</f>
        <v>0</v>
      </c>
      <c r="AA128" s="82">
        <f>IF($Z128&gt;0,VLOOKUP($J128,Ruimtegroepen[],3,FALSE)*VLOOKUP($L128,Vloersoorten[],3,FALSE)*VLOOKUP($Y128,Frequenties[],3,FALSE)*VLOOKUP($A99,Locaties[],3,FALSE),0)</f>
        <v>0</v>
      </c>
      <c r="AB128" s="84">
        <f>Ruimtestaat[[#This Row],[Uitvoeringen weekend]]*Ruimtestaat[[#This Row],[Oppervlak (netto)]]</f>
        <v>0</v>
      </c>
      <c r="AC128" s="87">
        <f>IF(AB128&gt;0,Ruimtestaat[[#This Row],[Prest. (m2 /jaar) weekend]]/Ruimtestaat[[#This Row],[Norm (m2/uur) weekend]],0)</f>
        <v>0</v>
      </c>
      <c r="AD128" s="88">
        <f>Ruimtestaat[[#This Row],[uren / jaar weekend]]*Tariefsopbouw!$D$40</f>
        <v>0</v>
      </c>
      <c r="AE128" s="89">
        <f>Ruimtestaat[[#This Row],[Prest. (m2 /jaar) weekend]]+Ruimtestaat[[#This Row],[Prest. (m2 /jaar) werkdagen]]</f>
        <v>0</v>
      </c>
      <c r="AF128" s="89">
        <f>Ruimtestaat[[#This Row],[uren / jaar weekend]]+Ruimtestaat[[#This Row],[uren / jaar werkdagen]]</f>
        <v>0</v>
      </c>
      <c r="AG128" s="90">
        <f>Ruimtestaat[[#This Row],[kosten / jaar weekend]]+Ruimtestaat[[#This Row],[kosten / jaar werkdagen]]</f>
        <v>0</v>
      </c>
      <c r="AH128" s="91"/>
      <c r="HL128" s="67"/>
    </row>
    <row r="129" spans="1:220" ht="15" customHeight="1">
      <c r="A129" s="53">
        <v>1</v>
      </c>
      <c r="B129" s="53" t="str">
        <f>VLOOKUP(Ruimtestaat[[#This Row],[Code]],Locaties[#All],2,FALSE)</f>
        <v>Ir. Lely Lyceum</v>
      </c>
      <c r="C129" s="53" t="str">
        <f>VLOOKUP(Ruimtestaat[[#This Row],[Code]],Locaties[#All],4,FALSE)</f>
        <v>Ravenswaaipad 3</v>
      </c>
      <c r="D129" s="53" t="str">
        <f>VLOOKUP(Ruimtestaat[[#This Row],[Code]],Locaties[#All],5,FALSE)</f>
        <v>1106 AW</v>
      </c>
      <c r="E129" s="53" t="str">
        <f>VLOOKUP(Ruimtestaat[[#This Row],[Code]],Locaties[#All],6,FALSE)</f>
        <v>Amsterdam</v>
      </c>
      <c r="F129" s="78" t="s">
        <v>347</v>
      </c>
      <c r="G129" s="53" t="s">
        <v>450</v>
      </c>
      <c r="H129" s="95" t="s">
        <v>514</v>
      </c>
      <c r="I129" s="23" t="s">
        <v>515</v>
      </c>
      <c r="J129" s="53">
        <v>16</v>
      </c>
      <c r="K129" s="78" t="str">
        <f>VLOOKUP(J129,Ruimtegroepen[],2,FALSE)</f>
        <v>Leslokalen theorie</v>
      </c>
      <c r="L129" s="53" t="s">
        <v>280</v>
      </c>
      <c r="M129" s="53" t="s">
        <v>353</v>
      </c>
      <c r="N129" s="79">
        <v>55.5</v>
      </c>
      <c r="O129" s="79"/>
      <c r="P129" s="80" t="str">
        <f>LEFT(VLOOKUP(Ruimtestaat[[#This Row],[Ruimte code]],Ruimtegroepen[#All],4,1),2)</f>
        <v xml:space="preserve">L </v>
      </c>
      <c r="Q129" s="80"/>
      <c r="R129" s="81">
        <v>40</v>
      </c>
      <c r="S129" s="81" t="s">
        <v>298</v>
      </c>
      <c r="T129" s="82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29" s="82">
        <f>IF(T129&gt;0,VLOOKUP($J129,Ruimtegroepen[],3,FALSE)*VLOOKUP($L129,Vloersoorten[],3,FALSE)*VLOOKUP($S129,Frequenties[],3,FALSE)*VLOOKUP($A129,Locaties[],3,FALSE),0)</f>
        <v>0</v>
      </c>
      <c r="V129" s="83">
        <f>Ruimtestaat[[#This Row],[Uitvoeringen werkdagen]]*Ruimtestaat[[#This Row],[Oppervlak (netto)]]</f>
        <v>11100</v>
      </c>
      <c r="W129" s="84">
        <f>IF(U129&gt;0,Ruimtestaat[[#This Row],[Prest. (m2 /jaar) werkdagen]]/Ruimtestaat[[#This Row],[Norm (m2/uur) werkdagen]],0)</f>
        <v>0</v>
      </c>
      <c r="X129" s="85">
        <f>Ruimtestaat[[#This Row],[uren / jaar werkdagen]]*Tariefsopbouw!$E$35</f>
        <v>0</v>
      </c>
      <c r="Y129" s="82"/>
      <c r="Z129" s="86">
        <f>IF(Ruimtestaat[[#This Row],[Frequentie weekend]]&gt;0,VALUE(LEFT(Y129,1))*R129,0)</f>
        <v>0</v>
      </c>
      <c r="AA129" s="82">
        <f>IF($Z129&gt;0,VLOOKUP($J129,Ruimtegroepen[],3,FALSE)*VLOOKUP($L129,Vloersoorten[],3,FALSE)*VLOOKUP($Y129,Frequenties[],3,FALSE)*VLOOKUP($A100,Locaties[],3,FALSE),0)</f>
        <v>0</v>
      </c>
      <c r="AB129" s="84">
        <f>Ruimtestaat[[#This Row],[Uitvoeringen weekend]]*Ruimtestaat[[#This Row],[Oppervlak (netto)]]</f>
        <v>0</v>
      </c>
      <c r="AC129" s="87">
        <f>IF(AB129&gt;0,Ruimtestaat[[#This Row],[Prest. (m2 /jaar) weekend]]/Ruimtestaat[[#This Row],[Norm (m2/uur) weekend]],0)</f>
        <v>0</v>
      </c>
      <c r="AD129" s="88">
        <f>Ruimtestaat[[#This Row],[uren / jaar weekend]]*Tariefsopbouw!$D$40</f>
        <v>0</v>
      </c>
      <c r="AE129" s="89">
        <f>Ruimtestaat[[#This Row],[Prest. (m2 /jaar) weekend]]+Ruimtestaat[[#This Row],[Prest. (m2 /jaar) werkdagen]]</f>
        <v>11100</v>
      </c>
      <c r="AF129" s="89">
        <f>Ruimtestaat[[#This Row],[uren / jaar weekend]]+Ruimtestaat[[#This Row],[uren / jaar werkdagen]]</f>
        <v>0</v>
      </c>
      <c r="AG129" s="90">
        <f>Ruimtestaat[[#This Row],[kosten / jaar weekend]]+Ruimtestaat[[#This Row],[kosten / jaar werkdagen]]</f>
        <v>0</v>
      </c>
      <c r="AH129" s="91"/>
      <c r="HL129" s="67"/>
    </row>
    <row r="130" spans="1:220" ht="15" customHeight="1">
      <c r="A130" s="53">
        <v>1</v>
      </c>
      <c r="B130" s="53" t="str">
        <f>VLOOKUP(Ruimtestaat[[#This Row],[Code]],Locaties[#All],2,FALSE)</f>
        <v>Ir. Lely Lyceum</v>
      </c>
      <c r="C130" s="53" t="str">
        <f>VLOOKUP(Ruimtestaat[[#This Row],[Code]],Locaties[#All],4,FALSE)</f>
        <v>Ravenswaaipad 3</v>
      </c>
      <c r="D130" s="53" t="str">
        <f>VLOOKUP(Ruimtestaat[[#This Row],[Code]],Locaties[#All],5,FALSE)</f>
        <v>1106 AW</v>
      </c>
      <c r="E130" s="53" t="str">
        <f>VLOOKUP(Ruimtestaat[[#This Row],[Code]],Locaties[#All],6,FALSE)</f>
        <v>Amsterdam</v>
      </c>
      <c r="F130" s="78" t="s">
        <v>347</v>
      </c>
      <c r="G130" s="53" t="s">
        <v>450</v>
      </c>
      <c r="H130" s="95" t="s">
        <v>516</v>
      </c>
      <c r="I130" s="23" t="s">
        <v>456</v>
      </c>
      <c r="J130" s="53">
        <v>6</v>
      </c>
      <c r="K130" s="78" t="str">
        <f>VLOOKUP(J130,Ruimtegroepen[],2,FALSE)</f>
        <v>Gangen/hallen</v>
      </c>
      <c r="L130" s="53" t="s">
        <v>280</v>
      </c>
      <c r="M130" s="53" t="s">
        <v>353</v>
      </c>
      <c r="N130" s="79">
        <v>130.6</v>
      </c>
      <c r="O130" s="79"/>
      <c r="P130" s="80" t="str">
        <f>LEFT(VLOOKUP(Ruimtestaat[[#This Row],[Ruimte code]],Ruimtegroepen[#All],4,1),2)</f>
        <v xml:space="preserve">V </v>
      </c>
      <c r="Q130" s="80"/>
      <c r="R130" s="81">
        <v>40</v>
      </c>
      <c r="S130" s="81" t="s">
        <v>298</v>
      </c>
      <c r="T130" s="82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0" s="82">
        <f>IF(T130&gt;0,VLOOKUP($J130,Ruimtegroepen[],3,FALSE)*VLOOKUP($L130,Vloersoorten[],3,FALSE)*VLOOKUP($S130,Frequenties[],3,FALSE)*VLOOKUP($A130,Locaties[],3,FALSE),0)</f>
        <v>0</v>
      </c>
      <c r="V130" s="83">
        <f>Ruimtestaat[[#This Row],[Uitvoeringen werkdagen]]*Ruimtestaat[[#This Row],[Oppervlak (netto)]]</f>
        <v>26120</v>
      </c>
      <c r="W130" s="84">
        <f>IF(U130&gt;0,Ruimtestaat[[#This Row],[Prest. (m2 /jaar) werkdagen]]/Ruimtestaat[[#This Row],[Norm (m2/uur) werkdagen]],0)</f>
        <v>0</v>
      </c>
      <c r="X130" s="85">
        <f>Ruimtestaat[[#This Row],[uren / jaar werkdagen]]*Tariefsopbouw!$E$35</f>
        <v>0</v>
      </c>
      <c r="Y130" s="82"/>
      <c r="Z130" s="86">
        <f>IF(Ruimtestaat[[#This Row],[Frequentie weekend]]&gt;0,VALUE(LEFT(Y130,1))*R130,0)</f>
        <v>0</v>
      </c>
      <c r="AA130" s="82">
        <f>IF($Z130&gt;0,VLOOKUP($J130,Ruimtegroepen[],3,FALSE)*VLOOKUP($L130,Vloersoorten[],3,FALSE)*VLOOKUP($Y130,Frequenties[],3,FALSE)*VLOOKUP($A101,Locaties[],3,FALSE),0)</f>
        <v>0</v>
      </c>
      <c r="AB130" s="84">
        <f>Ruimtestaat[[#This Row],[Uitvoeringen weekend]]*Ruimtestaat[[#This Row],[Oppervlak (netto)]]</f>
        <v>0</v>
      </c>
      <c r="AC130" s="87">
        <f>IF(AB130&gt;0,Ruimtestaat[[#This Row],[Prest. (m2 /jaar) weekend]]/Ruimtestaat[[#This Row],[Norm (m2/uur) weekend]],0)</f>
        <v>0</v>
      </c>
      <c r="AD130" s="88">
        <f>Ruimtestaat[[#This Row],[uren / jaar weekend]]*Tariefsopbouw!$D$40</f>
        <v>0</v>
      </c>
      <c r="AE130" s="89">
        <f>Ruimtestaat[[#This Row],[Prest. (m2 /jaar) weekend]]+Ruimtestaat[[#This Row],[Prest. (m2 /jaar) werkdagen]]</f>
        <v>26120</v>
      </c>
      <c r="AF130" s="89">
        <f>Ruimtestaat[[#This Row],[uren / jaar weekend]]+Ruimtestaat[[#This Row],[uren / jaar werkdagen]]</f>
        <v>0</v>
      </c>
      <c r="AG130" s="90">
        <f>Ruimtestaat[[#This Row],[kosten / jaar weekend]]+Ruimtestaat[[#This Row],[kosten / jaar werkdagen]]</f>
        <v>0</v>
      </c>
      <c r="AH130" s="91"/>
      <c r="HL130" s="67"/>
    </row>
    <row r="131" spans="1:220" ht="15" customHeight="1">
      <c r="A131" s="53">
        <v>1</v>
      </c>
      <c r="B131" s="53" t="str">
        <f>VLOOKUP(Ruimtestaat[[#This Row],[Code]],Locaties[#All],2,FALSE)</f>
        <v>Ir. Lely Lyceum</v>
      </c>
      <c r="C131" s="53" t="str">
        <f>VLOOKUP(Ruimtestaat[[#This Row],[Code]],Locaties[#All],4,FALSE)</f>
        <v>Ravenswaaipad 3</v>
      </c>
      <c r="D131" s="53" t="str">
        <f>VLOOKUP(Ruimtestaat[[#This Row],[Code]],Locaties[#All],5,FALSE)</f>
        <v>1106 AW</v>
      </c>
      <c r="E131" s="53" t="str">
        <f>VLOOKUP(Ruimtestaat[[#This Row],[Code]],Locaties[#All],6,FALSE)</f>
        <v>Amsterdam</v>
      </c>
      <c r="F131" s="78" t="s">
        <v>347</v>
      </c>
      <c r="G131" s="53" t="s">
        <v>450</v>
      </c>
      <c r="H131" s="95" t="s">
        <v>517</v>
      </c>
      <c r="I131" s="23" t="s">
        <v>456</v>
      </c>
      <c r="J131" s="53">
        <v>6</v>
      </c>
      <c r="K131" s="78" t="str">
        <f>VLOOKUP(J131,Ruimtegroepen[],2,FALSE)</f>
        <v>Gangen/hallen</v>
      </c>
      <c r="L131" s="53" t="s">
        <v>280</v>
      </c>
      <c r="M131" s="53" t="s">
        <v>353</v>
      </c>
      <c r="N131" s="79">
        <v>129</v>
      </c>
      <c r="O131" s="79"/>
      <c r="P131" s="80" t="str">
        <f>LEFT(VLOOKUP(Ruimtestaat[[#This Row],[Ruimte code]],Ruimtegroepen[#All],4,1),2)</f>
        <v xml:space="preserve">V </v>
      </c>
      <c r="Q131" s="80"/>
      <c r="R131" s="81">
        <v>40</v>
      </c>
      <c r="S131" s="81" t="s">
        <v>298</v>
      </c>
      <c r="T131" s="82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1" s="82">
        <f>IF(T131&gt;0,VLOOKUP($J131,Ruimtegroepen[],3,FALSE)*VLOOKUP($L131,Vloersoorten[],3,FALSE)*VLOOKUP($S131,Frequenties[],3,FALSE)*VLOOKUP($A131,Locaties[],3,FALSE),0)</f>
        <v>0</v>
      </c>
      <c r="V131" s="83">
        <f>Ruimtestaat[[#This Row],[Uitvoeringen werkdagen]]*Ruimtestaat[[#This Row],[Oppervlak (netto)]]</f>
        <v>25800</v>
      </c>
      <c r="W131" s="84">
        <f>IF(U131&gt;0,Ruimtestaat[[#This Row],[Prest. (m2 /jaar) werkdagen]]/Ruimtestaat[[#This Row],[Norm (m2/uur) werkdagen]],0)</f>
        <v>0</v>
      </c>
      <c r="X131" s="85">
        <f>Ruimtestaat[[#This Row],[uren / jaar werkdagen]]*Tariefsopbouw!$E$35</f>
        <v>0</v>
      </c>
      <c r="Y131" s="82"/>
      <c r="Z131" s="86">
        <f>IF(Ruimtestaat[[#This Row],[Frequentie weekend]]&gt;0,VALUE(LEFT(Y131,1))*R131,0)</f>
        <v>0</v>
      </c>
      <c r="AA131" s="82">
        <f>IF($Z131&gt;0,VLOOKUP($J131,Ruimtegroepen[],3,FALSE)*VLOOKUP($L131,Vloersoorten[],3,FALSE)*VLOOKUP($Y131,Frequenties[],3,FALSE)*VLOOKUP($A102,Locaties[],3,FALSE),0)</f>
        <v>0</v>
      </c>
      <c r="AB131" s="84">
        <f>Ruimtestaat[[#This Row],[Uitvoeringen weekend]]*Ruimtestaat[[#This Row],[Oppervlak (netto)]]</f>
        <v>0</v>
      </c>
      <c r="AC131" s="87">
        <f>IF(AB131&gt;0,Ruimtestaat[[#This Row],[Prest. (m2 /jaar) weekend]]/Ruimtestaat[[#This Row],[Norm (m2/uur) weekend]],0)</f>
        <v>0</v>
      </c>
      <c r="AD131" s="88">
        <f>Ruimtestaat[[#This Row],[uren / jaar weekend]]*Tariefsopbouw!$D$40</f>
        <v>0</v>
      </c>
      <c r="AE131" s="89">
        <f>Ruimtestaat[[#This Row],[Prest. (m2 /jaar) weekend]]+Ruimtestaat[[#This Row],[Prest. (m2 /jaar) werkdagen]]</f>
        <v>25800</v>
      </c>
      <c r="AF131" s="89">
        <f>Ruimtestaat[[#This Row],[uren / jaar weekend]]+Ruimtestaat[[#This Row],[uren / jaar werkdagen]]</f>
        <v>0</v>
      </c>
      <c r="AG131" s="90">
        <f>Ruimtestaat[[#This Row],[kosten / jaar weekend]]+Ruimtestaat[[#This Row],[kosten / jaar werkdagen]]</f>
        <v>0</v>
      </c>
      <c r="AH131" s="91"/>
      <c r="HL131" s="67"/>
    </row>
    <row r="132" spans="1:220" ht="15" customHeight="1">
      <c r="A132" s="53">
        <v>1</v>
      </c>
      <c r="B132" s="53" t="str">
        <f>VLOOKUP(Ruimtestaat[[#This Row],[Code]],Locaties[#All],2,FALSE)</f>
        <v>Ir. Lely Lyceum</v>
      </c>
      <c r="C132" s="53" t="str">
        <f>VLOOKUP(Ruimtestaat[[#This Row],[Code]],Locaties[#All],4,FALSE)</f>
        <v>Ravenswaaipad 3</v>
      </c>
      <c r="D132" s="53" t="str">
        <f>VLOOKUP(Ruimtestaat[[#This Row],[Code]],Locaties[#All],5,FALSE)</f>
        <v>1106 AW</v>
      </c>
      <c r="E132" s="53" t="str">
        <f>VLOOKUP(Ruimtestaat[[#This Row],[Code]],Locaties[#All],6,FALSE)</f>
        <v>Amsterdam</v>
      </c>
      <c r="F132" s="78" t="s">
        <v>347</v>
      </c>
      <c r="G132" s="53" t="s">
        <v>450</v>
      </c>
      <c r="H132" s="95" t="s">
        <v>518</v>
      </c>
      <c r="I132" s="23" t="s">
        <v>378</v>
      </c>
      <c r="J132" s="53">
        <v>10</v>
      </c>
      <c r="K132" s="78" t="str">
        <f>VLOOKUP(J132,Ruimtegroepen[],2,FALSE)</f>
        <v>Trappenhuizen/lift</v>
      </c>
      <c r="L132" s="53" t="s">
        <v>280</v>
      </c>
      <c r="M132" s="53" t="s">
        <v>353</v>
      </c>
      <c r="N132" s="79">
        <v>24.5</v>
      </c>
      <c r="O132" s="79"/>
      <c r="P132" s="80" t="str">
        <f>LEFT(VLOOKUP(Ruimtestaat[[#This Row],[Ruimte code]],Ruimtegroepen[#All],4,1),2)</f>
        <v xml:space="preserve">V </v>
      </c>
      <c r="Q132" s="80"/>
      <c r="R132" s="81">
        <v>40</v>
      </c>
      <c r="S132" s="81" t="s">
        <v>298</v>
      </c>
      <c r="T132" s="82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2" s="82">
        <f>IF(T132&gt;0,VLOOKUP($J132,Ruimtegroepen[],3,FALSE)*VLOOKUP($L132,Vloersoorten[],3,FALSE)*VLOOKUP($S132,Frequenties[],3,FALSE)*VLOOKUP($A132,Locaties[],3,FALSE),0)</f>
        <v>0</v>
      </c>
      <c r="V132" s="83">
        <f>Ruimtestaat[[#This Row],[Uitvoeringen werkdagen]]*Ruimtestaat[[#This Row],[Oppervlak (netto)]]</f>
        <v>4900</v>
      </c>
      <c r="W132" s="84">
        <f>IF(U132&gt;0,Ruimtestaat[[#This Row],[Prest. (m2 /jaar) werkdagen]]/Ruimtestaat[[#This Row],[Norm (m2/uur) werkdagen]],0)</f>
        <v>0</v>
      </c>
      <c r="X132" s="85">
        <f>Ruimtestaat[[#This Row],[uren / jaar werkdagen]]*Tariefsopbouw!$E$35</f>
        <v>0</v>
      </c>
      <c r="Y132" s="82"/>
      <c r="Z132" s="86">
        <f>IF(Ruimtestaat[[#This Row],[Frequentie weekend]]&gt;0,VALUE(LEFT(Y132,1))*R132,0)</f>
        <v>0</v>
      </c>
      <c r="AA132" s="82">
        <f>IF($Z132&gt;0,VLOOKUP($J132,Ruimtegroepen[],3,FALSE)*VLOOKUP($L132,Vloersoorten[],3,FALSE)*VLOOKUP($Y132,Frequenties[],3,FALSE)*VLOOKUP($A103,Locaties[],3,FALSE),0)</f>
        <v>0</v>
      </c>
      <c r="AB132" s="84">
        <f>Ruimtestaat[[#This Row],[Uitvoeringen weekend]]*Ruimtestaat[[#This Row],[Oppervlak (netto)]]</f>
        <v>0</v>
      </c>
      <c r="AC132" s="87">
        <f>IF(AB132&gt;0,Ruimtestaat[[#This Row],[Prest. (m2 /jaar) weekend]]/Ruimtestaat[[#This Row],[Norm (m2/uur) weekend]],0)</f>
        <v>0</v>
      </c>
      <c r="AD132" s="88">
        <f>Ruimtestaat[[#This Row],[uren / jaar weekend]]*Tariefsopbouw!$D$40</f>
        <v>0</v>
      </c>
      <c r="AE132" s="89">
        <f>Ruimtestaat[[#This Row],[Prest. (m2 /jaar) weekend]]+Ruimtestaat[[#This Row],[Prest. (m2 /jaar) werkdagen]]</f>
        <v>4900</v>
      </c>
      <c r="AF132" s="89">
        <f>Ruimtestaat[[#This Row],[uren / jaar weekend]]+Ruimtestaat[[#This Row],[uren / jaar werkdagen]]</f>
        <v>0</v>
      </c>
      <c r="AG132" s="90">
        <f>Ruimtestaat[[#This Row],[kosten / jaar weekend]]+Ruimtestaat[[#This Row],[kosten / jaar werkdagen]]</f>
        <v>0</v>
      </c>
      <c r="AH132" s="91"/>
      <c r="HL132" s="67"/>
    </row>
    <row r="133" spans="1:220" ht="15" customHeight="1">
      <c r="A133" s="53">
        <v>1</v>
      </c>
      <c r="B133" s="53" t="str">
        <f>VLOOKUP(Ruimtestaat[[#This Row],[Code]],Locaties[#All],2,FALSE)</f>
        <v>Ir. Lely Lyceum</v>
      </c>
      <c r="C133" s="53" t="str">
        <f>VLOOKUP(Ruimtestaat[[#This Row],[Code]],Locaties[#All],4,FALSE)</f>
        <v>Ravenswaaipad 3</v>
      </c>
      <c r="D133" s="53" t="str">
        <f>VLOOKUP(Ruimtestaat[[#This Row],[Code]],Locaties[#All],5,FALSE)</f>
        <v>1106 AW</v>
      </c>
      <c r="E133" s="53" t="str">
        <f>VLOOKUP(Ruimtestaat[[#This Row],[Code]],Locaties[#All],6,FALSE)</f>
        <v>Amsterdam</v>
      </c>
      <c r="F133" s="78" t="s">
        <v>519</v>
      </c>
      <c r="G133" s="53" t="s">
        <v>348</v>
      </c>
      <c r="H133" s="95" t="s">
        <v>520</v>
      </c>
      <c r="I133" s="23" t="s">
        <v>456</v>
      </c>
      <c r="J133" s="53">
        <v>6</v>
      </c>
      <c r="K133" s="78" t="str">
        <f>VLOOKUP(J133,Ruimtegroepen[],2,FALSE)</f>
        <v>Gangen/hallen</v>
      </c>
      <c r="L133" s="53" t="s">
        <v>280</v>
      </c>
      <c r="M133" s="53" t="s">
        <v>353</v>
      </c>
      <c r="N133" s="79">
        <v>72</v>
      </c>
      <c r="O133" s="79"/>
      <c r="P133" s="80" t="str">
        <f>LEFT(VLOOKUP(Ruimtestaat[[#This Row],[Ruimte code]],Ruimtegroepen[#All],4,1),2)</f>
        <v xml:space="preserve">V </v>
      </c>
      <c r="Q133" s="80"/>
      <c r="R133" s="81">
        <v>40</v>
      </c>
      <c r="S133" s="81" t="s">
        <v>298</v>
      </c>
      <c r="T133" s="82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3" s="82">
        <f>IF(T133&gt;0,VLOOKUP($J133,Ruimtegroepen[],3,FALSE)*VLOOKUP($L133,Vloersoorten[],3,FALSE)*VLOOKUP($S133,Frequenties[],3,FALSE)*VLOOKUP($A133,Locaties[],3,FALSE),0)</f>
        <v>0</v>
      </c>
      <c r="V133" s="83">
        <f>Ruimtestaat[[#This Row],[Uitvoeringen werkdagen]]*Ruimtestaat[[#This Row],[Oppervlak (netto)]]</f>
        <v>14400</v>
      </c>
      <c r="W133" s="84">
        <f>IF(U133&gt;0,Ruimtestaat[[#This Row],[Prest. (m2 /jaar) werkdagen]]/Ruimtestaat[[#This Row],[Norm (m2/uur) werkdagen]],0)</f>
        <v>0</v>
      </c>
      <c r="X133" s="85">
        <f>Ruimtestaat[[#This Row],[uren / jaar werkdagen]]*Tariefsopbouw!$E$35</f>
        <v>0</v>
      </c>
      <c r="Y133" s="82"/>
      <c r="Z133" s="86">
        <f>IF(Ruimtestaat[[#This Row],[Frequentie weekend]]&gt;0,VALUE(LEFT(Y133,1))*R133,0)</f>
        <v>0</v>
      </c>
      <c r="AA133" s="82">
        <f>IF($Z133&gt;0,VLOOKUP($J133,Ruimtegroepen[],3,FALSE)*VLOOKUP($L133,Vloersoorten[],3,FALSE)*VLOOKUP($Y133,Frequenties[],3,FALSE)*VLOOKUP($A104,Locaties[],3,FALSE),0)</f>
        <v>0</v>
      </c>
      <c r="AB133" s="84">
        <f>Ruimtestaat[[#This Row],[Uitvoeringen weekend]]*Ruimtestaat[[#This Row],[Oppervlak (netto)]]</f>
        <v>0</v>
      </c>
      <c r="AC133" s="87">
        <f>IF(AB133&gt;0,Ruimtestaat[[#This Row],[Prest. (m2 /jaar) weekend]]/Ruimtestaat[[#This Row],[Norm (m2/uur) weekend]],0)</f>
        <v>0</v>
      </c>
      <c r="AD133" s="88">
        <f>Ruimtestaat[[#This Row],[uren / jaar weekend]]*Tariefsopbouw!$D$40</f>
        <v>0</v>
      </c>
      <c r="AE133" s="89">
        <f>Ruimtestaat[[#This Row],[Prest. (m2 /jaar) weekend]]+Ruimtestaat[[#This Row],[Prest. (m2 /jaar) werkdagen]]</f>
        <v>14400</v>
      </c>
      <c r="AF133" s="89">
        <f>Ruimtestaat[[#This Row],[uren / jaar weekend]]+Ruimtestaat[[#This Row],[uren / jaar werkdagen]]</f>
        <v>0</v>
      </c>
      <c r="AG133" s="90">
        <f>Ruimtestaat[[#This Row],[kosten / jaar weekend]]+Ruimtestaat[[#This Row],[kosten / jaar werkdagen]]</f>
        <v>0</v>
      </c>
      <c r="AH133" s="91"/>
      <c r="HL133" s="67"/>
    </row>
    <row r="134" spans="1:220" ht="15" customHeight="1">
      <c r="A134" s="53">
        <v>1</v>
      </c>
      <c r="B134" s="53" t="str">
        <f>VLOOKUP(Ruimtestaat[[#This Row],[Code]],Locaties[#All],2,FALSE)</f>
        <v>Ir. Lely Lyceum</v>
      </c>
      <c r="C134" s="53" t="str">
        <f>VLOOKUP(Ruimtestaat[[#This Row],[Code]],Locaties[#All],4,FALSE)</f>
        <v>Ravenswaaipad 3</v>
      </c>
      <c r="D134" s="53" t="str">
        <f>VLOOKUP(Ruimtestaat[[#This Row],[Code]],Locaties[#All],5,FALSE)</f>
        <v>1106 AW</v>
      </c>
      <c r="E134" s="53" t="str">
        <f>VLOOKUP(Ruimtestaat[[#This Row],[Code]],Locaties[#All],6,FALSE)</f>
        <v>Amsterdam</v>
      </c>
      <c r="F134" s="78" t="s">
        <v>519</v>
      </c>
      <c r="G134" s="53" t="s">
        <v>348</v>
      </c>
      <c r="H134" s="95" t="s">
        <v>349</v>
      </c>
      <c r="I134" s="23" t="s">
        <v>372</v>
      </c>
      <c r="J134" s="53">
        <v>5</v>
      </c>
      <c r="K134" s="78" t="str">
        <f>VLOOKUP(J134,Ruimtegroepen[],2,FALSE)</f>
        <v>Sanitair</v>
      </c>
      <c r="L134" s="53" t="s">
        <v>285</v>
      </c>
      <c r="M134" s="53" t="s">
        <v>370</v>
      </c>
      <c r="N134" s="79">
        <v>12</v>
      </c>
      <c r="O134" s="79"/>
      <c r="P134" s="80" t="str">
        <f>LEFT(VLOOKUP(Ruimtestaat[[#This Row],[Ruimte code]],Ruimtegroepen[#All],4,1),2)</f>
        <v xml:space="preserve">S </v>
      </c>
      <c r="Q134" s="80"/>
      <c r="R134" s="81">
        <v>40</v>
      </c>
      <c r="S134" s="81" t="s">
        <v>298</v>
      </c>
      <c r="T134" s="82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4" s="82">
        <f>IF(T134&gt;0,VLOOKUP($J134,Ruimtegroepen[],3,FALSE)*VLOOKUP($L134,Vloersoorten[],3,FALSE)*VLOOKUP($S134,Frequenties[],3,FALSE)*VLOOKUP($A134,Locaties[],3,FALSE),0)</f>
        <v>0</v>
      </c>
      <c r="V134" s="83">
        <f>Ruimtestaat[[#This Row],[Uitvoeringen werkdagen]]*Ruimtestaat[[#This Row],[Oppervlak (netto)]]</f>
        <v>2400</v>
      </c>
      <c r="W134" s="84">
        <f>IF(U134&gt;0,Ruimtestaat[[#This Row],[Prest. (m2 /jaar) werkdagen]]/Ruimtestaat[[#This Row],[Norm (m2/uur) werkdagen]],0)</f>
        <v>0</v>
      </c>
      <c r="X134" s="85">
        <f>Ruimtestaat[[#This Row],[uren / jaar werkdagen]]*Tariefsopbouw!$E$35</f>
        <v>0</v>
      </c>
      <c r="Y134" s="82"/>
      <c r="Z134" s="86">
        <f>IF(Ruimtestaat[[#This Row],[Frequentie weekend]]&gt;0,VALUE(LEFT(Y134,1))*R134,0)</f>
        <v>0</v>
      </c>
      <c r="AA134" s="82">
        <f>IF($Z134&gt;0,VLOOKUP($J134,Ruimtegroepen[],3,FALSE)*VLOOKUP($L134,Vloersoorten[],3,FALSE)*VLOOKUP($Y134,Frequenties[],3,FALSE)*VLOOKUP($A105,Locaties[],3,FALSE),0)</f>
        <v>0</v>
      </c>
      <c r="AB134" s="84">
        <f>Ruimtestaat[[#This Row],[Uitvoeringen weekend]]*Ruimtestaat[[#This Row],[Oppervlak (netto)]]</f>
        <v>0</v>
      </c>
      <c r="AC134" s="87">
        <f>IF(AB134&gt;0,Ruimtestaat[[#This Row],[Prest. (m2 /jaar) weekend]]/Ruimtestaat[[#This Row],[Norm (m2/uur) weekend]],0)</f>
        <v>0</v>
      </c>
      <c r="AD134" s="88">
        <f>Ruimtestaat[[#This Row],[uren / jaar weekend]]*Tariefsopbouw!$D$40</f>
        <v>0</v>
      </c>
      <c r="AE134" s="89">
        <f>Ruimtestaat[[#This Row],[Prest. (m2 /jaar) weekend]]+Ruimtestaat[[#This Row],[Prest. (m2 /jaar) werkdagen]]</f>
        <v>2400</v>
      </c>
      <c r="AF134" s="89">
        <f>Ruimtestaat[[#This Row],[uren / jaar weekend]]+Ruimtestaat[[#This Row],[uren / jaar werkdagen]]</f>
        <v>0</v>
      </c>
      <c r="AG134" s="90">
        <f>Ruimtestaat[[#This Row],[kosten / jaar weekend]]+Ruimtestaat[[#This Row],[kosten / jaar werkdagen]]</f>
        <v>0</v>
      </c>
      <c r="AH134" s="91"/>
      <c r="HL134" s="67"/>
    </row>
    <row r="135" spans="1:220" ht="15" customHeight="1">
      <c r="A135" s="53">
        <v>1</v>
      </c>
      <c r="B135" s="53" t="str">
        <f>VLOOKUP(Ruimtestaat[[#This Row],[Code]],Locaties[#All],2,FALSE)</f>
        <v>Ir. Lely Lyceum</v>
      </c>
      <c r="C135" s="53" t="str">
        <f>VLOOKUP(Ruimtestaat[[#This Row],[Code]],Locaties[#All],4,FALSE)</f>
        <v>Ravenswaaipad 3</v>
      </c>
      <c r="D135" s="53" t="str">
        <f>VLOOKUP(Ruimtestaat[[#This Row],[Code]],Locaties[#All],5,FALSE)</f>
        <v>1106 AW</v>
      </c>
      <c r="E135" s="53" t="str">
        <f>VLOOKUP(Ruimtestaat[[#This Row],[Code]],Locaties[#All],6,FALSE)</f>
        <v>Amsterdam</v>
      </c>
      <c r="F135" s="78" t="s">
        <v>519</v>
      </c>
      <c r="G135" s="53" t="s">
        <v>348</v>
      </c>
      <c r="H135" s="95" t="s">
        <v>351</v>
      </c>
      <c r="I135" s="23" t="s">
        <v>369</v>
      </c>
      <c r="J135" s="53">
        <v>5</v>
      </c>
      <c r="K135" s="78" t="str">
        <f>VLOOKUP(J135,Ruimtegroepen[],2,FALSE)</f>
        <v>Sanitair</v>
      </c>
      <c r="L135" s="53" t="s">
        <v>285</v>
      </c>
      <c r="M135" s="53" t="s">
        <v>370</v>
      </c>
      <c r="N135" s="79">
        <v>12</v>
      </c>
      <c r="O135" s="79"/>
      <c r="P135" s="80" t="str">
        <f>LEFT(VLOOKUP(Ruimtestaat[[#This Row],[Ruimte code]],Ruimtegroepen[#All],4,1),2)</f>
        <v xml:space="preserve">S </v>
      </c>
      <c r="Q135" s="80"/>
      <c r="R135" s="81">
        <v>40</v>
      </c>
      <c r="S135" s="81" t="s">
        <v>298</v>
      </c>
      <c r="T135" s="82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5" s="82">
        <f>IF(T135&gt;0,VLOOKUP($J135,Ruimtegroepen[],3,FALSE)*VLOOKUP($L135,Vloersoorten[],3,FALSE)*VLOOKUP($S135,Frequenties[],3,FALSE)*VLOOKUP($A135,Locaties[],3,FALSE),0)</f>
        <v>0</v>
      </c>
      <c r="V135" s="83">
        <f>Ruimtestaat[[#This Row],[Uitvoeringen werkdagen]]*Ruimtestaat[[#This Row],[Oppervlak (netto)]]</f>
        <v>2400</v>
      </c>
      <c r="W135" s="84">
        <f>IF(U135&gt;0,Ruimtestaat[[#This Row],[Prest. (m2 /jaar) werkdagen]]/Ruimtestaat[[#This Row],[Norm (m2/uur) werkdagen]],0)</f>
        <v>0</v>
      </c>
      <c r="X135" s="85">
        <f>Ruimtestaat[[#This Row],[uren / jaar werkdagen]]*Tariefsopbouw!$E$35</f>
        <v>0</v>
      </c>
      <c r="Y135" s="82"/>
      <c r="Z135" s="86">
        <f>IF(Ruimtestaat[[#This Row],[Frequentie weekend]]&gt;0,VALUE(LEFT(Y135,1))*R135,0)</f>
        <v>0</v>
      </c>
      <c r="AA135" s="82">
        <f>IF($Z135&gt;0,VLOOKUP($J135,Ruimtegroepen[],3,FALSE)*VLOOKUP($L135,Vloersoorten[],3,FALSE)*VLOOKUP($Y135,Frequenties[],3,FALSE)*VLOOKUP($A106,Locaties[],3,FALSE),0)</f>
        <v>0</v>
      </c>
      <c r="AB135" s="84">
        <f>Ruimtestaat[[#This Row],[Uitvoeringen weekend]]*Ruimtestaat[[#This Row],[Oppervlak (netto)]]</f>
        <v>0</v>
      </c>
      <c r="AC135" s="87">
        <f>IF(AB135&gt;0,Ruimtestaat[[#This Row],[Prest. (m2 /jaar) weekend]]/Ruimtestaat[[#This Row],[Norm (m2/uur) weekend]],0)</f>
        <v>0</v>
      </c>
      <c r="AD135" s="88">
        <f>Ruimtestaat[[#This Row],[uren / jaar weekend]]*Tariefsopbouw!$D$40</f>
        <v>0</v>
      </c>
      <c r="AE135" s="89">
        <f>Ruimtestaat[[#This Row],[Prest. (m2 /jaar) weekend]]+Ruimtestaat[[#This Row],[Prest. (m2 /jaar) werkdagen]]</f>
        <v>2400</v>
      </c>
      <c r="AF135" s="89">
        <f>Ruimtestaat[[#This Row],[uren / jaar weekend]]+Ruimtestaat[[#This Row],[uren / jaar werkdagen]]</f>
        <v>0</v>
      </c>
      <c r="AG135" s="90">
        <f>Ruimtestaat[[#This Row],[kosten / jaar weekend]]+Ruimtestaat[[#This Row],[kosten / jaar werkdagen]]</f>
        <v>0</v>
      </c>
      <c r="AH135" s="91"/>
      <c r="HL135" s="67"/>
    </row>
    <row r="136" spans="1:220" ht="15" customHeight="1">
      <c r="A136" s="53">
        <v>1</v>
      </c>
      <c r="B136" s="53" t="str">
        <f>VLOOKUP(Ruimtestaat[[#This Row],[Code]],Locaties[#All],2,FALSE)</f>
        <v>Ir. Lely Lyceum</v>
      </c>
      <c r="C136" s="53" t="str">
        <f>VLOOKUP(Ruimtestaat[[#This Row],[Code]],Locaties[#All],4,FALSE)</f>
        <v>Ravenswaaipad 3</v>
      </c>
      <c r="D136" s="53" t="str">
        <f>VLOOKUP(Ruimtestaat[[#This Row],[Code]],Locaties[#All],5,FALSE)</f>
        <v>1106 AW</v>
      </c>
      <c r="E136" s="53" t="str">
        <f>VLOOKUP(Ruimtestaat[[#This Row],[Code]],Locaties[#All],6,FALSE)</f>
        <v>Amsterdam</v>
      </c>
      <c r="F136" s="78" t="s">
        <v>519</v>
      </c>
      <c r="G136" s="53" t="s">
        <v>348</v>
      </c>
      <c r="H136" s="95" t="s">
        <v>358</v>
      </c>
      <c r="I136" s="23" t="s">
        <v>456</v>
      </c>
      <c r="J136" s="53">
        <v>6</v>
      </c>
      <c r="K136" s="78" t="str">
        <f>VLOOKUP(J136,Ruimtegroepen[],2,FALSE)</f>
        <v>Gangen/hallen</v>
      </c>
      <c r="L136" s="53" t="s">
        <v>280</v>
      </c>
      <c r="M136" s="53" t="s">
        <v>353</v>
      </c>
      <c r="N136" s="79">
        <v>12</v>
      </c>
      <c r="O136" s="79"/>
      <c r="P136" s="80" t="str">
        <f>LEFT(VLOOKUP(Ruimtestaat[[#This Row],[Ruimte code]],Ruimtegroepen[#All],4,1),2)</f>
        <v xml:space="preserve">V </v>
      </c>
      <c r="Q136" s="80"/>
      <c r="R136" s="81">
        <v>40</v>
      </c>
      <c r="S136" s="81" t="s">
        <v>298</v>
      </c>
      <c r="T136" s="82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6" s="82">
        <f>IF(T136&gt;0,VLOOKUP($J136,Ruimtegroepen[],3,FALSE)*VLOOKUP($L136,Vloersoorten[],3,FALSE)*VLOOKUP($S136,Frequenties[],3,FALSE)*VLOOKUP($A136,Locaties[],3,FALSE),0)</f>
        <v>0</v>
      </c>
      <c r="V136" s="83">
        <f>Ruimtestaat[[#This Row],[Uitvoeringen werkdagen]]*Ruimtestaat[[#This Row],[Oppervlak (netto)]]</f>
        <v>2400</v>
      </c>
      <c r="W136" s="84">
        <f>IF(U136&gt;0,Ruimtestaat[[#This Row],[Prest. (m2 /jaar) werkdagen]]/Ruimtestaat[[#This Row],[Norm (m2/uur) werkdagen]],0)</f>
        <v>0</v>
      </c>
      <c r="X136" s="85">
        <f>Ruimtestaat[[#This Row],[uren / jaar werkdagen]]*Tariefsopbouw!$E$35</f>
        <v>0</v>
      </c>
      <c r="Y136" s="82"/>
      <c r="Z136" s="86">
        <f>IF(Ruimtestaat[[#This Row],[Frequentie weekend]]&gt;0,VALUE(LEFT(Y136,1))*R136,0)</f>
        <v>0</v>
      </c>
      <c r="AA136" s="82">
        <f>IF($Z136&gt;0,VLOOKUP($J136,Ruimtegroepen[],3,FALSE)*VLOOKUP($L136,Vloersoorten[],3,FALSE)*VLOOKUP($Y136,Frequenties[],3,FALSE)*VLOOKUP($A107,Locaties[],3,FALSE),0)</f>
        <v>0</v>
      </c>
      <c r="AB136" s="84">
        <f>Ruimtestaat[[#This Row],[Uitvoeringen weekend]]*Ruimtestaat[[#This Row],[Oppervlak (netto)]]</f>
        <v>0</v>
      </c>
      <c r="AC136" s="87">
        <f>IF(AB136&gt;0,Ruimtestaat[[#This Row],[Prest. (m2 /jaar) weekend]]/Ruimtestaat[[#This Row],[Norm (m2/uur) weekend]],0)</f>
        <v>0</v>
      </c>
      <c r="AD136" s="88">
        <f>Ruimtestaat[[#This Row],[uren / jaar weekend]]*Tariefsopbouw!$D$40</f>
        <v>0</v>
      </c>
      <c r="AE136" s="89">
        <f>Ruimtestaat[[#This Row],[Prest. (m2 /jaar) weekend]]+Ruimtestaat[[#This Row],[Prest. (m2 /jaar) werkdagen]]</f>
        <v>2400</v>
      </c>
      <c r="AF136" s="89">
        <f>Ruimtestaat[[#This Row],[uren / jaar weekend]]+Ruimtestaat[[#This Row],[uren / jaar werkdagen]]</f>
        <v>0</v>
      </c>
      <c r="AG136" s="90">
        <f>Ruimtestaat[[#This Row],[kosten / jaar weekend]]+Ruimtestaat[[#This Row],[kosten / jaar werkdagen]]</f>
        <v>0</v>
      </c>
      <c r="AH136" s="91"/>
      <c r="HL136" s="67"/>
    </row>
    <row r="137" spans="1:220" ht="15" customHeight="1">
      <c r="A137" s="53">
        <v>1</v>
      </c>
      <c r="B137" s="53" t="str">
        <f>VLOOKUP(Ruimtestaat[[#This Row],[Code]],Locaties[#All],2,FALSE)</f>
        <v>Ir. Lely Lyceum</v>
      </c>
      <c r="C137" s="53" t="str">
        <f>VLOOKUP(Ruimtestaat[[#This Row],[Code]],Locaties[#All],4,FALSE)</f>
        <v>Ravenswaaipad 3</v>
      </c>
      <c r="D137" s="53" t="str">
        <f>VLOOKUP(Ruimtestaat[[#This Row],[Code]],Locaties[#All],5,FALSE)</f>
        <v>1106 AW</v>
      </c>
      <c r="E137" s="53" t="str">
        <f>VLOOKUP(Ruimtestaat[[#This Row],[Code]],Locaties[#All],6,FALSE)</f>
        <v>Amsterdam</v>
      </c>
      <c r="F137" s="78" t="s">
        <v>519</v>
      </c>
      <c r="G137" s="53" t="s">
        <v>348</v>
      </c>
      <c r="H137" s="95" t="s">
        <v>361</v>
      </c>
      <c r="I137" s="23" t="s">
        <v>456</v>
      </c>
      <c r="J137" s="53">
        <v>6</v>
      </c>
      <c r="K137" s="78" t="str">
        <f>VLOOKUP(J137,Ruimtegroepen[],2,FALSE)</f>
        <v>Gangen/hallen</v>
      </c>
      <c r="L137" s="53" t="s">
        <v>280</v>
      </c>
      <c r="M137" s="53" t="s">
        <v>353</v>
      </c>
      <c r="N137" s="79">
        <v>43</v>
      </c>
      <c r="O137" s="79"/>
      <c r="P137" s="80" t="str">
        <f>LEFT(VLOOKUP(Ruimtestaat[[#This Row],[Ruimte code]],Ruimtegroepen[#All],4,1),2)</f>
        <v xml:space="preserve">V </v>
      </c>
      <c r="Q137" s="80"/>
      <c r="R137" s="81">
        <v>40</v>
      </c>
      <c r="S137" s="81" t="s">
        <v>298</v>
      </c>
      <c r="T137" s="82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7" s="82">
        <f>IF(T137&gt;0,VLOOKUP($J137,Ruimtegroepen[],3,FALSE)*VLOOKUP($L137,Vloersoorten[],3,FALSE)*VLOOKUP($S137,Frequenties[],3,FALSE)*VLOOKUP($A137,Locaties[],3,FALSE),0)</f>
        <v>0</v>
      </c>
      <c r="V137" s="83">
        <f>Ruimtestaat[[#This Row],[Uitvoeringen werkdagen]]*Ruimtestaat[[#This Row],[Oppervlak (netto)]]</f>
        <v>8600</v>
      </c>
      <c r="W137" s="84">
        <f>IF(U137&gt;0,Ruimtestaat[[#This Row],[Prest. (m2 /jaar) werkdagen]]/Ruimtestaat[[#This Row],[Norm (m2/uur) werkdagen]],0)</f>
        <v>0</v>
      </c>
      <c r="X137" s="85">
        <f>Ruimtestaat[[#This Row],[uren / jaar werkdagen]]*Tariefsopbouw!$E$35</f>
        <v>0</v>
      </c>
      <c r="Y137" s="82"/>
      <c r="Z137" s="86">
        <f>IF(Ruimtestaat[[#This Row],[Frequentie weekend]]&gt;0,VALUE(LEFT(Y137,1))*R137,0)</f>
        <v>0</v>
      </c>
      <c r="AA137" s="82">
        <f>IF($Z137&gt;0,VLOOKUP($J137,Ruimtegroepen[],3,FALSE)*VLOOKUP($L137,Vloersoorten[],3,FALSE)*VLOOKUP($Y137,Frequenties[],3,FALSE)*VLOOKUP($A108,Locaties[],3,FALSE),0)</f>
        <v>0</v>
      </c>
      <c r="AB137" s="84">
        <f>Ruimtestaat[[#This Row],[Uitvoeringen weekend]]*Ruimtestaat[[#This Row],[Oppervlak (netto)]]</f>
        <v>0</v>
      </c>
      <c r="AC137" s="87">
        <f>IF(AB137&gt;0,Ruimtestaat[[#This Row],[Prest. (m2 /jaar) weekend]]/Ruimtestaat[[#This Row],[Norm (m2/uur) weekend]],0)</f>
        <v>0</v>
      </c>
      <c r="AD137" s="88">
        <f>Ruimtestaat[[#This Row],[uren / jaar weekend]]*Tariefsopbouw!$D$40</f>
        <v>0</v>
      </c>
      <c r="AE137" s="89">
        <f>Ruimtestaat[[#This Row],[Prest. (m2 /jaar) weekend]]+Ruimtestaat[[#This Row],[Prest. (m2 /jaar) werkdagen]]</f>
        <v>8600</v>
      </c>
      <c r="AF137" s="89">
        <f>Ruimtestaat[[#This Row],[uren / jaar weekend]]+Ruimtestaat[[#This Row],[uren / jaar werkdagen]]</f>
        <v>0</v>
      </c>
      <c r="AG137" s="90">
        <f>Ruimtestaat[[#This Row],[kosten / jaar weekend]]+Ruimtestaat[[#This Row],[kosten / jaar werkdagen]]</f>
        <v>0</v>
      </c>
      <c r="AH137" s="91"/>
      <c r="HL137" s="67"/>
    </row>
    <row r="138" spans="1:220" ht="15" customHeight="1">
      <c r="A138" s="53">
        <v>1</v>
      </c>
      <c r="B138" s="53" t="str">
        <f>VLOOKUP(Ruimtestaat[[#This Row],[Code]],Locaties[#All],2,FALSE)</f>
        <v>Ir. Lely Lyceum</v>
      </c>
      <c r="C138" s="53" t="str">
        <f>VLOOKUP(Ruimtestaat[[#This Row],[Code]],Locaties[#All],4,FALSE)</f>
        <v>Ravenswaaipad 3</v>
      </c>
      <c r="D138" s="53" t="str">
        <f>VLOOKUP(Ruimtestaat[[#This Row],[Code]],Locaties[#All],5,FALSE)</f>
        <v>1106 AW</v>
      </c>
      <c r="E138" s="53" t="str">
        <f>VLOOKUP(Ruimtestaat[[#This Row],[Code]],Locaties[#All],6,FALSE)</f>
        <v>Amsterdam</v>
      </c>
      <c r="F138" s="78" t="s">
        <v>519</v>
      </c>
      <c r="G138" s="53" t="s">
        <v>348</v>
      </c>
      <c r="H138" s="95" t="s">
        <v>521</v>
      </c>
      <c r="I138" s="23" t="s">
        <v>456</v>
      </c>
      <c r="J138" s="53">
        <v>6</v>
      </c>
      <c r="K138" s="78" t="str">
        <f>VLOOKUP(J138,Ruimtegroepen[],2,FALSE)</f>
        <v>Gangen/hallen</v>
      </c>
      <c r="L138" s="53" t="s">
        <v>280</v>
      </c>
      <c r="M138" s="53" t="s">
        <v>353</v>
      </c>
      <c r="N138" s="79">
        <v>62</v>
      </c>
      <c r="O138" s="79"/>
      <c r="P138" s="80" t="str">
        <f>LEFT(VLOOKUP(Ruimtestaat[[#This Row],[Ruimte code]],Ruimtegroepen[#All],4,1),2)</f>
        <v xml:space="preserve">V </v>
      </c>
      <c r="Q138" s="80"/>
      <c r="R138" s="81">
        <v>40</v>
      </c>
      <c r="S138" s="81" t="s">
        <v>298</v>
      </c>
      <c r="T138" s="82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8" s="82">
        <f>IF(T138&gt;0,VLOOKUP($J138,Ruimtegroepen[],3,FALSE)*VLOOKUP($L138,Vloersoorten[],3,FALSE)*VLOOKUP($S138,Frequenties[],3,FALSE)*VLOOKUP($A138,Locaties[],3,FALSE),0)</f>
        <v>0</v>
      </c>
      <c r="V138" s="83">
        <f>Ruimtestaat[[#This Row],[Uitvoeringen werkdagen]]*Ruimtestaat[[#This Row],[Oppervlak (netto)]]</f>
        <v>12400</v>
      </c>
      <c r="W138" s="84">
        <f>IF(U138&gt;0,Ruimtestaat[[#This Row],[Prest. (m2 /jaar) werkdagen]]/Ruimtestaat[[#This Row],[Norm (m2/uur) werkdagen]],0)</f>
        <v>0</v>
      </c>
      <c r="X138" s="85">
        <f>Ruimtestaat[[#This Row],[uren / jaar werkdagen]]*Tariefsopbouw!$E$35</f>
        <v>0</v>
      </c>
      <c r="Y138" s="82"/>
      <c r="Z138" s="86">
        <f>IF(Ruimtestaat[[#This Row],[Frequentie weekend]]&gt;0,VALUE(LEFT(Y138,1))*R138,0)</f>
        <v>0</v>
      </c>
      <c r="AA138" s="82">
        <f>IF($Z138&gt;0,VLOOKUP($J138,Ruimtegroepen[],3,FALSE)*VLOOKUP($L138,Vloersoorten[],3,FALSE)*VLOOKUP($Y138,Frequenties[],3,FALSE)*VLOOKUP($A109,Locaties[],3,FALSE),0)</f>
        <v>0</v>
      </c>
      <c r="AB138" s="84">
        <f>Ruimtestaat[[#This Row],[Uitvoeringen weekend]]*Ruimtestaat[[#This Row],[Oppervlak (netto)]]</f>
        <v>0</v>
      </c>
      <c r="AC138" s="87">
        <f>IF(AB138&gt;0,Ruimtestaat[[#This Row],[Prest. (m2 /jaar) weekend]]/Ruimtestaat[[#This Row],[Norm (m2/uur) weekend]],0)</f>
        <v>0</v>
      </c>
      <c r="AD138" s="88">
        <f>Ruimtestaat[[#This Row],[uren / jaar weekend]]*Tariefsopbouw!$D$40</f>
        <v>0</v>
      </c>
      <c r="AE138" s="89">
        <f>Ruimtestaat[[#This Row],[Prest. (m2 /jaar) weekend]]+Ruimtestaat[[#This Row],[Prest. (m2 /jaar) werkdagen]]</f>
        <v>12400</v>
      </c>
      <c r="AF138" s="89">
        <f>Ruimtestaat[[#This Row],[uren / jaar weekend]]+Ruimtestaat[[#This Row],[uren / jaar werkdagen]]</f>
        <v>0</v>
      </c>
      <c r="AG138" s="90">
        <f>Ruimtestaat[[#This Row],[kosten / jaar weekend]]+Ruimtestaat[[#This Row],[kosten / jaar werkdagen]]</f>
        <v>0</v>
      </c>
      <c r="AH138" s="91"/>
      <c r="HL138" s="67"/>
    </row>
    <row r="139" spans="1:220" ht="15" customHeight="1">
      <c r="A139" s="53">
        <v>1</v>
      </c>
      <c r="B139" s="53" t="str">
        <f>VLOOKUP(Ruimtestaat[[#This Row],[Code]],Locaties[#All],2,FALSE)</f>
        <v>Ir. Lely Lyceum</v>
      </c>
      <c r="C139" s="53" t="str">
        <f>VLOOKUP(Ruimtestaat[[#This Row],[Code]],Locaties[#All],4,FALSE)</f>
        <v>Ravenswaaipad 3</v>
      </c>
      <c r="D139" s="53" t="str">
        <f>VLOOKUP(Ruimtestaat[[#This Row],[Code]],Locaties[#All],5,FALSE)</f>
        <v>1106 AW</v>
      </c>
      <c r="E139" s="53" t="str">
        <f>VLOOKUP(Ruimtestaat[[#This Row],[Code]],Locaties[#All],6,FALSE)</f>
        <v>Amsterdam</v>
      </c>
      <c r="F139" s="78" t="s">
        <v>519</v>
      </c>
      <c r="G139" s="53" t="s">
        <v>348</v>
      </c>
      <c r="H139" s="95" t="s">
        <v>522</v>
      </c>
      <c r="I139" s="23" t="s">
        <v>456</v>
      </c>
      <c r="J139" s="53">
        <v>6</v>
      </c>
      <c r="K139" s="78" t="str">
        <f>VLOOKUP(J139,Ruimtegroepen[],2,FALSE)</f>
        <v>Gangen/hallen</v>
      </c>
      <c r="L139" s="53" t="s">
        <v>280</v>
      </c>
      <c r="M139" s="53" t="s">
        <v>353</v>
      </c>
      <c r="N139" s="79">
        <v>55</v>
      </c>
      <c r="O139" s="79"/>
      <c r="P139" s="80" t="str">
        <f>LEFT(VLOOKUP(Ruimtestaat[[#This Row],[Ruimte code]],Ruimtegroepen[#All],4,1),2)</f>
        <v xml:space="preserve">V </v>
      </c>
      <c r="Q139" s="80"/>
      <c r="R139" s="81">
        <v>40</v>
      </c>
      <c r="S139" s="81" t="s">
        <v>298</v>
      </c>
      <c r="T139" s="82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39" s="82">
        <f>IF(T139&gt;0,VLOOKUP($J139,Ruimtegroepen[],3,FALSE)*VLOOKUP($L139,Vloersoorten[],3,FALSE)*VLOOKUP($S139,Frequenties[],3,FALSE)*VLOOKUP($A139,Locaties[],3,FALSE),0)</f>
        <v>0</v>
      </c>
      <c r="V139" s="83">
        <f>Ruimtestaat[[#This Row],[Uitvoeringen werkdagen]]*Ruimtestaat[[#This Row],[Oppervlak (netto)]]</f>
        <v>11000</v>
      </c>
      <c r="W139" s="84">
        <f>IF(U139&gt;0,Ruimtestaat[[#This Row],[Prest. (m2 /jaar) werkdagen]]/Ruimtestaat[[#This Row],[Norm (m2/uur) werkdagen]],0)</f>
        <v>0</v>
      </c>
      <c r="X139" s="85">
        <f>Ruimtestaat[[#This Row],[uren / jaar werkdagen]]*Tariefsopbouw!$E$35</f>
        <v>0</v>
      </c>
      <c r="Y139" s="82"/>
      <c r="Z139" s="86">
        <f>IF(Ruimtestaat[[#This Row],[Frequentie weekend]]&gt;0,VALUE(LEFT(Y139,1))*R139,0)</f>
        <v>0</v>
      </c>
      <c r="AA139" s="82">
        <f>IF($Z139&gt;0,VLOOKUP($J139,Ruimtegroepen[],3,FALSE)*VLOOKUP($L139,Vloersoorten[],3,FALSE)*VLOOKUP($Y139,Frequenties[],3,FALSE)*VLOOKUP($A110,Locaties[],3,FALSE),0)</f>
        <v>0</v>
      </c>
      <c r="AB139" s="84">
        <f>Ruimtestaat[[#This Row],[Uitvoeringen weekend]]*Ruimtestaat[[#This Row],[Oppervlak (netto)]]</f>
        <v>0</v>
      </c>
      <c r="AC139" s="87">
        <f>IF(AB139&gt;0,Ruimtestaat[[#This Row],[Prest. (m2 /jaar) weekend]]/Ruimtestaat[[#This Row],[Norm (m2/uur) weekend]],0)</f>
        <v>0</v>
      </c>
      <c r="AD139" s="88">
        <f>Ruimtestaat[[#This Row],[uren / jaar weekend]]*Tariefsopbouw!$D$40</f>
        <v>0</v>
      </c>
      <c r="AE139" s="89">
        <f>Ruimtestaat[[#This Row],[Prest. (m2 /jaar) weekend]]+Ruimtestaat[[#This Row],[Prest. (m2 /jaar) werkdagen]]</f>
        <v>11000</v>
      </c>
      <c r="AF139" s="89">
        <f>Ruimtestaat[[#This Row],[uren / jaar weekend]]+Ruimtestaat[[#This Row],[uren / jaar werkdagen]]</f>
        <v>0</v>
      </c>
      <c r="AG139" s="90">
        <f>Ruimtestaat[[#This Row],[kosten / jaar weekend]]+Ruimtestaat[[#This Row],[kosten / jaar werkdagen]]</f>
        <v>0</v>
      </c>
      <c r="AH139" s="91"/>
      <c r="HL139" s="67"/>
    </row>
    <row r="140" spans="1:220" ht="15" customHeight="1">
      <c r="A140" s="53">
        <v>1</v>
      </c>
      <c r="B140" s="53" t="str">
        <f>VLOOKUP(Ruimtestaat[[#This Row],[Code]],Locaties[#All],2,FALSE)</f>
        <v>Ir. Lely Lyceum</v>
      </c>
      <c r="C140" s="53" t="str">
        <f>VLOOKUP(Ruimtestaat[[#This Row],[Code]],Locaties[#All],4,FALSE)</f>
        <v>Ravenswaaipad 3</v>
      </c>
      <c r="D140" s="53" t="str">
        <f>VLOOKUP(Ruimtestaat[[#This Row],[Code]],Locaties[#All],5,FALSE)</f>
        <v>1106 AW</v>
      </c>
      <c r="E140" s="53" t="str">
        <f>VLOOKUP(Ruimtestaat[[#This Row],[Code]],Locaties[#All],6,FALSE)</f>
        <v>Amsterdam</v>
      </c>
      <c r="F140" s="78" t="s">
        <v>519</v>
      </c>
      <c r="G140" s="53" t="s">
        <v>348</v>
      </c>
      <c r="H140" s="95" t="s">
        <v>523</v>
      </c>
      <c r="I140" s="23" t="s">
        <v>419</v>
      </c>
      <c r="J140" s="53">
        <v>16</v>
      </c>
      <c r="K140" s="78" t="str">
        <f>VLOOKUP(J140,Ruimtegroepen[],2,FALSE)</f>
        <v>Leslokalen theorie</v>
      </c>
      <c r="L140" s="53" t="s">
        <v>280</v>
      </c>
      <c r="M140" s="53" t="s">
        <v>353</v>
      </c>
      <c r="N140" s="79">
        <v>50</v>
      </c>
      <c r="O140" s="79"/>
      <c r="P140" s="80" t="str">
        <f>LEFT(VLOOKUP(Ruimtestaat[[#This Row],[Ruimte code]],Ruimtegroepen[#All],4,1),2)</f>
        <v xml:space="preserve">L </v>
      </c>
      <c r="Q140" s="80"/>
      <c r="R140" s="81">
        <v>40</v>
      </c>
      <c r="S140" s="81" t="s">
        <v>298</v>
      </c>
      <c r="T140" s="82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0" s="82">
        <f>IF(T140&gt;0,VLOOKUP($J140,Ruimtegroepen[],3,FALSE)*VLOOKUP($L140,Vloersoorten[],3,FALSE)*VLOOKUP($S140,Frequenties[],3,FALSE)*VLOOKUP($A140,Locaties[],3,FALSE),0)</f>
        <v>0</v>
      </c>
      <c r="V140" s="83">
        <f>Ruimtestaat[[#This Row],[Uitvoeringen werkdagen]]*Ruimtestaat[[#This Row],[Oppervlak (netto)]]</f>
        <v>10000</v>
      </c>
      <c r="W140" s="84">
        <f>IF(U140&gt;0,Ruimtestaat[[#This Row],[Prest. (m2 /jaar) werkdagen]]/Ruimtestaat[[#This Row],[Norm (m2/uur) werkdagen]],0)</f>
        <v>0</v>
      </c>
      <c r="X140" s="85">
        <f>Ruimtestaat[[#This Row],[uren / jaar werkdagen]]*Tariefsopbouw!$E$35</f>
        <v>0</v>
      </c>
      <c r="Y140" s="82"/>
      <c r="Z140" s="86">
        <f>IF(Ruimtestaat[[#This Row],[Frequentie weekend]]&gt;0,VALUE(LEFT(Y140,1))*R140,0)</f>
        <v>0</v>
      </c>
      <c r="AA140" s="82">
        <f>IF($Z140&gt;0,VLOOKUP($J140,Ruimtegroepen[],3,FALSE)*VLOOKUP($L140,Vloersoorten[],3,FALSE)*VLOOKUP($Y140,Frequenties[],3,FALSE)*VLOOKUP($A111,Locaties[],3,FALSE),0)</f>
        <v>0</v>
      </c>
      <c r="AB140" s="84">
        <f>Ruimtestaat[[#This Row],[Uitvoeringen weekend]]*Ruimtestaat[[#This Row],[Oppervlak (netto)]]</f>
        <v>0</v>
      </c>
      <c r="AC140" s="87">
        <f>IF(AB140&gt;0,Ruimtestaat[[#This Row],[Prest. (m2 /jaar) weekend]]/Ruimtestaat[[#This Row],[Norm (m2/uur) weekend]],0)</f>
        <v>0</v>
      </c>
      <c r="AD140" s="88">
        <f>Ruimtestaat[[#This Row],[uren / jaar weekend]]*Tariefsopbouw!$D$40</f>
        <v>0</v>
      </c>
      <c r="AE140" s="89">
        <f>Ruimtestaat[[#This Row],[Prest. (m2 /jaar) weekend]]+Ruimtestaat[[#This Row],[Prest. (m2 /jaar) werkdagen]]</f>
        <v>10000</v>
      </c>
      <c r="AF140" s="89">
        <f>Ruimtestaat[[#This Row],[uren / jaar weekend]]+Ruimtestaat[[#This Row],[uren / jaar werkdagen]]</f>
        <v>0</v>
      </c>
      <c r="AG140" s="90">
        <f>Ruimtestaat[[#This Row],[kosten / jaar weekend]]+Ruimtestaat[[#This Row],[kosten / jaar werkdagen]]</f>
        <v>0</v>
      </c>
      <c r="AH140" s="91"/>
      <c r="HL140" s="67"/>
    </row>
    <row r="141" spans="1:220" ht="15" customHeight="1">
      <c r="A141" s="53">
        <v>1</v>
      </c>
      <c r="B141" s="53" t="str">
        <f>VLOOKUP(Ruimtestaat[[#This Row],[Code]],Locaties[#All],2,FALSE)</f>
        <v>Ir. Lely Lyceum</v>
      </c>
      <c r="C141" s="53" t="str">
        <f>VLOOKUP(Ruimtestaat[[#This Row],[Code]],Locaties[#All],4,FALSE)</f>
        <v>Ravenswaaipad 3</v>
      </c>
      <c r="D141" s="53" t="str">
        <f>VLOOKUP(Ruimtestaat[[#This Row],[Code]],Locaties[#All],5,FALSE)</f>
        <v>1106 AW</v>
      </c>
      <c r="E141" s="53" t="str">
        <f>VLOOKUP(Ruimtestaat[[#This Row],[Code]],Locaties[#All],6,FALSE)</f>
        <v>Amsterdam</v>
      </c>
      <c r="F141" s="78" t="s">
        <v>519</v>
      </c>
      <c r="G141" s="53" t="s">
        <v>348</v>
      </c>
      <c r="H141" s="95" t="s">
        <v>524</v>
      </c>
      <c r="I141" s="23" t="s">
        <v>525</v>
      </c>
      <c r="J141" s="53">
        <v>16</v>
      </c>
      <c r="K141" s="78" t="str">
        <f>VLOOKUP(J141,Ruimtegroepen[],2,FALSE)</f>
        <v>Leslokalen theorie</v>
      </c>
      <c r="L141" s="53" t="s">
        <v>280</v>
      </c>
      <c r="M141" s="53" t="s">
        <v>353</v>
      </c>
      <c r="N141" s="79">
        <v>75</v>
      </c>
      <c r="O141" s="79"/>
      <c r="P141" s="80" t="str">
        <f>LEFT(VLOOKUP(Ruimtestaat[[#This Row],[Ruimte code]],Ruimtegroepen[#All],4,1),2)</f>
        <v xml:space="preserve">L </v>
      </c>
      <c r="Q141" s="80"/>
      <c r="R141" s="81">
        <v>40</v>
      </c>
      <c r="S141" s="81" t="s">
        <v>298</v>
      </c>
      <c r="T141" s="82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1" s="82">
        <f>IF(T141&gt;0,VLOOKUP($J141,Ruimtegroepen[],3,FALSE)*VLOOKUP($L141,Vloersoorten[],3,FALSE)*VLOOKUP($S141,Frequenties[],3,FALSE)*VLOOKUP($A141,Locaties[],3,FALSE),0)</f>
        <v>0</v>
      </c>
      <c r="V141" s="83">
        <f>Ruimtestaat[[#This Row],[Uitvoeringen werkdagen]]*Ruimtestaat[[#This Row],[Oppervlak (netto)]]</f>
        <v>15000</v>
      </c>
      <c r="W141" s="84">
        <f>IF(U141&gt;0,Ruimtestaat[[#This Row],[Prest. (m2 /jaar) werkdagen]]/Ruimtestaat[[#This Row],[Norm (m2/uur) werkdagen]],0)</f>
        <v>0</v>
      </c>
      <c r="X141" s="85">
        <f>Ruimtestaat[[#This Row],[uren / jaar werkdagen]]*Tariefsopbouw!$E$35</f>
        <v>0</v>
      </c>
      <c r="Y141" s="82"/>
      <c r="Z141" s="86">
        <f>IF(Ruimtestaat[[#This Row],[Frequentie weekend]]&gt;0,VALUE(LEFT(Y141,1))*R141,0)</f>
        <v>0</v>
      </c>
      <c r="AA141" s="82">
        <f>IF($Z141&gt;0,VLOOKUP($J141,Ruimtegroepen[],3,FALSE)*VLOOKUP($L141,Vloersoorten[],3,FALSE)*VLOOKUP($Y141,Frequenties[],3,FALSE)*VLOOKUP($A112,Locaties[],3,FALSE),0)</f>
        <v>0</v>
      </c>
      <c r="AB141" s="84">
        <f>Ruimtestaat[[#This Row],[Uitvoeringen weekend]]*Ruimtestaat[[#This Row],[Oppervlak (netto)]]</f>
        <v>0</v>
      </c>
      <c r="AC141" s="87">
        <f>IF(AB141&gt;0,Ruimtestaat[[#This Row],[Prest. (m2 /jaar) weekend]]/Ruimtestaat[[#This Row],[Norm (m2/uur) weekend]],0)</f>
        <v>0</v>
      </c>
      <c r="AD141" s="88">
        <f>Ruimtestaat[[#This Row],[uren / jaar weekend]]*Tariefsopbouw!$D$40</f>
        <v>0</v>
      </c>
      <c r="AE141" s="89">
        <f>Ruimtestaat[[#This Row],[Prest. (m2 /jaar) weekend]]+Ruimtestaat[[#This Row],[Prest. (m2 /jaar) werkdagen]]</f>
        <v>15000</v>
      </c>
      <c r="AF141" s="89">
        <f>Ruimtestaat[[#This Row],[uren / jaar weekend]]+Ruimtestaat[[#This Row],[uren / jaar werkdagen]]</f>
        <v>0</v>
      </c>
      <c r="AG141" s="90">
        <f>Ruimtestaat[[#This Row],[kosten / jaar weekend]]+Ruimtestaat[[#This Row],[kosten / jaar werkdagen]]</f>
        <v>0</v>
      </c>
      <c r="AH141" s="91"/>
      <c r="HL141" s="67"/>
    </row>
    <row r="142" spans="1:220" ht="15" customHeight="1">
      <c r="A142" s="53">
        <v>1</v>
      </c>
      <c r="B142" s="53" t="str">
        <f>VLOOKUP(Ruimtestaat[[#This Row],[Code]],Locaties[#All],2,FALSE)</f>
        <v>Ir. Lely Lyceum</v>
      </c>
      <c r="C142" s="53" t="str">
        <f>VLOOKUP(Ruimtestaat[[#This Row],[Code]],Locaties[#All],4,FALSE)</f>
        <v>Ravenswaaipad 3</v>
      </c>
      <c r="D142" s="53" t="str">
        <f>VLOOKUP(Ruimtestaat[[#This Row],[Code]],Locaties[#All],5,FALSE)</f>
        <v>1106 AW</v>
      </c>
      <c r="E142" s="53" t="str">
        <f>VLOOKUP(Ruimtestaat[[#This Row],[Code]],Locaties[#All],6,FALSE)</f>
        <v>Amsterdam</v>
      </c>
      <c r="F142" s="78" t="s">
        <v>519</v>
      </c>
      <c r="G142" s="53" t="s">
        <v>348</v>
      </c>
      <c r="H142" s="95" t="s">
        <v>526</v>
      </c>
      <c r="I142" s="23" t="s">
        <v>527</v>
      </c>
      <c r="J142" s="53">
        <v>20</v>
      </c>
      <c r="K142" s="78" t="str">
        <f>VLOOKUP(J142,Ruimtegroepen[],2,FALSE)</f>
        <v>Niet in onderhoud</v>
      </c>
      <c r="L142" s="53" t="s">
        <v>280</v>
      </c>
      <c r="M142" s="53" t="s">
        <v>353</v>
      </c>
      <c r="N142" s="79"/>
      <c r="O142" s="79">
        <v>25</v>
      </c>
      <c r="P142" s="80" t="str">
        <f>LEFT(VLOOKUP(Ruimtestaat[[#This Row],[Ruimte code]],Ruimtegroepen[#All],4,1),2)</f>
        <v/>
      </c>
      <c r="Q142" s="80"/>
      <c r="R142" s="81"/>
      <c r="S142" s="81"/>
      <c r="T142" s="82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42" s="82">
        <f>IF(T142&gt;0,VLOOKUP($J142,Ruimtegroepen[],3,FALSE)*VLOOKUP($L142,Vloersoorten[],3,FALSE)*VLOOKUP($S142,Frequenties[],3,FALSE)*VLOOKUP($A142,Locaties[],3,FALSE),0)</f>
        <v>0</v>
      </c>
      <c r="V142" s="83">
        <f>Ruimtestaat[[#This Row],[Uitvoeringen werkdagen]]*Ruimtestaat[[#This Row],[Oppervlak (netto)]]</f>
        <v>0</v>
      </c>
      <c r="W142" s="84">
        <f>IF(U142&gt;0,Ruimtestaat[[#This Row],[Prest. (m2 /jaar) werkdagen]]/Ruimtestaat[[#This Row],[Norm (m2/uur) werkdagen]],0)</f>
        <v>0</v>
      </c>
      <c r="X142" s="85">
        <f>Ruimtestaat[[#This Row],[uren / jaar werkdagen]]*Tariefsopbouw!$E$35</f>
        <v>0</v>
      </c>
      <c r="Y142" s="82"/>
      <c r="Z142" s="86">
        <f>IF(Ruimtestaat[[#This Row],[Frequentie weekend]]&gt;0,VALUE(LEFT(Y142,1))*R142,0)</f>
        <v>0</v>
      </c>
      <c r="AA142" s="82">
        <f>IF($Z142&gt;0,VLOOKUP($J142,Ruimtegroepen[],3,FALSE)*VLOOKUP($L142,Vloersoorten[],3,FALSE)*VLOOKUP($Y142,Frequenties[],3,FALSE)*VLOOKUP($A113,Locaties[],3,FALSE),0)</f>
        <v>0</v>
      </c>
      <c r="AB142" s="84">
        <f>Ruimtestaat[[#This Row],[Uitvoeringen weekend]]*Ruimtestaat[[#This Row],[Oppervlak (netto)]]</f>
        <v>0</v>
      </c>
      <c r="AC142" s="87">
        <f>IF(AB142&gt;0,Ruimtestaat[[#This Row],[Prest. (m2 /jaar) weekend]]/Ruimtestaat[[#This Row],[Norm (m2/uur) weekend]],0)</f>
        <v>0</v>
      </c>
      <c r="AD142" s="88">
        <f>Ruimtestaat[[#This Row],[uren / jaar weekend]]*Tariefsopbouw!$D$40</f>
        <v>0</v>
      </c>
      <c r="AE142" s="89">
        <f>Ruimtestaat[[#This Row],[Prest. (m2 /jaar) weekend]]+Ruimtestaat[[#This Row],[Prest. (m2 /jaar) werkdagen]]</f>
        <v>0</v>
      </c>
      <c r="AF142" s="89">
        <f>Ruimtestaat[[#This Row],[uren / jaar weekend]]+Ruimtestaat[[#This Row],[uren / jaar werkdagen]]</f>
        <v>0</v>
      </c>
      <c r="AG142" s="90">
        <f>Ruimtestaat[[#This Row],[kosten / jaar weekend]]+Ruimtestaat[[#This Row],[kosten / jaar werkdagen]]</f>
        <v>0</v>
      </c>
      <c r="AH142" s="91"/>
      <c r="HL142" s="67"/>
    </row>
    <row r="143" spans="1:220" ht="15" customHeight="1">
      <c r="A143" s="53">
        <v>1</v>
      </c>
      <c r="B143" s="53" t="str">
        <f>VLOOKUP(Ruimtestaat[[#This Row],[Code]],Locaties[#All],2,FALSE)</f>
        <v>Ir. Lely Lyceum</v>
      </c>
      <c r="C143" s="53" t="str">
        <f>VLOOKUP(Ruimtestaat[[#This Row],[Code]],Locaties[#All],4,FALSE)</f>
        <v>Ravenswaaipad 3</v>
      </c>
      <c r="D143" s="53" t="str">
        <f>VLOOKUP(Ruimtestaat[[#This Row],[Code]],Locaties[#All],5,FALSE)</f>
        <v>1106 AW</v>
      </c>
      <c r="E143" s="53" t="str">
        <f>VLOOKUP(Ruimtestaat[[#This Row],[Code]],Locaties[#All],6,FALSE)</f>
        <v>Amsterdam</v>
      </c>
      <c r="F143" s="78" t="s">
        <v>519</v>
      </c>
      <c r="G143" s="53" t="s">
        <v>348</v>
      </c>
      <c r="H143" s="95" t="s">
        <v>528</v>
      </c>
      <c r="I143" s="23" t="s">
        <v>529</v>
      </c>
      <c r="J143" s="53">
        <v>16</v>
      </c>
      <c r="K143" s="78" t="str">
        <f>VLOOKUP(J143,Ruimtegroepen[],2,FALSE)</f>
        <v>Leslokalen theorie</v>
      </c>
      <c r="L143" s="53" t="s">
        <v>280</v>
      </c>
      <c r="M143" s="53" t="s">
        <v>353</v>
      </c>
      <c r="N143" s="79">
        <v>76</v>
      </c>
      <c r="O143" s="79"/>
      <c r="P143" s="80" t="str">
        <f>LEFT(VLOOKUP(Ruimtestaat[[#This Row],[Ruimte code]],Ruimtegroepen[#All],4,1),2)</f>
        <v xml:space="preserve">L </v>
      </c>
      <c r="Q143" s="80"/>
      <c r="R143" s="81">
        <v>40</v>
      </c>
      <c r="S143" s="81" t="s">
        <v>298</v>
      </c>
      <c r="T143" s="82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3" s="82">
        <f>IF(T143&gt;0,VLOOKUP($J143,Ruimtegroepen[],3,FALSE)*VLOOKUP($L143,Vloersoorten[],3,FALSE)*VLOOKUP($S143,Frequenties[],3,FALSE)*VLOOKUP($A143,Locaties[],3,FALSE),0)</f>
        <v>0</v>
      </c>
      <c r="V143" s="83">
        <f>Ruimtestaat[[#This Row],[Uitvoeringen werkdagen]]*Ruimtestaat[[#This Row],[Oppervlak (netto)]]</f>
        <v>15200</v>
      </c>
      <c r="W143" s="84">
        <f>IF(U143&gt;0,Ruimtestaat[[#This Row],[Prest. (m2 /jaar) werkdagen]]/Ruimtestaat[[#This Row],[Norm (m2/uur) werkdagen]],0)</f>
        <v>0</v>
      </c>
      <c r="X143" s="85">
        <f>Ruimtestaat[[#This Row],[uren / jaar werkdagen]]*Tariefsopbouw!$E$35</f>
        <v>0</v>
      </c>
      <c r="Y143" s="82"/>
      <c r="Z143" s="86">
        <f>IF(Ruimtestaat[[#This Row],[Frequentie weekend]]&gt;0,VALUE(LEFT(Y143,1))*R143,0)</f>
        <v>0</v>
      </c>
      <c r="AA143" s="82">
        <f>IF($Z143&gt;0,VLOOKUP($J143,Ruimtegroepen[],3,FALSE)*VLOOKUP($L143,Vloersoorten[],3,FALSE)*VLOOKUP($Y143,Frequenties[],3,FALSE)*VLOOKUP($A114,Locaties[],3,FALSE),0)</f>
        <v>0</v>
      </c>
      <c r="AB143" s="84">
        <f>Ruimtestaat[[#This Row],[Uitvoeringen weekend]]*Ruimtestaat[[#This Row],[Oppervlak (netto)]]</f>
        <v>0</v>
      </c>
      <c r="AC143" s="87">
        <f>IF(AB143&gt;0,Ruimtestaat[[#This Row],[Prest. (m2 /jaar) weekend]]/Ruimtestaat[[#This Row],[Norm (m2/uur) weekend]],0)</f>
        <v>0</v>
      </c>
      <c r="AD143" s="88">
        <f>Ruimtestaat[[#This Row],[uren / jaar weekend]]*Tariefsopbouw!$D$40</f>
        <v>0</v>
      </c>
      <c r="AE143" s="89">
        <f>Ruimtestaat[[#This Row],[Prest. (m2 /jaar) weekend]]+Ruimtestaat[[#This Row],[Prest. (m2 /jaar) werkdagen]]</f>
        <v>15200</v>
      </c>
      <c r="AF143" s="89">
        <f>Ruimtestaat[[#This Row],[uren / jaar weekend]]+Ruimtestaat[[#This Row],[uren / jaar werkdagen]]</f>
        <v>0</v>
      </c>
      <c r="AG143" s="90">
        <f>Ruimtestaat[[#This Row],[kosten / jaar weekend]]+Ruimtestaat[[#This Row],[kosten / jaar werkdagen]]</f>
        <v>0</v>
      </c>
      <c r="AH143" s="91"/>
      <c r="HL143" s="67"/>
    </row>
    <row r="144" spans="1:220" ht="15" customHeight="1">
      <c r="A144" s="53">
        <v>1</v>
      </c>
      <c r="B144" s="53" t="str">
        <f>VLOOKUP(Ruimtestaat[[#This Row],[Code]],Locaties[#All],2,FALSE)</f>
        <v>Ir. Lely Lyceum</v>
      </c>
      <c r="C144" s="53" t="str">
        <f>VLOOKUP(Ruimtestaat[[#This Row],[Code]],Locaties[#All],4,FALSE)</f>
        <v>Ravenswaaipad 3</v>
      </c>
      <c r="D144" s="53" t="str">
        <f>VLOOKUP(Ruimtestaat[[#This Row],[Code]],Locaties[#All],5,FALSE)</f>
        <v>1106 AW</v>
      </c>
      <c r="E144" s="53" t="str">
        <f>VLOOKUP(Ruimtestaat[[#This Row],[Code]],Locaties[#All],6,FALSE)</f>
        <v>Amsterdam</v>
      </c>
      <c r="F144" s="78" t="s">
        <v>519</v>
      </c>
      <c r="G144" s="53" t="s">
        <v>348</v>
      </c>
      <c r="H144" s="95" t="s">
        <v>530</v>
      </c>
      <c r="I144" s="23" t="s">
        <v>529</v>
      </c>
      <c r="J144" s="53">
        <v>16</v>
      </c>
      <c r="K144" s="78" t="str">
        <f>VLOOKUP(J144,Ruimtegroepen[],2,FALSE)</f>
        <v>Leslokalen theorie</v>
      </c>
      <c r="L144" s="53" t="s">
        <v>280</v>
      </c>
      <c r="M144" s="53" t="s">
        <v>353</v>
      </c>
      <c r="N144" s="79">
        <v>101</v>
      </c>
      <c r="O144" s="79"/>
      <c r="P144" s="80" t="str">
        <f>LEFT(VLOOKUP(Ruimtestaat[[#This Row],[Ruimte code]],Ruimtegroepen[#All],4,1),2)</f>
        <v xml:space="preserve">L </v>
      </c>
      <c r="Q144" s="80"/>
      <c r="R144" s="81">
        <v>40</v>
      </c>
      <c r="S144" s="81" t="s">
        <v>298</v>
      </c>
      <c r="T144" s="82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4" s="82">
        <f>IF(T144&gt;0,VLOOKUP($J144,Ruimtegroepen[],3,FALSE)*VLOOKUP($L144,Vloersoorten[],3,FALSE)*VLOOKUP($S144,Frequenties[],3,FALSE)*VLOOKUP($A144,Locaties[],3,FALSE),0)</f>
        <v>0</v>
      </c>
      <c r="V144" s="83">
        <f>Ruimtestaat[[#This Row],[Uitvoeringen werkdagen]]*Ruimtestaat[[#This Row],[Oppervlak (netto)]]</f>
        <v>20200</v>
      </c>
      <c r="W144" s="84">
        <f>IF(U144&gt;0,Ruimtestaat[[#This Row],[Prest. (m2 /jaar) werkdagen]]/Ruimtestaat[[#This Row],[Norm (m2/uur) werkdagen]],0)</f>
        <v>0</v>
      </c>
      <c r="X144" s="85">
        <f>Ruimtestaat[[#This Row],[uren / jaar werkdagen]]*Tariefsopbouw!$E$35</f>
        <v>0</v>
      </c>
      <c r="Y144" s="82"/>
      <c r="Z144" s="86">
        <f>IF(Ruimtestaat[[#This Row],[Frequentie weekend]]&gt;0,VALUE(LEFT(Y144,1))*R144,0)</f>
        <v>0</v>
      </c>
      <c r="AA144" s="82">
        <f>IF($Z144&gt;0,VLOOKUP($J144,Ruimtegroepen[],3,FALSE)*VLOOKUP($L144,Vloersoorten[],3,FALSE)*VLOOKUP($Y144,Frequenties[],3,FALSE)*VLOOKUP($A115,Locaties[],3,FALSE),0)</f>
        <v>0</v>
      </c>
      <c r="AB144" s="84">
        <f>Ruimtestaat[[#This Row],[Uitvoeringen weekend]]*Ruimtestaat[[#This Row],[Oppervlak (netto)]]</f>
        <v>0</v>
      </c>
      <c r="AC144" s="87">
        <f>IF(AB144&gt;0,Ruimtestaat[[#This Row],[Prest. (m2 /jaar) weekend]]/Ruimtestaat[[#This Row],[Norm (m2/uur) weekend]],0)</f>
        <v>0</v>
      </c>
      <c r="AD144" s="88">
        <f>Ruimtestaat[[#This Row],[uren / jaar weekend]]*Tariefsopbouw!$D$40</f>
        <v>0</v>
      </c>
      <c r="AE144" s="89">
        <f>Ruimtestaat[[#This Row],[Prest. (m2 /jaar) weekend]]+Ruimtestaat[[#This Row],[Prest. (m2 /jaar) werkdagen]]</f>
        <v>20200</v>
      </c>
      <c r="AF144" s="89">
        <f>Ruimtestaat[[#This Row],[uren / jaar weekend]]+Ruimtestaat[[#This Row],[uren / jaar werkdagen]]</f>
        <v>0</v>
      </c>
      <c r="AG144" s="90">
        <f>Ruimtestaat[[#This Row],[kosten / jaar weekend]]+Ruimtestaat[[#This Row],[kosten / jaar werkdagen]]</f>
        <v>0</v>
      </c>
      <c r="AH144" s="91"/>
      <c r="HL144" s="67"/>
    </row>
    <row r="145" spans="1:220" ht="15" customHeight="1">
      <c r="A145" s="53">
        <v>1</v>
      </c>
      <c r="B145" s="53" t="str">
        <f>VLOOKUP(Ruimtestaat[[#This Row],[Code]],Locaties[#All],2,FALSE)</f>
        <v>Ir. Lely Lyceum</v>
      </c>
      <c r="C145" s="53" t="str">
        <f>VLOOKUP(Ruimtestaat[[#This Row],[Code]],Locaties[#All],4,FALSE)</f>
        <v>Ravenswaaipad 3</v>
      </c>
      <c r="D145" s="53" t="str">
        <f>VLOOKUP(Ruimtestaat[[#This Row],[Code]],Locaties[#All],5,FALSE)</f>
        <v>1106 AW</v>
      </c>
      <c r="E145" s="53" t="str">
        <f>VLOOKUP(Ruimtestaat[[#This Row],[Code]],Locaties[#All],6,FALSE)</f>
        <v>Amsterdam</v>
      </c>
      <c r="F145" s="78" t="s">
        <v>519</v>
      </c>
      <c r="G145" s="53" t="s">
        <v>348</v>
      </c>
      <c r="H145" s="95" t="s">
        <v>531</v>
      </c>
      <c r="I145" s="23" t="s">
        <v>532</v>
      </c>
      <c r="J145" s="53">
        <v>1</v>
      </c>
      <c r="K145" s="78" t="str">
        <f>VLOOKUP(J145,Ruimtegroepen[],2,FALSE)</f>
        <v>Magazijnen/bergingen</v>
      </c>
      <c r="L145" s="53" t="s">
        <v>280</v>
      </c>
      <c r="M145" s="53" t="s">
        <v>353</v>
      </c>
      <c r="N145" s="79">
        <v>19</v>
      </c>
      <c r="O145" s="79"/>
      <c r="P145" s="80" t="str">
        <f>LEFT(VLOOKUP(Ruimtestaat[[#This Row],[Ruimte code]],Ruimtegroepen[#All],4,1),2)</f>
        <v xml:space="preserve">V </v>
      </c>
      <c r="Q145" s="80"/>
      <c r="R145" s="81">
        <v>40</v>
      </c>
      <c r="S145" s="81" t="s">
        <v>314</v>
      </c>
      <c r="T145" s="82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45" s="82">
        <f>IF(T145&gt;0,VLOOKUP($J145,Ruimtegroepen[],3,FALSE)*VLOOKUP($L145,Vloersoorten[],3,FALSE)*VLOOKUP($S145,Frequenties[],3,FALSE)*VLOOKUP($A145,Locaties[],3,FALSE),0)</f>
        <v>0</v>
      </c>
      <c r="V145" s="83">
        <f>Ruimtestaat[[#This Row],[Uitvoeringen werkdagen]]*Ruimtestaat[[#This Row],[Oppervlak (netto)]]</f>
        <v>228</v>
      </c>
      <c r="W145" s="84">
        <f>IF(U145&gt;0,Ruimtestaat[[#This Row],[Prest. (m2 /jaar) werkdagen]]/Ruimtestaat[[#This Row],[Norm (m2/uur) werkdagen]],0)</f>
        <v>0</v>
      </c>
      <c r="X145" s="85">
        <f>Ruimtestaat[[#This Row],[uren / jaar werkdagen]]*Tariefsopbouw!$E$35</f>
        <v>0</v>
      </c>
      <c r="Y145" s="82"/>
      <c r="Z145" s="86">
        <f>IF(Ruimtestaat[[#This Row],[Frequentie weekend]]&gt;0,VALUE(LEFT(Y145,1))*R145,0)</f>
        <v>0</v>
      </c>
      <c r="AA145" s="82">
        <f>IF($Z145&gt;0,VLOOKUP($J145,Ruimtegroepen[],3,FALSE)*VLOOKUP($L145,Vloersoorten[],3,FALSE)*VLOOKUP($Y145,Frequenties[],3,FALSE)*VLOOKUP($A116,Locaties[],3,FALSE),0)</f>
        <v>0</v>
      </c>
      <c r="AB145" s="84">
        <f>Ruimtestaat[[#This Row],[Uitvoeringen weekend]]*Ruimtestaat[[#This Row],[Oppervlak (netto)]]</f>
        <v>0</v>
      </c>
      <c r="AC145" s="87">
        <f>IF(AB145&gt;0,Ruimtestaat[[#This Row],[Prest. (m2 /jaar) weekend]]/Ruimtestaat[[#This Row],[Norm (m2/uur) weekend]],0)</f>
        <v>0</v>
      </c>
      <c r="AD145" s="88">
        <f>Ruimtestaat[[#This Row],[uren / jaar weekend]]*Tariefsopbouw!$D$40</f>
        <v>0</v>
      </c>
      <c r="AE145" s="89">
        <f>Ruimtestaat[[#This Row],[Prest. (m2 /jaar) weekend]]+Ruimtestaat[[#This Row],[Prest. (m2 /jaar) werkdagen]]</f>
        <v>228</v>
      </c>
      <c r="AF145" s="89">
        <f>Ruimtestaat[[#This Row],[uren / jaar weekend]]+Ruimtestaat[[#This Row],[uren / jaar werkdagen]]</f>
        <v>0</v>
      </c>
      <c r="AG145" s="90">
        <f>Ruimtestaat[[#This Row],[kosten / jaar weekend]]+Ruimtestaat[[#This Row],[kosten / jaar werkdagen]]</f>
        <v>0</v>
      </c>
      <c r="AH145" s="91"/>
      <c r="HL145" s="67"/>
    </row>
    <row r="146" spans="1:220" ht="15" customHeight="1">
      <c r="A146" s="53">
        <v>1</v>
      </c>
      <c r="B146" s="53" t="str">
        <f>VLOOKUP(Ruimtestaat[[#This Row],[Code]],Locaties[#All],2,FALSE)</f>
        <v>Ir. Lely Lyceum</v>
      </c>
      <c r="C146" s="53" t="str">
        <f>VLOOKUP(Ruimtestaat[[#This Row],[Code]],Locaties[#All],4,FALSE)</f>
        <v>Ravenswaaipad 3</v>
      </c>
      <c r="D146" s="53" t="str">
        <f>VLOOKUP(Ruimtestaat[[#This Row],[Code]],Locaties[#All],5,FALSE)</f>
        <v>1106 AW</v>
      </c>
      <c r="E146" s="53" t="str">
        <f>VLOOKUP(Ruimtestaat[[#This Row],[Code]],Locaties[#All],6,FALSE)</f>
        <v>Amsterdam</v>
      </c>
      <c r="F146" s="78" t="s">
        <v>519</v>
      </c>
      <c r="G146" s="53" t="s">
        <v>348</v>
      </c>
      <c r="H146" s="95" t="s">
        <v>533</v>
      </c>
      <c r="I146" s="23" t="s">
        <v>534</v>
      </c>
      <c r="J146" s="53">
        <v>13</v>
      </c>
      <c r="K146" s="78" t="str">
        <f>VLOOKUP(J146,Ruimtegroepen[],2,FALSE)</f>
        <v>HV/Technieklokaal</v>
      </c>
      <c r="L146" s="53" t="s">
        <v>280</v>
      </c>
      <c r="M146" s="53" t="s">
        <v>353</v>
      </c>
      <c r="N146" s="79">
        <v>127</v>
      </c>
      <c r="O146" s="79"/>
      <c r="P146" s="80" t="str">
        <f>LEFT(VLOOKUP(Ruimtestaat[[#This Row],[Ruimte code]],Ruimtegroepen[#All],4,1),2)</f>
        <v xml:space="preserve">L </v>
      </c>
      <c r="Q146" s="80"/>
      <c r="R146" s="81">
        <v>40</v>
      </c>
      <c r="S146" s="81" t="s">
        <v>298</v>
      </c>
      <c r="T146" s="82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6" s="82">
        <f>IF(T146&gt;0,VLOOKUP($J146,Ruimtegroepen[],3,FALSE)*VLOOKUP($L146,Vloersoorten[],3,FALSE)*VLOOKUP($S146,Frequenties[],3,FALSE)*VLOOKUP($A146,Locaties[],3,FALSE),0)</f>
        <v>0</v>
      </c>
      <c r="V146" s="83">
        <f>Ruimtestaat[[#This Row],[Uitvoeringen werkdagen]]*Ruimtestaat[[#This Row],[Oppervlak (netto)]]</f>
        <v>25400</v>
      </c>
      <c r="W146" s="84">
        <f>IF(U146&gt;0,Ruimtestaat[[#This Row],[Prest. (m2 /jaar) werkdagen]]/Ruimtestaat[[#This Row],[Norm (m2/uur) werkdagen]],0)</f>
        <v>0</v>
      </c>
      <c r="X146" s="85">
        <f>Ruimtestaat[[#This Row],[uren / jaar werkdagen]]*Tariefsopbouw!$E$35</f>
        <v>0</v>
      </c>
      <c r="Y146" s="82"/>
      <c r="Z146" s="86">
        <f>IF(Ruimtestaat[[#This Row],[Frequentie weekend]]&gt;0,VALUE(LEFT(Y146,1))*R146,0)</f>
        <v>0</v>
      </c>
      <c r="AA146" s="82">
        <f>IF($Z146&gt;0,VLOOKUP($J146,Ruimtegroepen[],3,FALSE)*VLOOKUP($L146,Vloersoorten[],3,FALSE)*VLOOKUP($Y146,Frequenties[],3,FALSE)*VLOOKUP($A117,Locaties[],3,FALSE),0)</f>
        <v>0</v>
      </c>
      <c r="AB146" s="84">
        <f>Ruimtestaat[[#This Row],[Uitvoeringen weekend]]*Ruimtestaat[[#This Row],[Oppervlak (netto)]]</f>
        <v>0</v>
      </c>
      <c r="AC146" s="87">
        <f>IF(AB146&gt;0,Ruimtestaat[[#This Row],[Prest. (m2 /jaar) weekend]]/Ruimtestaat[[#This Row],[Norm (m2/uur) weekend]],0)</f>
        <v>0</v>
      </c>
      <c r="AD146" s="88">
        <f>Ruimtestaat[[#This Row],[uren / jaar weekend]]*Tariefsopbouw!$D$40</f>
        <v>0</v>
      </c>
      <c r="AE146" s="89">
        <f>Ruimtestaat[[#This Row],[Prest. (m2 /jaar) weekend]]+Ruimtestaat[[#This Row],[Prest. (m2 /jaar) werkdagen]]</f>
        <v>25400</v>
      </c>
      <c r="AF146" s="89">
        <f>Ruimtestaat[[#This Row],[uren / jaar weekend]]+Ruimtestaat[[#This Row],[uren / jaar werkdagen]]</f>
        <v>0</v>
      </c>
      <c r="AG146" s="90">
        <f>Ruimtestaat[[#This Row],[kosten / jaar weekend]]+Ruimtestaat[[#This Row],[kosten / jaar werkdagen]]</f>
        <v>0</v>
      </c>
      <c r="AH146" s="91"/>
      <c r="HL146" s="67"/>
    </row>
    <row r="147" spans="1:220" ht="15" customHeight="1">
      <c r="A147" s="53">
        <v>1</v>
      </c>
      <c r="B147" s="53" t="str">
        <f>VLOOKUP(Ruimtestaat[[#This Row],[Code]],Locaties[#All],2,FALSE)</f>
        <v>Ir. Lely Lyceum</v>
      </c>
      <c r="C147" s="53" t="str">
        <f>VLOOKUP(Ruimtestaat[[#This Row],[Code]],Locaties[#All],4,FALSE)</f>
        <v>Ravenswaaipad 3</v>
      </c>
      <c r="D147" s="53" t="str">
        <f>VLOOKUP(Ruimtestaat[[#This Row],[Code]],Locaties[#All],5,FALSE)</f>
        <v>1106 AW</v>
      </c>
      <c r="E147" s="53" t="str">
        <f>VLOOKUP(Ruimtestaat[[#This Row],[Code]],Locaties[#All],6,FALSE)</f>
        <v>Amsterdam</v>
      </c>
      <c r="F147" s="78" t="s">
        <v>519</v>
      </c>
      <c r="G147" s="53" t="s">
        <v>348</v>
      </c>
      <c r="H147" s="95" t="s">
        <v>535</v>
      </c>
      <c r="I147" s="23" t="s">
        <v>536</v>
      </c>
      <c r="J147" s="53">
        <v>16</v>
      </c>
      <c r="K147" s="78" t="str">
        <f>VLOOKUP(J147,Ruimtegroepen[],2,FALSE)</f>
        <v>Leslokalen theorie</v>
      </c>
      <c r="L147" s="53" t="s">
        <v>280</v>
      </c>
      <c r="M147" s="53" t="s">
        <v>353</v>
      </c>
      <c r="N147" s="79">
        <v>50</v>
      </c>
      <c r="O147" s="79"/>
      <c r="P147" s="80" t="str">
        <f>LEFT(VLOOKUP(Ruimtestaat[[#This Row],[Ruimte code]],Ruimtegroepen[#All],4,1),2)</f>
        <v xml:space="preserve">L </v>
      </c>
      <c r="Q147" s="80"/>
      <c r="R147" s="81">
        <v>40</v>
      </c>
      <c r="S147" s="81" t="s">
        <v>298</v>
      </c>
      <c r="T147" s="82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7" s="82">
        <f>IF(T147&gt;0,VLOOKUP($J147,Ruimtegroepen[],3,FALSE)*VLOOKUP($L147,Vloersoorten[],3,FALSE)*VLOOKUP($S147,Frequenties[],3,FALSE)*VLOOKUP($A147,Locaties[],3,FALSE),0)</f>
        <v>0</v>
      </c>
      <c r="V147" s="83">
        <f>Ruimtestaat[[#This Row],[Uitvoeringen werkdagen]]*Ruimtestaat[[#This Row],[Oppervlak (netto)]]</f>
        <v>10000</v>
      </c>
      <c r="W147" s="84">
        <f>IF(U147&gt;0,Ruimtestaat[[#This Row],[Prest. (m2 /jaar) werkdagen]]/Ruimtestaat[[#This Row],[Norm (m2/uur) werkdagen]],0)</f>
        <v>0</v>
      </c>
      <c r="X147" s="85">
        <f>Ruimtestaat[[#This Row],[uren / jaar werkdagen]]*Tariefsopbouw!$E$35</f>
        <v>0</v>
      </c>
      <c r="Y147" s="82"/>
      <c r="Z147" s="86">
        <f>IF(Ruimtestaat[[#This Row],[Frequentie weekend]]&gt;0,VALUE(LEFT(Y147,1))*R147,0)</f>
        <v>0</v>
      </c>
      <c r="AA147" s="82">
        <f>IF($Z147&gt;0,VLOOKUP($J147,Ruimtegroepen[],3,FALSE)*VLOOKUP($L147,Vloersoorten[],3,FALSE)*VLOOKUP($Y147,Frequenties[],3,FALSE)*VLOOKUP($A118,Locaties[],3,FALSE),0)</f>
        <v>0</v>
      </c>
      <c r="AB147" s="84">
        <f>Ruimtestaat[[#This Row],[Uitvoeringen weekend]]*Ruimtestaat[[#This Row],[Oppervlak (netto)]]</f>
        <v>0</v>
      </c>
      <c r="AC147" s="87">
        <f>IF(AB147&gt;0,Ruimtestaat[[#This Row],[Prest. (m2 /jaar) weekend]]/Ruimtestaat[[#This Row],[Norm (m2/uur) weekend]],0)</f>
        <v>0</v>
      </c>
      <c r="AD147" s="88">
        <f>Ruimtestaat[[#This Row],[uren / jaar weekend]]*Tariefsopbouw!$D$40</f>
        <v>0</v>
      </c>
      <c r="AE147" s="89">
        <f>Ruimtestaat[[#This Row],[Prest. (m2 /jaar) weekend]]+Ruimtestaat[[#This Row],[Prest. (m2 /jaar) werkdagen]]</f>
        <v>10000</v>
      </c>
      <c r="AF147" s="89">
        <f>Ruimtestaat[[#This Row],[uren / jaar weekend]]+Ruimtestaat[[#This Row],[uren / jaar werkdagen]]</f>
        <v>0</v>
      </c>
      <c r="AG147" s="90">
        <f>Ruimtestaat[[#This Row],[kosten / jaar weekend]]+Ruimtestaat[[#This Row],[kosten / jaar werkdagen]]</f>
        <v>0</v>
      </c>
      <c r="AH147" s="91"/>
      <c r="HL147" s="67"/>
    </row>
    <row r="148" spans="1:220" ht="15" customHeight="1">
      <c r="A148" s="53">
        <v>1</v>
      </c>
      <c r="B148" s="53" t="str">
        <f>VLOOKUP(Ruimtestaat[[#This Row],[Code]],Locaties[#All],2,FALSE)</f>
        <v>Ir. Lely Lyceum</v>
      </c>
      <c r="C148" s="53" t="str">
        <f>VLOOKUP(Ruimtestaat[[#This Row],[Code]],Locaties[#All],4,FALSE)</f>
        <v>Ravenswaaipad 3</v>
      </c>
      <c r="D148" s="53" t="str">
        <f>VLOOKUP(Ruimtestaat[[#This Row],[Code]],Locaties[#All],5,FALSE)</f>
        <v>1106 AW</v>
      </c>
      <c r="E148" s="53" t="str">
        <f>VLOOKUP(Ruimtestaat[[#This Row],[Code]],Locaties[#All],6,FALSE)</f>
        <v>Amsterdam</v>
      </c>
      <c r="F148" s="78" t="s">
        <v>519</v>
      </c>
      <c r="G148" s="53" t="s">
        <v>348</v>
      </c>
      <c r="H148" s="95" t="s">
        <v>537</v>
      </c>
      <c r="I148" s="23" t="s">
        <v>536</v>
      </c>
      <c r="J148" s="53">
        <v>16</v>
      </c>
      <c r="K148" s="78" t="str">
        <f>VLOOKUP(J148,Ruimtegroepen[],2,FALSE)</f>
        <v>Leslokalen theorie</v>
      </c>
      <c r="L148" s="53" t="s">
        <v>280</v>
      </c>
      <c r="M148" s="53" t="s">
        <v>353</v>
      </c>
      <c r="N148" s="79">
        <v>50</v>
      </c>
      <c r="O148" s="79"/>
      <c r="P148" s="80" t="str">
        <f>LEFT(VLOOKUP(Ruimtestaat[[#This Row],[Ruimte code]],Ruimtegroepen[#All],4,1),2)</f>
        <v xml:space="preserve">L </v>
      </c>
      <c r="Q148" s="80"/>
      <c r="R148" s="81">
        <v>40</v>
      </c>
      <c r="S148" s="81" t="s">
        <v>298</v>
      </c>
      <c r="T148" s="82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8" s="82">
        <f>IF(T148&gt;0,VLOOKUP($J148,Ruimtegroepen[],3,FALSE)*VLOOKUP($L148,Vloersoorten[],3,FALSE)*VLOOKUP($S148,Frequenties[],3,FALSE)*VLOOKUP($A148,Locaties[],3,FALSE),0)</f>
        <v>0</v>
      </c>
      <c r="V148" s="83">
        <f>Ruimtestaat[[#This Row],[Uitvoeringen werkdagen]]*Ruimtestaat[[#This Row],[Oppervlak (netto)]]</f>
        <v>10000</v>
      </c>
      <c r="W148" s="84">
        <f>IF(U148&gt;0,Ruimtestaat[[#This Row],[Prest. (m2 /jaar) werkdagen]]/Ruimtestaat[[#This Row],[Norm (m2/uur) werkdagen]],0)</f>
        <v>0</v>
      </c>
      <c r="X148" s="85">
        <f>Ruimtestaat[[#This Row],[uren / jaar werkdagen]]*Tariefsopbouw!$E$35</f>
        <v>0</v>
      </c>
      <c r="Y148" s="82"/>
      <c r="Z148" s="86">
        <f>IF(Ruimtestaat[[#This Row],[Frequentie weekend]]&gt;0,VALUE(LEFT(Y148,1))*R148,0)</f>
        <v>0</v>
      </c>
      <c r="AA148" s="82">
        <f>IF($Z148&gt;0,VLOOKUP($J148,Ruimtegroepen[],3,FALSE)*VLOOKUP($L148,Vloersoorten[],3,FALSE)*VLOOKUP($Y148,Frequenties[],3,FALSE)*VLOOKUP($A119,Locaties[],3,FALSE),0)</f>
        <v>0</v>
      </c>
      <c r="AB148" s="84">
        <f>Ruimtestaat[[#This Row],[Uitvoeringen weekend]]*Ruimtestaat[[#This Row],[Oppervlak (netto)]]</f>
        <v>0</v>
      </c>
      <c r="AC148" s="87">
        <f>IF(AB148&gt;0,Ruimtestaat[[#This Row],[Prest. (m2 /jaar) weekend]]/Ruimtestaat[[#This Row],[Norm (m2/uur) weekend]],0)</f>
        <v>0</v>
      </c>
      <c r="AD148" s="88">
        <f>Ruimtestaat[[#This Row],[uren / jaar weekend]]*Tariefsopbouw!$D$40</f>
        <v>0</v>
      </c>
      <c r="AE148" s="89">
        <f>Ruimtestaat[[#This Row],[Prest. (m2 /jaar) weekend]]+Ruimtestaat[[#This Row],[Prest. (m2 /jaar) werkdagen]]</f>
        <v>10000</v>
      </c>
      <c r="AF148" s="89">
        <f>Ruimtestaat[[#This Row],[uren / jaar weekend]]+Ruimtestaat[[#This Row],[uren / jaar werkdagen]]</f>
        <v>0</v>
      </c>
      <c r="AG148" s="90">
        <f>Ruimtestaat[[#This Row],[kosten / jaar weekend]]+Ruimtestaat[[#This Row],[kosten / jaar werkdagen]]</f>
        <v>0</v>
      </c>
      <c r="AH148" s="91"/>
      <c r="HL148" s="67"/>
    </row>
    <row r="149" spans="1:220" ht="15" customHeight="1">
      <c r="A149" s="53">
        <v>1</v>
      </c>
      <c r="B149" s="53" t="str">
        <f>VLOOKUP(Ruimtestaat[[#This Row],[Code]],Locaties[#All],2,FALSE)</f>
        <v>Ir. Lely Lyceum</v>
      </c>
      <c r="C149" s="53" t="str">
        <f>VLOOKUP(Ruimtestaat[[#This Row],[Code]],Locaties[#All],4,FALSE)</f>
        <v>Ravenswaaipad 3</v>
      </c>
      <c r="D149" s="53" t="str">
        <f>VLOOKUP(Ruimtestaat[[#This Row],[Code]],Locaties[#All],5,FALSE)</f>
        <v>1106 AW</v>
      </c>
      <c r="E149" s="53" t="str">
        <f>VLOOKUP(Ruimtestaat[[#This Row],[Code]],Locaties[#All],6,FALSE)</f>
        <v>Amsterdam</v>
      </c>
      <c r="F149" s="78" t="s">
        <v>519</v>
      </c>
      <c r="G149" s="53" t="s">
        <v>348</v>
      </c>
      <c r="H149" s="95" t="s">
        <v>538</v>
      </c>
      <c r="I149" s="23" t="s">
        <v>536</v>
      </c>
      <c r="J149" s="53">
        <v>16</v>
      </c>
      <c r="K149" s="78" t="str">
        <f>VLOOKUP(J149,Ruimtegroepen[],2,FALSE)</f>
        <v>Leslokalen theorie</v>
      </c>
      <c r="L149" s="53" t="s">
        <v>280</v>
      </c>
      <c r="M149" s="53" t="s">
        <v>353</v>
      </c>
      <c r="N149" s="79">
        <v>50</v>
      </c>
      <c r="O149" s="79"/>
      <c r="P149" s="80" t="str">
        <f>LEFT(VLOOKUP(Ruimtestaat[[#This Row],[Ruimte code]],Ruimtegroepen[#All],4,1),2)</f>
        <v xml:space="preserve">L </v>
      </c>
      <c r="Q149" s="80"/>
      <c r="R149" s="81">
        <v>40</v>
      </c>
      <c r="S149" s="81" t="s">
        <v>298</v>
      </c>
      <c r="T149" s="82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49" s="82">
        <f>IF(T149&gt;0,VLOOKUP($J149,Ruimtegroepen[],3,FALSE)*VLOOKUP($L149,Vloersoorten[],3,FALSE)*VLOOKUP($S149,Frequenties[],3,FALSE)*VLOOKUP($A149,Locaties[],3,FALSE),0)</f>
        <v>0</v>
      </c>
      <c r="V149" s="83">
        <f>Ruimtestaat[[#This Row],[Uitvoeringen werkdagen]]*Ruimtestaat[[#This Row],[Oppervlak (netto)]]</f>
        <v>10000</v>
      </c>
      <c r="W149" s="84">
        <f>IF(U149&gt;0,Ruimtestaat[[#This Row],[Prest. (m2 /jaar) werkdagen]]/Ruimtestaat[[#This Row],[Norm (m2/uur) werkdagen]],0)</f>
        <v>0</v>
      </c>
      <c r="X149" s="85">
        <f>Ruimtestaat[[#This Row],[uren / jaar werkdagen]]*Tariefsopbouw!$E$35</f>
        <v>0</v>
      </c>
      <c r="Y149" s="82"/>
      <c r="Z149" s="86">
        <f>IF(Ruimtestaat[[#This Row],[Frequentie weekend]]&gt;0,VALUE(LEFT(Y149,1))*R149,0)</f>
        <v>0</v>
      </c>
      <c r="AA149" s="82">
        <f>IF($Z149&gt;0,VLOOKUP($J149,Ruimtegroepen[],3,FALSE)*VLOOKUP($L149,Vloersoorten[],3,FALSE)*VLOOKUP($Y149,Frequenties[],3,FALSE)*VLOOKUP($A120,Locaties[],3,FALSE),0)</f>
        <v>0</v>
      </c>
      <c r="AB149" s="84">
        <f>Ruimtestaat[[#This Row],[Uitvoeringen weekend]]*Ruimtestaat[[#This Row],[Oppervlak (netto)]]</f>
        <v>0</v>
      </c>
      <c r="AC149" s="87">
        <f>IF(AB149&gt;0,Ruimtestaat[[#This Row],[Prest. (m2 /jaar) weekend]]/Ruimtestaat[[#This Row],[Norm (m2/uur) weekend]],0)</f>
        <v>0</v>
      </c>
      <c r="AD149" s="88">
        <f>Ruimtestaat[[#This Row],[uren / jaar weekend]]*Tariefsopbouw!$D$40</f>
        <v>0</v>
      </c>
      <c r="AE149" s="89">
        <f>Ruimtestaat[[#This Row],[Prest. (m2 /jaar) weekend]]+Ruimtestaat[[#This Row],[Prest. (m2 /jaar) werkdagen]]</f>
        <v>10000</v>
      </c>
      <c r="AF149" s="89">
        <f>Ruimtestaat[[#This Row],[uren / jaar weekend]]+Ruimtestaat[[#This Row],[uren / jaar werkdagen]]</f>
        <v>0</v>
      </c>
      <c r="AG149" s="90">
        <f>Ruimtestaat[[#This Row],[kosten / jaar weekend]]+Ruimtestaat[[#This Row],[kosten / jaar werkdagen]]</f>
        <v>0</v>
      </c>
      <c r="AH149" s="91"/>
      <c r="HL149" s="67"/>
    </row>
    <row r="150" spans="1:220" ht="15" customHeight="1">
      <c r="A150" s="53">
        <v>1</v>
      </c>
      <c r="B150" s="53" t="str">
        <f>VLOOKUP(Ruimtestaat[[#This Row],[Code]],Locaties[#All],2,FALSE)</f>
        <v>Ir. Lely Lyceum</v>
      </c>
      <c r="C150" s="53" t="str">
        <f>VLOOKUP(Ruimtestaat[[#This Row],[Code]],Locaties[#All],4,FALSE)</f>
        <v>Ravenswaaipad 3</v>
      </c>
      <c r="D150" s="53" t="str">
        <f>VLOOKUP(Ruimtestaat[[#This Row],[Code]],Locaties[#All],5,FALSE)</f>
        <v>1106 AW</v>
      </c>
      <c r="E150" s="53" t="str">
        <f>VLOOKUP(Ruimtestaat[[#This Row],[Code]],Locaties[#All],6,FALSE)</f>
        <v>Amsterdam</v>
      </c>
      <c r="F150" s="78" t="s">
        <v>519</v>
      </c>
      <c r="G150" s="53" t="s">
        <v>348</v>
      </c>
      <c r="H150" s="95" t="s">
        <v>539</v>
      </c>
      <c r="I150" s="23" t="s">
        <v>383</v>
      </c>
      <c r="J150" s="53">
        <v>2</v>
      </c>
      <c r="K150" s="78" t="str">
        <f>VLOOKUP(J150,Ruimtegroepen[],2,FALSE)</f>
        <v>Kantoren</v>
      </c>
      <c r="L150" s="53" t="s">
        <v>280</v>
      </c>
      <c r="M150" s="53" t="s">
        <v>353</v>
      </c>
      <c r="N150" s="79">
        <v>25</v>
      </c>
      <c r="O150" s="79"/>
      <c r="P150" s="80" t="str">
        <f>LEFT(VLOOKUP(Ruimtestaat[[#This Row],[Ruimte code]],Ruimtegroepen[#All],4,1),2)</f>
        <v xml:space="preserve">B </v>
      </c>
      <c r="Q150" s="80"/>
      <c r="R150" s="81">
        <v>40</v>
      </c>
      <c r="S150" s="81" t="s">
        <v>298</v>
      </c>
      <c r="T150" s="82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0" s="82">
        <f>IF(T150&gt;0,VLOOKUP($J150,Ruimtegroepen[],3,FALSE)*VLOOKUP($L150,Vloersoorten[],3,FALSE)*VLOOKUP($S150,Frequenties[],3,FALSE)*VLOOKUP($A150,Locaties[],3,FALSE),0)</f>
        <v>0</v>
      </c>
      <c r="V150" s="83">
        <f>Ruimtestaat[[#This Row],[Uitvoeringen werkdagen]]*Ruimtestaat[[#This Row],[Oppervlak (netto)]]</f>
        <v>5000</v>
      </c>
      <c r="W150" s="84">
        <f>IF(U150&gt;0,Ruimtestaat[[#This Row],[Prest. (m2 /jaar) werkdagen]]/Ruimtestaat[[#This Row],[Norm (m2/uur) werkdagen]],0)</f>
        <v>0</v>
      </c>
      <c r="X150" s="85">
        <f>Ruimtestaat[[#This Row],[uren / jaar werkdagen]]*Tariefsopbouw!$E$35</f>
        <v>0</v>
      </c>
      <c r="Y150" s="82"/>
      <c r="Z150" s="86">
        <f>IF(Ruimtestaat[[#This Row],[Frequentie weekend]]&gt;0,VALUE(LEFT(Y150,1))*R150,0)</f>
        <v>0</v>
      </c>
      <c r="AA150" s="82">
        <f>IF($Z150&gt;0,VLOOKUP($J150,Ruimtegroepen[],3,FALSE)*VLOOKUP($L150,Vloersoorten[],3,FALSE)*VLOOKUP($Y150,Frequenties[],3,FALSE)*VLOOKUP($A121,Locaties[],3,FALSE),0)</f>
        <v>0</v>
      </c>
      <c r="AB150" s="84">
        <f>Ruimtestaat[[#This Row],[Uitvoeringen weekend]]*Ruimtestaat[[#This Row],[Oppervlak (netto)]]</f>
        <v>0</v>
      </c>
      <c r="AC150" s="87">
        <f>IF(AB150&gt;0,Ruimtestaat[[#This Row],[Prest. (m2 /jaar) weekend]]/Ruimtestaat[[#This Row],[Norm (m2/uur) weekend]],0)</f>
        <v>0</v>
      </c>
      <c r="AD150" s="88">
        <f>Ruimtestaat[[#This Row],[uren / jaar weekend]]*Tariefsopbouw!$D$40</f>
        <v>0</v>
      </c>
      <c r="AE150" s="89">
        <f>Ruimtestaat[[#This Row],[Prest. (m2 /jaar) weekend]]+Ruimtestaat[[#This Row],[Prest. (m2 /jaar) werkdagen]]</f>
        <v>5000</v>
      </c>
      <c r="AF150" s="89">
        <f>Ruimtestaat[[#This Row],[uren / jaar weekend]]+Ruimtestaat[[#This Row],[uren / jaar werkdagen]]</f>
        <v>0</v>
      </c>
      <c r="AG150" s="90">
        <f>Ruimtestaat[[#This Row],[kosten / jaar weekend]]+Ruimtestaat[[#This Row],[kosten / jaar werkdagen]]</f>
        <v>0</v>
      </c>
      <c r="AH150" s="91"/>
      <c r="HL150" s="67"/>
    </row>
    <row r="151" spans="1:220" ht="15" customHeight="1">
      <c r="A151" s="53">
        <v>1</v>
      </c>
      <c r="B151" s="53" t="str">
        <f>VLOOKUP(Ruimtestaat[[#This Row],[Code]],Locaties[#All],2,FALSE)</f>
        <v>Ir. Lely Lyceum</v>
      </c>
      <c r="C151" s="53" t="str">
        <f>VLOOKUP(Ruimtestaat[[#This Row],[Code]],Locaties[#All],4,FALSE)</f>
        <v>Ravenswaaipad 3</v>
      </c>
      <c r="D151" s="53" t="str">
        <f>VLOOKUP(Ruimtestaat[[#This Row],[Code]],Locaties[#All],5,FALSE)</f>
        <v>1106 AW</v>
      </c>
      <c r="E151" s="53" t="str">
        <f>VLOOKUP(Ruimtestaat[[#This Row],[Code]],Locaties[#All],6,FALSE)</f>
        <v>Amsterdam</v>
      </c>
      <c r="F151" s="78" t="s">
        <v>519</v>
      </c>
      <c r="G151" s="53" t="s">
        <v>348</v>
      </c>
      <c r="H151" s="95" t="s">
        <v>365</v>
      </c>
      <c r="I151" s="23" t="s">
        <v>419</v>
      </c>
      <c r="J151" s="53">
        <v>16</v>
      </c>
      <c r="K151" s="78" t="str">
        <f>VLOOKUP(J151,Ruimtegroepen[],2,FALSE)</f>
        <v>Leslokalen theorie</v>
      </c>
      <c r="L151" s="53" t="s">
        <v>280</v>
      </c>
      <c r="M151" s="53" t="s">
        <v>353</v>
      </c>
      <c r="N151" s="79">
        <v>50</v>
      </c>
      <c r="O151" s="79"/>
      <c r="P151" s="80" t="str">
        <f>LEFT(VLOOKUP(Ruimtestaat[[#This Row],[Ruimte code]],Ruimtegroepen[#All],4,1),2)</f>
        <v xml:space="preserve">L </v>
      </c>
      <c r="Q151" s="80"/>
      <c r="R151" s="81">
        <v>40</v>
      </c>
      <c r="S151" s="81" t="s">
        <v>298</v>
      </c>
      <c r="T151" s="82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1" s="82">
        <f>IF(T151&gt;0,VLOOKUP($J151,Ruimtegroepen[],3,FALSE)*VLOOKUP($L151,Vloersoorten[],3,FALSE)*VLOOKUP($S151,Frequenties[],3,FALSE)*VLOOKUP($A151,Locaties[],3,FALSE),0)</f>
        <v>0</v>
      </c>
      <c r="V151" s="83">
        <f>Ruimtestaat[[#This Row],[Uitvoeringen werkdagen]]*Ruimtestaat[[#This Row],[Oppervlak (netto)]]</f>
        <v>10000</v>
      </c>
      <c r="W151" s="84">
        <f>IF(U151&gt;0,Ruimtestaat[[#This Row],[Prest. (m2 /jaar) werkdagen]]/Ruimtestaat[[#This Row],[Norm (m2/uur) werkdagen]],0)</f>
        <v>0</v>
      </c>
      <c r="X151" s="85">
        <f>Ruimtestaat[[#This Row],[uren / jaar werkdagen]]*Tariefsopbouw!$E$35</f>
        <v>0</v>
      </c>
      <c r="Y151" s="82"/>
      <c r="Z151" s="86">
        <f>IF(Ruimtestaat[[#This Row],[Frequentie weekend]]&gt;0,VALUE(LEFT(Y151,1))*R151,0)</f>
        <v>0</v>
      </c>
      <c r="AA151" s="82">
        <f>IF($Z151&gt;0,VLOOKUP($J151,Ruimtegroepen[],3,FALSE)*VLOOKUP($L151,Vloersoorten[],3,FALSE)*VLOOKUP($Y151,Frequenties[],3,FALSE)*VLOOKUP($A122,Locaties[],3,FALSE),0)</f>
        <v>0</v>
      </c>
      <c r="AB151" s="84">
        <f>Ruimtestaat[[#This Row],[Uitvoeringen weekend]]*Ruimtestaat[[#This Row],[Oppervlak (netto)]]</f>
        <v>0</v>
      </c>
      <c r="AC151" s="87">
        <f>IF(AB151&gt;0,Ruimtestaat[[#This Row],[Prest. (m2 /jaar) weekend]]/Ruimtestaat[[#This Row],[Norm (m2/uur) weekend]],0)</f>
        <v>0</v>
      </c>
      <c r="AD151" s="88">
        <f>Ruimtestaat[[#This Row],[uren / jaar weekend]]*Tariefsopbouw!$D$40</f>
        <v>0</v>
      </c>
      <c r="AE151" s="89">
        <f>Ruimtestaat[[#This Row],[Prest. (m2 /jaar) weekend]]+Ruimtestaat[[#This Row],[Prest. (m2 /jaar) werkdagen]]</f>
        <v>10000</v>
      </c>
      <c r="AF151" s="89">
        <f>Ruimtestaat[[#This Row],[uren / jaar weekend]]+Ruimtestaat[[#This Row],[uren / jaar werkdagen]]</f>
        <v>0</v>
      </c>
      <c r="AG151" s="90">
        <f>Ruimtestaat[[#This Row],[kosten / jaar weekend]]+Ruimtestaat[[#This Row],[kosten / jaar werkdagen]]</f>
        <v>0</v>
      </c>
      <c r="AH151" s="91"/>
      <c r="HL151" s="67"/>
    </row>
    <row r="152" spans="1:220" ht="15" customHeight="1">
      <c r="A152" s="53">
        <v>1</v>
      </c>
      <c r="B152" s="53" t="str">
        <f>VLOOKUP(Ruimtestaat[[#This Row],[Code]],Locaties[#All],2,FALSE)</f>
        <v>Ir. Lely Lyceum</v>
      </c>
      <c r="C152" s="53" t="str">
        <f>VLOOKUP(Ruimtestaat[[#This Row],[Code]],Locaties[#All],4,FALSE)</f>
        <v>Ravenswaaipad 3</v>
      </c>
      <c r="D152" s="53" t="str">
        <f>VLOOKUP(Ruimtestaat[[#This Row],[Code]],Locaties[#All],5,FALSE)</f>
        <v>1106 AW</v>
      </c>
      <c r="E152" s="53" t="str">
        <f>VLOOKUP(Ruimtestaat[[#This Row],[Code]],Locaties[#All],6,FALSE)</f>
        <v>Amsterdam</v>
      </c>
      <c r="F152" s="78" t="s">
        <v>540</v>
      </c>
      <c r="G152" s="53" t="s">
        <v>348</v>
      </c>
      <c r="H152" s="95" t="s">
        <v>349</v>
      </c>
      <c r="I152" s="23" t="s">
        <v>272</v>
      </c>
      <c r="J152" s="53">
        <v>18</v>
      </c>
      <c r="K152" s="78" t="str">
        <f>VLOOKUP(J152,Ruimtegroepen[],2,FALSE)</f>
        <v>Gymzaal</v>
      </c>
      <c r="L152" s="53" t="s">
        <v>288</v>
      </c>
      <c r="M152" s="53" t="s">
        <v>541</v>
      </c>
      <c r="N152" s="79">
        <v>312</v>
      </c>
      <c r="O152" s="79"/>
      <c r="P152" s="80" t="str">
        <f>LEFT(VLOOKUP(Ruimtestaat[[#This Row],[Ruimte code]],Ruimtegroepen[#All],4,1),2)</f>
        <v>Sp</v>
      </c>
      <c r="Q152" s="80"/>
      <c r="R152" s="81">
        <v>40</v>
      </c>
      <c r="S152" s="81" t="s">
        <v>298</v>
      </c>
      <c r="T152" s="82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2" s="82">
        <f>IF(T152&gt;0,VLOOKUP($J152,Ruimtegroepen[],3,FALSE)*VLOOKUP($L152,Vloersoorten[],3,FALSE)*VLOOKUP($S152,Frequenties[],3,FALSE)*VLOOKUP($A152,Locaties[],3,FALSE),0)</f>
        <v>0</v>
      </c>
      <c r="V152" s="83">
        <f>Ruimtestaat[[#This Row],[Uitvoeringen werkdagen]]*Ruimtestaat[[#This Row],[Oppervlak (netto)]]</f>
        <v>62400</v>
      </c>
      <c r="W152" s="84">
        <f>IF(U152&gt;0,Ruimtestaat[[#This Row],[Prest. (m2 /jaar) werkdagen]]/Ruimtestaat[[#This Row],[Norm (m2/uur) werkdagen]],0)</f>
        <v>0</v>
      </c>
      <c r="X152" s="85">
        <f>Ruimtestaat[[#This Row],[uren / jaar werkdagen]]*Tariefsopbouw!$E$35</f>
        <v>0</v>
      </c>
      <c r="Y152" s="82"/>
      <c r="Z152" s="86">
        <f>IF(Ruimtestaat[[#This Row],[Frequentie weekend]]&gt;0,VALUE(LEFT(Y152,1))*R152,0)</f>
        <v>0</v>
      </c>
      <c r="AA152" s="82">
        <f>IF($Z152&gt;0,VLOOKUP($J152,Ruimtegroepen[],3,FALSE)*VLOOKUP($L152,Vloersoorten[],3,FALSE)*VLOOKUP($Y152,Frequenties[],3,FALSE)*VLOOKUP($A123,Locaties[],3,FALSE),0)</f>
        <v>0</v>
      </c>
      <c r="AB152" s="84">
        <f>Ruimtestaat[[#This Row],[Uitvoeringen weekend]]*Ruimtestaat[[#This Row],[Oppervlak (netto)]]</f>
        <v>0</v>
      </c>
      <c r="AC152" s="87">
        <f>IF(AB152&gt;0,Ruimtestaat[[#This Row],[Prest. (m2 /jaar) weekend]]/Ruimtestaat[[#This Row],[Norm (m2/uur) weekend]],0)</f>
        <v>0</v>
      </c>
      <c r="AD152" s="88">
        <f>Ruimtestaat[[#This Row],[uren / jaar weekend]]*Tariefsopbouw!$D$40</f>
        <v>0</v>
      </c>
      <c r="AE152" s="89">
        <f>Ruimtestaat[[#This Row],[Prest. (m2 /jaar) weekend]]+Ruimtestaat[[#This Row],[Prest. (m2 /jaar) werkdagen]]</f>
        <v>62400</v>
      </c>
      <c r="AF152" s="89">
        <f>Ruimtestaat[[#This Row],[uren / jaar weekend]]+Ruimtestaat[[#This Row],[uren / jaar werkdagen]]</f>
        <v>0</v>
      </c>
      <c r="AG152" s="90">
        <f>Ruimtestaat[[#This Row],[kosten / jaar weekend]]+Ruimtestaat[[#This Row],[kosten / jaar werkdagen]]</f>
        <v>0</v>
      </c>
      <c r="AH152" s="91"/>
      <c r="HL152" s="67"/>
    </row>
    <row r="153" spans="1:220" ht="15" customHeight="1">
      <c r="A153" s="53">
        <v>1</v>
      </c>
      <c r="B153" s="53" t="str">
        <f>VLOOKUP(Ruimtestaat[[#This Row],[Code]],Locaties[#All],2,FALSE)</f>
        <v>Ir. Lely Lyceum</v>
      </c>
      <c r="C153" s="53" t="str">
        <f>VLOOKUP(Ruimtestaat[[#This Row],[Code]],Locaties[#All],4,FALSE)</f>
        <v>Ravenswaaipad 3</v>
      </c>
      <c r="D153" s="53" t="str">
        <f>VLOOKUP(Ruimtestaat[[#This Row],[Code]],Locaties[#All],5,FALSE)</f>
        <v>1106 AW</v>
      </c>
      <c r="E153" s="53" t="str">
        <f>VLOOKUP(Ruimtestaat[[#This Row],[Code]],Locaties[#All],6,FALSE)</f>
        <v>Amsterdam</v>
      </c>
      <c r="F153" s="78" t="s">
        <v>540</v>
      </c>
      <c r="G153" s="53" t="s">
        <v>348</v>
      </c>
      <c r="H153" s="95" t="s">
        <v>351</v>
      </c>
      <c r="I153" s="23" t="s">
        <v>272</v>
      </c>
      <c r="J153" s="53">
        <v>18</v>
      </c>
      <c r="K153" s="78" t="str">
        <f>VLOOKUP(J153,Ruimtegroepen[],2,FALSE)</f>
        <v>Gymzaal</v>
      </c>
      <c r="L153" s="53" t="s">
        <v>288</v>
      </c>
      <c r="M153" s="53" t="s">
        <v>541</v>
      </c>
      <c r="N153" s="79">
        <v>312</v>
      </c>
      <c r="O153" s="79"/>
      <c r="P153" s="80" t="str">
        <f>LEFT(VLOOKUP(Ruimtestaat[[#This Row],[Ruimte code]],Ruimtegroepen[#All],4,1),2)</f>
        <v>Sp</v>
      </c>
      <c r="Q153" s="80"/>
      <c r="R153" s="81">
        <v>40</v>
      </c>
      <c r="S153" s="81" t="s">
        <v>298</v>
      </c>
      <c r="T153" s="82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3" s="82">
        <f>IF(T153&gt;0,VLOOKUP($J153,Ruimtegroepen[],3,FALSE)*VLOOKUP($L153,Vloersoorten[],3,FALSE)*VLOOKUP($S153,Frequenties[],3,FALSE)*VLOOKUP($A153,Locaties[],3,FALSE),0)</f>
        <v>0</v>
      </c>
      <c r="V153" s="83">
        <f>Ruimtestaat[[#This Row],[Uitvoeringen werkdagen]]*Ruimtestaat[[#This Row],[Oppervlak (netto)]]</f>
        <v>62400</v>
      </c>
      <c r="W153" s="84">
        <f>IF(U153&gt;0,Ruimtestaat[[#This Row],[Prest. (m2 /jaar) werkdagen]]/Ruimtestaat[[#This Row],[Norm (m2/uur) werkdagen]],0)</f>
        <v>0</v>
      </c>
      <c r="X153" s="85">
        <f>Ruimtestaat[[#This Row],[uren / jaar werkdagen]]*Tariefsopbouw!$E$35</f>
        <v>0</v>
      </c>
      <c r="Y153" s="82"/>
      <c r="Z153" s="86">
        <f>IF(Ruimtestaat[[#This Row],[Frequentie weekend]]&gt;0,VALUE(LEFT(Y153,1))*R153,0)</f>
        <v>0</v>
      </c>
      <c r="AA153" s="82">
        <f>IF($Z153&gt;0,VLOOKUP($J153,Ruimtegroepen[],3,FALSE)*VLOOKUP($L153,Vloersoorten[],3,FALSE)*VLOOKUP($Y153,Frequenties[],3,FALSE)*VLOOKUP($A124,Locaties[],3,FALSE),0)</f>
        <v>0</v>
      </c>
      <c r="AB153" s="84">
        <f>Ruimtestaat[[#This Row],[Uitvoeringen weekend]]*Ruimtestaat[[#This Row],[Oppervlak (netto)]]</f>
        <v>0</v>
      </c>
      <c r="AC153" s="87">
        <f>IF(AB153&gt;0,Ruimtestaat[[#This Row],[Prest. (m2 /jaar) weekend]]/Ruimtestaat[[#This Row],[Norm (m2/uur) weekend]],0)</f>
        <v>0</v>
      </c>
      <c r="AD153" s="88">
        <f>Ruimtestaat[[#This Row],[uren / jaar weekend]]*Tariefsopbouw!$D$40</f>
        <v>0</v>
      </c>
      <c r="AE153" s="89">
        <f>Ruimtestaat[[#This Row],[Prest. (m2 /jaar) weekend]]+Ruimtestaat[[#This Row],[Prest. (m2 /jaar) werkdagen]]</f>
        <v>62400</v>
      </c>
      <c r="AF153" s="89">
        <f>Ruimtestaat[[#This Row],[uren / jaar weekend]]+Ruimtestaat[[#This Row],[uren / jaar werkdagen]]</f>
        <v>0</v>
      </c>
      <c r="AG153" s="90">
        <f>Ruimtestaat[[#This Row],[kosten / jaar weekend]]+Ruimtestaat[[#This Row],[kosten / jaar werkdagen]]</f>
        <v>0</v>
      </c>
      <c r="AH153" s="91"/>
      <c r="HL153" s="67"/>
    </row>
    <row r="154" spans="1:220" ht="15" customHeight="1">
      <c r="A154" s="53">
        <v>1</v>
      </c>
      <c r="B154" s="53" t="str">
        <f>VLOOKUP(Ruimtestaat[[#This Row],[Code]],Locaties[#All],2,FALSE)</f>
        <v>Ir. Lely Lyceum</v>
      </c>
      <c r="C154" s="53" t="str">
        <f>VLOOKUP(Ruimtestaat[[#This Row],[Code]],Locaties[#All],4,FALSE)</f>
        <v>Ravenswaaipad 3</v>
      </c>
      <c r="D154" s="53" t="str">
        <f>VLOOKUP(Ruimtestaat[[#This Row],[Code]],Locaties[#All],5,FALSE)</f>
        <v>1106 AW</v>
      </c>
      <c r="E154" s="53" t="str">
        <f>VLOOKUP(Ruimtestaat[[#This Row],[Code]],Locaties[#All],6,FALSE)</f>
        <v>Amsterdam</v>
      </c>
      <c r="F154" s="78" t="s">
        <v>540</v>
      </c>
      <c r="G154" s="53" t="s">
        <v>348</v>
      </c>
      <c r="H154" s="95" t="s">
        <v>354</v>
      </c>
      <c r="I154" s="23" t="s">
        <v>272</v>
      </c>
      <c r="J154" s="53">
        <v>18</v>
      </c>
      <c r="K154" s="78" t="str">
        <f>VLOOKUP(J154,Ruimtegroepen[],2,FALSE)</f>
        <v>Gymzaal</v>
      </c>
      <c r="L154" s="53" t="s">
        <v>288</v>
      </c>
      <c r="M154" s="53" t="s">
        <v>541</v>
      </c>
      <c r="N154" s="79">
        <v>268</v>
      </c>
      <c r="O154" s="79"/>
      <c r="P154" s="80" t="str">
        <f>LEFT(VLOOKUP(Ruimtestaat[[#This Row],[Ruimte code]],Ruimtegroepen[#All],4,1),2)</f>
        <v>Sp</v>
      </c>
      <c r="Q154" s="80"/>
      <c r="R154" s="81">
        <v>40</v>
      </c>
      <c r="S154" s="81" t="s">
        <v>298</v>
      </c>
      <c r="T154" s="82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4" s="82">
        <f>IF(T154&gt;0,VLOOKUP($J154,Ruimtegroepen[],3,FALSE)*VLOOKUP($L154,Vloersoorten[],3,FALSE)*VLOOKUP($S154,Frequenties[],3,FALSE)*VLOOKUP($A154,Locaties[],3,FALSE),0)</f>
        <v>0</v>
      </c>
      <c r="V154" s="83">
        <f>Ruimtestaat[[#This Row],[Uitvoeringen werkdagen]]*Ruimtestaat[[#This Row],[Oppervlak (netto)]]</f>
        <v>53600</v>
      </c>
      <c r="W154" s="84">
        <f>IF(U154&gt;0,Ruimtestaat[[#This Row],[Prest. (m2 /jaar) werkdagen]]/Ruimtestaat[[#This Row],[Norm (m2/uur) werkdagen]],0)</f>
        <v>0</v>
      </c>
      <c r="X154" s="85">
        <f>Ruimtestaat[[#This Row],[uren / jaar werkdagen]]*Tariefsopbouw!$E$35</f>
        <v>0</v>
      </c>
      <c r="Y154" s="82"/>
      <c r="Z154" s="86">
        <f>IF(Ruimtestaat[[#This Row],[Frequentie weekend]]&gt;0,VALUE(LEFT(Y154,1))*R154,0)</f>
        <v>0</v>
      </c>
      <c r="AA154" s="82">
        <f>IF($Z154&gt;0,VLOOKUP($J154,Ruimtegroepen[],3,FALSE)*VLOOKUP($L154,Vloersoorten[],3,FALSE)*VLOOKUP($Y154,Frequenties[],3,FALSE)*VLOOKUP($A125,Locaties[],3,FALSE),0)</f>
        <v>0</v>
      </c>
      <c r="AB154" s="84">
        <f>Ruimtestaat[[#This Row],[Uitvoeringen weekend]]*Ruimtestaat[[#This Row],[Oppervlak (netto)]]</f>
        <v>0</v>
      </c>
      <c r="AC154" s="87">
        <f>IF(AB154&gt;0,Ruimtestaat[[#This Row],[Prest. (m2 /jaar) weekend]]/Ruimtestaat[[#This Row],[Norm (m2/uur) weekend]],0)</f>
        <v>0</v>
      </c>
      <c r="AD154" s="88">
        <f>Ruimtestaat[[#This Row],[uren / jaar weekend]]*Tariefsopbouw!$D$40</f>
        <v>0</v>
      </c>
      <c r="AE154" s="89">
        <f>Ruimtestaat[[#This Row],[Prest. (m2 /jaar) weekend]]+Ruimtestaat[[#This Row],[Prest. (m2 /jaar) werkdagen]]</f>
        <v>53600</v>
      </c>
      <c r="AF154" s="89">
        <f>Ruimtestaat[[#This Row],[uren / jaar weekend]]+Ruimtestaat[[#This Row],[uren / jaar werkdagen]]</f>
        <v>0</v>
      </c>
      <c r="AG154" s="90">
        <f>Ruimtestaat[[#This Row],[kosten / jaar weekend]]+Ruimtestaat[[#This Row],[kosten / jaar werkdagen]]</f>
        <v>0</v>
      </c>
      <c r="AH154" s="91"/>
      <c r="HL154" s="67"/>
    </row>
    <row r="155" spans="1:220" ht="15" customHeight="1">
      <c r="A155" s="53">
        <v>1</v>
      </c>
      <c r="B155" s="53" t="str">
        <f>VLOOKUP(Ruimtestaat[[#This Row],[Code]],Locaties[#All],2,FALSE)</f>
        <v>Ir. Lely Lyceum</v>
      </c>
      <c r="C155" s="53" t="str">
        <f>VLOOKUP(Ruimtestaat[[#This Row],[Code]],Locaties[#All],4,FALSE)</f>
        <v>Ravenswaaipad 3</v>
      </c>
      <c r="D155" s="53" t="str">
        <f>VLOOKUP(Ruimtestaat[[#This Row],[Code]],Locaties[#All],5,FALSE)</f>
        <v>1106 AW</v>
      </c>
      <c r="E155" s="53" t="str">
        <f>VLOOKUP(Ruimtestaat[[#This Row],[Code]],Locaties[#All],6,FALSE)</f>
        <v>Amsterdam</v>
      </c>
      <c r="F155" s="78" t="s">
        <v>540</v>
      </c>
      <c r="G155" s="53" t="s">
        <v>348</v>
      </c>
      <c r="H155" s="95" t="s">
        <v>356</v>
      </c>
      <c r="I155" s="23" t="s">
        <v>378</v>
      </c>
      <c r="J155" s="53">
        <v>10</v>
      </c>
      <c r="K155" s="78" t="str">
        <f>VLOOKUP(J155,Ruimtegroepen[],2,FALSE)</f>
        <v>Trappenhuizen/lift</v>
      </c>
      <c r="L155" s="53" t="s">
        <v>280</v>
      </c>
      <c r="M155" s="53" t="s">
        <v>353</v>
      </c>
      <c r="N155" s="79">
        <v>30.5</v>
      </c>
      <c r="O155" s="79"/>
      <c r="P155" s="80" t="str">
        <f>LEFT(VLOOKUP(Ruimtestaat[[#This Row],[Ruimte code]],Ruimtegroepen[#All],4,1),2)</f>
        <v xml:space="preserve">V </v>
      </c>
      <c r="Q155" s="80"/>
      <c r="R155" s="81">
        <v>40</v>
      </c>
      <c r="S155" s="81" t="s">
        <v>298</v>
      </c>
      <c r="T155" s="82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5" s="82">
        <f>IF(T155&gt;0,VLOOKUP($J155,Ruimtegroepen[],3,FALSE)*VLOOKUP($L155,Vloersoorten[],3,FALSE)*VLOOKUP($S155,Frequenties[],3,FALSE)*VLOOKUP($A155,Locaties[],3,FALSE),0)</f>
        <v>0</v>
      </c>
      <c r="V155" s="83">
        <f>Ruimtestaat[[#This Row],[Uitvoeringen werkdagen]]*Ruimtestaat[[#This Row],[Oppervlak (netto)]]</f>
        <v>6100</v>
      </c>
      <c r="W155" s="84">
        <f>IF(U155&gt;0,Ruimtestaat[[#This Row],[Prest. (m2 /jaar) werkdagen]]/Ruimtestaat[[#This Row],[Norm (m2/uur) werkdagen]],0)</f>
        <v>0</v>
      </c>
      <c r="X155" s="85">
        <f>Ruimtestaat[[#This Row],[uren / jaar werkdagen]]*Tariefsopbouw!$E$35</f>
        <v>0</v>
      </c>
      <c r="Y155" s="82"/>
      <c r="Z155" s="86">
        <f>IF(Ruimtestaat[[#This Row],[Frequentie weekend]]&gt;0,VALUE(LEFT(Y155,1))*R155,0)</f>
        <v>0</v>
      </c>
      <c r="AA155" s="82">
        <f>IF($Z155&gt;0,VLOOKUP($J155,Ruimtegroepen[],3,FALSE)*VLOOKUP($L155,Vloersoorten[],3,FALSE)*VLOOKUP($Y155,Frequenties[],3,FALSE)*VLOOKUP($A126,Locaties[],3,FALSE),0)</f>
        <v>0</v>
      </c>
      <c r="AB155" s="84">
        <f>Ruimtestaat[[#This Row],[Uitvoeringen weekend]]*Ruimtestaat[[#This Row],[Oppervlak (netto)]]</f>
        <v>0</v>
      </c>
      <c r="AC155" s="87">
        <f>IF(AB155&gt;0,Ruimtestaat[[#This Row],[Prest. (m2 /jaar) weekend]]/Ruimtestaat[[#This Row],[Norm (m2/uur) weekend]],0)</f>
        <v>0</v>
      </c>
      <c r="AD155" s="88">
        <f>Ruimtestaat[[#This Row],[uren / jaar weekend]]*Tariefsopbouw!$D$40</f>
        <v>0</v>
      </c>
      <c r="AE155" s="89">
        <f>Ruimtestaat[[#This Row],[Prest. (m2 /jaar) weekend]]+Ruimtestaat[[#This Row],[Prest. (m2 /jaar) werkdagen]]</f>
        <v>6100</v>
      </c>
      <c r="AF155" s="89">
        <f>Ruimtestaat[[#This Row],[uren / jaar weekend]]+Ruimtestaat[[#This Row],[uren / jaar werkdagen]]</f>
        <v>0</v>
      </c>
      <c r="AG155" s="90">
        <f>Ruimtestaat[[#This Row],[kosten / jaar weekend]]+Ruimtestaat[[#This Row],[kosten / jaar werkdagen]]</f>
        <v>0</v>
      </c>
      <c r="AH155" s="91"/>
      <c r="HL155" s="67"/>
    </row>
    <row r="156" spans="1:220" ht="15" customHeight="1">
      <c r="A156" s="53">
        <v>1</v>
      </c>
      <c r="B156" s="53" t="str">
        <f>VLOOKUP(Ruimtestaat[[#This Row],[Code]],Locaties[#All],2,FALSE)</f>
        <v>Ir. Lely Lyceum</v>
      </c>
      <c r="C156" s="53" t="str">
        <f>VLOOKUP(Ruimtestaat[[#This Row],[Code]],Locaties[#All],4,FALSE)</f>
        <v>Ravenswaaipad 3</v>
      </c>
      <c r="D156" s="53" t="str">
        <f>VLOOKUP(Ruimtestaat[[#This Row],[Code]],Locaties[#All],5,FALSE)</f>
        <v>1106 AW</v>
      </c>
      <c r="E156" s="53" t="str">
        <f>VLOOKUP(Ruimtestaat[[#This Row],[Code]],Locaties[#All],6,FALSE)</f>
        <v>Amsterdam</v>
      </c>
      <c r="F156" s="78" t="s">
        <v>540</v>
      </c>
      <c r="G156" s="53" t="s">
        <v>348</v>
      </c>
      <c r="H156" s="95" t="s">
        <v>358</v>
      </c>
      <c r="I156" s="23" t="s">
        <v>542</v>
      </c>
      <c r="J156" s="53">
        <v>6</v>
      </c>
      <c r="K156" s="78" t="str">
        <f>VLOOKUP(J156,Ruimtegroepen[],2,FALSE)</f>
        <v>Gangen/hallen</v>
      </c>
      <c r="L156" s="53" t="s">
        <v>280</v>
      </c>
      <c r="M156" s="53" t="s">
        <v>353</v>
      </c>
      <c r="N156" s="79">
        <v>104</v>
      </c>
      <c r="O156" s="79"/>
      <c r="P156" s="80" t="str">
        <f>LEFT(VLOOKUP(Ruimtestaat[[#This Row],[Ruimte code]],Ruimtegroepen[#All],4,1),2)</f>
        <v xml:space="preserve">V </v>
      </c>
      <c r="Q156" s="80"/>
      <c r="R156" s="81">
        <v>40</v>
      </c>
      <c r="S156" s="81" t="s">
        <v>298</v>
      </c>
      <c r="T156" s="82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6" s="82">
        <f>IF(T156&gt;0,VLOOKUP($J156,Ruimtegroepen[],3,FALSE)*VLOOKUP($L156,Vloersoorten[],3,FALSE)*VLOOKUP($S156,Frequenties[],3,FALSE)*VLOOKUP($A156,Locaties[],3,FALSE),0)</f>
        <v>0</v>
      </c>
      <c r="V156" s="83">
        <f>Ruimtestaat[[#This Row],[Uitvoeringen werkdagen]]*Ruimtestaat[[#This Row],[Oppervlak (netto)]]</f>
        <v>20800</v>
      </c>
      <c r="W156" s="84">
        <f>IF(U156&gt;0,Ruimtestaat[[#This Row],[Prest. (m2 /jaar) werkdagen]]/Ruimtestaat[[#This Row],[Norm (m2/uur) werkdagen]],0)</f>
        <v>0</v>
      </c>
      <c r="X156" s="85">
        <f>Ruimtestaat[[#This Row],[uren / jaar werkdagen]]*Tariefsopbouw!$E$35</f>
        <v>0</v>
      </c>
      <c r="Y156" s="82"/>
      <c r="Z156" s="86">
        <f>IF(Ruimtestaat[[#This Row],[Frequentie weekend]]&gt;0,VALUE(LEFT(Y156,1))*R156,0)</f>
        <v>0</v>
      </c>
      <c r="AA156" s="82">
        <f>IF($Z156&gt;0,VLOOKUP($J156,Ruimtegroepen[],3,FALSE)*VLOOKUP($L156,Vloersoorten[],3,FALSE)*VLOOKUP($Y156,Frequenties[],3,FALSE)*VLOOKUP($A127,Locaties[],3,FALSE),0)</f>
        <v>0</v>
      </c>
      <c r="AB156" s="84">
        <f>Ruimtestaat[[#This Row],[Uitvoeringen weekend]]*Ruimtestaat[[#This Row],[Oppervlak (netto)]]</f>
        <v>0</v>
      </c>
      <c r="AC156" s="87">
        <f>IF(AB156&gt;0,Ruimtestaat[[#This Row],[Prest. (m2 /jaar) weekend]]/Ruimtestaat[[#This Row],[Norm (m2/uur) weekend]],0)</f>
        <v>0</v>
      </c>
      <c r="AD156" s="88">
        <f>Ruimtestaat[[#This Row],[uren / jaar weekend]]*Tariefsopbouw!$D$40</f>
        <v>0</v>
      </c>
      <c r="AE156" s="89">
        <f>Ruimtestaat[[#This Row],[Prest. (m2 /jaar) weekend]]+Ruimtestaat[[#This Row],[Prest. (m2 /jaar) werkdagen]]</f>
        <v>20800</v>
      </c>
      <c r="AF156" s="89">
        <f>Ruimtestaat[[#This Row],[uren / jaar weekend]]+Ruimtestaat[[#This Row],[uren / jaar werkdagen]]</f>
        <v>0</v>
      </c>
      <c r="AG156" s="90">
        <f>Ruimtestaat[[#This Row],[kosten / jaar weekend]]+Ruimtestaat[[#This Row],[kosten / jaar werkdagen]]</f>
        <v>0</v>
      </c>
      <c r="AH156" s="91"/>
      <c r="HL156" s="67"/>
    </row>
    <row r="157" spans="1:220" ht="15" customHeight="1">
      <c r="A157" s="53">
        <v>1</v>
      </c>
      <c r="B157" s="53" t="str">
        <f>VLOOKUP(Ruimtestaat[[#This Row],[Code]],Locaties[#All],2,FALSE)</f>
        <v>Ir. Lely Lyceum</v>
      </c>
      <c r="C157" s="53" t="str">
        <f>VLOOKUP(Ruimtestaat[[#This Row],[Code]],Locaties[#All],4,FALSE)</f>
        <v>Ravenswaaipad 3</v>
      </c>
      <c r="D157" s="53" t="str">
        <f>VLOOKUP(Ruimtestaat[[#This Row],[Code]],Locaties[#All],5,FALSE)</f>
        <v>1106 AW</v>
      </c>
      <c r="E157" s="53" t="str">
        <f>VLOOKUP(Ruimtestaat[[#This Row],[Code]],Locaties[#All],6,FALSE)</f>
        <v>Amsterdam</v>
      </c>
      <c r="F157" s="78" t="s">
        <v>540</v>
      </c>
      <c r="G157" s="53" t="s">
        <v>348</v>
      </c>
      <c r="H157" s="95" t="s">
        <v>361</v>
      </c>
      <c r="I157" s="23" t="s">
        <v>378</v>
      </c>
      <c r="J157" s="53">
        <v>10</v>
      </c>
      <c r="K157" s="78" t="str">
        <f>VLOOKUP(J157,Ruimtegroepen[],2,FALSE)</f>
        <v>Trappenhuizen/lift</v>
      </c>
      <c r="L157" s="53" t="s">
        <v>280</v>
      </c>
      <c r="M157" s="53" t="s">
        <v>353</v>
      </c>
      <c r="N157" s="79">
        <v>57.5</v>
      </c>
      <c r="O157" s="79"/>
      <c r="P157" s="80" t="str">
        <f>LEFT(VLOOKUP(Ruimtestaat[[#This Row],[Ruimte code]],Ruimtegroepen[#All],4,1),2)</f>
        <v xml:space="preserve">V </v>
      </c>
      <c r="Q157" s="80"/>
      <c r="R157" s="81">
        <v>40</v>
      </c>
      <c r="S157" s="81" t="s">
        <v>298</v>
      </c>
      <c r="T157" s="82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7" s="82">
        <f>IF(T157&gt;0,VLOOKUP($J157,Ruimtegroepen[],3,FALSE)*VLOOKUP($L157,Vloersoorten[],3,FALSE)*VLOOKUP($S157,Frequenties[],3,FALSE)*VLOOKUP($A157,Locaties[],3,FALSE),0)</f>
        <v>0</v>
      </c>
      <c r="V157" s="83">
        <f>Ruimtestaat[[#This Row],[Uitvoeringen werkdagen]]*Ruimtestaat[[#This Row],[Oppervlak (netto)]]</f>
        <v>11500</v>
      </c>
      <c r="W157" s="84">
        <f>IF(U157&gt;0,Ruimtestaat[[#This Row],[Prest. (m2 /jaar) werkdagen]]/Ruimtestaat[[#This Row],[Norm (m2/uur) werkdagen]],0)</f>
        <v>0</v>
      </c>
      <c r="X157" s="85">
        <f>Ruimtestaat[[#This Row],[uren / jaar werkdagen]]*Tariefsopbouw!$E$35</f>
        <v>0</v>
      </c>
      <c r="Y157" s="82"/>
      <c r="Z157" s="86">
        <f>IF(Ruimtestaat[[#This Row],[Frequentie weekend]]&gt;0,VALUE(LEFT(Y157,1))*R157,0)</f>
        <v>0</v>
      </c>
      <c r="AA157" s="82">
        <f>IF($Z157&gt;0,VLOOKUP($J157,Ruimtegroepen[],3,FALSE)*VLOOKUP($L157,Vloersoorten[],3,FALSE)*VLOOKUP($Y157,Frequenties[],3,FALSE)*VLOOKUP($A128,Locaties[],3,FALSE),0)</f>
        <v>0</v>
      </c>
      <c r="AB157" s="84">
        <f>Ruimtestaat[[#This Row],[Uitvoeringen weekend]]*Ruimtestaat[[#This Row],[Oppervlak (netto)]]</f>
        <v>0</v>
      </c>
      <c r="AC157" s="87">
        <f>IF(AB157&gt;0,Ruimtestaat[[#This Row],[Prest. (m2 /jaar) weekend]]/Ruimtestaat[[#This Row],[Norm (m2/uur) weekend]],0)</f>
        <v>0</v>
      </c>
      <c r="AD157" s="88">
        <f>Ruimtestaat[[#This Row],[uren / jaar weekend]]*Tariefsopbouw!$D$40</f>
        <v>0</v>
      </c>
      <c r="AE157" s="89">
        <f>Ruimtestaat[[#This Row],[Prest. (m2 /jaar) weekend]]+Ruimtestaat[[#This Row],[Prest. (m2 /jaar) werkdagen]]</f>
        <v>11500</v>
      </c>
      <c r="AF157" s="89">
        <f>Ruimtestaat[[#This Row],[uren / jaar weekend]]+Ruimtestaat[[#This Row],[uren / jaar werkdagen]]</f>
        <v>0</v>
      </c>
      <c r="AG157" s="90">
        <f>Ruimtestaat[[#This Row],[kosten / jaar weekend]]+Ruimtestaat[[#This Row],[kosten / jaar werkdagen]]</f>
        <v>0</v>
      </c>
      <c r="AH157" s="91"/>
      <c r="HL157" s="67"/>
    </row>
    <row r="158" spans="1:220" ht="15" customHeight="1">
      <c r="A158" s="53">
        <v>1</v>
      </c>
      <c r="B158" s="53" t="str">
        <f>VLOOKUP(Ruimtestaat[[#This Row],[Code]],Locaties[#All],2,FALSE)</f>
        <v>Ir. Lely Lyceum</v>
      </c>
      <c r="C158" s="53" t="str">
        <f>VLOOKUP(Ruimtestaat[[#This Row],[Code]],Locaties[#All],4,FALSE)</f>
        <v>Ravenswaaipad 3</v>
      </c>
      <c r="D158" s="53" t="str">
        <f>VLOOKUP(Ruimtestaat[[#This Row],[Code]],Locaties[#All],5,FALSE)</f>
        <v>1106 AW</v>
      </c>
      <c r="E158" s="53" t="str">
        <f>VLOOKUP(Ruimtestaat[[#This Row],[Code]],Locaties[#All],6,FALSE)</f>
        <v>Amsterdam</v>
      </c>
      <c r="F158" s="78" t="s">
        <v>540</v>
      </c>
      <c r="G158" s="53" t="s">
        <v>348</v>
      </c>
      <c r="H158" s="95" t="s">
        <v>521</v>
      </c>
      <c r="I158" s="23" t="s">
        <v>352</v>
      </c>
      <c r="J158" s="53">
        <v>6</v>
      </c>
      <c r="K158" s="78" t="str">
        <f>VLOOKUP(J158,Ruimtegroepen[],2,FALSE)</f>
        <v>Gangen/hallen</v>
      </c>
      <c r="L158" s="53" t="s">
        <v>280</v>
      </c>
      <c r="M158" s="53" t="s">
        <v>353</v>
      </c>
      <c r="N158" s="79">
        <v>7.2</v>
      </c>
      <c r="O158" s="79"/>
      <c r="P158" s="80" t="str">
        <f>LEFT(VLOOKUP(Ruimtestaat[[#This Row],[Ruimte code]],Ruimtegroepen[#All],4,1),2)</f>
        <v xml:space="preserve">V </v>
      </c>
      <c r="Q158" s="80"/>
      <c r="R158" s="81">
        <v>40</v>
      </c>
      <c r="S158" s="81" t="s">
        <v>298</v>
      </c>
      <c r="T158" s="82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58" s="82">
        <f>IF(T158&gt;0,VLOOKUP($J158,Ruimtegroepen[],3,FALSE)*VLOOKUP($L158,Vloersoorten[],3,FALSE)*VLOOKUP($S158,Frequenties[],3,FALSE)*VLOOKUP($A158,Locaties[],3,FALSE),0)</f>
        <v>0</v>
      </c>
      <c r="V158" s="83">
        <f>Ruimtestaat[[#This Row],[Uitvoeringen werkdagen]]*Ruimtestaat[[#This Row],[Oppervlak (netto)]]</f>
        <v>1440</v>
      </c>
      <c r="W158" s="84">
        <f>IF(U158&gt;0,Ruimtestaat[[#This Row],[Prest. (m2 /jaar) werkdagen]]/Ruimtestaat[[#This Row],[Norm (m2/uur) werkdagen]],0)</f>
        <v>0</v>
      </c>
      <c r="X158" s="85">
        <f>Ruimtestaat[[#This Row],[uren / jaar werkdagen]]*Tariefsopbouw!$E$35</f>
        <v>0</v>
      </c>
      <c r="Y158" s="82"/>
      <c r="Z158" s="86">
        <f>IF(Ruimtestaat[[#This Row],[Frequentie weekend]]&gt;0,VALUE(LEFT(Y158,1))*R158,0)</f>
        <v>0</v>
      </c>
      <c r="AA158" s="82">
        <f>IF($Z158&gt;0,VLOOKUP($J158,Ruimtegroepen[],3,FALSE)*VLOOKUP($L158,Vloersoorten[],3,FALSE)*VLOOKUP($Y158,Frequenties[],3,FALSE)*VLOOKUP($A129,Locaties[],3,FALSE),0)</f>
        <v>0</v>
      </c>
      <c r="AB158" s="84">
        <f>Ruimtestaat[[#This Row],[Uitvoeringen weekend]]*Ruimtestaat[[#This Row],[Oppervlak (netto)]]</f>
        <v>0</v>
      </c>
      <c r="AC158" s="87">
        <f>IF(AB158&gt;0,Ruimtestaat[[#This Row],[Prest. (m2 /jaar) weekend]]/Ruimtestaat[[#This Row],[Norm (m2/uur) weekend]],0)</f>
        <v>0</v>
      </c>
      <c r="AD158" s="88">
        <f>Ruimtestaat[[#This Row],[uren / jaar weekend]]*Tariefsopbouw!$D$40</f>
        <v>0</v>
      </c>
      <c r="AE158" s="89">
        <f>Ruimtestaat[[#This Row],[Prest. (m2 /jaar) weekend]]+Ruimtestaat[[#This Row],[Prest. (m2 /jaar) werkdagen]]</f>
        <v>1440</v>
      </c>
      <c r="AF158" s="89">
        <f>Ruimtestaat[[#This Row],[uren / jaar weekend]]+Ruimtestaat[[#This Row],[uren / jaar werkdagen]]</f>
        <v>0</v>
      </c>
      <c r="AG158" s="90">
        <f>Ruimtestaat[[#This Row],[kosten / jaar weekend]]+Ruimtestaat[[#This Row],[kosten / jaar werkdagen]]</f>
        <v>0</v>
      </c>
      <c r="AH158" s="91"/>
      <c r="HL158" s="67"/>
    </row>
    <row r="159" spans="1:220" ht="15" customHeight="1">
      <c r="A159" s="53">
        <v>1</v>
      </c>
      <c r="B159" s="53" t="str">
        <f>VLOOKUP(Ruimtestaat[[#This Row],[Code]],Locaties[#All],2,FALSE)</f>
        <v>Ir. Lely Lyceum</v>
      </c>
      <c r="C159" s="53" t="str">
        <f>VLOOKUP(Ruimtestaat[[#This Row],[Code]],Locaties[#All],4,FALSE)</f>
        <v>Ravenswaaipad 3</v>
      </c>
      <c r="D159" s="53" t="str">
        <f>VLOOKUP(Ruimtestaat[[#This Row],[Code]],Locaties[#All],5,FALSE)</f>
        <v>1106 AW</v>
      </c>
      <c r="E159" s="53" t="str">
        <f>VLOOKUP(Ruimtestaat[[#This Row],[Code]],Locaties[#All],6,FALSE)</f>
        <v>Amsterdam</v>
      </c>
      <c r="F159" s="78" t="s">
        <v>540</v>
      </c>
      <c r="G159" s="53" t="s">
        <v>348</v>
      </c>
      <c r="H159" s="95" t="s">
        <v>523</v>
      </c>
      <c r="I159" s="23" t="s">
        <v>543</v>
      </c>
      <c r="J159" s="53">
        <v>17</v>
      </c>
      <c r="K159" s="78" t="str">
        <f>VLOOKUP(J159,Ruimtegroepen[],2,FALSE)</f>
        <v>Toestelberging</v>
      </c>
      <c r="L159" s="53" t="s">
        <v>288</v>
      </c>
      <c r="M159" s="53" t="s">
        <v>541</v>
      </c>
      <c r="N159" s="79">
        <v>56</v>
      </c>
      <c r="O159" s="79"/>
      <c r="P159" s="80" t="str">
        <f>LEFT(VLOOKUP(Ruimtestaat[[#This Row],[Ruimte code]],Ruimtegroepen[#All],4,1),2)</f>
        <v>Sp</v>
      </c>
      <c r="Q159" s="80"/>
      <c r="R159" s="81">
        <v>40</v>
      </c>
      <c r="S159" s="81" t="s">
        <v>314</v>
      </c>
      <c r="T159" s="82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59" s="82">
        <f>IF(T159&gt;0,VLOOKUP($J159,Ruimtegroepen[],3,FALSE)*VLOOKUP($L159,Vloersoorten[],3,FALSE)*VLOOKUP($S159,Frequenties[],3,FALSE)*VLOOKUP($A159,Locaties[],3,FALSE),0)</f>
        <v>0</v>
      </c>
      <c r="V159" s="83">
        <f>Ruimtestaat[[#This Row],[Uitvoeringen werkdagen]]*Ruimtestaat[[#This Row],[Oppervlak (netto)]]</f>
        <v>672</v>
      </c>
      <c r="W159" s="84">
        <f>IF(U159&gt;0,Ruimtestaat[[#This Row],[Prest. (m2 /jaar) werkdagen]]/Ruimtestaat[[#This Row],[Norm (m2/uur) werkdagen]],0)</f>
        <v>0</v>
      </c>
      <c r="X159" s="85">
        <f>Ruimtestaat[[#This Row],[uren / jaar werkdagen]]*Tariefsopbouw!$E$35</f>
        <v>0</v>
      </c>
      <c r="Y159" s="82"/>
      <c r="Z159" s="86">
        <f>IF(Ruimtestaat[[#This Row],[Frequentie weekend]]&gt;0,VALUE(LEFT(Y159,1))*R159,0)</f>
        <v>0</v>
      </c>
      <c r="AA159" s="82">
        <f>IF($Z159&gt;0,VLOOKUP($J159,Ruimtegroepen[],3,FALSE)*VLOOKUP($L159,Vloersoorten[],3,FALSE)*VLOOKUP($Y159,Frequenties[],3,FALSE)*VLOOKUP($A130,Locaties[],3,FALSE),0)</f>
        <v>0</v>
      </c>
      <c r="AB159" s="84">
        <f>Ruimtestaat[[#This Row],[Uitvoeringen weekend]]*Ruimtestaat[[#This Row],[Oppervlak (netto)]]</f>
        <v>0</v>
      </c>
      <c r="AC159" s="87">
        <f>IF(AB159&gt;0,Ruimtestaat[[#This Row],[Prest. (m2 /jaar) weekend]]/Ruimtestaat[[#This Row],[Norm (m2/uur) weekend]],0)</f>
        <v>0</v>
      </c>
      <c r="AD159" s="88">
        <f>Ruimtestaat[[#This Row],[uren / jaar weekend]]*Tariefsopbouw!$D$40</f>
        <v>0</v>
      </c>
      <c r="AE159" s="89">
        <f>Ruimtestaat[[#This Row],[Prest. (m2 /jaar) weekend]]+Ruimtestaat[[#This Row],[Prest. (m2 /jaar) werkdagen]]</f>
        <v>672</v>
      </c>
      <c r="AF159" s="89">
        <f>Ruimtestaat[[#This Row],[uren / jaar weekend]]+Ruimtestaat[[#This Row],[uren / jaar werkdagen]]</f>
        <v>0</v>
      </c>
      <c r="AG159" s="90">
        <f>Ruimtestaat[[#This Row],[kosten / jaar weekend]]+Ruimtestaat[[#This Row],[kosten / jaar werkdagen]]</f>
        <v>0</v>
      </c>
      <c r="AH159" s="91"/>
      <c r="HL159" s="67"/>
    </row>
    <row r="160" spans="1:220" ht="15" customHeight="1">
      <c r="A160" s="53">
        <v>1</v>
      </c>
      <c r="B160" s="53" t="str">
        <f>VLOOKUP(Ruimtestaat[[#This Row],[Code]],Locaties[#All],2,FALSE)</f>
        <v>Ir. Lely Lyceum</v>
      </c>
      <c r="C160" s="53" t="str">
        <f>VLOOKUP(Ruimtestaat[[#This Row],[Code]],Locaties[#All],4,FALSE)</f>
        <v>Ravenswaaipad 3</v>
      </c>
      <c r="D160" s="53" t="str">
        <f>VLOOKUP(Ruimtestaat[[#This Row],[Code]],Locaties[#All],5,FALSE)</f>
        <v>1106 AW</v>
      </c>
      <c r="E160" s="53" t="str">
        <f>VLOOKUP(Ruimtestaat[[#This Row],[Code]],Locaties[#All],6,FALSE)</f>
        <v>Amsterdam</v>
      </c>
      <c r="F160" s="78" t="s">
        <v>540</v>
      </c>
      <c r="G160" s="53" t="s">
        <v>348</v>
      </c>
      <c r="H160" s="95" t="s">
        <v>524</v>
      </c>
      <c r="I160" s="23" t="s">
        <v>543</v>
      </c>
      <c r="J160" s="53">
        <v>17</v>
      </c>
      <c r="K160" s="78" t="str">
        <f>VLOOKUP(J160,Ruimtegroepen[],2,FALSE)</f>
        <v>Toestelberging</v>
      </c>
      <c r="L160" s="53" t="s">
        <v>288</v>
      </c>
      <c r="M160" s="53" t="s">
        <v>541</v>
      </c>
      <c r="N160" s="79">
        <v>56</v>
      </c>
      <c r="O160" s="79"/>
      <c r="P160" s="80" t="str">
        <f>LEFT(VLOOKUP(Ruimtestaat[[#This Row],[Ruimte code]],Ruimtegroepen[#All],4,1),2)</f>
        <v>Sp</v>
      </c>
      <c r="Q160" s="80"/>
      <c r="R160" s="81">
        <v>40</v>
      </c>
      <c r="S160" s="81" t="s">
        <v>314</v>
      </c>
      <c r="T160" s="82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U160" s="82">
        <f>IF(T160&gt;0,VLOOKUP($J160,Ruimtegroepen[],3,FALSE)*VLOOKUP($L160,Vloersoorten[],3,FALSE)*VLOOKUP($S160,Frequenties[],3,FALSE)*VLOOKUP($A160,Locaties[],3,FALSE),0)</f>
        <v>0</v>
      </c>
      <c r="V160" s="83">
        <f>Ruimtestaat[[#This Row],[Uitvoeringen werkdagen]]*Ruimtestaat[[#This Row],[Oppervlak (netto)]]</f>
        <v>672</v>
      </c>
      <c r="W160" s="84">
        <f>IF(U160&gt;0,Ruimtestaat[[#This Row],[Prest. (m2 /jaar) werkdagen]]/Ruimtestaat[[#This Row],[Norm (m2/uur) werkdagen]],0)</f>
        <v>0</v>
      </c>
      <c r="X160" s="85">
        <f>Ruimtestaat[[#This Row],[uren / jaar werkdagen]]*Tariefsopbouw!$E$35</f>
        <v>0</v>
      </c>
      <c r="Y160" s="82"/>
      <c r="Z160" s="86">
        <f>IF(Ruimtestaat[[#This Row],[Frequentie weekend]]&gt;0,VALUE(LEFT(Y160,1))*R160,0)</f>
        <v>0</v>
      </c>
      <c r="AA160" s="82">
        <f>IF($Z160&gt;0,VLOOKUP($J160,Ruimtegroepen[],3,FALSE)*VLOOKUP($L160,Vloersoorten[],3,FALSE)*VLOOKUP($Y160,Frequenties[],3,FALSE)*VLOOKUP($A131,Locaties[],3,FALSE),0)</f>
        <v>0</v>
      </c>
      <c r="AB160" s="84">
        <f>Ruimtestaat[[#This Row],[Uitvoeringen weekend]]*Ruimtestaat[[#This Row],[Oppervlak (netto)]]</f>
        <v>0</v>
      </c>
      <c r="AC160" s="87">
        <f>IF(AB160&gt;0,Ruimtestaat[[#This Row],[Prest. (m2 /jaar) weekend]]/Ruimtestaat[[#This Row],[Norm (m2/uur) weekend]],0)</f>
        <v>0</v>
      </c>
      <c r="AD160" s="88">
        <f>Ruimtestaat[[#This Row],[uren / jaar weekend]]*Tariefsopbouw!$D$40</f>
        <v>0</v>
      </c>
      <c r="AE160" s="89">
        <f>Ruimtestaat[[#This Row],[Prest. (m2 /jaar) weekend]]+Ruimtestaat[[#This Row],[Prest. (m2 /jaar) werkdagen]]</f>
        <v>672</v>
      </c>
      <c r="AF160" s="89">
        <f>Ruimtestaat[[#This Row],[uren / jaar weekend]]+Ruimtestaat[[#This Row],[uren / jaar werkdagen]]</f>
        <v>0</v>
      </c>
      <c r="AG160" s="90">
        <f>Ruimtestaat[[#This Row],[kosten / jaar weekend]]+Ruimtestaat[[#This Row],[kosten / jaar werkdagen]]</f>
        <v>0</v>
      </c>
      <c r="AH160" s="91"/>
      <c r="HL160" s="67"/>
    </row>
    <row r="161" spans="1:220" ht="15" customHeight="1">
      <c r="A161" s="53">
        <v>1</v>
      </c>
      <c r="B161" s="53" t="str">
        <f>VLOOKUP(Ruimtestaat[[#This Row],[Code]],Locaties[#All],2,FALSE)</f>
        <v>Ir. Lely Lyceum</v>
      </c>
      <c r="C161" s="53" t="str">
        <f>VLOOKUP(Ruimtestaat[[#This Row],[Code]],Locaties[#All],4,FALSE)</f>
        <v>Ravenswaaipad 3</v>
      </c>
      <c r="D161" s="53" t="str">
        <f>VLOOKUP(Ruimtestaat[[#This Row],[Code]],Locaties[#All],5,FALSE)</f>
        <v>1106 AW</v>
      </c>
      <c r="E161" s="53" t="str">
        <f>VLOOKUP(Ruimtestaat[[#This Row],[Code]],Locaties[#All],6,FALSE)</f>
        <v>Amsterdam</v>
      </c>
      <c r="F161" s="78" t="s">
        <v>540</v>
      </c>
      <c r="G161" s="53" t="s">
        <v>348</v>
      </c>
      <c r="H161" s="95" t="s">
        <v>526</v>
      </c>
      <c r="I161" s="23" t="s">
        <v>544</v>
      </c>
      <c r="J161" s="53">
        <v>19</v>
      </c>
      <c r="K161" s="78" t="str">
        <f>VLOOKUP(J161,Ruimtegroepen[],2,FALSE)</f>
        <v>Kleedruimten</v>
      </c>
      <c r="L161" s="53" t="s">
        <v>285</v>
      </c>
      <c r="M161" s="53" t="s">
        <v>370</v>
      </c>
      <c r="N161" s="79">
        <v>34</v>
      </c>
      <c r="O161" s="79"/>
      <c r="P161" s="80" t="str">
        <f>LEFT(VLOOKUP(Ruimtestaat[[#This Row],[Ruimte code]],Ruimtegroepen[#All],4,1),2)</f>
        <v xml:space="preserve">V </v>
      </c>
      <c r="Q161" s="80"/>
      <c r="R161" s="81">
        <v>40</v>
      </c>
      <c r="S161" s="81" t="s">
        <v>298</v>
      </c>
      <c r="T161" s="82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1" s="82">
        <f>IF(T161&gt;0,VLOOKUP($J161,Ruimtegroepen[],3,FALSE)*VLOOKUP($L161,Vloersoorten[],3,FALSE)*VLOOKUP($S161,Frequenties[],3,FALSE)*VLOOKUP($A161,Locaties[],3,FALSE),0)</f>
        <v>0</v>
      </c>
      <c r="V161" s="83">
        <f>Ruimtestaat[[#This Row],[Uitvoeringen werkdagen]]*Ruimtestaat[[#This Row],[Oppervlak (netto)]]</f>
        <v>6800</v>
      </c>
      <c r="W161" s="84">
        <f>IF(U161&gt;0,Ruimtestaat[[#This Row],[Prest. (m2 /jaar) werkdagen]]/Ruimtestaat[[#This Row],[Norm (m2/uur) werkdagen]],0)</f>
        <v>0</v>
      </c>
      <c r="X161" s="85">
        <f>Ruimtestaat[[#This Row],[uren / jaar werkdagen]]*Tariefsopbouw!$E$35</f>
        <v>0</v>
      </c>
      <c r="Y161" s="82"/>
      <c r="Z161" s="86">
        <f>IF(Ruimtestaat[[#This Row],[Frequentie weekend]]&gt;0,VALUE(LEFT(Y161,1))*R161,0)</f>
        <v>0</v>
      </c>
      <c r="AA161" s="82">
        <f>IF($Z161&gt;0,VLOOKUP($J161,Ruimtegroepen[],3,FALSE)*VLOOKUP($L161,Vloersoorten[],3,FALSE)*VLOOKUP($Y161,Frequenties[],3,FALSE)*VLOOKUP($A132,Locaties[],3,FALSE),0)</f>
        <v>0</v>
      </c>
      <c r="AB161" s="84">
        <f>Ruimtestaat[[#This Row],[Uitvoeringen weekend]]*Ruimtestaat[[#This Row],[Oppervlak (netto)]]</f>
        <v>0</v>
      </c>
      <c r="AC161" s="87">
        <f>IF(AB161&gt;0,Ruimtestaat[[#This Row],[Prest. (m2 /jaar) weekend]]/Ruimtestaat[[#This Row],[Norm (m2/uur) weekend]],0)</f>
        <v>0</v>
      </c>
      <c r="AD161" s="88">
        <f>Ruimtestaat[[#This Row],[uren / jaar weekend]]*Tariefsopbouw!$D$40</f>
        <v>0</v>
      </c>
      <c r="AE161" s="89">
        <f>Ruimtestaat[[#This Row],[Prest. (m2 /jaar) weekend]]+Ruimtestaat[[#This Row],[Prest. (m2 /jaar) werkdagen]]</f>
        <v>6800</v>
      </c>
      <c r="AF161" s="89">
        <f>Ruimtestaat[[#This Row],[uren / jaar weekend]]+Ruimtestaat[[#This Row],[uren / jaar werkdagen]]</f>
        <v>0</v>
      </c>
      <c r="AG161" s="90">
        <f>Ruimtestaat[[#This Row],[kosten / jaar weekend]]+Ruimtestaat[[#This Row],[kosten / jaar werkdagen]]</f>
        <v>0</v>
      </c>
      <c r="AH161" s="91"/>
      <c r="HL161" s="67"/>
    </row>
    <row r="162" spans="1:220" ht="15" customHeight="1">
      <c r="A162" s="53">
        <v>1</v>
      </c>
      <c r="B162" s="53" t="str">
        <f>VLOOKUP(Ruimtestaat[[#This Row],[Code]],Locaties[#All],2,FALSE)</f>
        <v>Ir. Lely Lyceum</v>
      </c>
      <c r="C162" s="53" t="str">
        <f>VLOOKUP(Ruimtestaat[[#This Row],[Code]],Locaties[#All],4,FALSE)</f>
        <v>Ravenswaaipad 3</v>
      </c>
      <c r="D162" s="53" t="str">
        <f>VLOOKUP(Ruimtestaat[[#This Row],[Code]],Locaties[#All],5,FALSE)</f>
        <v>1106 AW</v>
      </c>
      <c r="E162" s="53" t="str">
        <f>VLOOKUP(Ruimtestaat[[#This Row],[Code]],Locaties[#All],6,FALSE)</f>
        <v>Amsterdam</v>
      </c>
      <c r="F162" s="78" t="s">
        <v>540</v>
      </c>
      <c r="G162" s="53" t="s">
        <v>348</v>
      </c>
      <c r="H162" s="95" t="s">
        <v>528</v>
      </c>
      <c r="I162" s="23" t="s">
        <v>544</v>
      </c>
      <c r="J162" s="53">
        <v>19</v>
      </c>
      <c r="K162" s="78" t="str">
        <f>VLOOKUP(J162,Ruimtegroepen[],2,FALSE)</f>
        <v>Kleedruimten</v>
      </c>
      <c r="L162" s="53" t="s">
        <v>285</v>
      </c>
      <c r="M162" s="53" t="s">
        <v>370</v>
      </c>
      <c r="N162" s="79">
        <v>34</v>
      </c>
      <c r="O162" s="79"/>
      <c r="P162" s="80" t="str">
        <f>LEFT(VLOOKUP(Ruimtestaat[[#This Row],[Ruimte code]],Ruimtegroepen[#All],4,1),2)</f>
        <v xml:space="preserve">V </v>
      </c>
      <c r="Q162" s="80"/>
      <c r="R162" s="81">
        <v>40</v>
      </c>
      <c r="S162" s="81" t="s">
        <v>298</v>
      </c>
      <c r="T162" s="82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2" s="82">
        <f>IF(T162&gt;0,VLOOKUP($J162,Ruimtegroepen[],3,FALSE)*VLOOKUP($L162,Vloersoorten[],3,FALSE)*VLOOKUP($S162,Frequenties[],3,FALSE)*VLOOKUP($A162,Locaties[],3,FALSE),0)</f>
        <v>0</v>
      </c>
      <c r="V162" s="83">
        <f>Ruimtestaat[[#This Row],[Uitvoeringen werkdagen]]*Ruimtestaat[[#This Row],[Oppervlak (netto)]]</f>
        <v>6800</v>
      </c>
      <c r="W162" s="84">
        <f>IF(U162&gt;0,Ruimtestaat[[#This Row],[Prest. (m2 /jaar) werkdagen]]/Ruimtestaat[[#This Row],[Norm (m2/uur) werkdagen]],0)</f>
        <v>0</v>
      </c>
      <c r="X162" s="85">
        <f>Ruimtestaat[[#This Row],[uren / jaar werkdagen]]*Tariefsopbouw!$E$35</f>
        <v>0</v>
      </c>
      <c r="Y162" s="82"/>
      <c r="Z162" s="86">
        <f>IF(Ruimtestaat[[#This Row],[Frequentie weekend]]&gt;0,VALUE(LEFT(Y162,1))*R162,0)</f>
        <v>0</v>
      </c>
      <c r="AA162" s="82">
        <f>IF($Z162&gt;0,VLOOKUP($J162,Ruimtegroepen[],3,FALSE)*VLOOKUP($L162,Vloersoorten[],3,FALSE)*VLOOKUP($Y162,Frequenties[],3,FALSE)*VLOOKUP($A133,Locaties[],3,FALSE),0)</f>
        <v>0</v>
      </c>
      <c r="AB162" s="84">
        <f>Ruimtestaat[[#This Row],[Uitvoeringen weekend]]*Ruimtestaat[[#This Row],[Oppervlak (netto)]]</f>
        <v>0</v>
      </c>
      <c r="AC162" s="87">
        <f>IF(AB162&gt;0,Ruimtestaat[[#This Row],[Prest. (m2 /jaar) weekend]]/Ruimtestaat[[#This Row],[Norm (m2/uur) weekend]],0)</f>
        <v>0</v>
      </c>
      <c r="AD162" s="88">
        <f>Ruimtestaat[[#This Row],[uren / jaar weekend]]*Tariefsopbouw!$D$40</f>
        <v>0</v>
      </c>
      <c r="AE162" s="89">
        <f>Ruimtestaat[[#This Row],[Prest. (m2 /jaar) weekend]]+Ruimtestaat[[#This Row],[Prest. (m2 /jaar) werkdagen]]</f>
        <v>6800</v>
      </c>
      <c r="AF162" s="89">
        <f>Ruimtestaat[[#This Row],[uren / jaar weekend]]+Ruimtestaat[[#This Row],[uren / jaar werkdagen]]</f>
        <v>0</v>
      </c>
      <c r="AG162" s="90">
        <f>Ruimtestaat[[#This Row],[kosten / jaar weekend]]+Ruimtestaat[[#This Row],[kosten / jaar werkdagen]]</f>
        <v>0</v>
      </c>
      <c r="AH162" s="91"/>
      <c r="HL162" s="67"/>
    </row>
    <row r="163" spans="1:220" ht="15" customHeight="1">
      <c r="A163" s="53">
        <v>1</v>
      </c>
      <c r="B163" s="53" t="str">
        <f>VLOOKUP(Ruimtestaat[[#This Row],[Code]],Locaties[#All],2,FALSE)</f>
        <v>Ir. Lely Lyceum</v>
      </c>
      <c r="C163" s="53" t="str">
        <f>VLOOKUP(Ruimtestaat[[#This Row],[Code]],Locaties[#All],4,FALSE)</f>
        <v>Ravenswaaipad 3</v>
      </c>
      <c r="D163" s="53" t="str">
        <f>VLOOKUP(Ruimtestaat[[#This Row],[Code]],Locaties[#All],5,FALSE)</f>
        <v>1106 AW</v>
      </c>
      <c r="E163" s="53" t="str">
        <f>VLOOKUP(Ruimtestaat[[#This Row],[Code]],Locaties[#All],6,FALSE)</f>
        <v>Amsterdam</v>
      </c>
      <c r="F163" s="78" t="s">
        <v>540</v>
      </c>
      <c r="G163" s="53" t="s">
        <v>348</v>
      </c>
      <c r="H163" s="95" t="s">
        <v>530</v>
      </c>
      <c r="I163" s="23" t="s">
        <v>545</v>
      </c>
      <c r="J163" s="53">
        <v>2</v>
      </c>
      <c r="K163" s="78" t="str">
        <f>VLOOKUP(J163,Ruimtegroepen[],2,FALSE)</f>
        <v>Kantoren</v>
      </c>
      <c r="L163" s="53" t="s">
        <v>280</v>
      </c>
      <c r="M163" s="53" t="s">
        <v>353</v>
      </c>
      <c r="N163" s="79">
        <v>25.3</v>
      </c>
      <c r="O163" s="79"/>
      <c r="P163" s="80" t="str">
        <f>LEFT(VLOOKUP(Ruimtestaat[[#This Row],[Ruimte code]],Ruimtegroepen[#All],4,1),2)</f>
        <v xml:space="preserve">B </v>
      </c>
      <c r="Q163" s="80"/>
      <c r="R163" s="81">
        <v>40</v>
      </c>
      <c r="S163" s="81" t="s">
        <v>298</v>
      </c>
      <c r="T163" s="82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3" s="82">
        <f>IF(T163&gt;0,VLOOKUP($J163,Ruimtegroepen[],3,FALSE)*VLOOKUP($L163,Vloersoorten[],3,FALSE)*VLOOKUP($S163,Frequenties[],3,FALSE)*VLOOKUP($A163,Locaties[],3,FALSE),0)</f>
        <v>0</v>
      </c>
      <c r="V163" s="83">
        <f>Ruimtestaat[[#This Row],[Uitvoeringen werkdagen]]*Ruimtestaat[[#This Row],[Oppervlak (netto)]]</f>
        <v>5060</v>
      </c>
      <c r="W163" s="84">
        <f>IF(U163&gt;0,Ruimtestaat[[#This Row],[Prest. (m2 /jaar) werkdagen]]/Ruimtestaat[[#This Row],[Norm (m2/uur) werkdagen]],0)</f>
        <v>0</v>
      </c>
      <c r="X163" s="85">
        <f>Ruimtestaat[[#This Row],[uren / jaar werkdagen]]*Tariefsopbouw!$E$35</f>
        <v>0</v>
      </c>
      <c r="Y163" s="82"/>
      <c r="Z163" s="86">
        <f>IF(Ruimtestaat[[#This Row],[Frequentie weekend]]&gt;0,VALUE(LEFT(Y163,1))*R163,0)</f>
        <v>0</v>
      </c>
      <c r="AA163" s="82">
        <f>IF($Z163&gt;0,VLOOKUP($J163,Ruimtegroepen[],3,FALSE)*VLOOKUP($L163,Vloersoorten[],3,FALSE)*VLOOKUP($Y163,Frequenties[],3,FALSE)*VLOOKUP($A134,Locaties[],3,FALSE),0)</f>
        <v>0</v>
      </c>
      <c r="AB163" s="84">
        <f>Ruimtestaat[[#This Row],[Uitvoeringen weekend]]*Ruimtestaat[[#This Row],[Oppervlak (netto)]]</f>
        <v>0</v>
      </c>
      <c r="AC163" s="87">
        <f>IF(AB163&gt;0,Ruimtestaat[[#This Row],[Prest. (m2 /jaar) weekend]]/Ruimtestaat[[#This Row],[Norm (m2/uur) weekend]],0)</f>
        <v>0</v>
      </c>
      <c r="AD163" s="88">
        <f>Ruimtestaat[[#This Row],[uren / jaar weekend]]*Tariefsopbouw!$D$40</f>
        <v>0</v>
      </c>
      <c r="AE163" s="89">
        <f>Ruimtestaat[[#This Row],[Prest. (m2 /jaar) weekend]]+Ruimtestaat[[#This Row],[Prest. (m2 /jaar) werkdagen]]</f>
        <v>5060</v>
      </c>
      <c r="AF163" s="89">
        <f>Ruimtestaat[[#This Row],[uren / jaar weekend]]+Ruimtestaat[[#This Row],[uren / jaar werkdagen]]</f>
        <v>0</v>
      </c>
      <c r="AG163" s="90">
        <f>Ruimtestaat[[#This Row],[kosten / jaar weekend]]+Ruimtestaat[[#This Row],[kosten / jaar werkdagen]]</f>
        <v>0</v>
      </c>
      <c r="AH163" s="91"/>
      <c r="HL163" s="67"/>
    </row>
    <row r="164" spans="1:220" ht="15" customHeight="1">
      <c r="A164" s="53">
        <v>1</v>
      </c>
      <c r="B164" s="53" t="str">
        <f>VLOOKUP(Ruimtestaat[[#This Row],[Code]],Locaties[#All],2,FALSE)</f>
        <v>Ir. Lely Lyceum</v>
      </c>
      <c r="C164" s="53" t="str">
        <f>VLOOKUP(Ruimtestaat[[#This Row],[Code]],Locaties[#All],4,FALSE)</f>
        <v>Ravenswaaipad 3</v>
      </c>
      <c r="D164" s="53" t="str">
        <f>VLOOKUP(Ruimtestaat[[#This Row],[Code]],Locaties[#All],5,FALSE)</f>
        <v>1106 AW</v>
      </c>
      <c r="E164" s="53" t="str">
        <f>VLOOKUP(Ruimtestaat[[#This Row],[Code]],Locaties[#All],6,FALSE)</f>
        <v>Amsterdam</v>
      </c>
      <c r="F164" s="78" t="s">
        <v>540</v>
      </c>
      <c r="G164" s="53" t="s">
        <v>348</v>
      </c>
      <c r="H164" s="95" t="s">
        <v>546</v>
      </c>
      <c r="I164" s="23" t="s">
        <v>547</v>
      </c>
      <c r="J164" s="53">
        <v>5</v>
      </c>
      <c r="K164" s="78" t="str">
        <f>VLOOKUP(J164,Ruimtegroepen[],2,FALSE)</f>
        <v>Sanitair</v>
      </c>
      <c r="L164" s="53" t="s">
        <v>285</v>
      </c>
      <c r="M164" s="53" t="s">
        <v>370</v>
      </c>
      <c r="N164" s="79">
        <v>4.8</v>
      </c>
      <c r="O164" s="79"/>
      <c r="P164" s="80" t="str">
        <f>LEFT(VLOOKUP(Ruimtestaat[[#This Row],[Ruimte code]],Ruimtegroepen[#All],4,1),2)</f>
        <v xml:space="preserve">S </v>
      </c>
      <c r="Q164" s="80"/>
      <c r="R164" s="81">
        <v>40</v>
      </c>
      <c r="S164" s="81" t="s">
        <v>298</v>
      </c>
      <c r="T164" s="82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4" s="82">
        <f>IF(T164&gt;0,VLOOKUP($J164,Ruimtegroepen[],3,FALSE)*VLOOKUP($L164,Vloersoorten[],3,FALSE)*VLOOKUP($S164,Frequenties[],3,FALSE)*VLOOKUP($A164,Locaties[],3,FALSE),0)</f>
        <v>0</v>
      </c>
      <c r="V164" s="83">
        <f>Ruimtestaat[[#This Row],[Uitvoeringen werkdagen]]*Ruimtestaat[[#This Row],[Oppervlak (netto)]]</f>
        <v>960</v>
      </c>
      <c r="W164" s="84">
        <f>IF(U164&gt;0,Ruimtestaat[[#This Row],[Prest. (m2 /jaar) werkdagen]]/Ruimtestaat[[#This Row],[Norm (m2/uur) werkdagen]],0)</f>
        <v>0</v>
      </c>
      <c r="X164" s="85">
        <f>Ruimtestaat[[#This Row],[uren / jaar werkdagen]]*Tariefsopbouw!$E$35</f>
        <v>0</v>
      </c>
      <c r="Y164" s="82"/>
      <c r="Z164" s="86">
        <f>IF(Ruimtestaat[[#This Row],[Frequentie weekend]]&gt;0,VALUE(LEFT(Y164,1))*R164,0)</f>
        <v>0</v>
      </c>
      <c r="AA164" s="82">
        <f>IF($Z164&gt;0,VLOOKUP($J164,Ruimtegroepen[],3,FALSE)*VLOOKUP($L164,Vloersoorten[],3,FALSE)*VLOOKUP($Y164,Frequenties[],3,FALSE)*VLOOKUP($A135,Locaties[],3,FALSE),0)</f>
        <v>0</v>
      </c>
      <c r="AB164" s="84">
        <f>Ruimtestaat[[#This Row],[Uitvoeringen weekend]]*Ruimtestaat[[#This Row],[Oppervlak (netto)]]</f>
        <v>0</v>
      </c>
      <c r="AC164" s="87">
        <f>IF(AB164&gt;0,Ruimtestaat[[#This Row],[Prest. (m2 /jaar) weekend]]/Ruimtestaat[[#This Row],[Norm (m2/uur) weekend]],0)</f>
        <v>0</v>
      </c>
      <c r="AD164" s="88">
        <f>Ruimtestaat[[#This Row],[uren / jaar weekend]]*Tariefsopbouw!$D$40</f>
        <v>0</v>
      </c>
      <c r="AE164" s="89">
        <f>Ruimtestaat[[#This Row],[Prest. (m2 /jaar) weekend]]+Ruimtestaat[[#This Row],[Prest. (m2 /jaar) werkdagen]]</f>
        <v>960</v>
      </c>
      <c r="AF164" s="89">
        <f>Ruimtestaat[[#This Row],[uren / jaar weekend]]+Ruimtestaat[[#This Row],[uren / jaar werkdagen]]</f>
        <v>0</v>
      </c>
      <c r="AG164" s="90">
        <f>Ruimtestaat[[#This Row],[kosten / jaar weekend]]+Ruimtestaat[[#This Row],[kosten / jaar werkdagen]]</f>
        <v>0</v>
      </c>
      <c r="AH164" s="91"/>
      <c r="HL164" s="67"/>
    </row>
    <row r="165" spans="1:220" ht="15" customHeight="1">
      <c r="A165" s="53">
        <v>1</v>
      </c>
      <c r="B165" s="53" t="str">
        <f>VLOOKUP(Ruimtestaat[[#This Row],[Code]],Locaties[#All],2,FALSE)</f>
        <v>Ir. Lely Lyceum</v>
      </c>
      <c r="C165" s="53" t="str">
        <f>VLOOKUP(Ruimtestaat[[#This Row],[Code]],Locaties[#All],4,FALSE)</f>
        <v>Ravenswaaipad 3</v>
      </c>
      <c r="D165" s="53" t="str">
        <f>VLOOKUP(Ruimtestaat[[#This Row],[Code]],Locaties[#All],5,FALSE)</f>
        <v>1106 AW</v>
      </c>
      <c r="E165" s="53" t="str">
        <f>VLOOKUP(Ruimtestaat[[#This Row],[Code]],Locaties[#All],6,FALSE)</f>
        <v>Amsterdam</v>
      </c>
      <c r="F165" s="78" t="s">
        <v>540</v>
      </c>
      <c r="G165" s="53" t="s">
        <v>348</v>
      </c>
      <c r="H165" s="95" t="s">
        <v>531</v>
      </c>
      <c r="I165" s="23" t="s">
        <v>544</v>
      </c>
      <c r="J165" s="53">
        <v>19</v>
      </c>
      <c r="K165" s="78" t="str">
        <f>VLOOKUP(J165,Ruimtegroepen[],2,FALSE)</f>
        <v>Kleedruimten</v>
      </c>
      <c r="L165" s="53" t="s">
        <v>285</v>
      </c>
      <c r="M165" s="53" t="s">
        <v>370</v>
      </c>
      <c r="N165" s="79">
        <v>34</v>
      </c>
      <c r="O165" s="79"/>
      <c r="P165" s="80" t="str">
        <f>LEFT(VLOOKUP(Ruimtestaat[[#This Row],[Ruimte code]],Ruimtegroepen[#All],4,1),2)</f>
        <v xml:space="preserve">V </v>
      </c>
      <c r="Q165" s="80"/>
      <c r="R165" s="81">
        <v>40</v>
      </c>
      <c r="S165" s="81" t="s">
        <v>298</v>
      </c>
      <c r="T165" s="82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5" s="82">
        <f>IF(T165&gt;0,VLOOKUP($J165,Ruimtegroepen[],3,FALSE)*VLOOKUP($L165,Vloersoorten[],3,FALSE)*VLOOKUP($S165,Frequenties[],3,FALSE)*VLOOKUP($A165,Locaties[],3,FALSE),0)</f>
        <v>0</v>
      </c>
      <c r="V165" s="83">
        <f>Ruimtestaat[[#This Row],[Uitvoeringen werkdagen]]*Ruimtestaat[[#This Row],[Oppervlak (netto)]]</f>
        <v>6800</v>
      </c>
      <c r="W165" s="84">
        <f>IF(U165&gt;0,Ruimtestaat[[#This Row],[Prest. (m2 /jaar) werkdagen]]/Ruimtestaat[[#This Row],[Norm (m2/uur) werkdagen]],0)</f>
        <v>0</v>
      </c>
      <c r="X165" s="85">
        <f>Ruimtestaat[[#This Row],[uren / jaar werkdagen]]*Tariefsopbouw!$E$35</f>
        <v>0</v>
      </c>
      <c r="Y165" s="82"/>
      <c r="Z165" s="86">
        <f>IF(Ruimtestaat[[#This Row],[Frequentie weekend]]&gt;0,VALUE(LEFT(Y165,1))*R165,0)</f>
        <v>0</v>
      </c>
      <c r="AA165" s="82">
        <f>IF($Z165&gt;0,VLOOKUP($J165,Ruimtegroepen[],3,FALSE)*VLOOKUP($L165,Vloersoorten[],3,FALSE)*VLOOKUP($Y165,Frequenties[],3,FALSE)*VLOOKUP($A136,Locaties[],3,FALSE),0)</f>
        <v>0</v>
      </c>
      <c r="AB165" s="84">
        <f>Ruimtestaat[[#This Row],[Uitvoeringen weekend]]*Ruimtestaat[[#This Row],[Oppervlak (netto)]]</f>
        <v>0</v>
      </c>
      <c r="AC165" s="87">
        <f>IF(AB165&gt;0,Ruimtestaat[[#This Row],[Prest. (m2 /jaar) weekend]]/Ruimtestaat[[#This Row],[Norm (m2/uur) weekend]],0)</f>
        <v>0</v>
      </c>
      <c r="AD165" s="88">
        <f>Ruimtestaat[[#This Row],[uren / jaar weekend]]*Tariefsopbouw!$D$40</f>
        <v>0</v>
      </c>
      <c r="AE165" s="89">
        <f>Ruimtestaat[[#This Row],[Prest. (m2 /jaar) weekend]]+Ruimtestaat[[#This Row],[Prest. (m2 /jaar) werkdagen]]</f>
        <v>6800</v>
      </c>
      <c r="AF165" s="89">
        <f>Ruimtestaat[[#This Row],[uren / jaar weekend]]+Ruimtestaat[[#This Row],[uren / jaar werkdagen]]</f>
        <v>0</v>
      </c>
      <c r="AG165" s="90">
        <f>Ruimtestaat[[#This Row],[kosten / jaar weekend]]+Ruimtestaat[[#This Row],[kosten / jaar werkdagen]]</f>
        <v>0</v>
      </c>
      <c r="AH165" s="91"/>
      <c r="HL165" s="67"/>
    </row>
    <row r="166" spans="1:220" ht="15" customHeight="1">
      <c r="A166" s="53">
        <v>1</v>
      </c>
      <c r="B166" s="53" t="str">
        <f>VLOOKUP(Ruimtestaat[[#This Row],[Code]],Locaties[#All],2,FALSE)</f>
        <v>Ir. Lely Lyceum</v>
      </c>
      <c r="C166" s="53" t="str">
        <f>VLOOKUP(Ruimtestaat[[#This Row],[Code]],Locaties[#All],4,FALSE)</f>
        <v>Ravenswaaipad 3</v>
      </c>
      <c r="D166" s="53" t="str">
        <f>VLOOKUP(Ruimtestaat[[#This Row],[Code]],Locaties[#All],5,FALSE)</f>
        <v>1106 AW</v>
      </c>
      <c r="E166" s="53" t="str">
        <f>VLOOKUP(Ruimtestaat[[#This Row],[Code]],Locaties[#All],6,FALSE)</f>
        <v>Amsterdam</v>
      </c>
      <c r="F166" s="78" t="s">
        <v>540</v>
      </c>
      <c r="G166" s="53" t="s">
        <v>348</v>
      </c>
      <c r="H166" s="95" t="s">
        <v>533</v>
      </c>
      <c r="I166" s="23" t="s">
        <v>544</v>
      </c>
      <c r="J166" s="53">
        <v>19</v>
      </c>
      <c r="K166" s="78" t="str">
        <f>VLOOKUP(J166,Ruimtegroepen[],2,FALSE)</f>
        <v>Kleedruimten</v>
      </c>
      <c r="L166" s="53" t="s">
        <v>285</v>
      </c>
      <c r="M166" s="53" t="s">
        <v>370</v>
      </c>
      <c r="N166" s="79">
        <v>34</v>
      </c>
      <c r="O166" s="79"/>
      <c r="P166" s="80" t="str">
        <f>LEFT(VLOOKUP(Ruimtestaat[[#This Row],[Ruimte code]],Ruimtegroepen[#All],4,1),2)</f>
        <v xml:space="preserve">V </v>
      </c>
      <c r="Q166" s="80"/>
      <c r="R166" s="81">
        <v>40</v>
      </c>
      <c r="S166" s="81" t="s">
        <v>298</v>
      </c>
      <c r="T166" s="82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6" s="82">
        <f>IF(T166&gt;0,VLOOKUP($J166,Ruimtegroepen[],3,FALSE)*VLOOKUP($L166,Vloersoorten[],3,FALSE)*VLOOKUP($S166,Frequenties[],3,FALSE)*VLOOKUP($A166,Locaties[],3,FALSE),0)</f>
        <v>0</v>
      </c>
      <c r="V166" s="83">
        <f>Ruimtestaat[[#This Row],[Uitvoeringen werkdagen]]*Ruimtestaat[[#This Row],[Oppervlak (netto)]]</f>
        <v>6800</v>
      </c>
      <c r="W166" s="84">
        <f>IF(U166&gt;0,Ruimtestaat[[#This Row],[Prest. (m2 /jaar) werkdagen]]/Ruimtestaat[[#This Row],[Norm (m2/uur) werkdagen]],0)</f>
        <v>0</v>
      </c>
      <c r="X166" s="85">
        <f>Ruimtestaat[[#This Row],[uren / jaar werkdagen]]*Tariefsopbouw!$E$35</f>
        <v>0</v>
      </c>
      <c r="Y166" s="82"/>
      <c r="Z166" s="86">
        <f>IF(Ruimtestaat[[#This Row],[Frequentie weekend]]&gt;0,VALUE(LEFT(Y166,1))*R166,0)</f>
        <v>0</v>
      </c>
      <c r="AA166" s="82">
        <f>IF($Z166&gt;0,VLOOKUP($J166,Ruimtegroepen[],3,FALSE)*VLOOKUP($L166,Vloersoorten[],3,FALSE)*VLOOKUP($Y166,Frequenties[],3,FALSE)*VLOOKUP($A137,Locaties[],3,FALSE),0)</f>
        <v>0</v>
      </c>
      <c r="AB166" s="84">
        <f>Ruimtestaat[[#This Row],[Uitvoeringen weekend]]*Ruimtestaat[[#This Row],[Oppervlak (netto)]]</f>
        <v>0</v>
      </c>
      <c r="AC166" s="87">
        <f>IF(AB166&gt;0,Ruimtestaat[[#This Row],[Prest. (m2 /jaar) weekend]]/Ruimtestaat[[#This Row],[Norm (m2/uur) weekend]],0)</f>
        <v>0</v>
      </c>
      <c r="AD166" s="88">
        <f>Ruimtestaat[[#This Row],[uren / jaar weekend]]*Tariefsopbouw!$D$40</f>
        <v>0</v>
      </c>
      <c r="AE166" s="89">
        <f>Ruimtestaat[[#This Row],[Prest. (m2 /jaar) weekend]]+Ruimtestaat[[#This Row],[Prest. (m2 /jaar) werkdagen]]</f>
        <v>6800</v>
      </c>
      <c r="AF166" s="89">
        <f>Ruimtestaat[[#This Row],[uren / jaar weekend]]+Ruimtestaat[[#This Row],[uren / jaar werkdagen]]</f>
        <v>0</v>
      </c>
      <c r="AG166" s="90">
        <f>Ruimtestaat[[#This Row],[kosten / jaar weekend]]+Ruimtestaat[[#This Row],[kosten / jaar werkdagen]]</f>
        <v>0</v>
      </c>
      <c r="AH166" s="91"/>
      <c r="HL166" s="67"/>
    </row>
    <row r="167" spans="1:220" ht="15" customHeight="1">
      <c r="A167" s="53">
        <v>1</v>
      </c>
      <c r="B167" s="53" t="str">
        <f>VLOOKUP(Ruimtestaat[[#This Row],[Code]],Locaties[#All],2,FALSE)</f>
        <v>Ir. Lely Lyceum</v>
      </c>
      <c r="C167" s="53" t="str">
        <f>VLOOKUP(Ruimtestaat[[#This Row],[Code]],Locaties[#All],4,FALSE)</f>
        <v>Ravenswaaipad 3</v>
      </c>
      <c r="D167" s="53" t="str">
        <f>VLOOKUP(Ruimtestaat[[#This Row],[Code]],Locaties[#All],5,FALSE)</f>
        <v>1106 AW</v>
      </c>
      <c r="E167" s="53" t="str">
        <f>VLOOKUP(Ruimtestaat[[#This Row],[Code]],Locaties[#All],6,FALSE)</f>
        <v>Amsterdam</v>
      </c>
      <c r="F167" s="78" t="s">
        <v>540</v>
      </c>
      <c r="G167" s="53" t="s">
        <v>348</v>
      </c>
      <c r="H167" s="95" t="s">
        <v>535</v>
      </c>
      <c r="I167" s="23" t="s">
        <v>544</v>
      </c>
      <c r="J167" s="53">
        <v>19</v>
      </c>
      <c r="K167" s="78" t="str">
        <f>VLOOKUP(J167,Ruimtegroepen[],2,FALSE)</f>
        <v>Kleedruimten</v>
      </c>
      <c r="L167" s="53" t="s">
        <v>285</v>
      </c>
      <c r="M167" s="53" t="s">
        <v>370</v>
      </c>
      <c r="N167" s="79">
        <v>34</v>
      </c>
      <c r="O167" s="79"/>
      <c r="P167" s="80" t="str">
        <f>LEFT(VLOOKUP(Ruimtestaat[[#This Row],[Ruimte code]],Ruimtegroepen[#All],4,1),2)</f>
        <v xml:space="preserve">V </v>
      </c>
      <c r="Q167" s="80"/>
      <c r="R167" s="81">
        <v>40</v>
      </c>
      <c r="S167" s="81" t="s">
        <v>298</v>
      </c>
      <c r="T167" s="82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7" s="82">
        <f>IF(T167&gt;0,VLOOKUP($J167,Ruimtegroepen[],3,FALSE)*VLOOKUP($L167,Vloersoorten[],3,FALSE)*VLOOKUP($S167,Frequenties[],3,FALSE)*VLOOKUP($A167,Locaties[],3,FALSE),0)</f>
        <v>0</v>
      </c>
      <c r="V167" s="83">
        <f>Ruimtestaat[[#This Row],[Uitvoeringen werkdagen]]*Ruimtestaat[[#This Row],[Oppervlak (netto)]]</f>
        <v>6800</v>
      </c>
      <c r="W167" s="84">
        <f>IF(U167&gt;0,Ruimtestaat[[#This Row],[Prest. (m2 /jaar) werkdagen]]/Ruimtestaat[[#This Row],[Norm (m2/uur) werkdagen]],0)</f>
        <v>0</v>
      </c>
      <c r="X167" s="85">
        <f>Ruimtestaat[[#This Row],[uren / jaar werkdagen]]*Tariefsopbouw!$E$35</f>
        <v>0</v>
      </c>
      <c r="Y167" s="82"/>
      <c r="Z167" s="86">
        <f>IF(Ruimtestaat[[#This Row],[Frequentie weekend]]&gt;0,VALUE(LEFT(Y167,1))*R167,0)</f>
        <v>0</v>
      </c>
      <c r="AA167" s="82">
        <f>IF($Z167&gt;0,VLOOKUP($J167,Ruimtegroepen[],3,FALSE)*VLOOKUP($L167,Vloersoorten[],3,FALSE)*VLOOKUP($Y167,Frequenties[],3,FALSE)*VLOOKUP($A138,Locaties[],3,FALSE),0)</f>
        <v>0</v>
      </c>
      <c r="AB167" s="84">
        <f>Ruimtestaat[[#This Row],[Uitvoeringen weekend]]*Ruimtestaat[[#This Row],[Oppervlak (netto)]]</f>
        <v>0</v>
      </c>
      <c r="AC167" s="87">
        <f>IF(AB167&gt;0,Ruimtestaat[[#This Row],[Prest. (m2 /jaar) weekend]]/Ruimtestaat[[#This Row],[Norm (m2/uur) weekend]],0)</f>
        <v>0</v>
      </c>
      <c r="AD167" s="88">
        <f>Ruimtestaat[[#This Row],[uren / jaar weekend]]*Tariefsopbouw!$D$40</f>
        <v>0</v>
      </c>
      <c r="AE167" s="89">
        <f>Ruimtestaat[[#This Row],[Prest. (m2 /jaar) weekend]]+Ruimtestaat[[#This Row],[Prest. (m2 /jaar) werkdagen]]</f>
        <v>6800</v>
      </c>
      <c r="AF167" s="89">
        <f>Ruimtestaat[[#This Row],[uren / jaar weekend]]+Ruimtestaat[[#This Row],[uren / jaar werkdagen]]</f>
        <v>0</v>
      </c>
      <c r="AG167" s="90">
        <f>Ruimtestaat[[#This Row],[kosten / jaar weekend]]+Ruimtestaat[[#This Row],[kosten / jaar werkdagen]]</f>
        <v>0</v>
      </c>
      <c r="AH167" s="91"/>
      <c r="HL167" s="67"/>
    </row>
    <row r="168" spans="1:220" ht="15" customHeight="1">
      <c r="A168" s="53">
        <v>1</v>
      </c>
      <c r="B168" s="53" t="str">
        <f>VLOOKUP(Ruimtestaat[[#This Row],[Code]],Locaties[#All],2,FALSE)</f>
        <v>Ir. Lely Lyceum</v>
      </c>
      <c r="C168" s="53" t="str">
        <f>VLOOKUP(Ruimtestaat[[#This Row],[Code]],Locaties[#All],4,FALSE)</f>
        <v>Ravenswaaipad 3</v>
      </c>
      <c r="D168" s="53" t="str">
        <f>VLOOKUP(Ruimtestaat[[#This Row],[Code]],Locaties[#All],5,FALSE)</f>
        <v>1106 AW</v>
      </c>
      <c r="E168" s="53" t="str">
        <f>VLOOKUP(Ruimtestaat[[#This Row],[Code]],Locaties[#All],6,FALSE)</f>
        <v>Amsterdam</v>
      </c>
      <c r="F168" s="78" t="s">
        <v>540</v>
      </c>
      <c r="G168" s="53" t="s">
        <v>348</v>
      </c>
      <c r="H168" s="95" t="s">
        <v>537</v>
      </c>
      <c r="I168" s="23" t="s">
        <v>544</v>
      </c>
      <c r="J168" s="53">
        <v>19</v>
      </c>
      <c r="K168" s="78" t="str">
        <f>VLOOKUP(J168,Ruimtegroepen[],2,FALSE)</f>
        <v>Kleedruimten</v>
      </c>
      <c r="L168" s="53" t="s">
        <v>285</v>
      </c>
      <c r="M168" s="53" t="s">
        <v>370</v>
      </c>
      <c r="N168" s="79">
        <v>34</v>
      </c>
      <c r="O168" s="79"/>
      <c r="P168" s="80" t="str">
        <f>LEFT(VLOOKUP(Ruimtestaat[[#This Row],[Ruimte code]],Ruimtegroepen[#All],4,1),2)</f>
        <v xml:space="preserve">V </v>
      </c>
      <c r="Q168" s="80"/>
      <c r="R168" s="81">
        <v>40</v>
      </c>
      <c r="S168" s="81" t="s">
        <v>298</v>
      </c>
      <c r="T168" s="82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8" s="82">
        <f>IF(T168&gt;0,VLOOKUP($J168,Ruimtegroepen[],3,FALSE)*VLOOKUP($L168,Vloersoorten[],3,FALSE)*VLOOKUP($S168,Frequenties[],3,FALSE)*VLOOKUP($A168,Locaties[],3,FALSE),0)</f>
        <v>0</v>
      </c>
      <c r="V168" s="83">
        <f>Ruimtestaat[[#This Row],[Uitvoeringen werkdagen]]*Ruimtestaat[[#This Row],[Oppervlak (netto)]]</f>
        <v>6800</v>
      </c>
      <c r="W168" s="84">
        <f>IF(U168&gt;0,Ruimtestaat[[#This Row],[Prest. (m2 /jaar) werkdagen]]/Ruimtestaat[[#This Row],[Norm (m2/uur) werkdagen]],0)</f>
        <v>0</v>
      </c>
      <c r="X168" s="85">
        <f>Ruimtestaat[[#This Row],[uren / jaar werkdagen]]*Tariefsopbouw!$E$35</f>
        <v>0</v>
      </c>
      <c r="Y168" s="82"/>
      <c r="Z168" s="86">
        <f>IF(Ruimtestaat[[#This Row],[Frequentie weekend]]&gt;0,VALUE(LEFT(Y168,1))*R168,0)</f>
        <v>0</v>
      </c>
      <c r="AA168" s="82">
        <f>IF($Z168&gt;0,VLOOKUP($J168,Ruimtegroepen[],3,FALSE)*VLOOKUP($L168,Vloersoorten[],3,FALSE)*VLOOKUP($Y168,Frequenties[],3,FALSE)*VLOOKUP($A139,Locaties[],3,FALSE),0)</f>
        <v>0</v>
      </c>
      <c r="AB168" s="84">
        <f>Ruimtestaat[[#This Row],[Uitvoeringen weekend]]*Ruimtestaat[[#This Row],[Oppervlak (netto)]]</f>
        <v>0</v>
      </c>
      <c r="AC168" s="87">
        <f>IF(AB168&gt;0,Ruimtestaat[[#This Row],[Prest. (m2 /jaar) weekend]]/Ruimtestaat[[#This Row],[Norm (m2/uur) weekend]],0)</f>
        <v>0</v>
      </c>
      <c r="AD168" s="88">
        <f>Ruimtestaat[[#This Row],[uren / jaar weekend]]*Tariefsopbouw!$D$40</f>
        <v>0</v>
      </c>
      <c r="AE168" s="89">
        <f>Ruimtestaat[[#This Row],[Prest. (m2 /jaar) weekend]]+Ruimtestaat[[#This Row],[Prest. (m2 /jaar) werkdagen]]</f>
        <v>6800</v>
      </c>
      <c r="AF168" s="89">
        <f>Ruimtestaat[[#This Row],[uren / jaar weekend]]+Ruimtestaat[[#This Row],[uren / jaar werkdagen]]</f>
        <v>0</v>
      </c>
      <c r="AG168" s="90">
        <f>Ruimtestaat[[#This Row],[kosten / jaar weekend]]+Ruimtestaat[[#This Row],[kosten / jaar werkdagen]]</f>
        <v>0</v>
      </c>
      <c r="AH168" s="91"/>
      <c r="HL168" s="67"/>
    </row>
    <row r="169" spans="1:220" ht="15" customHeight="1">
      <c r="A169" s="53">
        <v>1</v>
      </c>
      <c r="B169" s="53" t="str">
        <f>VLOOKUP(Ruimtestaat[[#This Row],[Code]],Locaties[#All],2,FALSE)</f>
        <v>Ir. Lely Lyceum</v>
      </c>
      <c r="C169" s="53" t="str">
        <f>VLOOKUP(Ruimtestaat[[#This Row],[Code]],Locaties[#All],4,FALSE)</f>
        <v>Ravenswaaipad 3</v>
      </c>
      <c r="D169" s="53" t="str">
        <f>VLOOKUP(Ruimtestaat[[#This Row],[Code]],Locaties[#All],5,FALSE)</f>
        <v>1106 AW</v>
      </c>
      <c r="E169" s="53" t="str">
        <f>VLOOKUP(Ruimtestaat[[#This Row],[Code]],Locaties[#All],6,FALSE)</f>
        <v>Amsterdam</v>
      </c>
      <c r="F169" s="78" t="s">
        <v>540</v>
      </c>
      <c r="G169" s="53" t="s">
        <v>450</v>
      </c>
      <c r="H169" s="95" t="s">
        <v>548</v>
      </c>
      <c r="I169" s="23" t="s">
        <v>378</v>
      </c>
      <c r="J169" s="53">
        <v>10</v>
      </c>
      <c r="K169" s="78" t="str">
        <f>VLOOKUP(J169,Ruimtegroepen[],2,FALSE)</f>
        <v>Trappenhuizen/lift</v>
      </c>
      <c r="L169" s="53" t="s">
        <v>280</v>
      </c>
      <c r="M169" s="53" t="s">
        <v>353</v>
      </c>
      <c r="N169" s="79">
        <v>51.5</v>
      </c>
      <c r="O169" s="79"/>
      <c r="P169" s="80" t="str">
        <f>LEFT(VLOOKUP(Ruimtestaat[[#This Row],[Ruimte code]],Ruimtegroepen[#All],4,1),2)</f>
        <v xml:space="preserve">V </v>
      </c>
      <c r="Q169" s="80"/>
      <c r="R169" s="81">
        <v>40</v>
      </c>
      <c r="S169" s="81" t="s">
        <v>298</v>
      </c>
      <c r="T169" s="82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69" s="82">
        <f>IF(T169&gt;0,VLOOKUP($J169,Ruimtegroepen[],3,FALSE)*VLOOKUP($L169,Vloersoorten[],3,FALSE)*VLOOKUP($S169,Frequenties[],3,FALSE)*VLOOKUP($A169,Locaties[],3,FALSE),0)</f>
        <v>0</v>
      </c>
      <c r="V169" s="83">
        <f>Ruimtestaat[[#This Row],[Uitvoeringen werkdagen]]*Ruimtestaat[[#This Row],[Oppervlak (netto)]]</f>
        <v>10300</v>
      </c>
      <c r="W169" s="84">
        <f>IF(U169&gt;0,Ruimtestaat[[#This Row],[Prest. (m2 /jaar) werkdagen]]/Ruimtestaat[[#This Row],[Norm (m2/uur) werkdagen]],0)</f>
        <v>0</v>
      </c>
      <c r="X169" s="85">
        <f>Ruimtestaat[[#This Row],[uren / jaar werkdagen]]*Tariefsopbouw!$E$35</f>
        <v>0</v>
      </c>
      <c r="Y169" s="82"/>
      <c r="Z169" s="86">
        <f>IF(Ruimtestaat[[#This Row],[Frequentie weekend]]&gt;0,VALUE(LEFT(Y169,1))*R169,0)</f>
        <v>0</v>
      </c>
      <c r="AA169" s="82">
        <f>IF($Z169&gt;0,VLOOKUP($J169,Ruimtegroepen[],3,FALSE)*VLOOKUP($L169,Vloersoorten[],3,FALSE)*VLOOKUP($Y169,Frequenties[],3,FALSE)*VLOOKUP($A140,Locaties[],3,FALSE),0)</f>
        <v>0</v>
      </c>
      <c r="AB169" s="84">
        <f>Ruimtestaat[[#This Row],[Uitvoeringen weekend]]*Ruimtestaat[[#This Row],[Oppervlak (netto)]]</f>
        <v>0</v>
      </c>
      <c r="AC169" s="87">
        <f>IF(AB169&gt;0,Ruimtestaat[[#This Row],[Prest. (m2 /jaar) weekend]]/Ruimtestaat[[#This Row],[Norm (m2/uur) weekend]],0)</f>
        <v>0</v>
      </c>
      <c r="AD169" s="88">
        <f>Ruimtestaat[[#This Row],[uren / jaar weekend]]*Tariefsopbouw!$D$40</f>
        <v>0</v>
      </c>
      <c r="AE169" s="89">
        <f>Ruimtestaat[[#This Row],[Prest. (m2 /jaar) weekend]]+Ruimtestaat[[#This Row],[Prest. (m2 /jaar) werkdagen]]</f>
        <v>10300</v>
      </c>
      <c r="AF169" s="89">
        <f>Ruimtestaat[[#This Row],[uren / jaar weekend]]+Ruimtestaat[[#This Row],[uren / jaar werkdagen]]</f>
        <v>0</v>
      </c>
      <c r="AG169" s="90">
        <f>Ruimtestaat[[#This Row],[kosten / jaar weekend]]+Ruimtestaat[[#This Row],[kosten / jaar werkdagen]]</f>
        <v>0</v>
      </c>
      <c r="AH169" s="91"/>
      <c r="HL169" s="67"/>
    </row>
    <row r="170" spans="1:220" ht="15" customHeight="1">
      <c r="A170" s="53">
        <v>1</v>
      </c>
      <c r="B170" s="53" t="str">
        <f>VLOOKUP(Ruimtestaat[[#This Row],[Code]],Locaties[#All],2,FALSE)</f>
        <v>Ir. Lely Lyceum</v>
      </c>
      <c r="C170" s="53" t="str">
        <f>VLOOKUP(Ruimtestaat[[#This Row],[Code]],Locaties[#All],4,FALSE)</f>
        <v>Ravenswaaipad 3</v>
      </c>
      <c r="D170" s="53" t="str">
        <f>VLOOKUP(Ruimtestaat[[#This Row],[Code]],Locaties[#All],5,FALSE)</f>
        <v>1106 AW</v>
      </c>
      <c r="E170" s="53" t="str">
        <f>VLOOKUP(Ruimtestaat[[#This Row],[Code]],Locaties[#All],6,FALSE)</f>
        <v>Amsterdam</v>
      </c>
      <c r="F170" s="78" t="s">
        <v>540</v>
      </c>
      <c r="G170" s="53" t="s">
        <v>450</v>
      </c>
      <c r="H170" s="95" t="s">
        <v>451</v>
      </c>
      <c r="I170" s="23" t="s">
        <v>549</v>
      </c>
      <c r="J170" s="53">
        <v>5</v>
      </c>
      <c r="K170" s="78" t="str">
        <f>VLOOKUP(J170,Ruimtegroepen[],2,FALSE)</f>
        <v>Sanitair</v>
      </c>
      <c r="L170" s="53" t="s">
        <v>285</v>
      </c>
      <c r="M170" s="53" t="s">
        <v>370</v>
      </c>
      <c r="N170" s="79">
        <v>13</v>
      </c>
      <c r="O170" s="79"/>
      <c r="P170" s="80" t="str">
        <f>LEFT(VLOOKUP(Ruimtestaat[[#This Row],[Ruimte code]],Ruimtegroepen[#All],4,1),2)</f>
        <v xml:space="preserve">S </v>
      </c>
      <c r="Q170" s="80"/>
      <c r="R170" s="81">
        <v>40</v>
      </c>
      <c r="S170" s="81" t="s">
        <v>298</v>
      </c>
      <c r="T170" s="82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0" s="82">
        <f>IF(T170&gt;0,VLOOKUP($J170,Ruimtegroepen[],3,FALSE)*VLOOKUP($L170,Vloersoorten[],3,FALSE)*VLOOKUP($S170,Frequenties[],3,FALSE)*VLOOKUP($A170,Locaties[],3,FALSE),0)</f>
        <v>0</v>
      </c>
      <c r="V170" s="83">
        <f>Ruimtestaat[[#This Row],[Uitvoeringen werkdagen]]*Ruimtestaat[[#This Row],[Oppervlak (netto)]]</f>
        <v>2600</v>
      </c>
      <c r="W170" s="84">
        <f>IF(U170&gt;0,Ruimtestaat[[#This Row],[Prest. (m2 /jaar) werkdagen]]/Ruimtestaat[[#This Row],[Norm (m2/uur) werkdagen]],0)</f>
        <v>0</v>
      </c>
      <c r="X170" s="85">
        <f>Ruimtestaat[[#This Row],[uren / jaar werkdagen]]*Tariefsopbouw!$E$35</f>
        <v>0</v>
      </c>
      <c r="Y170" s="82"/>
      <c r="Z170" s="86">
        <f>IF(Ruimtestaat[[#This Row],[Frequentie weekend]]&gt;0,VALUE(LEFT(Y170,1))*R170,0)</f>
        <v>0</v>
      </c>
      <c r="AA170" s="82">
        <f>IF($Z170&gt;0,VLOOKUP($J170,Ruimtegroepen[],3,FALSE)*VLOOKUP($L170,Vloersoorten[],3,FALSE)*VLOOKUP($Y170,Frequenties[],3,FALSE)*VLOOKUP($A141,Locaties[],3,FALSE),0)</f>
        <v>0</v>
      </c>
      <c r="AB170" s="84">
        <f>Ruimtestaat[[#This Row],[Uitvoeringen weekend]]*Ruimtestaat[[#This Row],[Oppervlak (netto)]]</f>
        <v>0</v>
      </c>
      <c r="AC170" s="87">
        <f>IF(AB170&gt;0,Ruimtestaat[[#This Row],[Prest. (m2 /jaar) weekend]]/Ruimtestaat[[#This Row],[Norm (m2/uur) weekend]],0)</f>
        <v>0</v>
      </c>
      <c r="AD170" s="88">
        <f>Ruimtestaat[[#This Row],[uren / jaar weekend]]*Tariefsopbouw!$D$40</f>
        <v>0</v>
      </c>
      <c r="AE170" s="89">
        <f>Ruimtestaat[[#This Row],[Prest. (m2 /jaar) weekend]]+Ruimtestaat[[#This Row],[Prest. (m2 /jaar) werkdagen]]</f>
        <v>2600</v>
      </c>
      <c r="AF170" s="89">
        <f>Ruimtestaat[[#This Row],[uren / jaar weekend]]+Ruimtestaat[[#This Row],[uren / jaar werkdagen]]</f>
        <v>0</v>
      </c>
      <c r="AG170" s="90">
        <f>Ruimtestaat[[#This Row],[kosten / jaar weekend]]+Ruimtestaat[[#This Row],[kosten / jaar werkdagen]]</f>
        <v>0</v>
      </c>
      <c r="AH170" s="91"/>
      <c r="HL170" s="67"/>
    </row>
    <row r="171" spans="1:220" ht="15" customHeight="1">
      <c r="A171" s="53">
        <v>1</v>
      </c>
      <c r="B171" s="53" t="str">
        <f>VLOOKUP(Ruimtestaat[[#This Row],[Code]],Locaties[#All],2,FALSE)</f>
        <v>Ir. Lely Lyceum</v>
      </c>
      <c r="C171" s="53" t="str">
        <f>VLOOKUP(Ruimtestaat[[#This Row],[Code]],Locaties[#All],4,FALSE)</f>
        <v>Ravenswaaipad 3</v>
      </c>
      <c r="D171" s="53" t="str">
        <f>VLOOKUP(Ruimtestaat[[#This Row],[Code]],Locaties[#All],5,FALSE)</f>
        <v>1106 AW</v>
      </c>
      <c r="E171" s="53" t="str">
        <f>VLOOKUP(Ruimtestaat[[#This Row],[Code]],Locaties[#All],6,FALSE)</f>
        <v>Amsterdam</v>
      </c>
      <c r="F171" s="78" t="s">
        <v>540</v>
      </c>
      <c r="G171" s="53" t="s">
        <v>450</v>
      </c>
      <c r="H171" s="95" t="s">
        <v>452</v>
      </c>
      <c r="I171" s="23" t="s">
        <v>549</v>
      </c>
      <c r="J171" s="53">
        <v>5</v>
      </c>
      <c r="K171" s="78" t="str">
        <f>VLOOKUP(J171,Ruimtegroepen[],2,FALSE)</f>
        <v>Sanitair</v>
      </c>
      <c r="L171" s="53" t="s">
        <v>285</v>
      </c>
      <c r="M171" s="53" t="s">
        <v>370</v>
      </c>
      <c r="N171" s="79">
        <v>9.6999999999999993</v>
      </c>
      <c r="O171" s="79"/>
      <c r="P171" s="80" t="str">
        <f>LEFT(VLOOKUP(Ruimtestaat[[#This Row],[Ruimte code]],Ruimtegroepen[#All],4,1),2)</f>
        <v xml:space="preserve">S </v>
      </c>
      <c r="Q171" s="80"/>
      <c r="R171" s="81">
        <v>40</v>
      </c>
      <c r="S171" s="81" t="s">
        <v>298</v>
      </c>
      <c r="T171" s="82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1" s="82">
        <f>IF(T171&gt;0,VLOOKUP($J171,Ruimtegroepen[],3,FALSE)*VLOOKUP($L171,Vloersoorten[],3,FALSE)*VLOOKUP($S171,Frequenties[],3,FALSE)*VLOOKUP($A171,Locaties[],3,FALSE),0)</f>
        <v>0</v>
      </c>
      <c r="V171" s="83">
        <f>Ruimtestaat[[#This Row],[Uitvoeringen werkdagen]]*Ruimtestaat[[#This Row],[Oppervlak (netto)]]</f>
        <v>1939.9999999999998</v>
      </c>
      <c r="W171" s="84">
        <f>IF(U171&gt;0,Ruimtestaat[[#This Row],[Prest. (m2 /jaar) werkdagen]]/Ruimtestaat[[#This Row],[Norm (m2/uur) werkdagen]],0)</f>
        <v>0</v>
      </c>
      <c r="X171" s="85">
        <f>Ruimtestaat[[#This Row],[uren / jaar werkdagen]]*Tariefsopbouw!$E$35</f>
        <v>0</v>
      </c>
      <c r="Y171" s="82"/>
      <c r="Z171" s="86">
        <f>IF(Ruimtestaat[[#This Row],[Frequentie weekend]]&gt;0,VALUE(LEFT(Y171,1))*R171,0)</f>
        <v>0</v>
      </c>
      <c r="AA171" s="82">
        <f>IF($Z171&gt;0,VLOOKUP($J171,Ruimtegroepen[],3,FALSE)*VLOOKUP($L171,Vloersoorten[],3,FALSE)*VLOOKUP($Y171,Frequenties[],3,FALSE)*VLOOKUP($A142,Locaties[],3,FALSE),0)</f>
        <v>0</v>
      </c>
      <c r="AB171" s="84">
        <f>Ruimtestaat[[#This Row],[Uitvoeringen weekend]]*Ruimtestaat[[#This Row],[Oppervlak (netto)]]</f>
        <v>0</v>
      </c>
      <c r="AC171" s="87">
        <f>IF(AB171&gt;0,Ruimtestaat[[#This Row],[Prest. (m2 /jaar) weekend]]/Ruimtestaat[[#This Row],[Norm (m2/uur) weekend]],0)</f>
        <v>0</v>
      </c>
      <c r="AD171" s="88">
        <f>Ruimtestaat[[#This Row],[uren / jaar weekend]]*Tariefsopbouw!$D$40</f>
        <v>0</v>
      </c>
      <c r="AE171" s="89">
        <f>Ruimtestaat[[#This Row],[Prest. (m2 /jaar) weekend]]+Ruimtestaat[[#This Row],[Prest. (m2 /jaar) werkdagen]]</f>
        <v>1939.9999999999998</v>
      </c>
      <c r="AF171" s="89">
        <f>Ruimtestaat[[#This Row],[uren / jaar weekend]]+Ruimtestaat[[#This Row],[uren / jaar werkdagen]]</f>
        <v>0</v>
      </c>
      <c r="AG171" s="90">
        <f>Ruimtestaat[[#This Row],[kosten / jaar weekend]]+Ruimtestaat[[#This Row],[kosten / jaar werkdagen]]</f>
        <v>0</v>
      </c>
      <c r="AH171" s="91"/>
      <c r="HL171" s="67"/>
    </row>
    <row r="172" spans="1:220" ht="15" customHeight="1">
      <c r="A172" s="53">
        <v>1</v>
      </c>
      <c r="B172" s="53" t="str">
        <f>VLOOKUP(Ruimtestaat[[#This Row],[Code]],Locaties[#All],2,FALSE)</f>
        <v>Ir. Lely Lyceum</v>
      </c>
      <c r="C172" s="53" t="str">
        <f>VLOOKUP(Ruimtestaat[[#This Row],[Code]],Locaties[#All],4,FALSE)</f>
        <v>Ravenswaaipad 3</v>
      </c>
      <c r="D172" s="53" t="str">
        <f>VLOOKUP(Ruimtestaat[[#This Row],[Code]],Locaties[#All],5,FALSE)</f>
        <v>1106 AW</v>
      </c>
      <c r="E172" s="53" t="str">
        <f>VLOOKUP(Ruimtestaat[[#This Row],[Code]],Locaties[#All],6,FALSE)</f>
        <v>Amsterdam</v>
      </c>
      <c r="F172" s="78" t="s">
        <v>540</v>
      </c>
      <c r="G172" s="53" t="s">
        <v>450</v>
      </c>
      <c r="H172" s="95" t="s">
        <v>457</v>
      </c>
      <c r="I172" s="23" t="s">
        <v>456</v>
      </c>
      <c r="J172" s="53">
        <v>6</v>
      </c>
      <c r="K172" s="78" t="str">
        <f>VLOOKUP(J172,Ruimtegroepen[],2,FALSE)</f>
        <v>Gangen/hallen</v>
      </c>
      <c r="L172" s="53" t="s">
        <v>280</v>
      </c>
      <c r="M172" s="53" t="s">
        <v>353</v>
      </c>
      <c r="N172" s="79">
        <v>109</v>
      </c>
      <c r="O172" s="79"/>
      <c r="P172" s="80" t="str">
        <f>LEFT(VLOOKUP(Ruimtestaat[[#This Row],[Ruimte code]],Ruimtegroepen[#All],4,1),2)</f>
        <v xml:space="preserve">V </v>
      </c>
      <c r="Q172" s="80"/>
      <c r="R172" s="81">
        <v>40</v>
      </c>
      <c r="S172" s="81" t="s">
        <v>298</v>
      </c>
      <c r="T172" s="82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2" s="82">
        <f>IF(T172&gt;0,VLOOKUP($J172,Ruimtegroepen[],3,FALSE)*VLOOKUP($L172,Vloersoorten[],3,FALSE)*VLOOKUP($S172,Frequenties[],3,FALSE)*VLOOKUP($A172,Locaties[],3,FALSE),0)</f>
        <v>0</v>
      </c>
      <c r="V172" s="83">
        <f>Ruimtestaat[[#This Row],[Uitvoeringen werkdagen]]*Ruimtestaat[[#This Row],[Oppervlak (netto)]]</f>
        <v>21800</v>
      </c>
      <c r="W172" s="84">
        <f>IF(U172&gt;0,Ruimtestaat[[#This Row],[Prest. (m2 /jaar) werkdagen]]/Ruimtestaat[[#This Row],[Norm (m2/uur) werkdagen]],0)</f>
        <v>0</v>
      </c>
      <c r="X172" s="85">
        <f>Ruimtestaat[[#This Row],[uren / jaar werkdagen]]*Tariefsopbouw!$E$35</f>
        <v>0</v>
      </c>
      <c r="Y172" s="82"/>
      <c r="Z172" s="86">
        <f>IF(Ruimtestaat[[#This Row],[Frequentie weekend]]&gt;0,VALUE(LEFT(Y172,1))*R172,0)</f>
        <v>0</v>
      </c>
      <c r="AA172" s="82">
        <f>IF($Z172&gt;0,VLOOKUP($J172,Ruimtegroepen[],3,FALSE)*VLOOKUP($L172,Vloersoorten[],3,FALSE)*VLOOKUP($Y172,Frequenties[],3,FALSE)*VLOOKUP($A143,Locaties[],3,FALSE),0)</f>
        <v>0</v>
      </c>
      <c r="AB172" s="84">
        <f>Ruimtestaat[[#This Row],[Uitvoeringen weekend]]*Ruimtestaat[[#This Row],[Oppervlak (netto)]]</f>
        <v>0</v>
      </c>
      <c r="AC172" s="87">
        <f>IF(AB172&gt;0,Ruimtestaat[[#This Row],[Prest. (m2 /jaar) weekend]]/Ruimtestaat[[#This Row],[Norm (m2/uur) weekend]],0)</f>
        <v>0</v>
      </c>
      <c r="AD172" s="88">
        <f>Ruimtestaat[[#This Row],[uren / jaar weekend]]*Tariefsopbouw!$D$40</f>
        <v>0</v>
      </c>
      <c r="AE172" s="89">
        <f>Ruimtestaat[[#This Row],[Prest. (m2 /jaar) weekend]]+Ruimtestaat[[#This Row],[Prest. (m2 /jaar) werkdagen]]</f>
        <v>21800</v>
      </c>
      <c r="AF172" s="89">
        <f>Ruimtestaat[[#This Row],[uren / jaar weekend]]+Ruimtestaat[[#This Row],[uren / jaar werkdagen]]</f>
        <v>0</v>
      </c>
      <c r="AG172" s="90">
        <f>Ruimtestaat[[#This Row],[kosten / jaar weekend]]+Ruimtestaat[[#This Row],[kosten / jaar werkdagen]]</f>
        <v>0</v>
      </c>
      <c r="AH172" s="91"/>
      <c r="HL172" s="67"/>
    </row>
    <row r="173" spans="1:220" ht="15" customHeight="1">
      <c r="A173" s="53">
        <v>1</v>
      </c>
      <c r="B173" s="53" t="str">
        <f>VLOOKUP(Ruimtestaat[[#This Row],[Code]],Locaties[#All],2,FALSE)</f>
        <v>Ir. Lely Lyceum</v>
      </c>
      <c r="C173" s="53" t="str">
        <f>VLOOKUP(Ruimtestaat[[#This Row],[Code]],Locaties[#All],4,FALSE)</f>
        <v>Ravenswaaipad 3</v>
      </c>
      <c r="D173" s="53" t="str">
        <f>VLOOKUP(Ruimtestaat[[#This Row],[Code]],Locaties[#All],5,FALSE)</f>
        <v>1106 AW</v>
      </c>
      <c r="E173" s="53" t="str">
        <f>VLOOKUP(Ruimtestaat[[#This Row],[Code]],Locaties[#All],6,FALSE)</f>
        <v>Amsterdam</v>
      </c>
      <c r="F173" s="78" t="s">
        <v>540</v>
      </c>
      <c r="G173" s="53" t="s">
        <v>450</v>
      </c>
      <c r="H173" s="53" t="s">
        <v>458</v>
      </c>
      <c r="I173" s="23" t="s">
        <v>456</v>
      </c>
      <c r="J173" s="53">
        <v>6</v>
      </c>
      <c r="K173" s="78" t="str">
        <f>VLOOKUP(J173,Ruimtegroepen[],2,FALSE)</f>
        <v>Gangen/hallen</v>
      </c>
      <c r="L173" s="53" t="s">
        <v>280</v>
      </c>
      <c r="M173" s="53" t="s">
        <v>353</v>
      </c>
      <c r="N173" s="79">
        <v>55</v>
      </c>
      <c r="O173" s="79"/>
      <c r="P173" s="80" t="str">
        <f>LEFT(VLOOKUP(Ruimtestaat[[#This Row],[Ruimte code]],Ruimtegroepen[#All],4,1),2)</f>
        <v xml:space="preserve">V </v>
      </c>
      <c r="Q173" s="80"/>
      <c r="R173" s="81">
        <v>40</v>
      </c>
      <c r="S173" s="81" t="s">
        <v>298</v>
      </c>
      <c r="T173" s="82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3" s="82">
        <f>IF(T173&gt;0,VLOOKUP($J173,Ruimtegroepen[],3,FALSE)*VLOOKUP($L173,Vloersoorten[],3,FALSE)*VLOOKUP($S173,Frequenties[],3,FALSE)*VLOOKUP($A173,Locaties[],3,FALSE),0)</f>
        <v>0</v>
      </c>
      <c r="V173" s="83">
        <f>Ruimtestaat[[#This Row],[Uitvoeringen werkdagen]]*Ruimtestaat[[#This Row],[Oppervlak (netto)]]</f>
        <v>11000</v>
      </c>
      <c r="W173" s="84">
        <f>IF(U173&gt;0,Ruimtestaat[[#This Row],[Prest. (m2 /jaar) werkdagen]]/Ruimtestaat[[#This Row],[Norm (m2/uur) werkdagen]],0)</f>
        <v>0</v>
      </c>
      <c r="X173" s="85">
        <f>Ruimtestaat[[#This Row],[uren / jaar werkdagen]]*Tariefsopbouw!$E$35</f>
        <v>0</v>
      </c>
      <c r="Y173" s="82"/>
      <c r="Z173" s="86">
        <f>IF(Ruimtestaat[[#This Row],[Frequentie weekend]]&gt;0,VALUE(LEFT(Y173,1))*R173,0)</f>
        <v>0</v>
      </c>
      <c r="AA173" s="82">
        <f>IF($Z173&gt;0,VLOOKUP($J173,Ruimtegroepen[],3,FALSE)*VLOOKUP($L173,Vloersoorten[],3,FALSE)*VLOOKUP($Y173,Frequenties[],3,FALSE)*VLOOKUP(#REF!,Locaties[],3,FALSE),0)</f>
        <v>0</v>
      </c>
      <c r="AB173" s="84">
        <f>Ruimtestaat[[#This Row],[Uitvoeringen weekend]]*Ruimtestaat[[#This Row],[Oppervlak (netto)]]</f>
        <v>0</v>
      </c>
      <c r="AC173" s="87">
        <f>IF(AB173&gt;0,Ruimtestaat[[#This Row],[Prest. (m2 /jaar) weekend]]/Ruimtestaat[[#This Row],[Norm (m2/uur) weekend]],0)</f>
        <v>0</v>
      </c>
      <c r="AD173" s="88">
        <f>Ruimtestaat[[#This Row],[uren / jaar weekend]]*Tariefsopbouw!$D$40</f>
        <v>0</v>
      </c>
      <c r="AE173" s="89">
        <f>Ruimtestaat[[#This Row],[Prest. (m2 /jaar) weekend]]+Ruimtestaat[[#This Row],[Prest. (m2 /jaar) werkdagen]]</f>
        <v>11000</v>
      </c>
      <c r="AF173" s="89">
        <f>Ruimtestaat[[#This Row],[uren / jaar weekend]]+Ruimtestaat[[#This Row],[uren / jaar werkdagen]]</f>
        <v>0</v>
      </c>
      <c r="AG173" s="90">
        <f>Ruimtestaat[[#This Row],[kosten / jaar weekend]]+Ruimtestaat[[#This Row],[kosten / jaar werkdagen]]</f>
        <v>0</v>
      </c>
      <c r="AH173" s="91"/>
      <c r="HL173" s="67"/>
    </row>
    <row r="174" spans="1:220" ht="15" customHeight="1">
      <c r="A174" s="53">
        <v>1</v>
      </c>
      <c r="B174" s="53" t="str">
        <f>VLOOKUP(Ruimtestaat[[#This Row],[Code]],Locaties[#All],2,FALSE)</f>
        <v>Ir. Lely Lyceum</v>
      </c>
      <c r="C174" s="53" t="str">
        <f>VLOOKUP(Ruimtestaat[[#This Row],[Code]],Locaties[#All],4,FALSE)</f>
        <v>Ravenswaaipad 3</v>
      </c>
      <c r="D174" s="53" t="str">
        <f>VLOOKUP(Ruimtestaat[[#This Row],[Code]],Locaties[#All],5,FALSE)</f>
        <v>1106 AW</v>
      </c>
      <c r="E174" s="53" t="str">
        <f>VLOOKUP(Ruimtestaat[[#This Row],[Code]],Locaties[#All],6,FALSE)</f>
        <v>Amsterdam</v>
      </c>
      <c r="F174" s="78" t="s">
        <v>540</v>
      </c>
      <c r="G174" s="53" t="s">
        <v>450</v>
      </c>
      <c r="H174" s="53" t="s">
        <v>459</v>
      </c>
      <c r="I174" s="23" t="s">
        <v>456</v>
      </c>
      <c r="J174" s="53">
        <v>6</v>
      </c>
      <c r="K174" s="78" t="str">
        <f>VLOOKUP(J174,Ruimtegroepen[],2,FALSE)</f>
        <v>Gangen/hallen</v>
      </c>
      <c r="L174" s="53" t="s">
        <v>280</v>
      </c>
      <c r="M174" s="53" t="s">
        <v>353</v>
      </c>
      <c r="N174" s="79">
        <v>55</v>
      </c>
      <c r="O174" s="79"/>
      <c r="P174" s="80" t="str">
        <f>LEFT(VLOOKUP(Ruimtestaat[[#This Row],[Ruimte code]],Ruimtegroepen[#All],4,1),2)</f>
        <v xml:space="preserve">V </v>
      </c>
      <c r="Q174" s="80"/>
      <c r="R174" s="81">
        <v>40</v>
      </c>
      <c r="S174" s="81" t="s">
        <v>298</v>
      </c>
      <c r="T174" s="82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4" s="82">
        <f>IF(T174&gt;0,VLOOKUP($J174,Ruimtegroepen[],3,FALSE)*VLOOKUP($L174,Vloersoorten[],3,FALSE)*VLOOKUP($S174,Frequenties[],3,FALSE)*VLOOKUP($A174,Locaties[],3,FALSE),0)</f>
        <v>0</v>
      </c>
      <c r="V174" s="83">
        <f>Ruimtestaat[[#This Row],[Uitvoeringen werkdagen]]*Ruimtestaat[[#This Row],[Oppervlak (netto)]]</f>
        <v>11000</v>
      </c>
      <c r="W174" s="84">
        <f>IF(U174&gt;0,Ruimtestaat[[#This Row],[Prest. (m2 /jaar) werkdagen]]/Ruimtestaat[[#This Row],[Norm (m2/uur) werkdagen]],0)</f>
        <v>0</v>
      </c>
      <c r="X174" s="85">
        <f>Ruimtestaat[[#This Row],[uren / jaar werkdagen]]*Tariefsopbouw!$E$35</f>
        <v>0</v>
      </c>
      <c r="Y174" s="82"/>
      <c r="Z174" s="86">
        <f>IF(Ruimtestaat[[#This Row],[Frequentie weekend]]&gt;0,VALUE(LEFT(Y174,1))*R174,0)</f>
        <v>0</v>
      </c>
      <c r="AA174" s="82">
        <f>IF($Z174&gt;0,VLOOKUP($J174,Ruimtegroepen[],3,FALSE)*VLOOKUP($L174,Vloersoorten[],3,FALSE)*VLOOKUP($Y174,Frequenties[],3,FALSE)*VLOOKUP(#REF!,Locaties[],3,FALSE),0)</f>
        <v>0</v>
      </c>
      <c r="AB174" s="84">
        <f>Ruimtestaat[[#This Row],[Uitvoeringen weekend]]*Ruimtestaat[[#This Row],[Oppervlak (netto)]]</f>
        <v>0</v>
      </c>
      <c r="AC174" s="87">
        <f>IF(AB174&gt;0,Ruimtestaat[[#This Row],[Prest. (m2 /jaar) weekend]]/Ruimtestaat[[#This Row],[Norm (m2/uur) weekend]],0)</f>
        <v>0</v>
      </c>
      <c r="AD174" s="88">
        <f>Ruimtestaat[[#This Row],[uren / jaar weekend]]*Tariefsopbouw!$D$40</f>
        <v>0</v>
      </c>
      <c r="AE174" s="89">
        <f>Ruimtestaat[[#This Row],[Prest. (m2 /jaar) weekend]]+Ruimtestaat[[#This Row],[Prest. (m2 /jaar) werkdagen]]</f>
        <v>11000</v>
      </c>
      <c r="AF174" s="89">
        <f>Ruimtestaat[[#This Row],[uren / jaar weekend]]+Ruimtestaat[[#This Row],[uren / jaar werkdagen]]</f>
        <v>0</v>
      </c>
      <c r="AG174" s="90">
        <f>Ruimtestaat[[#This Row],[kosten / jaar weekend]]+Ruimtestaat[[#This Row],[kosten / jaar werkdagen]]</f>
        <v>0</v>
      </c>
      <c r="AH174" s="91"/>
      <c r="HL174" s="67"/>
    </row>
    <row r="175" spans="1:220" ht="15" customHeight="1">
      <c r="A175" s="53">
        <v>1</v>
      </c>
      <c r="B175" s="53" t="str">
        <f>VLOOKUP(Ruimtestaat[[#This Row],[Code]],Locaties[#All],2,FALSE)</f>
        <v>Ir. Lely Lyceum</v>
      </c>
      <c r="C175" s="53" t="str">
        <f>VLOOKUP(Ruimtestaat[[#This Row],[Code]],Locaties[#All],4,FALSE)</f>
        <v>Ravenswaaipad 3</v>
      </c>
      <c r="D175" s="53" t="str">
        <f>VLOOKUP(Ruimtestaat[[#This Row],[Code]],Locaties[#All],5,FALSE)</f>
        <v>1106 AW</v>
      </c>
      <c r="E175" s="53" t="str">
        <f>VLOOKUP(Ruimtestaat[[#This Row],[Code]],Locaties[#All],6,FALSE)</f>
        <v>Amsterdam</v>
      </c>
      <c r="F175" s="78" t="s">
        <v>540</v>
      </c>
      <c r="G175" s="53" t="s">
        <v>450</v>
      </c>
      <c r="H175" s="53" t="s">
        <v>460</v>
      </c>
      <c r="I175" s="23" t="s">
        <v>550</v>
      </c>
      <c r="J175" s="53">
        <v>14</v>
      </c>
      <c r="K175" s="78" t="str">
        <f>VLOOKUP(J175,Ruimtegroepen[],2,FALSE)</f>
        <v>Praktijklokalen binas/zorg</v>
      </c>
      <c r="L175" s="53" t="s">
        <v>280</v>
      </c>
      <c r="M175" s="53" t="s">
        <v>353</v>
      </c>
      <c r="N175" s="79">
        <v>76</v>
      </c>
      <c r="O175" s="79"/>
      <c r="P175" s="80" t="str">
        <f>LEFT(VLOOKUP(Ruimtestaat[[#This Row],[Ruimte code]],Ruimtegroepen[#All],4,1),2)</f>
        <v xml:space="preserve">L </v>
      </c>
      <c r="Q175" s="80"/>
      <c r="R175" s="81">
        <v>40</v>
      </c>
      <c r="S175" s="81" t="s">
        <v>298</v>
      </c>
      <c r="T175" s="82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5" s="82">
        <f>IF(T175&gt;0,VLOOKUP($J175,Ruimtegroepen[],3,FALSE)*VLOOKUP($L175,Vloersoorten[],3,FALSE)*VLOOKUP($S175,Frequenties[],3,FALSE)*VLOOKUP($A175,Locaties[],3,FALSE),0)</f>
        <v>0</v>
      </c>
      <c r="V175" s="83">
        <f>Ruimtestaat[[#This Row],[Uitvoeringen werkdagen]]*Ruimtestaat[[#This Row],[Oppervlak (netto)]]</f>
        <v>15200</v>
      </c>
      <c r="W175" s="84">
        <f>IF(U175&gt;0,Ruimtestaat[[#This Row],[Prest. (m2 /jaar) werkdagen]]/Ruimtestaat[[#This Row],[Norm (m2/uur) werkdagen]],0)</f>
        <v>0</v>
      </c>
      <c r="X175" s="85">
        <f>Ruimtestaat[[#This Row],[uren / jaar werkdagen]]*Tariefsopbouw!$E$35</f>
        <v>0</v>
      </c>
      <c r="Y175" s="82"/>
      <c r="Z175" s="86">
        <f>IF(Ruimtestaat[[#This Row],[Frequentie weekend]]&gt;0,VALUE(LEFT(Y175,1))*R175,0)</f>
        <v>0</v>
      </c>
      <c r="AA175" s="82">
        <f>IF($Z175&gt;0,VLOOKUP($J175,Ruimtegroepen[],3,FALSE)*VLOOKUP($L175,Vloersoorten[],3,FALSE)*VLOOKUP($Y175,Frequenties[],3,FALSE)*VLOOKUP(#REF!,Locaties[],3,FALSE),0)</f>
        <v>0</v>
      </c>
      <c r="AB175" s="84">
        <f>Ruimtestaat[[#This Row],[Uitvoeringen weekend]]*Ruimtestaat[[#This Row],[Oppervlak (netto)]]</f>
        <v>0</v>
      </c>
      <c r="AC175" s="87">
        <f>IF(AB175&gt;0,Ruimtestaat[[#This Row],[Prest. (m2 /jaar) weekend]]/Ruimtestaat[[#This Row],[Norm (m2/uur) weekend]],0)</f>
        <v>0</v>
      </c>
      <c r="AD175" s="88">
        <f>Ruimtestaat[[#This Row],[uren / jaar weekend]]*Tariefsopbouw!$D$40</f>
        <v>0</v>
      </c>
      <c r="AE175" s="89">
        <f>Ruimtestaat[[#This Row],[Prest. (m2 /jaar) weekend]]+Ruimtestaat[[#This Row],[Prest. (m2 /jaar) werkdagen]]</f>
        <v>15200</v>
      </c>
      <c r="AF175" s="89">
        <f>Ruimtestaat[[#This Row],[uren / jaar weekend]]+Ruimtestaat[[#This Row],[uren / jaar werkdagen]]</f>
        <v>0</v>
      </c>
      <c r="AG175" s="90">
        <f>Ruimtestaat[[#This Row],[kosten / jaar weekend]]+Ruimtestaat[[#This Row],[kosten / jaar werkdagen]]</f>
        <v>0</v>
      </c>
      <c r="AH175" s="91"/>
      <c r="HL175" s="67"/>
    </row>
    <row r="176" spans="1:220" ht="15" customHeight="1">
      <c r="A176" s="53">
        <v>1</v>
      </c>
      <c r="B176" s="53" t="str">
        <f>VLOOKUP(Ruimtestaat[[#This Row],[Code]],Locaties[#All],2,FALSE)</f>
        <v>Ir. Lely Lyceum</v>
      </c>
      <c r="C176" s="53" t="str">
        <f>VLOOKUP(Ruimtestaat[[#This Row],[Code]],Locaties[#All],4,FALSE)</f>
        <v>Ravenswaaipad 3</v>
      </c>
      <c r="D176" s="53" t="str">
        <f>VLOOKUP(Ruimtestaat[[#This Row],[Code]],Locaties[#All],5,FALSE)</f>
        <v>1106 AW</v>
      </c>
      <c r="E176" s="53" t="str">
        <f>VLOOKUP(Ruimtestaat[[#This Row],[Code]],Locaties[#All],6,FALSE)</f>
        <v>Amsterdam</v>
      </c>
      <c r="F176" s="78" t="s">
        <v>540</v>
      </c>
      <c r="G176" s="53" t="s">
        <v>450</v>
      </c>
      <c r="H176" s="53" t="s">
        <v>461</v>
      </c>
      <c r="I176" s="23" t="s">
        <v>551</v>
      </c>
      <c r="J176" s="53">
        <v>11</v>
      </c>
      <c r="K176" s="78" t="str">
        <f>VLOOKUP(J176,Ruimtegroepen[],2,FALSE)</f>
        <v>Kooklokaal/leskeuken</v>
      </c>
      <c r="L176" s="53" t="s">
        <v>280</v>
      </c>
      <c r="M176" s="53" t="s">
        <v>353</v>
      </c>
      <c r="N176" s="79">
        <v>50</v>
      </c>
      <c r="O176" s="79"/>
      <c r="P176" s="80" t="str">
        <f>LEFT(VLOOKUP(Ruimtestaat[[#This Row],[Ruimte code]],Ruimtegroepen[#All],4,1),2)</f>
        <v xml:space="preserve">L </v>
      </c>
      <c r="Q176" s="80"/>
      <c r="R176" s="81">
        <v>40</v>
      </c>
      <c r="S176" s="81" t="s">
        <v>298</v>
      </c>
      <c r="T176" s="82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6" s="82">
        <f>IF(T176&gt;0,VLOOKUP($J176,Ruimtegroepen[],3,FALSE)*VLOOKUP($L176,Vloersoorten[],3,FALSE)*VLOOKUP($S176,Frequenties[],3,FALSE)*VLOOKUP($A176,Locaties[],3,FALSE),0)</f>
        <v>0</v>
      </c>
      <c r="V176" s="83">
        <f>Ruimtestaat[[#This Row],[Uitvoeringen werkdagen]]*Ruimtestaat[[#This Row],[Oppervlak (netto)]]</f>
        <v>10000</v>
      </c>
      <c r="W176" s="84">
        <f>IF(U176&gt;0,Ruimtestaat[[#This Row],[Prest. (m2 /jaar) werkdagen]]/Ruimtestaat[[#This Row],[Norm (m2/uur) werkdagen]],0)</f>
        <v>0</v>
      </c>
      <c r="X176" s="85">
        <f>Ruimtestaat[[#This Row],[uren / jaar werkdagen]]*Tariefsopbouw!$E$35</f>
        <v>0</v>
      </c>
      <c r="Y176" s="82"/>
      <c r="Z176" s="86">
        <f>IF(Ruimtestaat[[#This Row],[Frequentie weekend]]&gt;0,VALUE(LEFT(Y176,1))*R176,0)</f>
        <v>0</v>
      </c>
      <c r="AA176" s="82">
        <f>IF($Z176&gt;0,VLOOKUP($J176,Ruimtegroepen[],3,FALSE)*VLOOKUP($L176,Vloersoorten[],3,FALSE)*VLOOKUP($Y176,Frequenties[],3,FALSE)*VLOOKUP(#REF!,Locaties[],3,FALSE),0)</f>
        <v>0</v>
      </c>
      <c r="AB176" s="84">
        <f>Ruimtestaat[[#This Row],[Uitvoeringen weekend]]*Ruimtestaat[[#This Row],[Oppervlak (netto)]]</f>
        <v>0</v>
      </c>
      <c r="AC176" s="87">
        <f>IF(AB176&gt;0,Ruimtestaat[[#This Row],[Prest. (m2 /jaar) weekend]]/Ruimtestaat[[#This Row],[Norm (m2/uur) weekend]],0)</f>
        <v>0</v>
      </c>
      <c r="AD176" s="88">
        <f>Ruimtestaat[[#This Row],[uren / jaar weekend]]*Tariefsopbouw!$D$40</f>
        <v>0</v>
      </c>
      <c r="AE176" s="89">
        <f>Ruimtestaat[[#This Row],[Prest. (m2 /jaar) weekend]]+Ruimtestaat[[#This Row],[Prest. (m2 /jaar) werkdagen]]</f>
        <v>10000</v>
      </c>
      <c r="AF176" s="89">
        <f>Ruimtestaat[[#This Row],[uren / jaar weekend]]+Ruimtestaat[[#This Row],[uren / jaar werkdagen]]</f>
        <v>0</v>
      </c>
      <c r="AG176" s="90">
        <f>Ruimtestaat[[#This Row],[kosten / jaar weekend]]+Ruimtestaat[[#This Row],[kosten / jaar werkdagen]]</f>
        <v>0</v>
      </c>
      <c r="AH176" s="91"/>
      <c r="HL176" s="67"/>
    </row>
    <row r="177" spans="1:220" ht="15" customHeight="1">
      <c r="A177" s="53">
        <v>1</v>
      </c>
      <c r="B177" s="53" t="str">
        <f>VLOOKUP(Ruimtestaat[[#This Row],[Code]],Locaties[#All],2,FALSE)</f>
        <v>Ir. Lely Lyceum</v>
      </c>
      <c r="C177" s="53" t="str">
        <f>VLOOKUP(Ruimtestaat[[#This Row],[Code]],Locaties[#All],4,FALSE)</f>
        <v>Ravenswaaipad 3</v>
      </c>
      <c r="D177" s="53" t="str">
        <f>VLOOKUP(Ruimtestaat[[#This Row],[Code]],Locaties[#All],5,FALSE)</f>
        <v>1106 AW</v>
      </c>
      <c r="E177" s="53" t="str">
        <f>VLOOKUP(Ruimtestaat[[#This Row],[Code]],Locaties[#All],6,FALSE)</f>
        <v>Amsterdam</v>
      </c>
      <c r="F177" s="78" t="s">
        <v>540</v>
      </c>
      <c r="G177" s="53" t="s">
        <v>450</v>
      </c>
      <c r="H177" s="53" t="s">
        <v>463</v>
      </c>
      <c r="I177" s="23" t="s">
        <v>552</v>
      </c>
      <c r="J177" s="53">
        <v>14</v>
      </c>
      <c r="K177" s="78" t="str">
        <f>VLOOKUP(J177,Ruimtegroepen[],2,FALSE)</f>
        <v>Praktijklokalen binas/zorg</v>
      </c>
      <c r="L177" s="53" t="s">
        <v>280</v>
      </c>
      <c r="M177" s="53" t="s">
        <v>353</v>
      </c>
      <c r="N177" s="79">
        <v>50</v>
      </c>
      <c r="O177" s="79"/>
      <c r="P177" s="80" t="str">
        <f>LEFT(VLOOKUP(Ruimtestaat[[#This Row],[Ruimte code]],Ruimtegroepen[#All],4,1),2)</f>
        <v xml:space="preserve">L </v>
      </c>
      <c r="Q177" s="80"/>
      <c r="R177" s="81">
        <v>40</v>
      </c>
      <c r="S177" s="81" t="s">
        <v>298</v>
      </c>
      <c r="T177" s="82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7" s="82">
        <f>IF(T177&gt;0,VLOOKUP($J177,Ruimtegroepen[],3,FALSE)*VLOOKUP($L177,Vloersoorten[],3,FALSE)*VLOOKUP($S177,Frequenties[],3,FALSE)*VLOOKUP($A177,Locaties[],3,FALSE),0)</f>
        <v>0</v>
      </c>
      <c r="V177" s="83">
        <f>Ruimtestaat[[#This Row],[Uitvoeringen werkdagen]]*Ruimtestaat[[#This Row],[Oppervlak (netto)]]</f>
        <v>10000</v>
      </c>
      <c r="W177" s="84">
        <f>IF(U177&gt;0,Ruimtestaat[[#This Row],[Prest. (m2 /jaar) werkdagen]]/Ruimtestaat[[#This Row],[Norm (m2/uur) werkdagen]],0)</f>
        <v>0</v>
      </c>
      <c r="X177" s="85">
        <f>Ruimtestaat[[#This Row],[uren / jaar werkdagen]]*Tariefsopbouw!$E$35</f>
        <v>0</v>
      </c>
      <c r="Y177" s="82"/>
      <c r="Z177" s="86">
        <f>IF(Ruimtestaat[[#This Row],[Frequentie weekend]]&gt;0,VALUE(LEFT(Y177,1))*R177,0)</f>
        <v>0</v>
      </c>
      <c r="AA177" s="82">
        <f>IF($Z177&gt;0,VLOOKUP($J177,Ruimtegroepen[],3,FALSE)*VLOOKUP($L177,Vloersoorten[],3,FALSE)*VLOOKUP($Y177,Frequenties[],3,FALSE)*VLOOKUP($A173,Locaties[],3,FALSE),0)</f>
        <v>0</v>
      </c>
      <c r="AB177" s="84">
        <f>Ruimtestaat[[#This Row],[Uitvoeringen weekend]]*Ruimtestaat[[#This Row],[Oppervlak (netto)]]</f>
        <v>0</v>
      </c>
      <c r="AC177" s="87">
        <f>IF(AB177&gt;0,Ruimtestaat[[#This Row],[Prest. (m2 /jaar) weekend]]/Ruimtestaat[[#This Row],[Norm (m2/uur) weekend]],0)</f>
        <v>0</v>
      </c>
      <c r="AD177" s="88">
        <f>Ruimtestaat[[#This Row],[uren / jaar weekend]]*Tariefsopbouw!$D$40</f>
        <v>0</v>
      </c>
      <c r="AE177" s="89">
        <f>Ruimtestaat[[#This Row],[Prest. (m2 /jaar) weekend]]+Ruimtestaat[[#This Row],[Prest. (m2 /jaar) werkdagen]]</f>
        <v>10000</v>
      </c>
      <c r="AF177" s="89">
        <f>Ruimtestaat[[#This Row],[uren / jaar weekend]]+Ruimtestaat[[#This Row],[uren / jaar werkdagen]]</f>
        <v>0</v>
      </c>
      <c r="AG177" s="90">
        <f>Ruimtestaat[[#This Row],[kosten / jaar weekend]]+Ruimtestaat[[#This Row],[kosten / jaar werkdagen]]</f>
        <v>0</v>
      </c>
      <c r="AH177" s="91"/>
      <c r="HL177" s="67"/>
    </row>
    <row r="178" spans="1:220" ht="15" customHeight="1">
      <c r="A178" s="53">
        <v>1</v>
      </c>
      <c r="B178" s="53" t="str">
        <f>VLOOKUP(Ruimtestaat[[#This Row],[Code]],Locaties[#All],2,FALSE)</f>
        <v>Ir. Lely Lyceum</v>
      </c>
      <c r="C178" s="53" t="str">
        <f>VLOOKUP(Ruimtestaat[[#This Row],[Code]],Locaties[#All],4,FALSE)</f>
        <v>Ravenswaaipad 3</v>
      </c>
      <c r="D178" s="53" t="str">
        <f>VLOOKUP(Ruimtestaat[[#This Row],[Code]],Locaties[#All],5,FALSE)</f>
        <v>1106 AW</v>
      </c>
      <c r="E178" s="53" t="str">
        <f>VLOOKUP(Ruimtestaat[[#This Row],[Code]],Locaties[#All],6,FALSE)</f>
        <v>Amsterdam</v>
      </c>
      <c r="F178" s="78" t="s">
        <v>540</v>
      </c>
      <c r="G178" s="53" t="s">
        <v>450</v>
      </c>
      <c r="H178" s="53" t="s">
        <v>465</v>
      </c>
      <c r="I178" s="23" t="s">
        <v>550</v>
      </c>
      <c r="J178" s="53">
        <v>14</v>
      </c>
      <c r="K178" s="78" t="str">
        <f>VLOOKUP(J178,Ruimtegroepen[],2,FALSE)</f>
        <v>Praktijklokalen binas/zorg</v>
      </c>
      <c r="L178" s="53" t="s">
        <v>280</v>
      </c>
      <c r="M178" s="53" t="s">
        <v>353</v>
      </c>
      <c r="N178" s="79">
        <v>76</v>
      </c>
      <c r="O178" s="79"/>
      <c r="P178" s="80" t="str">
        <f>LEFT(VLOOKUP(Ruimtestaat[[#This Row],[Ruimte code]],Ruimtegroepen[#All],4,1),2)</f>
        <v xml:space="preserve">L </v>
      </c>
      <c r="Q178" s="80"/>
      <c r="R178" s="81">
        <v>40</v>
      </c>
      <c r="S178" s="81" t="s">
        <v>298</v>
      </c>
      <c r="T178" s="82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8" s="82">
        <f>IF(T178&gt;0,VLOOKUP($J178,Ruimtegroepen[],3,FALSE)*VLOOKUP($L178,Vloersoorten[],3,FALSE)*VLOOKUP($S178,Frequenties[],3,FALSE)*VLOOKUP($A178,Locaties[],3,FALSE),0)</f>
        <v>0</v>
      </c>
      <c r="V178" s="83">
        <f>Ruimtestaat[[#This Row],[Uitvoeringen werkdagen]]*Ruimtestaat[[#This Row],[Oppervlak (netto)]]</f>
        <v>15200</v>
      </c>
      <c r="W178" s="84">
        <f>IF(U178&gt;0,Ruimtestaat[[#This Row],[Prest. (m2 /jaar) werkdagen]]/Ruimtestaat[[#This Row],[Norm (m2/uur) werkdagen]],0)</f>
        <v>0</v>
      </c>
      <c r="X178" s="85">
        <f>Ruimtestaat[[#This Row],[uren / jaar werkdagen]]*Tariefsopbouw!$E$35</f>
        <v>0</v>
      </c>
      <c r="Y178" s="82"/>
      <c r="Z178" s="86">
        <f>IF(Ruimtestaat[[#This Row],[Frequentie weekend]]&gt;0,VALUE(LEFT(Y178,1))*R178,0)</f>
        <v>0</v>
      </c>
      <c r="AA178" s="82">
        <f>IF($Z178&gt;0,VLOOKUP($J178,Ruimtegroepen[],3,FALSE)*VLOOKUP($L178,Vloersoorten[],3,FALSE)*VLOOKUP($Y178,Frequenties[],3,FALSE)*VLOOKUP($A174,Locaties[],3,FALSE),0)</f>
        <v>0</v>
      </c>
      <c r="AB178" s="84">
        <f>Ruimtestaat[[#This Row],[Uitvoeringen weekend]]*Ruimtestaat[[#This Row],[Oppervlak (netto)]]</f>
        <v>0</v>
      </c>
      <c r="AC178" s="87">
        <f>IF(AB178&gt;0,Ruimtestaat[[#This Row],[Prest. (m2 /jaar) weekend]]/Ruimtestaat[[#This Row],[Norm (m2/uur) weekend]],0)</f>
        <v>0</v>
      </c>
      <c r="AD178" s="88">
        <f>Ruimtestaat[[#This Row],[uren / jaar weekend]]*Tariefsopbouw!$D$40</f>
        <v>0</v>
      </c>
      <c r="AE178" s="89">
        <f>Ruimtestaat[[#This Row],[Prest. (m2 /jaar) weekend]]+Ruimtestaat[[#This Row],[Prest. (m2 /jaar) werkdagen]]</f>
        <v>15200</v>
      </c>
      <c r="AF178" s="89">
        <f>Ruimtestaat[[#This Row],[uren / jaar weekend]]+Ruimtestaat[[#This Row],[uren / jaar werkdagen]]</f>
        <v>0</v>
      </c>
      <c r="AG178" s="90">
        <f>Ruimtestaat[[#This Row],[kosten / jaar weekend]]+Ruimtestaat[[#This Row],[kosten / jaar werkdagen]]</f>
        <v>0</v>
      </c>
      <c r="AH178" s="91"/>
      <c r="HL178" s="67"/>
    </row>
    <row r="179" spans="1:220" ht="15" customHeight="1">
      <c r="A179" s="53">
        <v>1</v>
      </c>
      <c r="B179" s="53" t="str">
        <f>VLOOKUP(Ruimtestaat[[#This Row],[Code]],Locaties[#All],2,FALSE)</f>
        <v>Ir. Lely Lyceum</v>
      </c>
      <c r="C179" s="53" t="str">
        <f>VLOOKUP(Ruimtestaat[[#This Row],[Code]],Locaties[#All],4,FALSE)</f>
        <v>Ravenswaaipad 3</v>
      </c>
      <c r="D179" s="53" t="str">
        <f>VLOOKUP(Ruimtestaat[[#This Row],[Code]],Locaties[#All],5,FALSE)</f>
        <v>1106 AW</v>
      </c>
      <c r="E179" s="53" t="str">
        <f>VLOOKUP(Ruimtestaat[[#This Row],[Code]],Locaties[#All],6,FALSE)</f>
        <v>Amsterdam</v>
      </c>
      <c r="F179" s="78" t="s">
        <v>540</v>
      </c>
      <c r="G179" s="53" t="s">
        <v>450</v>
      </c>
      <c r="H179" s="53" t="s">
        <v>467</v>
      </c>
      <c r="I179" s="23" t="s">
        <v>383</v>
      </c>
      <c r="J179" s="53">
        <v>2</v>
      </c>
      <c r="K179" s="78" t="str">
        <f>VLOOKUP(J179,Ruimtegroepen[],2,FALSE)</f>
        <v>Kantoren</v>
      </c>
      <c r="L179" s="53" t="s">
        <v>280</v>
      </c>
      <c r="M179" s="53" t="s">
        <v>353</v>
      </c>
      <c r="N179" s="79">
        <v>25</v>
      </c>
      <c r="O179" s="79"/>
      <c r="P179" s="80" t="str">
        <f>LEFT(VLOOKUP(Ruimtestaat[[#This Row],[Ruimte code]],Ruimtegroepen[#All],4,1),2)</f>
        <v xml:space="preserve">B </v>
      </c>
      <c r="Q179" s="80"/>
      <c r="R179" s="81">
        <v>40</v>
      </c>
      <c r="S179" s="81" t="s">
        <v>298</v>
      </c>
      <c r="T179" s="82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79" s="82">
        <f>IF(T179&gt;0,VLOOKUP($J179,Ruimtegroepen[],3,FALSE)*VLOOKUP($L179,Vloersoorten[],3,FALSE)*VLOOKUP($S179,Frequenties[],3,FALSE)*VLOOKUP($A179,Locaties[],3,FALSE),0)</f>
        <v>0</v>
      </c>
      <c r="V179" s="83">
        <f>Ruimtestaat[[#This Row],[Uitvoeringen werkdagen]]*Ruimtestaat[[#This Row],[Oppervlak (netto)]]</f>
        <v>5000</v>
      </c>
      <c r="W179" s="84">
        <f>IF(U179&gt;0,Ruimtestaat[[#This Row],[Prest. (m2 /jaar) werkdagen]]/Ruimtestaat[[#This Row],[Norm (m2/uur) werkdagen]],0)</f>
        <v>0</v>
      </c>
      <c r="X179" s="85">
        <f>Ruimtestaat[[#This Row],[uren / jaar werkdagen]]*Tariefsopbouw!$E$35</f>
        <v>0</v>
      </c>
      <c r="Y179" s="82"/>
      <c r="Z179" s="86">
        <f>IF(Ruimtestaat[[#This Row],[Frequentie weekend]]&gt;0,VALUE(LEFT(Y179,1))*R179,0)</f>
        <v>0</v>
      </c>
      <c r="AA179" s="82">
        <f>IF($Z179&gt;0,VLOOKUP($J179,Ruimtegroepen[],3,FALSE)*VLOOKUP($L179,Vloersoorten[],3,FALSE)*VLOOKUP($Y179,Frequenties[],3,FALSE)*VLOOKUP($A175,Locaties[],3,FALSE),0)</f>
        <v>0</v>
      </c>
      <c r="AB179" s="84">
        <f>Ruimtestaat[[#This Row],[Uitvoeringen weekend]]*Ruimtestaat[[#This Row],[Oppervlak (netto)]]</f>
        <v>0</v>
      </c>
      <c r="AC179" s="87">
        <f>IF(AB179&gt;0,Ruimtestaat[[#This Row],[Prest. (m2 /jaar) weekend]]/Ruimtestaat[[#This Row],[Norm (m2/uur) weekend]],0)</f>
        <v>0</v>
      </c>
      <c r="AD179" s="88">
        <f>Ruimtestaat[[#This Row],[uren / jaar weekend]]*Tariefsopbouw!$D$40</f>
        <v>0</v>
      </c>
      <c r="AE179" s="89">
        <f>Ruimtestaat[[#This Row],[Prest. (m2 /jaar) weekend]]+Ruimtestaat[[#This Row],[Prest. (m2 /jaar) werkdagen]]</f>
        <v>5000</v>
      </c>
      <c r="AF179" s="89">
        <f>Ruimtestaat[[#This Row],[uren / jaar weekend]]+Ruimtestaat[[#This Row],[uren / jaar werkdagen]]</f>
        <v>0</v>
      </c>
      <c r="AG179" s="90">
        <f>Ruimtestaat[[#This Row],[kosten / jaar weekend]]+Ruimtestaat[[#This Row],[kosten / jaar werkdagen]]</f>
        <v>0</v>
      </c>
      <c r="AH179" s="91"/>
      <c r="HL179" s="67"/>
    </row>
    <row r="180" spans="1:220" ht="15" customHeight="1">
      <c r="A180" s="53">
        <v>1</v>
      </c>
      <c r="B180" s="53" t="str">
        <f>VLOOKUP(Ruimtestaat[[#This Row],[Code]],Locaties[#All],2,FALSE)</f>
        <v>Ir. Lely Lyceum</v>
      </c>
      <c r="C180" s="53" t="str">
        <f>VLOOKUP(Ruimtestaat[[#This Row],[Code]],Locaties[#All],4,FALSE)</f>
        <v>Ravenswaaipad 3</v>
      </c>
      <c r="D180" s="53" t="str">
        <f>VLOOKUP(Ruimtestaat[[#This Row],[Code]],Locaties[#All],5,FALSE)</f>
        <v>1106 AW</v>
      </c>
      <c r="E180" s="53" t="str">
        <f>VLOOKUP(Ruimtestaat[[#This Row],[Code]],Locaties[#All],6,FALSE)</f>
        <v>Amsterdam</v>
      </c>
      <c r="F180" s="78" t="s">
        <v>540</v>
      </c>
      <c r="G180" s="53" t="s">
        <v>450</v>
      </c>
      <c r="H180" s="53" t="s">
        <v>468</v>
      </c>
      <c r="I180" s="23" t="s">
        <v>553</v>
      </c>
      <c r="J180" s="53">
        <v>20</v>
      </c>
      <c r="K180" s="78" t="str">
        <f>VLOOKUP(J180,Ruimtegroepen[],2,FALSE)</f>
        <v>Niet in onderhoud</v>
      </c>
      <c r="L180" s="53" t="s">
        <v>280</v>
      </c>
      <c r="M180" s="53" t="s">
        <v>353</v>
      </c>
      <c r="O180" s="79">
        <v>25.5</v>
      </c>
      <c r="P180" s="80" t="str">
        <f>LEFT(VLOOKUP(Ruimtestaat[[#This Row],[Ruimte code]],Ruimtegroepen[#All],4,1),2)</f>
        <v/>
      </c>
      <c r="Q180" s="80"/>
      <c r="R180" s="81"/>
      <c r="S180" s="81"/>
      <c r="T180" s="82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0" s="82">
        <f>IF(T180&gt;0,VLOOKUP($J180,Ruimtegroepen[],3,FALSE)*VLOOKUP($L180,Vloersoorten[],3,FALSE)*VLOOKUP($S180,Frequenties[],3,FALSE)*VLOOKUP($A180,Locaties[],3,FALSE),0)</f>
        <v>0</v>
      </c>
      <c r="V180" s="83">
        <f>Ruimtestaat[[#This Row],[Uitvoeringen werkdagen]]*Ruimtestaat[[#This Row],[Oppervlak (netto)]]</f>
        <v>0</v>
      </c>
      <c r="W180" s="84">
        <f>IF(U180&gt;0,Ruimtestaat[[#This Row],[Prest. (m2 /jaar) werkdagen]]/Ruimtestaat[[#This Row],[Norm (m2/uur) werkdagen]],0)</f>
        <v>0</v>
      </c>
      <c r="X180" s="85">
        <f>Ruimtestaat[[#This Row],[uren / jaar werkdagen]]*Tariefsopbouw!$E$35</f>
        <v>0</v>
      </c>
      <c r="Y180" s="82"/>
      <c r="Z180" s="86">
        <f>IF(Ruimtestaat[[#This Row],[Frequentie weekend]]&gt;0,VALUE(LEFT(Y180,1))*R180,0)</f>
        <v>0</v>
      </c>
      <c r="AA180" s="82">
        <f>IF($Z180&gt;0,VLOOKUP($J180,Ruimtegroepen[],3,FALSE)*VLOOKUP($L180,Vloersoorten[],3,FALSE)*VLOOKUP($Y180,Frequenties[],3,FALSE)*VLOOKUP($A176,Locaties[],3,FALSE),0)</f>
        <v>0</v>
      </c>
      <c r="AB180" s="84">
        <f>Ruimtestaat[[#This Row],[Uitvoeringen weekend]]*Ruimtestaat[[#This Row],[Oppervlak (netto)]]</f>
        <v>0</v>
      </c>
      <c r="AC180" s="87">
        <f>IF(AB180&gt;0,Ruimtestaat[[#This Row],[Prest. (m2 /jaar) weekend]]/Ruimtestaat[[#This Row],[Norm (m2/uur) weekend]],0)</f>
        <v>0</v>
      </c>
      <c r="AD180" s="88">
        <f>Ruimtestaat[[#This Row],[uren / jaar weekend]]*Tariefsopbouw!$D$40</f>
        <v>0</v>
      </c>
      <c r="AE180" s="89">
        <f>Ruimtestaat[[#This Row],[Prest. (m2 /jaar) weekend]]+Ruimtestaat[[#This Row],[Prest. (m2 /jaar) werkdagen]]</f>
        <v>0</v>
      </c>
      <c r="AF180" s="89">
        <f>Ruimtestaat[[#This Row],[uren / jaar weekend]]+Ruimtestaat[[#This Row],[uren / jaar werkdagen]]</f>
        <v>0</v>
      </c>
      <c r="AG180" s="90">
        <f>Ruimtestaat[[#This Row],[kosten / jaar weekend]]+Ruimtestaat[[#This Row],[kosten / jaar werkdagen]]</f>
        <v>0</v>
      </c>
      <c r="AH180" s="91"/>
      <c r="HL180" s="67"/>
    </row>
    <row r="181" spans="1:220" ht="15" customHeight="1">
      <c r="A181" s="53">
        <v>1</v>
      </c>
      <c r="B181" s="53" t="str">
        <f>VLOOKUP(Ruimtestaat[[#This Row],[Code]],Locaties[#All],2,FALSE)</f>
        <v>Ir. Lely Lyceum</v>
      </c>
      <c r="C181" s="53" t="str">
        <f>VLOOKUP(Ruimtestaat[[#This Row],[Code]],Locaties[#All],4,FALSE)</f>
        <v>Ravenswaaipad 3</v>
      </c>
      <c r="D181" s="53" t="str">
        <f>VLOOKUP(Ruimtestaat[[#This Row],[Code]],Locaties[#All],5,FALSE)</f>
        <v>1106 AW</v>
      </c>
      <c r="E181" s="53" t="str">
        <f>VLOOKUP(Ruimtestaat[[#This Row],[Code]],Locaties[#All],6,FALSE)</f>
        <v>Amsterdam</v>
      </c>
      <c r="F181" s="78" t="s">
        <v>540</v>
      </c>
      <c r="G181" s="53" t="s">
        <v>450</v>
      </c>
      <c r="H181" s="53" t="s">
        <v>470</v>
      </c>
      <c r="I181" s="23" t="s">
        <v>554</v>
      </c>
      <c r="J181" s="53">
        <v>2</v>
      </c>
      <c r="K181" s="78" t="str">
        <f>VLOOKUP(J181,Ruimtegroepen[],2,FALSE)</f>
        <v>Kantoren</v>
      </c>
      <c r="L181" s="53" t="s">
        <v>283</v>
      </c>
      <c r="M181" s="53" t="s">
        <v>136</v>
      </c>
      <c r="N181" s="79">
        <v>48</v>
      </c>
      <c r="O181" s="79"/>
      <c r="P181" s="80" t="str">
        <f>LEFT(VLOOKUP(Ruimtestaat[[#This Row],[Ruimte code]],Ruimtegroepen[#All],4,1),2)</f>
        <v xml:space="preserve">B </v>
      </c>
      <c r="Q181" s="80"/>
      <c r="R181" s="81">
        <v>40</v>
      </c>
      <c r="S181" s="81" t="s">
        <v>298</v>
      </c>
      <c r="T181" s="82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1" s="82">
        <f>IF(T181&gt;0,VLOOKUP($J181,Ruimtegroepen[],3,FALSE)*VLOOKUP($L181,Vloersoorten[],3,FALSE)*VLOOKUP($S181,Frequenties[],3,FALSE)*VLOOKUP($A181,Locaties[],3,FALSE),0)</f>
        <v>0</v>
      </c>
      <c r="V181" s="83">
        <f>Ruimtestaat[[#This Row],[Uitvoeringen werkdagen]]*Ruimtestaat[[#This Row],[Oppervlak (netto)]]</f>
        <v>9600</v>
      </c>
      <c r="W181" s="84">
        <f>IF(U181&gt;0,Ruimtestaat[[#This Row],[Prest. (m2 /jaar) werkdagen]]/Ruimtestaat[[#This Row],[Norm (m2/uur) werkdagen]],0)</f>
        <v>0</v>
      </c>
      <c r="X181" s="85">
        <f>Ruimtestaat[[#This Row],[uren / jaar werkdagen]]*Tariefsopbouw!$E$35</f>
        <v>0</v>
      </c>
      <c r="Y181" s="82"/>
      <c r="Z181" s="86">
        <f>IF(Ruimtestaat[[#This Row],[Frequentie weekend]]&gt;0,VALUE(LEFT(Y181,1))*R181,0)</f>
        <v>0</v>
      </c>
      <c r="AA181" s="82">
        <f>IF($Z181&gt;0,VLOOKUP($J181,Ruimtegroepen[],3,FALSE)*VLOOKUP($L181,Vloersoorten[],3,FALSE)*VLOOKUP($Y181,Frequenties[],3,FALSE)*VLOOKUP($A177,Locaties[],3,FALSE),0)</f>
        <v>0</v>
      </c>
      <c r="AB181" s="84">
        <f>Ruimtestaat[[#This Row],[Uitvoeringen weekend]]*Ruimtestaat[[#This Row],[Oppervlak (netto)]]</f>
        <v>0</v>
      </c>
      <c r="AC181" s="87">
        <f>IF(AB181&gt;0,Ruimtestaat[[#This Row],[Prest. (m2 /jaar) weekend]]/Ruimtestaat[[#This Row],[Norm (m2/uur) weekend]],0)</f>
        <v>0</v>
      </c>
      <c r="AD181" s="88">
        <f>Ruimtestaat[[#This Row],[uren / jaar weekend]]*Tariefsopbouw!$D$40</f>
        <v>0</v>
      </c>
      <c r="AE181" s="89">
        <f>Ruimtestaat[[#This Row],[Prest. (m2 /jaar) weekend]]+Ruimtestaat[[#This Row],[Prest. (m2 /jaar) werkdagen]]</f>
        <v>9600</v>
      </c>
      <c r="AF181" s="89">
        <f>Ruimtestaat[[#This Row],[uren / jaar weekend]]+Ruimtestaat[[#This Row],[uren / jaar werkdagen]]</f>
        <v>0</v>
      </c>
      <c r="AG181" s="90">
        <f>Ruimtestaat[[#This Row],[kosten / jaar weekend]]+Ruimtestaat[[#This Row],[kosten / jaar werkdagen]]</f>
        <v>0</v>
      </c>
      <c r="AH181" s="91"/>
      <c r="HL181" s="67"/>
    </row>
    <row r="182" spans="1:220" ht="15" customHeight="1">
      <c r="A182" s="53">
        <v>1</v>
      </c>
      <c r="B182" s="53" t="str">
        <f>VLOOKUP(Ruimtestaat[[#This Row],[Code]],Locaties[#All],2,FALSE)</f>
        <v>Ir. Lely Lyceum</v>
      </c>
      <c r="C182" s="53" t="str">
        <f>VLOOKUP(Ruimtestaat[[#This Row],[Code]],Locaties[#All],4,FALSE)</f>
        <v>Ravenswaaipad 3</v>
      </c>
      <c r="D182" s="53" t="str">
        <f>VLOOKUP(Ruimtestaat[[#This Row],[Code]],Locaties[#All],5,FALSE)</f>
        <v>1106 AW</v>
      </c>
      <c r="E182" s="53" t="str">
        <f>VLOOKUP(Ruimtestaat[[#This Row],[Code]],Locaties[#All],6,FALSE)</f>
        <v>Amsterdam</v>
      </c>
      <c r="F182" s="78" t="s">
        <v>540</v>
      </c>
      <c r="G182" s="53" t="s">
        <v>450</v>
      </c>
      <c r="H182" s="53" t="s">
        <v>471</v>
      </c>
      <c r="I182" s="23" t="s">
        <v>555</v>
      </c>
      <c r="J182" s="53">
        <v>2</v>
      </c>
      <c r="K182" s="78" t="str">
        <f>VLOOKUP(J182,Ruimtegroepen[],2,FALSE)</f>
        <v>Kantoren</v>
      </c>
      <c r="L182" s="53" t="s">
        <v>283</v>
      </c>
      <c r="M182" s="53" t="s">
        <v>136</v>
      </c>
      <c r="N182" s="79">
        <v>19</v>
      </c>
      <c r="O182" s="79"/>
      <c r="P182" s="80" t="str">
        <f>LEFT(VLOOKUP(Ruimtestaat[[#This Row],[Ruimte code]],Ruimtegroepen[#All],4,1),2)</f>
        <v xml:space="preserve">B </v>
      </c>
      <c r="Q182" s="80"/>
      <c r="R182" s="81">
        <v>40</v>
      </c>
      <c r="S182" s="81" t="s">
        <v>298</v>
      </c>
      <c r="T182" s="82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2" s="82">
        <f>IF(T182&gt;0,VLOOKUP($J182,Ruimtegroepen[],3,FALSE)*VLOOKUP($L182,Vloersoorten[],3,FALSE)*VLOOKUP($S182,Frequenties[],3,FALSE)*VLOOKUP($A182,Locaties[],3,FALSE),0)</f>
        <v>0</v>
      </c>
      <c r="V182" s="83">
        <f>Ruimtestaat[[#This Row],[Uitvoeringen werkdagen]]*Ruimtestaat[[#This Row],[Oppervlak (netto)]]</f>
        <v>3800</v>
      </c>
      <c r="W182" s="84">
        <f>IF(U182&gt;0,Ruimtestaat[[#This Row],[Prest. (m2 /jaar) werkdagen]]/Ruimtestaat[[#This Row],[Norm (m2/uur) werkdagen]],0)</f>
        <v>0</v>
      </c>
      <c r="X182" s="85">
        <f>Ruimtestaat[[#This Row],[uren / jaar werkdagen]]*Tariefsopbouw!$E$35</f>
        <v>0</v>
      </c>
      <c r="Y182" s="82"/>
      <c r="Z182" s="86">
        <f>IF(Ruimtestaat[[#This Row],[Frequentie weekend]]&gt;0,VALUE(LEFT(Y182,1))*R182,0)</f>
        <v>0</v>
      </c>
      <c r="AA182" s="82">
        <f>IF($Z182&gt;0,VLOOKUP($J182,Ruimtegroepen[],3,FALSE)*VLOOKUP($L182,Vloersoorten[],3,FALSE)*VLOOKUP($Y182,Frequenties[],3,FALSE)*VLOOKUP($A178,Locaties[],3,FALSE),0)</f>
        <v>0</v>
      </c>
      <c r="AB182" s="84">
        <f>Ruimtestaat[[#This Row],[Uitvoeringen weekend]]*Ruimtestaat[[#This Row],[Oppervlak (netto)]]</f>
        <v>0</v>
      </c>
      <c r="AC182" s="87">
        <f>IF(AB182&gt;0,Ruimtestaat[[#This Row],[Prest. (m2 /jaar) weekend]]/Ruimtestaat[[#This Row],[Norm (m2/uur) weekend]],0)</f>
        <v>0</v>
      </c>
      <c r="AD182" s="88">
        <f>Ruimtestaat[[#This Row],[uren / jaar weekend]]*Tariefsopbouw!$D$40</f>
        <v>0</v>
      </c>
      <c r="AE182" s="89">
        <f>Ruimtestaat[[#This Row],[Prest. (m2 /jaar) weekend]]+Ruimtestaat[[#This Row],[Prest. (m2 /jaar) werkdagen]]</f>
        <v>3800</v>
      </c>
      <c r="AF182" s="89">
        <f>Ruimtestaat[[#This Row],[uren / jaar weekend]]+Ruimtestaat[[#This Row],[uren / jaar werkdagen]]</f>
        <v>0</v>
      </c>
      <c r="AG182" s="90">
        <f>Ruimtestaat[[#This Row],[kosten / jaar weekend]]+Ruimtestaat[[#This Row],[kosten / jaar werkdagen]]</f>
        <v>0</v>
      </c>
      <c r="AH182" s="91"/>
      <c r="HL182" s="67"/>
    </row>
    <row r="183" spans="1:220" ht="15" customHeight="1">
      <c r="A183" s="53">
        <v>1</v>
      </c>
      <c r="B183" s="53" t="str">
        <f>VLOOKUP(Ruimtestaat[[#This Row],[Code]],Locaties[#All],2,FALSE)</f>
        <v>Ir. Lely Lyceum</v>
      </c>
      <c r="C183" s="53" t="str">
        <f>VLOOKUP(Ruimtestaat[[#This Row],[Code]],Locaties[#All],4,FALSE)</f>
        <v>Ravenswaaipad 3</v>
      </c>
      <c r="D183" s="53" t="str">
        <f>VLOOKUP(Ruimtestaat[[#This Row],[Code]],Locaties[#All],5,FALSE)</f>
        <v>1106 AW</v>
      </c>
      <c r="E183" s="53" t="str">
        <f>VLOOKUP(Ruimtestaat[[#This Row],[Code]],Locaties[#All],6,FALSE)</f>
        <v>Amsterdam</v>
      </c>
      <c r="F183" s="78" t="s">
        <v>540</v>
      </c>
      <c r="G183" s="53" t="s">
        <v>450</v>
      </c>
      <c r="H183" s="53" t="s">
        <v>472</v>
      </c>
      <c r="I183" s="23" t="s">
        <v>555</v>
      </c>
      <c r="J183" s="53">
        <v>2</v>
      </c>
      <c r="K183" s="78" t="str">
        <f>VLOOKUP(J183,Ruimtegroepen[],2,FALSE)</f>
        <v>Kantoren</v>
      </c>
      <c r="L183" s="53" t="s">
        <v>283</v>
      </c>
      <c r="M183" s="53" t="s">
        <v>136</v>
      </c>
      <c r="N183" s="79">
        <v>19</v>
      </c>
      <c r="O183" s="79"/>
      <c r="P183" s="80" t="str">
        <f>LEFT(VLOOKUP(Ruimtestaat[[#This Row],[Ruimte code]],Ruimtegroepen[#All],4,1),2)</f>
        <v xml:space="preserve">B </v>
      </c>
      <c r="Q183" s="80"/>
      <c r="R183" s="81">
        <v>40</v>
      </c>
      <c r="S183" s="81" t="s">
        <v>298</v>
      </c>
      <c r="T183" s="82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3" s="82">
        <f>IF(T183&gt;0,VLOOKUP($J183,Ruimtegroepen[],3,FALSE)*VLOOKUP($L183,Vloersoorten[],3,FALSE)*VLOOKUP($S183,Frequenties[],3,FALSE)*VLOOKUP($A183,Locaties[],3,FALSE),0)</f>
        <v>0</v>
      </c>
      <c r="V183" s="83">
        <f>Ruimtestaat[[#This Row],[Uitvoeringen werkdagen]]*Ruimtestaat[[#This Row],[Oppervlak (netto)]]</f>
        <v>3800</v>
      </c>
      <c r="W183" s="84">
        <f>IF(U183&gt;0,Ruimtestaat[[#This Row],[Prest. (m2 /jaar) werkdagen]]/Ruimtestaat[[#This Row],[Norm (m2/uur) werkdagen]],0)</f>
        <v>0</v>
      </c>
      <c r="X183" s="85">
        <f>Ruimtestaat[[#This Row],[uren / jaar werkdagen]]*Tariefsopbouw!$E$35</f>
        <v>0</v>
      </c>
      <c r="Y183" s="82"/>
      <c r="Z183" s="86">
        <f>IF(Ruimtestaat[[#This Row],[Frequentie weekend]]&gt;0,VALUE(LEFT(Y183,1))*R183,0)</f>
        <v>0</v>
      </c>
      <c r="AA183" s="82">
        <f>IF($Z183&gt;0,VLOOKUP($J183,Ruimtegroepen[],3,FALSE)*VLOOKUP($L183,Vloersoorten[],3,FALSE)*VLOOKUP($Y183,Frequenties[],3,FALSE)*VLOOKUP($A179,Locaties[],3,FALSE),0)</f>
        <v>0</v>
      </c>
      <c r="AB183" s="84">
        <f>Ruimtestaat[[#This Row],[Uitvoeringen weekend]]*Ruimtestaat[[#This Row],[Oppervlak (netto)]]</f>
        <v>0</v>
      </c>
      <c r="AC183" s="87">
        <f>IF(AB183&gt;0,Ruimtestaat[[#This Row],[Prest. (m2 /jaar) weekend]]/Ruimtestaat[[#This Row],[Norm (m2/uur) weekend]],0)</f>
        <v>0</v>
      </c>
      <c r="AD183" s="88">
        <f>Ruimtestaat[[#This Row],[uren / jaar weekend]]*Tariefsopbouw!$D$40</f>
        <v>0</v>
      </c>
      <c r="AE183" s="89">
        <f>Ruimtestaat[[#This Row],[Prest. (m2 /jaar) weekend]]+Ruimtestaat[[#This Row],[Prest. (m2 /jaar) werkdagen]]</f>
        <v>3800</v>
      </c>
      <c r="AF183" s="89">
        <f>Ruimtestaat[[#This Row],[uren / jaar weekend]]+Ruimtestaat[[#This Row],[uren / jaar werkdagen]]</f>
        <v>0</v>
      </c>
      <c r="AG183" s="90">
        <f>Ruimtestaat[[#This Row],[kosten / jaar weekend]]+Ruimtestaat[[#This Row],[kosten / jaar werkdagen]]</f>
        <v>0</v>
      </c>
      <c r="AH183" s="91"/>
      <c r="HL183" s="67"/>
    </row>
    <row r="184" spans="1:220" ht="15" customHeight="1">
      <c r="A184" s="53">
        <v>1</v>
      </c>
      <c r="B184" s="53" t="str">
        <f>VLOOKUP(Ruimtestaat[[#This Row],[Code]],Locaties[#All],2,FALSE)</f>
        <v>Ir. Lely Lyceum</v>
      </c>
      <c r="C184" s="53" t="str">
        <f>VLOOKUP(Ruimtestaat[[#This Row],[Code]],Locaties[#All],4,FALSE)</f>
        <v>Ravenswaaipad 3</v>
      </c>
      <c r="D184" s="53" t="str">
        <f>VLOOKUP(Ruimtestaat[[#This Row],[Code]],Locaties[#All],5,FALSE)</f>
        <v>1106 AW</v>
      </c>
      <c r="E184" s="53" t="str">
        <f>VLOOKUP(Ruimtestaat[[#This Row],[Code]],Locaties[#All],6,FALSE)</f>
        <v>Amsterdam</v>
      </c>
      <c r="F184" s="78" t="s">
        <v>540</v>
      </c>
      <c r="G184" s="53" t="s">
        <v>450</v>
      </c>
      <c r="H184" s="53" t="s">
        <v>474</v>
      </c>
      <c r="I184" s="23" t="s">
        <v>555</v>
      </c>
      <c r="J184" s="53">
        <v>2</v>
      </c>
      <c r="K184" s="78" t="str">
        <f>VLOOKUP(J184,Ruimtegroepen[],2,FALSE)</f>
        <v>Kantoren</v>
      </c>
      <c r="L184" s="53" t="s">
        <v>283</v>
      </c>
      <c r="M184" s="53" t="s">
        <v>136</v>
      </c>
      <c r="N184" s="79">
        <v>19</v>
      </c>
      <c r="O184" s="79"/>
      <c r="P184" s="80" t="str">
        <f>LEFT(VLOOKUP(Ruimtestaat[[#This Row],[Ruimte code]],Ruimtegroepen[#All],4,1),2)</f>
        <v xml:space="preserve">B </v>
      </c>
      <c r="Q184" s="80"/>
      <c r="R184" s="81">
        <v>40</v>
      </c>
      <c r="S184" s="81" t="s">
        <v>298</v>
      </c>
      <c r="T184" s="82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4" s="82">
        <f>IF(T184&gt;0,VLOOKUP($J184,Ruimtegroepen[],3,FALSE)*VLOOKUP($L184,Vloersoorten[],3,FALSE)*VLOOKUP($S184,Frequenties[],3,FALSE)*VLOOKUP($A184,Locaties[],3,FALSE),0)</f>
        <v>0</v>
      </c>
      <c r="V184" s="83">
        <f>Ruimtestaat[[#This Row],[Uitvoeringen werkdagen]]*Ruimtestaat[[#This Row],[Oppervlak (netto)]]</f>
        <v>3800</v>
      </c>
      <c r="W184" s="84">
        <f>IF(U184&gt;0,Ruimtestaat[[#This Row],[Prest. (m2 /jaar) werkdagen]]/Ruimtestaat[[#This Row],[Norm (m2/uur) werkdagen]],0)</f>
        <v>0</v>
      </c>
      <c r="X184" s="85">
        <f>Ruimtestaat[[#This Row],[uren / jaar werkdagen]]*Tariefsopbouw!$E$35</f>
        <v>0</v>
      </c>
      <c r="Y184" s="82"/>
      <c r="Z184" s="86">
        <f>IF(Ruimtestaat[[#This Row],[Frequentie weekend]]&gt;0,VALUE(LEFT(Y184,1))*R184,0)</f>
        <v>0</v>
      </c>
      <c r="AA184" s="82">
        <f>IF($Z184&gt;0,VLOOKUP($J184,Ruimtegroepen[],3,FALSE)*VLOOKUP($L184,Vloersoorten[],3,FALSE)*VLOOKUP($Y184,Frequenties[],3,FALSE)*VLOOKUP($A180,Locaties[],3,FALSE),0)</f>
        <v>0</v>
      </c>
      <c r="AB184" s="84">
        <f>Ruimtestaat[[#This Row],[Uitvoeringen weekend]]*Ruimtestaat[[#This Row],[Oppervlak (netto)]]</f>
        <v>0</v>
      </c>
      <c r="AC184" s="87">
        <f>IF(AB184&gt;0,Ruimtestaat[[#This Row],[Prest. (m2 /jaar) weekend]]/Ruimtestaat[[#This Row],[Norm (m2/uur) weekend]],0)</f>
        <v>0</v>
      </c>
      <c r="AD184" s="88">
        <f>Ruimtestaat[[#This Row],[uren / jaar weekend]]*Tariefsopbouw!$D$40</f>
        <v>0</v>
      </c>
      <c r="AE184" s="89">
        <f>Ruimtestaat[[#This Row],[Prest. (m2 /jaar) weekend]]+Ruimtestaat[[#This Row],[Prest. (m2 /jaar) werkdagen]]</f>
        <v>3800</v>
      </c>
      <c r="AF184" s="89">
        <f>Ruimtestaat[[#This Row],[uren / jaar weekend]]+Ruimtestaat[[#This Row],[uren / jaar werkdagen]]</f>
        <v>0</v>
      </c>
      <c r="AG184" s="90">
        <f>Ruimtestaat[[#This Row],[kosten / jaar weekend]]+Ruimtestaat[[#This Row],[kosten / jaar werkdagen]]</f>
        <v>0</v>
      </c>
      <c r="AH184" s="91"/>
      <c r="HL184" s="67"/>
    </row>
    <row r="185" spans="1:220" ht="15" customHeight="1">
      <c r="A185" s="53">
        <v>1</v>
      </c>
      <c r="B185" s="53" t="str">
        <f>VLOOKUP(Ruimtestaat[[#This Row],[Code]],Locaties[#All],2,FALSE)</f>
        <v>Ir. Lely Lyceum</v>
      </c>
      <c r="C185" s="53" t="str">
        <f>VLOOKUP(Ruimtestaat[[#This Row],[Code]],Locaties[#All],4,FALSE)</f>
        <v>Ravenswaaipad 3</v>
      </c>
      <c r="D185" s="53" t="str">
        <f>VLOOKUP(Ruimtestaat[[#This Row],[Code]],Locaties[#All],5,FALSE)</f>
        <v>1106 AW</v>
      </c>
      <c r="E185" s="53" t="str">
        <f>VLOOKUP(Ruimtestaat[[#This Row],[Code]],Locaties[#All],6,FALSE)</f>
        <v>Amsterdam</v>
      </c>
      <c r="F185" s="78" t="s">
        <v>540</v>
      </c>
      <c r="G185" s="53" t="s">
        <v>450</v>
      </c>
      <c r="H185" s="53" t="s">
        <v>556</v>
      </c>
      <c r="I185" s="23" t="s">
        <v>554</v>
      </c>
      <c r="J185" s="53">
        <v>2</v>
      </c>
      <c r="K185" s="78" t="str">
        <f>VLOOKUP(J185,Ruimtegroepen[],2,FALSE)</f>
        <v>Kantoren</v>
      </c>
      <c r="L185" s="53" t="s">
        <v>283</v>
      </c>
      <c r="M185" s="53" t="s">
        <v>136</v>
      </c>
      <c r="N185" s="79">
        <v>48</v>
      </c>
      <c r="O185" s="79"/>
      <c r="P185" s="80" t="str">
        <f>LEFT(VLOOKUP(Ruimtestaat[[#This Row],[Ruimte code]],Ruimtegroepen[#All],4,1),2)</f>
        <v xml:space="preserve">B </v>
      </c>
      <c r="Q185" s="80"/>
      <c r="R185" s="81">
        <v>40</v>
      </c>
      <c r="S185" s="81" t="s">
        <v>298</v>
      </c>
      <c r="T185" s="82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5" s="82">
        <f>IF(T185&gt;0,VLOOKUP($J185,Ruimtegroepen[],3,FALSE)*VLOOKUP($L185,Vloersoorten[],3,FALSE)*VLOOKUP($S185,Frequenties[],3,FALSE)*VLOOKUP($A185,Locaties[],3,FALSE),0)</f>
        <v>0</v>
      </c>
      <c r="V185" s="83">
        <f>Ruimtestaat[[#This Row],[Uitvoeringen werkdagen]]*Ruimtestaat[[#This Row],[Oppervlak (netto)]]</f>
        <v>9600</v>
      </c>
      <c r="W185" s="84">
        <f>IF(U185&gt;0,Ruimtestaat[[#This Row],[Prest. (m2 /jaar) werkdagen]]/Ruimtestaat[[#This Row],[Norm (m2/uur) werkdagen]],0)</f>
        <v>0</v>
      </c>
      <c r="X185" s="85">
        <f>Ruimtestaat[[#This Row],[uren / jaar werkdagen]]*Tariefsopbouw!$E$35</f>
        <v>0</v>
      </c>
      <c r="Y185" s="82"/>
      <c r="Z185" s="86">
        <f>IF(Ruimtestaat[[#This Row],[Frequentie weekend]]&gt;0,VALUE(LEFT(Y185,1))*R185,0)</f>
        <v>0</v>
      </c>
      <c r="AA185" s="82">
        <f>IF($Z185&gt;0,VLOOKUP($J185,Ruimtegroepen[],3,FALSE)*VLOOKUP($L185,Vloersoorten[],3,FALSE)*VLOOKUP($Y185,Frequenties[],3,FALSE)*VLOOKUP($A181,Locaties[],3,FALSE),0)</f>
        <v>0</v>
      </c>
      <c r="AB185" s="84">
        <f>Ruimtestaat[[#This Row],[Uitvoeringen weekend]]*Ruimtestaat[[#This Row],[Oppervlak (netto)]]</f>
        <v>0</v>
      </c>
      <c r="AC185" s="87">
        <f>IF(AB185&gt;0,Ruimtestaat[[#This Row],[Prest. (m2 /jaar) weekend]]/Ruimtestaat[[#This Row],[Norm (m2/uur) weekend]],0)</f>
        <v>0</v>
      </c>
      <c r="AD185" s="88">
        <f>Ruimtestaat[[#This Row],[uren / jaar weekend]]*Tariefsopbouw!$D$40</f>
        <v>0</v>
      </c>
      <c r="AE185" s="89">
        <f>Ruimtestaat[[#This Row],[Prest. (m2 /jaar) weekend]]+Ruimtestaat[[#This Row],[Prest. (m2 /jaar) werkdagen]]</f>
        <v>9600</v>
      </c>
      <c r="AF185" s="89">
        <f>Ruimtestaat[[#This Row],[uren / jaar weekend]]+Ruimtestaat[[#This Row],[uren / jaar werkdagen]]</f>
        <v>0</v>
      </c>
      <c r="AG185" s="90">
        <f>Ruimtestaat[[#This Row],[kosten / jaar weekend]]+Ruimtestaat[[#This Row],[kosten / jaar werkdagen]]</f>
        <v>0</v>
      </c>
      <c r="AH185" s="91"/>
      <c r="HL185" s="67"/>
    </row>
    <row r="186" spans="1:220" ht="15" customHeight="1">
      <c r="A186" s="53">
        <v>1</v>
      </c>
      <c r="B186" s="53" t="str">
        <f>VLOOKUP(Ruimtestaat[[#This Row],[Code]],Locaties[#All],2,FALSE)</f>
        <v>Ir. Lely Lyceum</v>
      </c>
      <c r="C186" s="53" t="str">
        <f>VLOOKUP(Ruimtestaat[[#This Row],[Code]],Locaties[#All],4,FALSE)</f>
        <v>Ravenswaaipad 3</v>
      </c>
      <c r="D186" s="53" t="str">
        <f>VLOOKUP(Ruimtestaat[[#This Row],[Code]],Locaties[#All],5,FALSE)</f>
        <v>1106 AW</v>
      </c>
      <c r="E186" s="53" t="str">
        <f>VLOOKUP(Ruimtestaat[[#This Row],[Code]],Locaties[#All],6,FALSE)</f>
        <v>Amsterdam</v>
      </c>
      <c r="F186" s="78" t="s">
        <v>540</v>
      </c>
      <c r="G186" s="53" t="s">
        <v>450</v>
      </c>
      <c r="H186" s="53" t="s">
        <v>557</v>
      </c>
      <c r="I186" s="23" t="s">
        <v>456</v>
      </c>
      <c r="J186" s="53">
        <v>6</v>
      </c>
      <c r="K186" s="78" t="str">
        <f>VLOOKUP(J186,Ruimtegroepen[],2,FALSE)</f>
        <v>Gangen/hallen</v>
      </c>
      <c r="L186" s="53" t="s">
        <v>280</v>
      </c>
      <c r="M186" s="53" t="s">
        <v>353</v>
      </c>
      <c r="N186" s="92">
        <v>24.5</v>
      </c>
      <c r="O186" s="79"/>
      <c r="P186" s="80" t="str">
        <f>LEFT(VLOOKUP(Ruimtestaat[[#This Row],[Ruimte code]],Ruimtegroepen[#All],4,1),2)</f>
        <v xml:space="preserve">V </v>
      </c>
      <c r="Q186" s="80"/>
      <c r="R186" s="81">
        <v>40</v>
      </c>
      <c r="S186" s="81" t="s">
        <v>298</v>
      </c>
      <c r="T186" s="82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6" s="82">
        <f>IF(T186&gt;0,VLOOKUP($J186,Ruimtegroepen[],3,FALSE)*VLOOKUP($L186,Vloersoorten[],3,FALSE)*VLOOKUP($S186,Frequenties[],3,FALSE)*VLOOKUP($A186,Locaties[],3,FALSE),0)</f>
        <v>0</v>
      </c>
      <c r="V186" s="83">
        <f>Ruimtestaat[[#This Row],[Uitvoeringen werkdagen]]*Ruimtestaat[[#This Row],[Oppervlak (netto)]]</f>
        <v>4900</v>
      </c>
      <c r="W186" s="84">
        <f>IF(U186&gt;0,Ruimtestaat[[#This Row],[Prest. (m2 /jaar) werkdagen]]/Ruimtestaat[[#This Row],[Norm (m2/uur) werkdagen]],0)</f>
        <v>0</v>
      </c>
      <c r="X186" s="85">
        <f>Ruimtestaat[[#This Row],[uren / jaar werkdagen]]*Tariefsopbouw!$E$35</f>
        <v>0</v>
      </c>
      <c r="Y186" s="82"/>
      <c r="Z186" s="86">
        <f>IF(Ruimtestaat[[#This Row],[Frequentie weekend]]&gt;0,VALUE(LEFT(Y186,1))*R186,0)</f>
        <v>0</v>
      </c>
      <c r="AA186" s="82">
        <f>IF($Z186&gt;0,VLOOKUP($J186,Ruimtegroepen[],3,FALSE)*VLOOKUP($L186,Vloersoorten[],3,FALSE)*VLOOKUP($Y186,Frequenties[],3,FALSE)*VLOOKUP($A182,Locaties[],3,FALSE),0)</f>
        <v>0</v>
      </c>
      <c r="AB186" s="84">
        <f>Ruimtestaat[[#This Row],[Uitvoeringen weekend]]*Ruimtestaat[[#This Row],[Oppervlak (netto)]]</f>
        <v>0</v>
      </c>
      <c r="AC186" s="87">
        <f>IF(AB186&gt;0,Ruimtestaat[[#This Row],[Prest. (m2 /jaar) weekend]]/Ruimtestaat[[#This Row],[Norm (m2/uur) weekend]],0)</f>
        <v>0</v>
      </c>
      <c r="AD186" s="88">
        <f>Ruimtestaat[[#This Row],[uren / jaar weekend]]*Tariefsopbouw!$D$40</f>
        <v>0</v>
      </c>
      <c r="AE186" s="89">
        <f>Ruimtestaat[[#This Row],[Prest. (m2 /jaar) weekend]]+Ruimtestaat[[#This Row],[Prest. (m2 /jaar) werkdagen]]</f>
        <v>4900</v>
      </c>
      <c r="AF186" s="89">
        <f>Ruimtestaat[[#This Row],[uren / jaar weekend]]+Ruimtestaat[[#This Row],[uren / jaar werkdagen]]</f>
        <v>0</v>
      </c>
      <c r="AG186" s="90">
        <f>Ruimtestaat[[#This Row],[kosten / jaar weekend]]+Ruimtestaat[[#This Row],[kosten / jaar werkdagen]]</f>
        <v>0</v>
      </c>
      <c r="AH186" s="91"/>
      <c r="HL186" s="67"/>
    </row>
    <row r="187" spans="1:220" ht="15" customHeight="1">
      <c r="A187" s="53">
        <v>1</v>
      </c>
      <c r="B187" s="53" t="str">
        <f>VLOOKUP(Ruimtestaat[[#This Row],[Code]],Locaties[#All],2,FALSE)</f>
        <v>Ir. Lely Lyceum</v>
      </c>
      <c r="C187" s="53" t="str">
        <f>VLOOKUP(Ruimtestaat[[#This Row],[Code]],Locaties[#All],4,FALSE)</f>
        <v>Ravenswaaipad 3</v>
      </c>
      <c r="D187" s="53" t="str">
        <f>VLOOKUP(Ruimtestaat[[#This Row],[Code]],Locaties[#All],5,FALSE)</f>
        <v>1106 AW</v>
      </c>
      <c r="E187" s="53" t="str">
        <f>VLOOKUP(Ruimtestaat[[#This Row],[Code]],Locaties[#All],6,FALSE)</f>
        <v>Amsterdam</v>
      </c>
      <c r="F187" s="78" t="s">
        <v>540</v>
      </c>
      <c r="G187" s="53" t="s">
        <v>450</v>
      </c>
      <c r="H187" s="53" t="s">
        <v>558</v>
      </c>
      <c r="I187" s="23" t="s">
        <v>364</v>
      </c>
      <c r="J187" s="53">
        <v>15</v>
      </c>
      <c r="K187" s="78" t="str">
        <f>VLOOKUP(J187,Ruimtegroepen[],2,FALSE)</f>
        <v>Keuken/pantry</v>
      </c>
      <c r="L187" s="53" t="s">
        <v>280</v>
      </c>
      <c r="M187" s="53" t="s">
        <v>353</v>
      </c>
      <c r="N187" s="92">
        <v>6</v>
      </c>
      <c r="O187" s="79"/>
      <c r="P187" s="80" t="str">
        <f>LEFT(VLOOKUP(Ruimtestaat[[#This Row],[Ruimte code]],Ruimtegroepen[#All],4,1),2)</f>
        <v xml:space="preserve">V </v>
      </c>
      <c r="Q187" s="80"/>
      <c r="R187" s="81">
        <v>40</v>
      </c>
      <c r="S187" s="81" t="s">
        <v>298</v>
      </c>
      <c r="T187" s="82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7" s="82">
        <f>IF(T187&gt;0,VLOOKUP($J187,Ruimtegroepen[],3,FALSE)*VLOOKUP($L187,Vloersoorten[],3,FALSE)*VLOOKUP($S187,Frequenties[],3,FALSE)*VLOOKUP($A187,Locaties[],3,FALSE),0)</f>
        <v>0</v>
      </c>
      <c r="V187" s="83">
        <f>Ruimtestaat[[#This Row],[Uitvoeringen werkdagen]]*Ruimtestaat[[#This Row],[Oppervlak (netto)]]</f>
        <v>1200</v>
      </c>
      <c r="W187" s="84">
        <f>IF(U187&gt;0,Ruimtestaat[[#This Row],[Prest. (m2 /jaar) werkdagen]]/Ruimtestaat[[#This Row],[Norm (m2/uur) werkdagen]],0)</f>
        <v>0</v>
      </c>
      <c r="X187" s="85">
        <f>Ruimtestaat[[#This Row],[uren / jaar werkdagen]]*Tariefsopbouw!$E$35</f>
        <v>0</v>
      </c>
      <c r="Y187" s="82"/>
      <c r="Z187" s="86">
        <f>IF(Ruimtestaat[[#This Row],[Frequentie weekend]]&gt;0,VALUE(LEFT(Y187,1))*R187,0)</f>
        <v>0</v>
      </c>
      <c r="AA187" s="82">
        <f>IF($Z187&gt;0,VLOOKUP($J187,Ruimtegroepen[],3,FALSE)*VLOOKUP($L187,Vloersoorten[],3,FALSE)*VLOOKUP($Y187,Frequenties[],3,FALSE)*VLOOKUP($A183,Locaties[],3,FALSE),0)</f>
        <v>0</v>
      </c>
      <c r="AB187" s="84">
        <f>Ruimtestaat[[#This Row],[Uitvoeringen weekend]]*Ruimtestaat[[#This Row],[Oppervlak (netto)]]</f>
        <v>0</v>
      </c>
      <c r="AC187" s="87">
        <f>IF(AB187&gt;0,Ruimtestaat[[#This Row],[Prest. (m2 /jaar) weekend]]/Ruimtestaat[[#This Row],[Norm (m2/uur) weekend]],0)</f>
        <v>0</v>
      </c>
      <c r="AD187" s="88">
        <f>Ruimtestaat[[#This Row],[uren / jaar weekend]]*Tariefsopbouw!$D$40</f>
        <v>0</v>
      </c>
      <c r="AE187" s="89">
        <f>Ruimtestaat[[#This Row],[Prest. (m2 /jaar) weekend]]+Ruimtestaat[[#This Row],[Prest. (m2 /jaar) werkdagen]]</f>
        <v>1200</v>
      </c>
      <c r="AF187" s="89">
        <f>Ruimtestaat[[#This Row],[uren / jaar weekend]]+Ruimtestaat[[#This Row],[uren / jaar werkdagen]]</f>
        <v>0</v>
      </c>
      <c r="AG187" s="90">
        <f>Ruimtestaat[[#This Row],[kosten / jaar weekend]]+Ruimtestaat[[#This Row],[kosten / jaar werkdagen]]</f>
        <v>0</v>
      </c>
      <c r="AH187" s="91"/>
      <c r="HL187" s="67"/>
    </row>
    <row r="188" spans="1:220" ht="15" customHeight="1">
      <c r="A188" s="53">
        <v>1</v>
      </c>
      <c r="B188" s="53" t="str">
        <f>VLOOKUP(Ruimtestaat[[#This Row],[Code]],Locaties[#All],2,FALSE)</f>
        <v>Ir. Lely Lyceum</v>
      </c>
      <c r="C188" s="53" t="str">
        <f>VLOOKUP(Ruimtestaat[[#This Row],[Code]],Locaties[#All],4,FALSE)</f>
        <v>Ravenswaaipad 3</v>
      </c>
      <c r="D188" s="53" t="str">
        <f>VLOOKUP(Ruimtestaat[[#This Row],[Code]],Locaties[#All],5,FALSE)</f>
        <v>1106 AW</v>
      </c>
      <c r="E188" s="53" t="str">
        <f>VLOOKUP(Ruimtestaat[[#This Row],[Code]],Locaties[#All],6,FALSE)</f>
        <v>Amsterdam</v>
      </c>
      <c r="F188" s="78" t="s">
        <v>540</v>
      </c>
      <c r="G188" s="53" t="s">
        <v>450</v>
      </c>
      <c r="H188" s="53" t="s">
        <v>475</v>
      </c>
      <c r="I188" s="23" t="s">
        <v>559</v>
      </c>
      <c r="J188" s="53">
        <v>20</v>
      </c>
      <c r="K188" s="78" t="str">
        <f>VLOOKUP(J188,Ruimtegroepen[],2,FALSE)</f>
        <v>Niet in onderhoud</v>
      </c>
      <c r="L188" s="53" t="s">
        <v>280</v>
      </c>
      <c r="M188" s="53" t="s">
        <v>353</v>
      </c>
      <c r="N188" s="79"/>
      <c r="O188" s="79">
        <v>3</v>
      </c>
      <c r="P188" s="80" t="str">
        <f>LEFT(VLOOKUP(Ruimtestaat[[#This Row],[Ruimte code]],Ruimtegroepen[#All],4,1),2)</f>
        <v/>
      </c>
      <c r="Q188" s="80"/>
      <c r="R188" s="81"/>
      <c r="S188" s="81"/>
      <c r="T188" s="82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88" s="82">
        <f>IF(T188&gt;0,VLOOKUP($J188,Ruimtegroepen[],3,FALSE)*VLOOKUP($L188,Vloersoorten[],3,FALSE)*VLOOKUP($S188,Frequenties[],3,FALSE)*VLOOKUP($A188,Locaties[],3,FALSE),0)</f>
        <v>0</v>
      </c>
      <c r="V188" s="83">
        <f>Ruimtestaat[[#This Row],[Uitvoeringen werkdagen]]*Ruimtestaat[[#This Row],[Oppervlak (netto)]]</f>
        <v>0</v>
      </c>
      <c r="W188" s="84">
        <f>IF(U188&gt;0,Ruimtestaat[[#This Row],[Prest. (m2 /jaar) werkdagen]]/Ruimtestaat[[#This Row],[Norm (m2/uur) werkdagen]],0)</f>
        <v>0</v>
      </c>
      <c r="X188" s="85">
        <f>Ruimtestaat[[#This Row],[uren / jaar werkdagen]]*Tariefsopbouw!$E$35</f>
        <v>0</v>
      </c>
      <c r="Y188" s="82"/>
      <c r="Z188" s="86">
        <f>IF(Ruimtestaat[[#This Row],[Frequentie weekend]]&gt;0,VALUE(LEFT(Y188,1))*R188,0)</f>
        <v>0</v>
      </c>
      <c r="AA188" s="82">
        <f>IF($Z188&gt;0,VLOOKUP($J188,Ruimtegroepen[],3,FALSE)*VLOOKUP($L188,Vloersoorten[],3,FALSE)*VLOOKUP($Y188,Frequenties[],3,FALSE)*VLOOKUP($A184,Locaties[],3,FALSE),0)</f>
        <v>0</v>
      </c>
      <c r="AB188" s="84">
        <f>Ruimtestaat[[#This Row],[Uitvoeringen weekend]]*Ruimtestaat[[#This Row],[Oppervlak (netto)]]</f>
        <v>0</v>
      </c>
      <c r="AC188" s="87">
        <f>IF(AB188&gt;0,Ruimtestaat[[#This Row],[Prest. (m2 /jaar) weekend]]/Ruimtestaat[[#This Row],[Norm (m2/uur) weekend]],0)</f>
        <v>0</v>
      </c>
      <c r="AD188" s="88">
        <f>Ruimtestaat[[#This Row],[uren / jaar weekend]]*Tariefsopbouw!$D$40</f>
        <v>0</v>
      </c>
      <c r="AE188" s="89">
        <f>Ruimtestaat[[#This Row],[Prest. (m2 /jaar) weekend]]+Ruimtestaat[[#This Row],[Prest. (m2 /jaar) werkdagen]]</f>
        <v>0</v>
      </c>
      <c r="AF188" s="89">
        <f>Ruimtestaat[[#This Row],[uren / jaar weekend]]+Ruimtestaat[[#This Row],[uren / jaar werkdagen]]</f>
        <v>0</v>
      </c>
      <c r="AG188" s="90">
        <f>Ruimtestaat[[#This Row],[kosten / jaar weekend]]+Ruimtestaat[[#This Row],[kosten / jaar werkdagen]]</f>
        <v>0</v>
      </c>
      <c r="AH188" s="91"/>
      <c r="HL188" s="67"/>
    </row>
    <row r="189" spans="1:220" ht="15" customHeight="1">
      <c r="A189" s="53">
        <v>1</v>
      </c>
      <c r="B189" s="53" t="str">
        <f>VLOOKUP(Ruimtestaat[[#This Row],[Code]],Locaties[#All],2,FALSE)</f>
        <v>Ir. Lely Lyceum</v>
      </c>
      <c r="C189" s="53" t="str">
        <f>VLOOKUP(Ruimtestaat[[#This Row],[Code]],Locaties[#All],4,FALSE)</f>
        <v>Ravenswaaipad 3</v>
      </c>
      <c r="D189" s="53" t="str">
        <f>VLOOKUP(Ruimtestaat[[#This Row],[Code]],Locaties[#All],5,FALSE)</f>
        <v>1106 AW</v>
      </c>
      <c r="E189" s="53" t="str">
        <f>VLOOKUP(Ruimtestaat[[#This Row],[Code]],Locaties[#All],6,FALSE)</f>
        <v>Amsterdam</v>
      </c>
      <c r="F189" s="78" t="s">
        <v>540</v>
      </c>
      <c r="G189" s="53" t="s">
        <v>450</v>
      </c>
      <c r="H189" s="53" t="s">
        <v>479</v>
      </c>
      <c r="I189" s="23" t="s">
        <v>383</v>
      </c>
      <c r="J189" s="53">
        <v>2</v>
      </c>
      <c r="K189" s="78" t="str">
        <f>VLOOKUP(J189,Ruimtegroepen[],2,FALSE)</f>
        <v>Kantoren</v>
      </c>
      <c r="L189" s="53" t="s">
        <v>280</v>
      </c>
      <c r="M189" s="53" t="s">
        <v>353</v>
      </c>
      <c r="N189" s="92">
        <v>25</v>
      </c>
      <c r="O189" s="79"/>
      <c r="P189" s="80" t="str">
        <f>LEFT(VLOOKUP(Ruimtestaat[[#This Row],[Ruimte code]],Ruimtegroepen[#All],4,1),2)</f>
        <v xml:space="preserve">B </v>
      </c>
      <c r="Q189" s="80"/>
      <c r="R189" s="81">
        <v>40</v>
      </c>
      <c r="S189" s="81" t="s">
        <v>298</v>
      </c>
      <c r="T189" s="82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89" s="82">
        <f>IF(T189&gt;0,VLOOKUP($J189,Ruimtegroepen[],3,FALSE)*VLOOKUP($L189,Vloersoorten[],3,FALSE)*VLOOKUP($S189,Frequenties[],3,FALSE)*VLOOKUP($A189,Locaties[],3,FALSE),0)</f>
        <v>0</v>
      </c>
      <c r="V189" s="83">
        <f>Ruimtestaat[[#This Row],[Uitvoeringen werkdagen]]*Ruimtestaat[[#This Row],[Oppervlak (netto)]]</f>
        <v>5000</v>
      </c>
      <c r="W189" s="84">
        <f>IF(U189&gt;0,Ruimtestaat[[#This Row],[Prest. (m2 /jaar) werkdagen]]/Ruimtestaat[[#This Row],[Norm (m2/uur) werkdagen]],0)</f>
        <v>0</v>
      </c>
      <c r="X189" s="85">
        <f>Ruimtestaat[[#This Row],[uren / jaar werkdagen]]*Tariefsopbouw!$E$35</f>
        <v>0</v>
      </c>
      <c r="Y189" s="82"/>
      <c r="Z189" s="86">
        <f>IF(Ruimtestaat[[#This Row],[Frequentie weekend]]&gt;0,VALUE(LEFT(Y189,1))*R189,0)</f>
        <v>0</v>
      </c>
      <c r="AA189" s="82">
        <f>IF($Z189&gt;0,VLOOKUP($J189,Ruimtegroepen[],3,FALSE)*VLOOKUP($L189,Vloersoorten[],3,FALSE)*VLOOKUP($Y189,Frequenties[],3,FALSE)*VLOOKUP($A185,Locaties[],3,FALSE),0)</f>
        <v>0</v>
      </c>
      <c r="AB189" s="84">
        <f>Ruimtestaat[[#This Row],[Uitvoeringen weekend]]*Ruimtestaat[[#This Row],[Oppervlak (netto)]]</f>
        <v>0</v>
      </c>
      <c r="AC189" s="87">
        <f>IF(AB189&gt;0,Ruimtestaat[[#This Row],[Prest. (m2 /jaar) weekend]]/Ruimtestaat[[#This Row],[Norm (m2/uur) weekend]],0)</f>
        <v>0</v>
      </c>
      <c r="AD189" s="88">
        <f>Ruimtestaat[[#This Row],[uren / jaar weekend]]*Tariefsopbouw!$D$40</f>
        <v>0</v>
      </c>
      <c r="AE189" s="89">
        <f>Ruimtestaat[[#This Row],[Prest. (m2 /jaar) weekend]]+Ruimtestaat[[#This Row],[Prest. (m2 /jaar) werkdagen]]</f>
        <v>5000</v>
      </c>
      <c r="AF189" s="89">
        <f>Ruimtestaat[[#This Row],[uren / jaar weekend]]+Ruimtestaat[[#This Row],[uren / jaar werkdagen]]</f>
        <v>0</v>
      </c>
      <c r="AG189" s="90">
        <f>Ruimtestaat[[#This Row],[kosten / jaar weekend]]+Ruimtestaat[[#This Row],[kosten / jaar werkdagen]]</f>
        <v>0</v>
      </c>
      <c r="AH189" s="91"/>
      <c r="HL189" s="67"/>
    </row>
    <row r="190" spans="1:220" ht="15" customHeight="1">
      <c r="A190" s="53">
        <v>1</v>
      </c>
      <c r="B190" s="53" t="str">
        <f>VLOOKUP(Ruimtestaat[[#This Row],[Code]],Locaties[#All],2,FALSE)</f>
        <v>Ir. Lely Lyceum</v>
      </c>
      <c r="C190" s="53" t="str">
        <f>VLOOKUP(Ruimtestaat[[#This Row],[Code]],Locaties[#All],4,FALSE)</f>
        <v>Ravenswaaipad 3</v>
      </c>
      <c r="D190" s="53" t="str">
        <f>VLOOKUP(Ruimtestaat[[#This Row],[Code]],Locaties[#All],5,FALSE)</f>
        <v>1106 AW</v>
      </c>
      <c r="E190" s="53" t="str">
        <f>VLOOKUP(Ruimtestaat[[#This Row],[Code]],Locaties[#All],6,FALSE)</f>
        <v>Amsterdam</v>
      </c>
      <c r="F190" s="78" t="s">
        <v>540</v>
      </c>
      <c r="G190" s="53" t="s">
        <v>450</v>
      </c>
      <c r="H190" s="53" t="s">
        <v>480</v>
      </c>
      <c r="I190" s="23" t="s">
        <v>428</v>
      </c>
      <c r="J190" s="53">
        <v>16</v>
      </c>
      <c r="K190" s="78" t="str">
        <f>VLOOKUP(J190,Ruimtegroepen[],2,FALSE)</f>
        <v>Leslokalen theorie</v>
      </c>
      <c r="L190" s="53" t="s">
        <v>280</v>
      </c>
      <c r="M190" s="53" t="s">
        <v>353</v>
      </c>
      <c r="N190" s="79">
        <v>50</v>
      </c>
      <c r="O190" s="79"/>
      <c r="P190" s="80" t="str">
        <f>LEFT(VLOOKUP(Ruimtestaat[[#This Row],[Ruimte code]],Ruimtegroepen[#All],4,1),2)</f>
        <v xml:space="preserve">L </v>
      </c>
      <c r="Q190" s="80"/>
      <c r="R190" s="81">
        <v>40</v>
      </c>
      <c r="S190" s="81" t="s">
        <v>298</v>
      </c>
      <c r="T190" s="82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0" s="82">
        <f>IF(T190&gt;0,VLOOKUP($J190,Ruimtegroepen[],3,FALSE)*VLOOKUP($L190,Vloersoorten[],3,FALSE)*VLOOKUP($S190,Frequenties[],3,FALSE)*VLOOKUP($A190,Locaties[],3,FALSE),0)</f>
        <v>0</v>
      </c>
      <c r="V190" s="83">
        <f>Ruimtestaat[[#This Row],[Uitvoeringen werkdagen]]*Ruimtestaat[[#This Row],[Oppervlak (netto)]]</f>
        <v>10000</v>
      </c>
      <c r="W190" s="84">
        <f>IF(U190&gt;0,Ruimtestaat[[#This Row],[Prest. (m2 /jaar) werkdagen]]/Ruimtestaat[[#This Row],[Norm (m2/uur) werkdagen]],0)</f>
        <v>0</v>
      </c>
      <c r="X190" s="85">
        <f>Ruimtestaat[[#This Row],[uren / jaar werkdagen]]*Tariefsopbouw!$E$35</f>
        <v>0</v>
      </c>
      <c r="Y190" s="82"/>
      <c r="Z190" s="86">
        <f>IF(Ruimtestaat[[#This Row],[Frequentie weekend]]&gt;0,VALUE(LEFT(Y190,1))*R190,0)</f>
        <v>0</v>
      </c>
      <c r="AA190" s="82">
        <f>IF($Z190&gt;0,VLOOKUP($J190,Ruimtegroepen[],3,FALSE)*VLOOKUP($L190,Vloersoorten[],3,FALSE)*VLOOKUP($Y190,Frequenties[],3,FALSE)*VLOOKUP($A186,Locaties[],3,FALSE),0)</f>
        <v>0</v>
      </c>
      <c r="AB190" s="84">
        <f>Ruimtestaat[[#This Row],[Uitvoeringen weekend]]*Ruimtestaat[[#This Row],[Oppervlak (netto)]]</f>
        <v>0</v>
      </c>
      <c r="AC190" s="87">
        <f>IF(AB190&gt;0,Ruimtestaat[[#This Row],[Prest. (m2 /jaar) weekend]]/Ruimtestaat[[#This Row],[Norm (m2/uur) weekend]],0)</f>
        <v>0</v>
      </c>
      <c r="AD190" s="88">
        <f>Ruimtestaat[[#This Row],[uren / jaar weekend]]*Tariefsopbouw!$D$40</f>
        <v>0</v>
      </c>
      <c r="AE190" s="89">
        <f>Ruimtestaat[[#This Row],[Prest. (m2 /jaar) weekend]]+Ruimtestaat[[#This Row],[Prest. (m2 /jaar) werkdagen]]</f>
        <v>10000</v>
      </c>
      <c r="AF190" s="89">
        <f>Ruimtestaat[[#This Row],[uren / jaar weekend]]+Ruimtestaat[[#This Row],[uren / jaar werkdagen]]</f>
        <v>0</v>
      </c>
      <c r="AG190" s="90">
        <f>Ruimtestaat[[#This Row],[kosten / jaar weekend]]+Ruimtestaat[[#This Row],[kosten / jaar werkdagen]]</f>
        <v>0</v>
      </c>
      <c r="AH190" s="91"/>
      <c r="HL190" s="67"/>
    </row>
    <row r="191" spans="1:220" ht="15" customHeight="1">
      <c r="A191" s="53">
        <v>1</v>
      </c>
      <c r="B191" s="53" t="str">
        <f>VLOOKUP(Ruimtestaat[[#This Row],[Code]],Locaties[#All],2,FALSE)</f>
        <v>Ir. Lely Lyceum</v>
      </c>
      <c r="C191" s="53" t="str">
        <f>VLOOKUP(Ruimtestaat[[#This Row],[Code]],Locaties[#All],4,FALSE)</f>
        <v>Ravenswaaipad 3</v>
      </c>
      <c r="D191" s="53" t="str">
        <f>VLOOKUP(Ruimtestaat[[#This Row],[Code]],Locaties[#All],5,FALSE)</f>
        <v>1106 AW</v>
      </c>
      <c r="E191" s="53" t="str">
        <f>VLOOKUP(Ruimtestaat[[#This Row],[Code]],Locaties[#All],6,FALSE)</f>
        <v>Amsterdam</v>
      </c>
      <c r="F191" s="78" t="s">
        <v>540</v>
      </c>
      <c r="G191" s="53" t="s">
        <v>450</v>
      </c>
      <c r="H191" s="53" t="s">
        <v>481</v>
      </c>
      <c r="I191" s="23" t="s">
        <v>560</v>
      </c>
      <c r="J191" s="53">
        <v>14</v>
      </c>
      <c r="K191" s="78" t="str">
        <f>VLOOKUP(J191,Ruimtegroepen[],2,FALSE)</f>
        <v>Praktijklokalen binas/zorg</v>
      </c>
      <c r="L191" s="53" t="s">
        <v>280</v>
      </c>
      <c r="M191" s="53" t="s">
        <v>353</v>
      </c>
      <c r="N191" s="79">
        <v>76</v>
      </c>
      <c r="O191" s="79"/>
      <c r="P191" s="80" t="str">
        <f>LEFT(VLOOKUP(Ruimtestaat[[#This Row],[Ruimte code]],Ruimtegroepen[#All],4,1),2)</f>
        <v xml:space="preserve">L </v>
      </c>
      <c r="Q191" s="80"/>
      <c r="R191" s="81">
        <v>40</v>
      </c>
      <c r="S191" s="81" t="s">
        <v>298</v>
      </c>
      <c r="T191" s="82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1" s="82">
        <f>IF(T191&gt;0,VLOOKUP($J191,Ruimtegroepen[],3,FALSE)*VLOOKUP($L191,Vloersoorten[],3,FALSE)*VLOOKUP($S191,Frequenties[],3,FALSE)*VLOOKUP($A191,Locaties[],3,FALSE),0)</f>
        <v>0</v>
      </c>
      <c r="V191" s="83">
        <f>Ruimtestaat[[#This Row],[Uitvoeringen werkdagen]]*Ruimtestaat[[#This Row],[Oppervlak (netto)]]</f>
        <v>15200</v>
      </c>
      <c r="W191" s="84">
        <f>IF(U191&gt;0,Ruimtestaat[[#This Row],[Prest. (m2 /jaar) werkdagen]]/Ruimtestaat[[#This Row],[Norm (m2/uur) werkdagen]],0)</f>
        <v>0</v>
      </c>
      <c r="X191" s="85">
        <f>Ruimtestaat[[#This Row],[uren / jaar werkdagen]]*Tariefsopbouw!$E$35</f>
        <v>0</v>
      </c>
      <c r="Y191" s="82"/>
      <c r="Z191" s="86">
        <f>IF(Ruimtestaat[[#This Row],[Frequentie weekend]]&gt;0,VALUE(LEFT(Y191,1))*R191,0)</f>
        <v>0</v>
      </c>
      <c r="AA191" s="82">
        <f>IF($Z191&gt;0,VLOOKUP($J191,Ruimtegroepen[],3,FALSE)*VLOOKUP($L191,Vloersoorten[],3,FALSE)*VLOOKUP($Y191,Frequenties[],3,FALSE)*VLOOKUP($A187,Locaties[],3,FALSE),0)</f>
        <v>0</v>
      </c>
      <c r="AB191" s="84">
        <f>Ruimtestaat[[#This Row],[Uitvoeringen weekend]]*Ruimtestaat[[#This Row],[Oppervlak (netto)]]</f>
        <v>0</v>
      </c>
      <c r="AC191" s="87">
        <f>IF(AB191&gt;0,Ruimtestaat[[#This Row],[Prest. (m2 /jaar) weekend]]/Ruimtestaat[[#This Row],[Norm (m2/uur) weekend]],0)</f>
        <v>0</v>
      </c>
      <c r="AD191" s="88">
        <f>Ruimtestaat[[#This Row],[uren / jaar weekend]]*Tariefsopbouw!$D$40</f>
        <v>0</v>
      </c>
      <c r="AE191" s="89">
        <f>Ruimtestaat[[#This Row],[Prest. (m2 /jaar) weekend]]+Ruimtestaat[[#This Row],[Prest. (m2 /jaar) werkdagen]]</f>
        <v>15200</v>
      </c>
      <c r="AF191" s="89">
        <f>Ruimtestaat[[#This Row],[uren / jaar weekend]]+Ruimtestaat[[#This Row],[uren / jaar werkdagen]]</f>
        <v>0</v>
      </c>
      <c r="AG191" s="90">
        <f>Ruimtestaat[[#This Row],[kosten / jaar weekend]]+Ruimtestaat[[#This Row],[kosten / jaar werkdagen]]</f>
        <v>0</v>
      </c>
      <c r="AH191" s="91"/>
      <c r="HL191" s="67"/>
    </row>
    <row r="192" spans="1:220" ht="15" customHeight="1">
      <c r="A192" s="53">
        <v>1</v>
      </c>
      <c r="B192" s="53" t="str">
        <f>VLOOKUP(Ruimtestaat[[#This Row],[Code]],Locaties[#All],2,FALSE)</f>
        <v>Ir. Lely Lyceum</v>
      </c>
      <c r="C192" s="53" t="str">
        <f>VLOOKUP(Ruimtestaat[[#This Row],[Code]],Locaties[#All],4,FALSE)</f>
        <v>Ravenswaaipad 3</v>
      </c>
      <c r="D192" s="53" t="str">
        <f>VLOOKUP(Ruimtestaat[[#This Row],[Code]],Locaties[#All],5,FALSE)</f>
        <v>1106 AW</v>
      </c>
      <c r="E192" s="53" t="str">
        <f>VLOOKUP(Ruimtestaat[[#This Row],[Code]],Locaties[#All],6,FALSE)</f>
        <v>Amsterdam</v>
      </c>
      <c r="F192" s="78" t="s">
        <v>540</v>
      </c>
      <c r="G192" s="53" t="s">
        <v>450</v>
      </c>
      <c r="H192" s="53" t="s">
        <v>482</v>
      </c>
      <c r="I192" s="23" t="s">
        <v>561</v>
      </c>
      <c r="J192" s="53">
        <v>11</v>
      </c>
      <c r="K192" s="78" t="str">
        <f>VLOOKUP(J192,Ruimtegroepen[],2,FALSE)</f>
        <v>Kooklokaal/leskeuken</v>
      </c>
      <c r="L192" s="53" t="s">
        <v>280</v>
      </c>
      <c r="M192" s="53" t="s">
        <v>353</v>
      </c>
      <c r="N192" s="79">
        <v>45</v>
      </c>
      <c r="O192" s="79"/>
      <c r="P192" s="80" t="str">
        <f>LEFT(VLOOKUP(Ruimtestaat[[#This Row],[Ruimte code]],Ruimtegroepen[#All],4,1),2)</f>
        <v xml:space="preserve">L </v>
      </c>
      <c r="Q192" s="80"/>
      <c r="R192" s="81">
        <v>40</v>
      </c>
      <c r="S192" s="81" t="s">
        <v>298</v>
      </c>
      <c r="T192" s="82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2" s="82">
        <f>IF(T192&gt;0,VLOOKUP($J192,Ruimtegroepen[],3,FALSE)*VLOOKUP($L192,Vloersoorten[],3,FALSE)*VLOOKUP($S192,Frequenties[],3,FALSE)*VLOOKUP($A192,Locaties[],3,FALSE),0)</f>
        <v>0</v>
      </c>
      <c r="V192" s="83">
        <f>Ruimtestaat[[#This Row],[Uitvoeringen werkdagen]]*Ruimtestaat[[#This Row],[Oppervlak (netto)]]</f>
        <v>9000</v>
      </c>
      <c r="W192" s="84">
        <f>IF(U192&gt;0,Ruimtestaat[[#This Row],[Prest. (m2 /jaar) werkdagen]]/Ruimtestaat[[#This Row],[Norm (m2/uur) werkdagen]],0)</f>
        <v>0</v>
      </c>
      <c r="X192" s="85">
        <f>Ruimtestaat[[#This Row],[uren / jaar werkdagen]]*Tariefsopbouw!$E$35</f>
        <v>0</v>
      </c>
      <c r="Y192" s="82"/>
      <c r="Z192" s="86">
        <f>IF(Ruimtestaat[[#This Row],[Frequentie weekend]]&gt;0,VALUE(LEFT(Y192,1))*R192,0)</f>
        <v>0</v>
      </c>
      <c r="AA192" s="82">
        <f>IF($Z192&gt;0,VLOOKUP($J192,Ruimtegroepen[],3,FALSE)*VLOOKUP($L192,Vloersoorten[],3,FALSE)*VLOOKUP($Y192,Frequenties[],3,FALSE)*VLOOKUP($A188,Locaties[],3,FALSE),0)</f>
        <v>0</v>
      </c>
      <c r="AB192" s="84">
        <f>Ruimtestaat[[#This Row],[Uitvoeringen weekend]]*Ruimtestaat[[#This Row],[Oppervlak (netto)]]</f>
        <v>0</v>
      </c>
      <c r="AC192" s="87">
        <f>IF(AB192&gt;0,Ruimtestaat[[#This Row],[Prest. (m2 /jaar) weekend]]/Ruimtestaat[[#This Row],[Norm (m2/uur) weekend]],0)</f>
        <v>0</v>
      </c>
      <c r="AD192" s="88">
        <f>Ruimtestaat[[#This Row],[uren / jaar weekend]]*Tariefsopbouw!$D$40</f>
        <v>0</v>
      </c>
      <c r="AE192" s="89">
        <f>Ruimtestaat[[#This Row],[Prest. (m2 /jaar) weekend]]+Ruimtestaat[[#This Row],[Prest. (m2 /jaar) werkdagen]]</f>
        <v>9000</v>
      </c>
      <c r="AF192" s="89">
        <f>Ruimtestaat[[#This Row],[uren / jaar weekend]]+Ruimtestaat[[#This Row],[uren / jaar werkdagen]]</f>
        <v>0</v>
      </c>
      <c r="AG192" s="90">
        <f>Ruimtestaat[[#This Row],[kosten / jaar weekend]]+Ruimtestaat[[#This Row],[kosten / jaar werkdagen]]</f>
        <v>0</v>
      </c>
      <c r="AH192" s="91"/>
      <c r="HL192" s="67"/>
    </row>
    <row r="193" spans="1:220" ht="15" customHeight="1">
      <c r="A193" s="53">
        <v>1</v>
      </c>
      <c r="B193" s="53" t="str">
        <f>VLOOKUP(Ruimtestaat[[#This Row],[Code]],Locaties[#All],2,FALSE)</f>
        <v>Ir. Lely Lyceum</v>
      </c>
      <c r="C193" s="53" t="str">
        <f>VLOOKUP(Ruimtestaat[[#This Row],[Code]],Locaties[#All],4,FALSE)</f>
        <v>Ravenswaaipad 3</v>
      </c>
      <c r="D193" s="53" t="str">
        <f>VLOOKUP(Ruimtestaat[[#This Row],[Code]],Locaties[#All],5,FALSE)</f>
        <v>1106 AW</v>
      </c>
      <c r="E193" s="53" t="str">
        <f>VLOOKUP(Ruimtestaat[[#This Row],[Code]],Locaties[#All],6,FALSE)</f>
        <v>Amsterdam</v>
      </c>
      <c r="F193" s="78" t="s">
        <v>540</v>
      </c>
      <c r="G193" s="53" t="s">
        <v>450</v>
      </c>
      <c r="H193" s="53" t="s">
        <v>483</v>
      </c>
      <c r="I193" s="23" t="s">
        <v>375</v>
      </c>
      <c r="J193" s="53">
        <v>20</v>
      </c>
      <c r="K193" s="78" t="str">
        <f>VLOOKUP(J193,Ruimtegroepen[],2,FALSE)</f>
        <v>Niet in onderhoud</v>
      </c>
      <c r="L193" s="53" t="s">
        <v>280</v>
      </c>
      <c r="M193" s="53" t="s">
        <v>353</v>
      </c>
      <c r="N193" s="79"/>
      <c r="O193" s="79">
        <v>4.2</v>
      </c>
      <c r="P193" s="80" t="str">
        <f>LEFT(VLOOKUP(Ruimtestaat[[#This Row],[Ruimte code]],Ruimtegroepen[#All],4,1),2)</f>
        <v/>
      </c>
      <c r="Q193" s="80"/>
      <c r="R193" s="81"/>
      <c r="S193" s="81"/>
      <c r="T193" s="82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3" s="82">
        <f>IF(T193&gt;0,VLOOKUP($J193,Ruimtegroepen[],3,FALSE)*VLOOKUP($L193,Vloersoorten[],3,FALSE)*VLOOKUP($S193,Frequenties[],3,FALSE)*VLOOKUP($A193,Locaties[],3,FALSE),0)</f>
        <v>0</v>
      </c>
      <c r="V193" s="83">
        <f>Ruimtestaat[[#This Row],[Uitvoeringen werkdagen]]*Ruimtestaat[[#This Row],[Oppervlak (netto)]]</f>
        <v>0</v>
      </c>
      <c r="W193" s="84">
        <f>IF(U193&gt;0,Ruimtestaat[[#This Row],[Prest. (m2 /jaar) werkdagen]]/Ruimtestaat[[#This Row],[Norm (m2/uur) werkdagen]],0)</f>
        <v>0</v>
      </c>
      <c r="X193" s="85">
        <f>Ruimtestaat[[#This Row],[uren / jaar werkdagen]]*Tariefsopbouw!$E$35</f>
        <v>0</v>
      </c>
      <c r="Y193" s="82"/>
      <c r="Z193" s="86">
        <f>IF(Ruimtestaat[[#This Row],[Frequentie weekend]]&gt;0,VALUE(LEFT(Y193,1))*R193,0)</f>
        <v>0</v>
      </c>
      <c r="AA193" s="82">
        <f>IF($Z193&gt;0,VLOOKUP($J193,Ruimtegroepen[],3,FALSE)*VLOOKUP($L193,Vloersoorten[],3,FALSE)*VLOOKUP($Y193,Frequenties[],3,FALSE)*VLOOKUP($A189,Locaties[],3,FALSE),0)</f>
        <v>0</v>
      </c>
      <c r="AB193" s="84">
        <f>Ruimtestaat[[#This Row],[Uitvoeringen weekend]]*Ruimtestaat[[#This Row],[Oppervlak (netto)]]</f>
        <v>0</v>
      </c>
      <c r="AC193" s="87">
        <f>IF(AB193&gt;0,Ruimtestaat[[#This Row],[Prest. (m2 /jaar) weekend]]/Ruimtestaat[[#This Row],[Norm (m2/uur) weekend]],0)</f>
        <v>0</v>
      </c>
      <c r="AD193" s="88">
        <f>Ruimtestaat[[#This Row],[uren / jaar weekend]]*Tariefsopbouw!$D$40</f>
        <v>0</v>
      </c>
      <c r="AE193" s="89">
        <f>Ruimtestaat[[#This Row],[Prest. (m2 /jaar) weekend]]+Ruimtestaat[[#This Row],[Prest. (m2 /jaar) werkdagen]]</f>
        <v>0</v>
      </c>
      <c r="AF193" s="89">
        <f>Ruimtestaat[[#This Row],[uren / jaar weekend]]+Ruimtestaat[[#This Row],[uren / jaar werkdagen]]</f>
        <v>0</v>
      </c>
      <c r="AG193" s="90">
        <f>Ruimtestaat[[#This Row],[kosten / jaar weekend]]+Ruimtestaat[[#This Row],[kosten / jaar werkdagen]]</f>
        <v>0</v>
      </c>
      <c r="AH193" s="91"/>
      <c r="HL193" s="67"/>
    </row>
    <row r="194" spans="1:220" ht="15" customHeight="1">
      <c r="A194" s="53">
        <v>1</v>
      </c>
      <c r="B194" s="53" t="str">
        <f>VLOOKUP(Ruimtestaat[[#This Row],[Code]],Locaties[#All],2,FALSE)</f>
        <v>Ir. Lely Lyceum</v>
      </c>
      <c r="C194" s="53" t="str">
        <f>VLOOKUP(Ruimtestaat[[#This Row],[Code]],Locaties[#All],4,FALSE)</f>
        <v>Ravenswaaipad 3</v>
      </c>
      <c r="D194" s="53" t="str">
        <f>VLOOKUP(Ruimtestaat[[#This Row],[Code]],Locaties[#All],5,FALSE)</f>
        <v>1106 AW</v>
      </c>
      <c r="E194" s="53" t="str">
        <f>VLOOKUP(Ruimtestaat[[#This Row],[Code]],Locaties[#All],6,FALSE)</f>
        <v>Amsterdam</v>
      </c>
      <c r="F194" s="78" t="s">
        <v>540</v>
      </c>
      <c r="G194" s="53" t="s">
        <v>450</v>
      </c>
      <c r="H194" s="53" t="s">
        <v>484</v>
      </c>
      <c r="I194" s="23" t="s">
        <v>560</v>
      </c>
      <c r="J194" s="53">
        <v>14</v>
      </c>
      <c r="K194" s="78" t="str">
        <f>VLOOKUP(J194,Ruimtegroepen[],2,FALSE)</f>
        <v>Praktijklokalen binas/zorg</v>
      </c>
      <c r="L194" s="53" t="s">
        <v>280</v>
      </c>
      <c r="M194" s="53" t="s">
        <v>353</v>
      </c>
      <c r="N194" s="79">
        <v>76</v>
      </c>
      <c r="O194" s="79"/>
      <c r="P194" s="80" t="str">
        <f>LEFT(VLOOKUP(Ruimtestaat[[#This Row],[Ruimte code]],Ruimtegroepen[#All],4,1),2)</f>
        <v xml:space="preserve">L </v>
      </c>
      <c r="Q194" s="80"/>
      <c r="R194" s="81">
        <v>40</v>
      </c>
      <c r="S194" s="81" t="s">
        <v>298</v>
      </c>
      <c r="T194" s="82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4" s="82">
        <f>IF(T194&gt;0,VLOOKUP($J194,Ruimtegroepen[],3,FALSE)*VLOOKUP($L194,Vloersoorten[],3,FALSE)*VLOOKUP($S194,Frequenties[],3,FALSE)*VLOOKUP($A194,Locaties[],3,FALSE),0)</f>
        <v>0</v>
      </c>
      <c r="V194" s="83">
        <f>Ruimtestaat[[#This Row],[Uitvoeringen werkdagen]]*Ruimtestaat[[#This Row],[Oppervlak (netto)]]</f>
        <v>15200</v>
      </c>
      <c r="W194" s="84">
        <f>IF(U194&gt;0,Ruimtestaat[[#This Row],[Prest. (m2 /jaar) werkdagen]]/Ruimtestaat[[#This Row],[Norm (m2/uur) werkdagen]],0)</f>
        <v>0</v>
      </c>
      <c r="X194" s="85">
        <f>Ruimtestaat[[#This Row],[uren / jaar werkdagen]]*Tariefsopbouw!$E$35</f>
        <v>0</v>
      </c>
      <c r="Y194" s="82"/>
      <c r="Z194" s="86">
        <f>IF(Ruimtestaat[[#This Row],[Frequentie weekend]]&gt;0,VALUE(LEFT(Y194,1))*R194,0)</f>
        <v>0</v>
      </c>
      <c r="AA194" s="82">
        <f>IF($Z194&gt;0,VLOOKUP($J194,Ruimtegroepen[],3,FALSE)*VLOOKUP($L194,Vloersoorten[],3,FALSE)*VLOOKUP($Y194,Frequenties[],3,FALSE)*VLOOKUP($A190,Locaties[],3,FALSE),0)</f>
        <v>0</v>
      </c>
      <c r="AB194" s="84">
        <f>Ruimtestaat[[#This Row],[Uitvoeringen weekend]]*Ruimtestaat[[#This Row],[Oppervlak (netto)]]</f>
        <v>0</v>
      </c>
      <c r="AC194" s="87">
        <f>IF(AB194&gt;0,Ruimtestaat[[#This Row],[Prest. (m2 /jaar) weekend]]/Ruimtestaat[[#This Row],[Norm (m2/uur) weekend]],0)</f>
        <v>0</v>
      </c>
      <c r="AD194" s="88">
        <f>Ruimtestaat[[#This Row],[uren / jaar weekend]]*Tariefsopbouw!$D$40</f>
        <v>0</v>
      </c>
      <c r="AE194" s="89">
        <f>Ruimtestaat[[#This Row],[Prest. (m2 /jaar) weekend]]+Ruimtestaat[[#This Row],[Prest. (m2 /jaar) werkdagen]]</f>
        <v>15200</v>
      </c>
      <c r="AF194" s="89">
        <f>Ruimtestaat[[#This Row],[uren / jaar weekend]]+Ruimtestaat[[#This Row],[uren / jaar werkdagen]]</f>
        <v>0</v>
      </c>
      <c r="AG194" s="90">
        <f>Ruimtestaat[[#This Row],[kosten / jaar weekend]]+Ruimtestaat[[#This Row],[kosten / jaar werkdagen]]</f>
        <v>0</v>
      </c>
      <c r="AH194" s="91"/>
      <c r="HL194" s="67"/>
    </row>
    <row r="195" spans="1:220" ht="15" customHeight="1">
      <c r="A195" s="53">
        <v>1</v>
      </c>
      <c r="B195" s="53" t="str">
        <f>VLOOKUP(Ruimtestaat[[#This Row],[Code]],Locaties[#All],2,FALSE)</f>
        <v>Ir. Lely Lyceum</v>
      </c>
      <c r="C195" s="53" t="str">
        <f>VLOOKUP(Ruimtestaat[[#This Row],[Code]],Locaties[#All],4,FALSE)</f>
        <v>Ravenswaaipad 3</v>
      </c>
      <c r="D195" s="53" t="str">
        <f>VLOOKUP(Ruimtestaat[[#This Row],[Code]],Locaties[#All],5,FALSE)</f>
        <v>1106 AW</v>
      </c>
      <c r="E195" s="53" t="str">
        <f>VLOOKUP(Ruimtestaat[[#This Row],[Code]],Locaties[#All],6,FALSE)</f>
        <v>Amsterdam</v>
      </c>
      <c r="F195" s="78" t="s">
        <v>540</v>
      </c>
      <c r="G195" s="53" t="s">
        <v>450</v>
      </c>
      <c r="H195" s="53" t="s">
        <v>455</v>
      </c>
      <c r="I195" s="23" t="s">
        <v>562</v>
      </c>
      <c r="J195" s="53">
        <v>8</v>
      </c>
      <c r="K195" s="78" t="str">
        <f>VLOOKUP(J195,Ruimtegroepen[],2,FALSE)</f>
        <v>Mediatheek / OLC</v>
      </c>
      <c r="L195" s="53" t="s">
        <v>280</v>
      </c>
      <c r="M195" s="53" t="s">
        <v>353</v>
      </c>
      <c r="N195" s="79">
        <v>50</v>
      </c>
      <c r="O195" s="79"/>
      <c r="P195" s="80" t="str">
        <f>LEFT(VLOOKUP(Ruimtestaat[[#This Row],[Ruimte code]],Ruimtegroepen[#All],4,1),2)</f>
        <v xml:space="preserve">L </v>
      </c>
      <c r="Q195" s="80"/>
      <c r="R195" s="81">
        <v>40</v>
      </c>
      <c r="S195" s="81" t="s">
        <v>298</v>
      </c>
      <c r="T195" s="82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5" s="82">
        <f>IF(T195&gt;0,VLOOKUP($J195,Ruimtegroepen[],3,FALSE)*VLOOKUP($L195,Vloersoorten[],3,FALSE)*VLOOKUP($S195,Frequenties[],3,FALSE)*VLOOKUP($A195,Locaties[],3,FALSE),0)</f>
        <v>0</v>
      </c>
      <c r="V195" s="83">
        <f>Ruimtestaat[[#This Row],[Uitvoeringen werkdagen]]*Ruimtestaat[[#This Row],[Oppervlak (netto)]]</f>
        <v>10000</v>
      </c>
      <c r="W195" s="84">
        <f>IF(U195&gt;0,Ruimtestaat[[#This Row],[Prest. (m2 /jaar) werkdagen]]/Ruimtestaat[[#This Row],[Norm (m2/uur) werkdagen]],0)</f>
        <v>0</v>
      </c>
      <c r="X195" s="85">
        <f>Ruimtestaat[[#This Row],[uren / jaar werkdagen]]*Tariefsopbouw!$E$35</f>
        <v>0</v>
      </c>
      <c r="Y195" s="82"/>
      <c r="Z195" s="86">
        <f>IF(Ruimtestaat[[#This Row],[Frequentie weekend]]&gt;0,VALUE(LEFT(Y195,1))*R195,0)</f>
        <v>0</v>
      </c>
      <c r="AA195" s="82">
        <f>IF($Z195&gt;0,VLOOKUP($J195,Ruimtegroepen[],3,FALSE)*VLOOKUP($L195,Vloersoorten[],3,FALSE)*VLOOKUP($Y195,Frequenties[],3,FALSE)*VLOOKUP($A191,Locaties[],3,FALSE),0)</f>
        <v>0</v>
      </c>
      <c r="AB195" s="84">
        <f>Ruimtestaat[[#This Row],[Uitvoeringen weekend]]*Ruimtestaat[[#This Row],[Oppervlak (netto)]]</f>
        <v>0</v>
      </c>
      <c r="AC195" s="87">
        <f>IF(AB195&gt;0,Ruimtestaat[[#This Row],[Prest. (m2 /jaar) weekend]]/Ruimtestaat[[#This Row],[Norm (m2/uur) weekend]],0)</f>
        <v>0</v>
      </c>
      <c r="AD195" s="88">
        <f>Ruimtestaat[[#This Row],[uren / jaar weekend]]*Tariefsopbouw!$D$40</f>
        <v>0</v>
      </c>
      <c r="AE195" s="89">
        <f>Ruimtestaat[[#This Row],[Prest. (m2 /jaar) weekend]]+Ruimtestaat[[#This Row],[Prest. (m2 /jaar) werkdagen]]</f>
        <v>10000</v>
      </c>
      <c r="AF195" s="89">
        <f>Ruimtestaat[[#This Row],[uren / jaar weekend]]+Ruimtestaat[[#This Row],[uren / jaar werkdagen]]</f>
        <v>0</v>
      </c>
      <c r="AG195" s="90">
        <f>Ruimtestaat[[#This Row],[kosten / jaar weekend]]+Ruimtestaat[[#This Row],[kosten / jaar werkdagen]]</f>
        <v>0</v>
      </c>
      <c r="AH195" s="91"/>
      <c r="HL195" s="67"/>
    </row>
    <row r="196" spans="1:220" ht="15" customHeight="1">
      <c r="A196" s="53">
        <v>1</v>
      </c>
      <c r="B196" s="53" t="str">
        <f>VLOOKUP(Ruimtestaat[[#This Row],[Code]],Locaties[#All],2,FALSE)</f>
        <v>Ir. Lely Lyceum</v>
      </c>
      <c r="C196" s="53" t="str">
        <f>VLOOKUP(Ruimtestaat[[#This Row],[Code]],Locaties[#All],4,FALSE)</f>
        <v>Ravenswaaipad 3</v>
      </c>
      <c r="D196" s="53" t="str">
        <f>VLOOKUP(Ruimtestaat[[#This Row],[Code]],Locaties[#All],5,FALSE)</f>
        <v>1106 AW</v>
      </c>
      <c r="E196" s="53" t="str">
        <f>VLOOKUP(Ruimtestaat[[#This Row],[Code]],Locaties[#All],6,FALSE)</f>
        <v>Amsterdam</v>
      </c>
      <c r="F196" s="78" t="s">
        <v>540</v>
      </c>
      <c r="G196" s="53" t="s">
        <v>450</v>
      </c>
      <c r="H196" s="53" t="s">
        <v>457</v>
      </c>
      <c r="I196" s="23" t="s">
        <v>378</v>
      </c>
      <c r="J196" s="53">
        <v>10</v>
      </c>
      <c r="K196" s="78" t="str">
        <f>VLOOKUP(J196,Ruimtegroepen[],2,FALSE)</f>
        <v>Trappenhuizen/lift</v>
      </c>
      <c r="L196" s="53" t="s">
        <v>280</v>
      </c>
      <c r="M196" s="53" t="s">
        <v>353</v>
      </c>
      <c r="N196" s="79">
        <v>24</v>
      </c>
      <c r="O196" s="79"/>
      <c r="P196" s="80" t="str">
        <f>LEFT(VLOOKUP(Ruimtestaat[[#This Row],[Ruimte code]],Ruimtegroepen[#All],4,1),2)</f>
        <v xml:space="preserve">V </v>
      </c>
      <c r="Q196" s="80"/>
      <c r="R196" s="81">
        <v>40</v>
      </c>
      <c r="S196" s="81" t="s">
        <v>298</v>
      </c>
      <c r="T196" s="82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6" s="82">
        <f>IF(T196&gt;0,VLOOKUP($J196,Ruimtegroepen[],3,FALSE)*VLOOKUP($L196,Vloersoorten[],3,FALSE)*VLOOKUP($S196,Frequenties[],3,FALSE)*VLOOKUP($A196,Locaties[],3,FALSE),0)</f>
        <v>0</v>
      </c>
      <c r="V196" s="83">
        <f>Ruimtestaat[[#This Row],[Uitvoeringen werkdagen]]*Ruimtestaat[[#This Row],[Oppervlak (netto)]]</f>
        <v>4800</v>
      </c>
      <c r="W196" s="84">
        <f>IF(U196&gt;0,Ruimtestaat[[#This Row],[Prest. (m2 /jaar) werkdagen]]/Ruimtestaat[[#This Row],[Norm (m2/uur) werkdagen]],0)</f>
        <v>0</v>
      </c>
      <c r="X196" s="85">
        <f>Ruimtestaat[[#This Row],[uren / jaar werkdagen]]*Tariefsopbouw!$E$35</f>
        <v>0</v>
      </c>
      <c r="Y196" s="82"/>
      <c r="Z196" s="86">
        <f>IF(Ruimtestaat[[#This Row],[Frequentie weekend]]&gt;0,VALUE(LEFT(Y196,1))*R196,0)</f>
        <v>0</v>
      </c>
      <c r="AA196" s="82">
        <f>IF($Z196&gt;0,VLOOKUP($J196,Ruimtegroepen[],3,FALSE)*VLOOKUP($L196,Vloersoorten[],3,FALSE)*VLOOKUP($Y196,Frequenties[],3,FALSE)*VLOOKUP($A192,Locaties[],3,FALSE),0)</f>
        <v>0</v>
      </c>
      <c r="AB196" s="84">
        <f>Ruimtestaat[[#This Row],[Uitvoeringen weekend]]*Ruimtestaat[[#This Row],[Oppervlak (netto)]]</f>
        <v>0</v>
      </c>
      <c r="AC196" s="87">
        <f>IF(AB196&gt;0,Ruimtestaat[[#This Row],[Prest. (m2 /jaar) weekend]]/Ruimtestaat[[#This Row],[Norm (m2/uur) weekend]],0)</f>
        <v>0</v>
      </c>
      <c r="AD196" s="88">
        <f>Ruimtestaat[[#This Row],[uren / jaar weekend]]*Tariefsopbouw!$D$40</f>
        <v>0</v>
      </c>
      <c r="AE196" s="89">
        <f>Ruimtestaat[[#This Row],[Prest. (m2 /jaar) weekend]]+Ruimtestaat[[#This Row],[Prest. (m2 /jaar) werkdagen]]</f>
        <v>4800</v>
      </c>
      <c r="AF196" s="89">
        <f>Ruimtestaat[[#This Row],[uren / jaar weekend]]+Ruimtestaat[[#This Row],[uren / jaar werkdagen]]</f>
        <v>0</v>
      </c>
      <c r="AG196" s="90">
        <f>Ruimtestaat[[#This Row],[kosten / jaar weekend]]+Ruimtestaat[[#This Row],[kosten / jaar werkdagen]]</f>
        <v>0</v>
      </c>
      <c r="AH196" s="91"/>
      <c r="HL196" s="67"/>
    </row>
    <row r="197" spans="1:220" ht="15" customHeight="1">
      <c r="A197" s="53">
        <v>1</v>
      </c>
      <c r="B197" s="53" t="str">
        <f>VLOOKUP(Ruimtestaat[[#This Row],[Code]],Locaties[#All],2,FALSE)</f>
        <v>Ir. Lely Lyceum</v>
      </c>
      <c r="C197" s="53" t="str">
        <f>VLOOKUP(Ruimtestaat[[#This Row],[Code]],Locaties[#All],4,FALSE)</f>
        <v>Ravenswaaipad 3</v>
      </c>
      <c r="D197" s="53" t="str">
        <f>VLOOKUP(Ruimtestaat[[#This Row],[Code]],Locaties[#All],5,FALSE)</f>
        <v>1106 AW</v>
      </c>
      <c r="E197" s="53" t="str">
        <f>VLOOKUP(Ruimtestaat[[#This Row],[Code]],Locaties[#All],6,FALSE)</f>
        <v>Amsterdam</v>
      </c>
      <c r="F197" s="78" t="s">
        <v>540</v>
      </c>
      <c r="G197" s="53" t="s">
        <v>450</v>
      </c>
      <c r="H197" s="53" t="s">
        <v>461</v>
      </c>
      <c r="I197" s="23" t="s">
        <v>563</v>
      </c>
      <c r="J197" s="53">
        <v>6</v>
      </c>
      <c r="K197" s="78" t="str">
        <f>VLOOKUP(J197,Ruimtegroepen[],2,FALSE)</f>
        <v>Gangen/hallen</v>
      </c>
      <c r="L197" s="53" t="s">
        <v>280</v>
      </c>
      <c r="M197" s="53" t="s">
        <v>353</v>
      </c>
      <c r="N197" s="79">
        <v>189</v>
      </c>
      <c r="O197" s="79"/>
      <c r="P197" s="80" t="str">
        <f>LEFT(VLOOKUP(Ruimtestaat[[#This Row],[Ruimte code]],Ruimtegroepen[#All],4,1),2)</f>
        <v xml:space="preserve">V </v>
      </c>
      <c r="Q197" s="80"/>
      <c r="R197" s="81">
        <v>40</v>
      </c>
      <c r="S197" s="81" t="s">
        <v>298</v>
      </c>
      <c r="T197" s="82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197" s="82">
        <f>IF(T197&gt;0,VLOOKUP($J197,Ruimtegroepen[],3,FALSE)*VLOOKUP($L197,Vloersoorten[],3,FALSE)*VLOOKUP($S197,Frequenties[],3,FALSE)*VLOOKUP($A197,Locaties[],3,FALSE),0)</f>
        <v>0</v>
      </c>
      <c r="V197" s="83">
        <f>Ruimtestaat[[#This Row],[Uitvoeringen werkdagen]]*Ruimtestaat[[#This Row],[Oppervlak (netto)]]</f>
        <v>37800</v>
      </c>
      <c r="W197" s="84">
        <f>IF(U197&gt;0,Ruimtestaat[[#This Row],[Prest. (m2 /jaar) werkdagen]]/Ruimtestaat[[#This Row],[Norm (m2/uur) werkdagen]],0)</f>
        <v>0</v>
      </c>
      <c r="X197" s="85">
        <f>Ruimtestaat[[#This Row],[uren / jaar werkdagen]]*Tariefsopbouw!$E$35</f>
        <v>0</v>
      </c>
      <c r="Y197" s="82"/>
      <c r="Z197" s="86">
        <f>IF(Ruimtestaat[[#This Row],[Frequentie weekend]]&gt;0,VALUE(LEFT(Y197,1))*R197,0)</f>
        <v>0</v>
      </c>
      <c r="AA197" s="82">
        <f>IF($Z197&gt;0,VLOOKUP($J197,Ruimtegroepen[],3,FALSE)*VLOOKUP($L197,Vloersoorten[],3,FALSE)*VLOOKUP($Y197,Frequenties[],3,FALSE)*VLOOKUP($A193,Locaties[],3,FALSE),0)</f>
        <v>0</v>
      </c>
      <c r="AB197" s="84">
        <f>Ruimtestaat[[#This Row],[Uitvoeringen weekend]]*Ruimtestaat[[#This Row],[Oppervlak (netto)]]</f>
        <v>0</v>
      </c>
      <c r="AC197" s="87">
        <f>IF(AB197&gt;0,Ruimtestaat[[#This Row],[Prest. (m2 /jaar) weekend]]/Ruimtestaat[[#This Row],[Norm (m2/uur) weekend]],0)</f>
        <v>0</v>
      </c>
      <c r="AD197" s="88">
        <f>Ruimtestaat[[#This Row],[uren / jaar weekend]]*Tariefsopbouw!$D$40</f>
        <v>0</v>
      </c>
      <c r="AE197" s="89">
        <f>Ruimtestaat[[#This Row],[Prest. (m2 /jaar) weekend]]+Ruimtestaat[[#This Row],[Prest. (m2 /jaar) werkdagen]]</f>
        <v>37800</v>
      </c>
      <c r="AF197" s="89">
        <f>Ruimtestaat[[#This Row],[uren / jaar weekend]]+Ruimtestaat[[#This Row],[uren / jaar werkdagen]]</f>
        <v>0</v>
      </c>
      <c r="AG197" s="90">
        <f>Ruimtestaat[[#This Row],[kosten / jaar weekend]]+Ruimtestaat[[#This Row],[kosten / jaar werkdagen]]</f>
        <v>0</v>
      </c>
      <c r="AH197" s="91"/>
      <c r="HL197" s="67"/>
    </row>
    <row r="198" spans="1:220" ht="15" customHeight="1">
      <c r="A198" s="53">
        <v>1</v>
      </c>
      <c r="B198" s="53" t="str">
        <f>VLOOKUP(Ruimtestaat[[#This Row],[Code]],Locaties[#All],2,FALSE)</f>
        <v>Ir. Lely Lyceum</v>
      </c>
      <c r="C198" s="53" t="str">
        <f>VLOOKUP(Ruimtestaat[[#This Row],[Code]],Locaties[#All],4,FALSE)</f>
        <v>Ravenswaaipad 3</v>
      </c>
      <c r="D198" s="53" t="str">
        <f>VLOOKUP(Ruimtestaat[[#This Row],[Code]],Locaties[#All],5,FALSE)</f>
        <v>1106 AW</v>
      </c>
      <c r="E198" s="53" t="str">
        <f>VLOOKUP(Ruimtestaat[[#This Row],[Code]],Locaties[#All],6,FALSE)</f>
        <v>Amsterdam</v>
      </c>
      <c r="F198" s="78" t="s">
        <v>540</v>
      </c>
      <c r="G198" s="53" t="s">
        <v>450</v>
      </c>
      <c r="H198" s="53" t="s">
        <v>463</v>
      </c>
      <c r="I198" s="23" t="s">
        <v>374</v>
      </c>
      <c r="J198" s="53">
        <v>20</v>
      </c>
      <c r="K198" s="78" t="str">
        <f>VLOOKUP(J198,Ruimtegroepen[],2,FALSE)</f>
        <v>Niet in onderhoud</v>
      </c>
      <c r="L198" s="53" t="s">
        <v>280</v>
      </c>
      <c r="M198" s="53" t="s">
        <v>353</v>
      </c>
      <c r="N198" s="79"/>
      <c r="O198" s="79">
        <v>26.5</v>
      </c>
      <c r="P198" s="80" t="str">
        <f>LEFT(VLOOKUP(Ruimtestaat[[#This Row],[Ruimte code]],Ruimtegroepen[#All],4,1),2)</f>
        <v/>
      </c>
      <c r="Q198" s="80"/>
      <c r="R198" s="81"/>
      <c r="S198" s="81"/>
      <c r="T198" s="82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8" s="82">
        <f>IF(T198&gt;0,VLOOKUP($J198,Ruimtegroepen[],3,FALSE)*VLOOKUP($L198,Vloersoorten[],3,FALSE)*VLOOKUP($S198,Frequenties[],3,FALSE)*VLOOKUP($A198,Locaties[],3,FALSE),0)</f>
        <v>0</v>
      </c>
      <c r="V198" s="83">
        <f>Ruimtestaat[[#This Row],[Uitvoeringen werkdagen]]*Ruimtestaat[[#This Row],[Oppervlak (netto)]]</f>
        <v>0</v>
      </c>
      <c r="W198" s="84">
        <f>IF(U198&gt;0,Ruimtestaat[[#This Row],[Prest. (m2 /jaar) werkdagen]]/Ruimtestaat[[#This Row],[Norm (m2/uur) werkdagen]],0)</f>
        <v>0</v>
      </c>
      <c r="X198" s="85">
        <f>Ruimtestaat[[#This Row],[uren / jaar werkdagen]]*Tariefsopbouw!$E$35</f>
        <v>0</v>
      </c>
      <c r="Y198" s="82"/>
      <c r="Z198" s="86">
        <f>IF(Ruimtestaat[[#This Row],[Frequentie weekend]]&gt;0,VALUE(LEFT(Y198,1))*R198,0)</f>
        <v>0</v>
      </c>
      <c r="AA198" s="82">
        <f>IF($Z198&gt;0,VLOOKUP($J198,Ruimtegroepen[],3,FALSE)*VLOOKUP($L198,Vloersoorten[],3,FALSE)*VLOOKUP($Y198,Frequenties[],3,FALSE)*VLOOKUP($A194,Locaties[],3,FALSE),0)</f>
        <v>0</v>
      </c>
      <c r="AB198" s="84">
        <f>Ruimtestaat[[#This Row],[Uitvoeringen weekend]]*Ruimtestaat[[#This Row],[Oppervlak (netto)]]</f>
        <v>0</v>
      </c>
      <c r="AC198" s="87">
        <f>IF(AB198&gt;0,Ruimtestaat[[#This Row],[Prest. (m2 /jaar) weekend]]/Ruimtestaat[[#This Row],[Norm (m2/uur) weekend]],0)</f>
        <v>0</v>
      </c>
      <c r="AD198" s="88">
        <f>Ruimtestaat[[#This Row],[uren / jaar weekend]]*Tariefsopbouw!$D$40</f>
        <v>0</v>
      </c>
      <c r="AE198" s="89">
        <f>Ruimtestaat[[#This Row],[Prest. (m2 /jaar) weekend]]+Ruimtestaat[[#This Row],[Prest. (m2 /jaar) werkdagen]]</f>
        <v>0</v>
      </c>
      <c r="AF198" s="89">
        <f>Ruimtestaat[[#This Row],[uren / jaar weekend]]+Ruimtestaat[[#This Row],[uren / jaar werkdagen]]</f>
        <v>0</v>
      </c>
      <c r="AG198" s="90">
        <f>Ruimtestaat[[#This Row],[kosten / jaar weekend]]+Ruimtestaat[[#This Row],[kosten / jaar werkdagen]]</f>
        <v>0</v>
      </c>
      <c r="AH198" s="91"/>
      <c r="HL198" s="67"/>
    </row>
    <row r="199" spans="1:220" ht="15" customHeight="1">
      <c r="A199" s="53">
        <v>1</v>
      </c>
      <c r="B199" s="53" t="str">
        <f>VLOOKUP(Ruimtestaat[[#This Row],[Code]],Locaties[#All],2,FALSE)</f>
        <v>Ir. Lely Lyceum</v>
      </c>
      <c r="C199" s="53" t="str">
        <f>VLOOKUP(Ruimtestaat[[#This Row],[Code]],Locaties[#All],4,FALSE)</f>
        <v>Ravenswaaipad 3</v>
      </c>
      <c r="D199" s="53" t="str">
        <f>VLOOKUP(Ruimtestaat[[#This Row],[Code]],Locaties[#All],5,FALSE)</f>
        <v>1106 AW</v>
      </c>
      <c r="E199" s="53" t="str">
        <f>VLOOKUP(Ruimtestaat[[#This Row],[Code]],Locaties[#All],6,FALSE)</f>
        <v>Amsterdam</v>
      </c>
      <c r="F199" s="78" t="s">
        <v>540</v>
      </c>
      <c r="G199" s="53" t="s">
        <v>450</v>
      </c>
      <c r="H199" s="53" t="s">
        <v>465</v>
      </c>
      <c r="I199" s="23" t="s">
        <v>374</v>
      </c>
      <c r="J199" s="53">
        <v>20</v>
      </c>
      <c r="K199" s="78" t="str">
        <f>VLOOKUP(J199,Ruimtegroepen[],2,FALSE)</f>
        <v>Niet in onderhoud</v>
      </c>
      <c r="L199" s="53" t="s">
        <v>280</v>
      </c>
      <c r="M199" s="53" t="s">
        <v>353</v>
      </c>
      <c r="O199" s="79">
        <v>26.5</v>
      </c>
      <c r="P199" s="80" t="str">
        <f>LEFT(VLOOKUP(Ruimtestaat[[#This Row],[Ruimte code]],Ruimtegroepen[#All],4,1),2)</f>
        <v/>
      </c>
      <c r="Q199" s="80"/>
      <c r="R199" s="81"/>
      <c r="S199" s="81"/>
      <c r="T199" s="82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199" s="82">
        <f>IF(T199&gt;0,VLOOKUP($J199,Ruimtegroepen[],3,FALSE)*VLOOKUP($L199,Vloersoorten[],3,FALSE)*VLOOKUP($S199,Frequenties[],3,FALSE)*VLOOKUP($A199,Locaties[],3,FALSE),0)</f>
        <v>0</v>
      </c>
      <c r="V199" s="83">
        <f>Ruimtestaat[[#This Row],[Uitvoeringen werkdagen]]*Ruimtestaat[[#This Row],[Oppervlak (netto)]]</f>
        <v>0</v>
      </c>
      <c r="W199" s="84">
        <f>IF(U199&gt;0,Ruimtestaat[[#This Row],[Prest. (m2 /jaar) werkdagen]]/Ruimtestaat[[#This Row],[Norm (m2/uur) werkdagen]],0)</f>
        <v>0</v>
      </c>
      <c r="X199" s="85">
        <f>Ruimtestaat[[#This Row],[uren / jaar werkdagen]]*Tariefsopbouw!$E$35</f>
        <v>0</v>
      </c>
      <c r="Y199" s="82"/>
      <c r="Z199" s="86">
        <f>IF(Ruimtestaat[[#This Row],[Frequentie weekend]]&gt;0,VALUE(LEFT(Y199,1))*R199,0)</f>
        <v>0</v>
      </c>
      <c r="AA199" s="82">
        <f>IF($Z199&gt;0,VLOOKUP($J199,Ruimtegroepen[],3,FALSE)*VLOOKUP($L199,Vloersoorten[],3,FALSE)*VLOOKUP($Y199,Frequenties[],3,FALSE)*VLOOKUP($A195,Locaties[],3,FALSE),0)</f>
        <v>0</v>
      </c>
      <c r="AB199" s="84">
        <f>Ruimtestaat[[#This Row],[Uitvoeringen weekend]]*Ruimtestaat[[#This Row],[Oppervlak (netto)]]</f>
        <v>0</v>
      </c>
      <c r="AC199" s="87">
        <f>IF(AB199&gt;0,Ruimtestaat[[#This Row],[Prest. (m2 /jaar) weekend]]/Ruimtestaat[[#This Row],[Norm (m2/uur) weekend]],0)</f>
        <v>0</v>
      </c>
      <c r="AD199" s="88">
        <f>Ruimtestaat[[#This Row],[uren / jaar weekend]]*Tariefsopbouw!$D$40</f>
        <v>0</v>
      </c>
      <c r="AE199" s="89">
        <f>Ruimtestaat[[#This Row],[Prest. (m2 /jaar) weekend]]+Ruimtestaat[[#This Row],[Prest. (m2 /jaar) werkdagen]]</f>
        <v>0</v>
      </c>
      <c r="AF199" s="89">
        <f>Ruimtestaat[[#This Row],[uren / jaar weekend]]+Ruimtestaat[[#This Row],[uren / jaar werkdagen]]</f>
        <v>0</v>
      </c>
      <c r="AG199" s="90">
        <f>Ruimtestaat[[#This Row],[kosten / jaar weekend]]+Ruimtestaat[[#This Row],[kosten / jaar werkdagen]]</f>
        <v>0</v>
      </c>
      <c r="AH199" s="91"/>
      <c r="HL199" s="67"/>
    </row>
    <row r="200" spans="1:220" ht="15" customHeight="1">
      <c r="A200" s="53">
        <v>1</v>
      </c>
      <c r="B200" s="53" t="str">
        <f>VLOOKUP(Ruimtestaat[[#This Row],[Code]],Locaties[#All],2,FALSE)</f>
        <v>Ir. Lely Lyceum</v>
      </c>
      <c r="C200" s="53" t="str">
        <f>VLOOKUP(Ruimtestaat[[#This Row],[Code]],Locaties[#All],4,FALSE)</f>
        <v>Ravenswaaipad 3</v>
      </c>
      <c r="D200" s="53" t="str">
        <f>VLOOKUP(Ruimtestaat[[#This Row],[Code]],Locaties[#All],5,FALSE)</f>
        <v>1106 AW</v>
      </c>
      <c r="E200" s="53" t="str">
        <f>VLOOKUP(Ruimtestaat[[#This Row],[Code]],Locaties[#All],6,FALSE)</f>
        <v>Amsterdam</v>
      </c>
      <c r="F200" s="78" t="s">
        <v>540</v>
      </c>
      <c r="G200" s="53" t="s">
        <v>450</v>
      </c>
      <c r="H200" s="53" t="s">
        <v>467</v>
      </c>
      <c r="I200" s="23" t="s">
        <v>563</v>
      </c>
      <c r="J200" s="53">
        <v>6</v>
      </c>
      <c r="K200" s="78" t="str">
        <f>VLOOKUP(J200,Ruimtegroepen[],2,FALSE)</f>
        <v>Gangen/hallen</v>
      </c>
      <c r="L200" s="53" t="s">
        <v>280</v>
      </c>
      <c r="M200" s="53" t="s">
        <v>353</v>
      </c>
      <c r="N200" s="79">
        <v>35</v>
      </c>
      <c r="O200" s="79"/>
      <c r="P200" s="80" t="str">
        <f>LEFT(VLOOKUP(Ruimtestaat[[#This Row],[Ruimte code]],Ruimtegroepen[#All],4,1),2)</f>
        <v xml:space="preserve">V </v>
      </c>
      <c r="Q200" s="80"/>
      <c r="R200" s="81">
        <v>40</v>
      </c>
      <c r="S200" s="81" t="s">
        <v>298</v>
      </c>
      <c r="T200" s="82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0" s="82">
        <f>IF(T200&gt;0,VLOOKUP($J200,Ruimtegroepen[],3,FALSE)*VLOOKUP($L200,Vloersoorten[],3,FALSE)*VLOOKUP($S200,Frequenties[],3,FALSE)*VLOOKUP($A200,Locaties[],3,FALSE),0)</f>
        <v>0</v>
      </c>
      <c r="V200" s="83">
        <f>Ruimtestaat[[#This Row],[Uitvoeringen werkdagen]]*Ruimtestaat[[#This Row],[Oppervlak (netto)]]</f>
        <v>7000</v>
      </c>
      <c r="W200" s="84">
        <f>IF(U200&gt;0,Ruimtestaat[[#This Row],[Prest. (m2 /jaar) werkdagen]]/Ruimtestaat[[#This Row],[Norm (m2/uur) werkdagen]],0)</f>
        <v>0</v>
      </c>
      <c r="X200" s="85">
        <f>Ruimtestaat[[#This Row],[uren / jaar werkdagen]]*Tariefsopbouw!$E$35</f>
        <v>0</v>
      </c>
      <c r="Y200" s="82"/>
      <c r="Z200" s="86">
        <f>IF(Ruimtestaat[[#This Row],[Frequentie weekend]]&gt;0,VALUE(LEFT(Y200,1))*R200,0)</f>
        <v>0</v>
      </c>
      <c r="AA200" s="82">
        <f>IF($Z200&gt;0,VLOOKUP($J200,Ruimtegroepen[],3,FALSE)*VLOOKUP($L200,Vloersoorten[],3,FALSE)*VLOOKUP($Y200,Frequenties[],3,FALSE)*VLOOKUP($A196,Locaties[],3,FALSE),0)</f>
        <v>0</v>
      </c>
      <c r="AB200" s="84">
        <f>Ruimtestaat[[#This Row],[Uitvoeringen weekend]]*Ruimtestaat[[#This Row],[Oppervlak (netto)]]</f>
        <v>0</v>
      </c>
      <c r="AC200" s="87">
        <f>IF(AB200&gt;0,Ruimtestaat[[#This Row],[Prest. (m2 /jaar) weekend]]/Ruimtestaat[[#This Row],[Norm (m2/uur) weekend]],0)</f>
        <v>0</v>
      </c>
      <c r="AD200" s="88">
        <f>Ruimtestaat[[#This Row],[uren / jaar weekend]]*Tariefsopbouw!$D$40</f>
        <v>0</v>
      </c>
      <c r="AE200" s="89">
        <f>Ruimtestaat[[#This Row],[Prest. (m2 /jaar) weekend]]+Ruimtestaat[[#This Row],[Prest. (m2 /jaar) werkdagen]]</f>
        <v>7000</v>
      </c>
      <c r="AF200" s="89">
        <f>Ruimtestaat[[#This Row],[uren / jaar weekend]]+Ruimtestaat[[#This Row],[uren / jaar werkdagen]]</f>
        <v>0</v>
      </c>
      <c r="AG200" s="90">
        <f>Ruimtestaat[[#This Row],[kosten / jaar weekend]]+Ruimtestaat[[#This Row],[kosten / jaar werkdagen]]</f>
        <v>0</v>
      </c>
      <c r="AH200" s="91"/>
      <c r="HL200" s="67"/>
    </row>
    <row r="201" spans="1:220" ht="15" customHeight="1">
      <c r="A201" s="53">
        <v>2</v>
      </c>
      <c r="B201" s="53" t="str">
        <f>VLOOKUP(Ruimtestaat[[#This Row],[Code]],Locaties[#All],2,FALSE)</f>
        <v>Open Schoolgemeenschap Bijlmer</v>
      </c>
      <c r="C201" s="53" t="str">
        <f>VLOOKUP(Ruimtestaat[[#This Row],[Code]],Locaties[#All],4,FALSE)</f>
        <v>Gulden Kruis 5</v>
      </c>
      <c r="D201" s="53" t="str">
        <f>VLOOKUP(Ruimtestaat[[#This Row],[Code]],Locaties[#All],5,FALSE)</f>
        <v>1103 BE</v>
      </c>
      <c r="E201" s="53" t="str">
        <f>VLOOKUP(Ruimtestaat[[#This Row],[Code]],Locaties[#All],6,FALSE)</f>
        <v>Amsterdam Zuidoost</v>
      </c>
      <c r="F201" s="78"/>
      <c r="G201" s="53" t="s">
        <v>564</v>
      </c>
      <c r="H201" s="53" t="s">
        <v>565</v>
      </c>
      <c r="I201" s="23" t="s">
        <v>428</v>
      </c>
      <c r="J201" s="53">
        <v>16</v>
      </c>
      <c r="K201" s="78" t="str">
        <f>VLOOKUP(J201,Ruimtegroepen[],2,FALSE)</f>
        <v>Leslokalen theorie</v>
      </c>
      <c r="L201" s="53" t="s">
        <v>285</v>
      </c>
      <c r="M201" s="53" t="s">
        <v>580</v>
      </c>
      <c r="N201" s="79">
        <v>68.89</v>
      </c>
      <c r="O201" s="79"/>
      <c r="P201" s="80" t="str">
        <f>LEFT(VLOOKUP(Ruimtestaat[[#This Row],[Ruimte code]],Ruimtegroepen[#All],4,1),2)</f>
        <v xml:space="preserve">L </v>
      </c>
      <c r="Q201" s="80"/>
      <c r="R201" s="81">
        <v>40</v>
      </c>
      <c r="S201" s="81" t="s">
        <v>298</v>
      </c>
      <c r="T201" s="82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1" s="82">
        <f>IF(T201&gt;0,VLOOKUP($J201,Ruimtegroepen[],3,FALSE)*VLOOKUP($L201,Vloersoorten[],3,FALSE)*VLOOKUP($S201,Frequenties[],3,FALSE)*VLOOKUP($A201,Locaties[],3,FALSE),0)</f>
        <v>0</v>
      </c>
      <c r="V201" s="83">
        <f>Ruimtestaat[[#This Row],[Uitvoeringen werkdagen]]*Ruimtestaat[[#This Row],[Oppervlak (netto)]]</f>
        <v>13778</v>
      </c>
      <c r="W201" s="84">
        <f>IF(U201&gt;0,Ruimtestaat[[#This Row],[Prest. (m2 /jaar) werkdagen]]/Ruimtestaat[[#This Row],[Norm (m2/uur) werkdagen]],0)</f>
        <v>0</v>
      </c>
      <c r="X201" s="85">
        <f>Ruimtestaat[[#This Row],[uren / jaar werkdagen]]*Tariefsopbouw!$E$35</f>
        <v>0</v>
      </c>
      <c r="Y201" s="82"/>
      <c r="Z201" s="86">
        <f>IF(Ruimtestaat[[#This Row],[Frequentie weekend]]&gt;0,VALUE(LEFT(Y201,1))*R201,0)</f>
        <v>0</v>
      </c>
      <c r="AA201" s="82">
        <f>IF($Z201&gt;0,VLOOKUP($J201,Ruimtegroepen[],3,FALSE)*VLOOKUP($L201,Vloersoorten[],3,FALSE)*VLOOKUP($Y201,Frequenties[],3,FALSE)*VLOOKUP($A197,Locaties[],3,FALSE),0)</f>
        <v>0</v>
      </c>
      <c r="AB201" s="84">
        <f>Ruimtestaat[[#This Row],[Uitvoeringen weekend]]*Ruimtestaat[[#This Row],[Oppervlak (netto)]]</f>
        <v>0</v>
      </c>
      <c r="AC201" s="87">
        <f>IF(AB201&gt;0,Ruimtestaat[[#This Row],[Prest. (m2 /jaar) weekend]]/Ruimtestaat[[#This Row],[Norm (m2/uur) weekend]],0)</f>
        <v>0</v>
      </c>
      <c r="AD201" s="88">
        <f>Ruimtestaat[[#This Row],[uren / jaar weekend]]*Tariefsopbouw!$D$40</f>
        <v>0</v>
      </c>
      <c r="AE201" s="89">
        <f>Ruimtestaat[[#This Row],[Prest. (m2 /jaar) weekend]]+Ruimtestaat[[#This Row],[Prest. (m2 /jaar) werkdagen]]</f>
        <v>13778</v>
      </c>
      <c r="AF201" s="89">
        <f>Ruimtestaat[[#This Row],[uren / jaar weekend]]+Ruimtestaat[[#This Row],[uren / jaar werkdagen]]</f>
        <v>0</v>
      </c>
      <c r="AG201" s="90">
        <f>Ruimtestaat[[#This Row],[kosten / jaar weekend]]+Ruimtestaat[[#This Row],[kosten / jaar werkdagen]]</f>
        <v>0</v>
      </c>
      <c r="AH201" s="91"/>
      <c r="HL201" s="67"/>
    </row>
    <row r="202" spans="1:220" ht="15" customHeight="1">
      <c r="A202" s="53">
        <v>2</v>
      </c>
      <c r="B202" s="53" t="str">
        <f>VLOOKUP(Ruimtestaat[[#This Row],[Code]],Locaties[#All],2,FALSE)</f>
        <v>Open Schoolgemeenschap Bijlmer</v>
      </c>
      <c r="C202" s="53" t="str">
        <f>VLOOKUP(Ruimtestaat[[#This Row],[Code]],Locaties[#All],4,FALSE)</f>
        <v>Gulden Kruis 5</v>
      </c>
      <c r="D202" s="53" t="str">
        <f>VLOOKUP(Ruimtestaat[[#This Row],[Code]],Locaties[#All],5,FALSE)</f>
        <v>1103 BE</v>
      </c>
      <c r="E202" s="53" t="str">
        <f>VLOOKUP(Ruimtestaat[[#This Row],[Code]],Locaties[#All],6,FALSE)</f>
        <v>Amsterdam Zuidoost</v>
      </c>
      <c r="F202" s="78"/>
      <c r="G202" s="53" t="s">
        <v>564</v>
      </c>
      <c r="H202" s="53" t="s">
        <v>567</v>
      </c>
      <c r="I202" s="23" t="s">
        <v>428</v>
      </c>
      <c r="J202" s="53">
        <v>16</v>
      </c>
      <c r="K202" s="78" t="str">
        <f>VLOOKUP(J202,Ruimtegroepen[],2,FALSE)</f>
        <v>Leslokalen theorie</v>
      </c>
      <c r="L202" s="53" t="s">
        <v>285</v>
      </c>
      <c r="M202" s="53" t="s">
        <v>580</v>
      </c>
      <c r="N202" s="79">
        <v>61.27</v>
      </c>
      <c r="O202" s="79"/>
      <c r="P202" s="80" t="str">
        <f>LEFT(VLOOKUP(Ruimtestaat[[#This Row],[Ruimte code]],Ruimtegroepen[#All],4,1),2)</f>
        <v xml:space="preserve">L </v>
      </c>
      <c r="Q202" s="80"/>
      <c r="R202" s="81">
        <v>40</v>
      </c>
      <c r="S202" s="81" t="s">
        <v>298</v>
      </c>
      <c r="T202" s="82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2" s="82">
        <f>IF(T202&gt;0,VLOOKUP($J202,Ruimtegroepen[],3,FALSE)*VLOOKUP($L202,Vloersoorten[],3,FALSE)*VLOOKUP($S202,Frequenties[],3,FALSE)*VLOOKUP($A202,Locaties[],3,FALSE),0)</f>
        <v>0</v>
      </c>
      <c r="V202" s="83">
        <f>Ruimtestaat[[#This Row],[Uitvoeringen werkdagen]]*Ruimtestaat[[#This Row],[Oppervlak (netto)]]</f>
        <v>12254</v>
      </c>
      <c r="W202" s="84">
        <f>IF(U202&gt;0,Ruimtestaat[[#This Row],[Prest. (m2 /jaar) werkdagen]]/Ruimtestaat[[#This Row],[Norm (m2/uur) werkdagen]],0)</f>
        <v>0</v>
      </c>
      <c r="X202" s="85">
        <f>Ruimtestaat[[#This Row],[uren / jaar werkdagen]]*Tariefsopbouw!$E$35</f>
        <v>0</v>
      </c>
      <c r="Y202" s="82"/>
      <c r="Z202" s="86">
        <f>IF(Ruimtestaat[[#This Row],[Frequentie weekend]]&gt;0,VALUE(LEFT(Y202,1))*R202,0)</f>
        <v>0</v>
      </c>
      <c r="AA202" s="82">
        <f>IF($Z202&gt;0,VLOOKUP($J202,Ruimtegroepen[],3,FALSE)*VLOOKUP($L202,Vloersoorten[],3,FALSE)*VLOOKUP($Y202,Frequenties[],3,FALSE)*VLOOKUP($A198,Locaties[],3,FALSE),0)</f>
        <v>0</v>
      </c>
      <c r="AB202" s="84">
        <f>Ruimtestaat[[#This Row],[Uitvoeringen weekend]]*Ruimtestaat[[#This Row],[Oppervlak (netto)]]</f>
        <v>0</v>
      </c>
      <c r="AC202" s="87">
        <f>IF(AB202&gt;0,Ruimtestaat[[#This Row],[Prest. (m2 /jaar) weekend]]/Ruimtestaat[[#This Row],[Norm (m2/uur) weekend]],0)</f>
        <v>0</v>
      </c>
      <c r="AD202" s="88">
        <f>Ruimtestaat[[#This Row],[uren / jaar weekend]]*Tariefsopbouw!$D$40</f>
        <v>0</v>
      </c>
      <c r="AE202" s="89">
        <f>Ruimtestaat[[#This Row],[Prest. (m2 /jaar) weekend]]+Ruimtestaat[[#This Row],[Prest. (m2 /jaar) werkdagen]]</f>
        <v>12254</v>
      </c>
      <c r="AF202" s="89">
        <f>Ruimtestaat[[#This Row],[uren / jaar weekend]]+Ruimtestaat[[#This Row],[uren / jaar werkdagen]]</f>
        <v>0</v>
      </c>
      <c r="AG202" s="90">
        <f>Ruimtestaat[[#This Row],[kosten / jaar weekend]]+Ruimtestaat[[#This Row],[kosten / jaar werkdagen]]</f>
        <v>0</v>
      </c>
      <c r="AH202" s="91"/>
      <c r="HL202" s="67"/>
    </row>
    <row r="203" spans="1:220" ht="15" customHeight="1">
      <c r="A203" s="53">
        <v>2</v>
      </c>
      <c r="B203" s="53" t="str">
        <f>VLOOKUP(Ruimtestaat[[#This Row],[Code]],Locaties[#All],2,FALSE)</f>
        <v>Open Schoolgemeenschap Bijlmer</v>
      </c>
      <c r="C203" s="53" t="str">
        <f>VLOOKUP(Ruimtestaat[[#This Row],[Code]],Locaties[#All],4,FALSE)</f>
        <v>Gulden Kruis 5</v>
      </c>
      <c r="D203" s="53" t="str">
        <f>VLOOKUP(Ruimtestaat[[#This Row],[Code]],Locaties[#All],5,FALSE)</f>
        <v>1103 BE</v>
      </c>
      <c r="E203" s="53" t="str">
        <f>VLOOKUP(Ruimtestaat[[#This Row],[Code]],Locaties[#All],6,FALSE)</f>
        <v>Amsterdam Zuidoost</v>
      </c>
      <c r="F203" s="78"/>
      <c r="G203" s="53" t="s">
        <v>564</v>
      </c>
      <c r="H203" s="53" t="s">
        <v>568</v>
      </c>
      <c r="I203" s="23" t="s">
        <v>428</v>
      </c>
      <c r="J203" s="53">
        <v>16</v>
      </c>
      <c r="K203" s="78" t="str">
        <f>VLOOKUP(J203,Ruimtegroepen[],2,FALSE)</f>
        <v>Leslokalen theorie</v>
      </c>
      <c r="L203" s="53" t="s">
        <v>285</v>
      </c>
      <c r="M203" s="53" t="s">
        <v>580</v>
      </c>
      <c r="N203" s="79">
        <v>69.138599999999997</v>
      </c>
      <c r="O203" s="79"/>
      <c r="P203" s="80" t="str">
        <f>LEFT(VLOOKUP(Ruimtestaat[[#This Row],[Ruimte code]],Ruimtegroepen[#All],4,1),2)</f>
        <v xml:space="preserve">L </v>
      </c>
      <c r="Q203" s="80"/>
      <c r="R203" s="81">
        <v>40</v>
      </c>
      <c r="S203" s="81" t="s">
        <v>298</v>
      </c>
      <c r="T203" s="82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3" s="82">
        <f>IF(T203&gt;0,VLOOKUP($J203,Ruimtegroepen[],3,FALSE)*VLOOKUP($L203,Vloersoorten[],3,FALSE)*VLOOKUP($S203,Frequenties[],3,FALSE)*VLOOKUP($A203,Locaties[],3,FALSE),0)</f>
        <v>0</v>
      </c>
      <c r="V203" s="83">
        <f>Ruimtestaat[[#This Row],[Uitvoeringen werkdagen]]*Ruimtestaat[[#This Row],[Oppervlak (netto)]]</f>
        <v>13827.72</v>
      </c>
      <c r="W203" s="84">
        <f>IF(U203&gt;0,Ruimtestaat[[#This Row],[Prest. (m2 /jaar) werkdagen]]/Ruimtestaat[[#This Row],[Norm (m2/uur) werkdagen]],0)</f>
        <v>0</v>
      </c>
      <c r="X203" s="85">
        <f>Ruimtestaat[[#This Row],[uren / jaar werkdagen]]*Tariefsopbouw!$E$35</f>
        <v>0</v>
      </c>
      <c r="Y203" s="82"/>
      <c r="Z203" s="86">
        <f>IF(Ruimtestaat[[#This Row],[Frequentie weekend]]&gt;0,VALUE(LEFT(Y203,1))*R203,0)</f>
        <v>0</v>
      </c>
      <c r="AA203" s="82">
        <f>IF($Z203&gt;0,VLOOKUP($J203,Ruimtegroepen[],3,FALSE)*VLOOKUP($L203,Vloersoorten[],3,FALSE)*VLOOKUP($Y203,Frequenties[],3,FALSE)*VLOOKUP($A199,Locaties[],3,FALSE),0)</f>
        <v>0</v>
      </c>
      <c r="AB203" s="84">
        <f>Ruimtestaat[[#This Row],[Uitvoeringen weekend]]*Ruimtestaat[[#This Row],[Oppervlak (netto)]]</f>
        <v>0</v>
      </c>
      <c r="AC203" s="87">
        <f>IF(AB203&gt;0,Ruimtestaat[[#This Row],[Prest. (m2 /jaar) weekend]]/Ruimtestaat[[#This Row],[Norm (m2/uur) weekend]],0)</f>
        <v>0</v>
      </c>
      <c r="AD203" s="88">
        <f>Ruimtestaat[[#This Row],[uren / jaar weekend]]*Tariefsopbouw!$D$40</f>
        <v>0</v>
      </c>
      <c r="AE203" s="89">
        <f>Ruimtestaat[[#This Row],[Prest. (m2 /jaar) weekend]]+Ruimtestaat[[#This Row],[Prest. (m2 /jaar) werkdagen]]</f>
        <v>13827.72</v>
      </c>
      <c r="AF203" s="89">
        <f>Ruimtestaat[[#This Row],[uren / jaar weekend]]+Ruimtestaat[[#This Row],[uren / jaar werkdagen]]</f>
        <v>0</v>
      </c>
      <c r="AG203" s="90">
        <f>Ruimtestaat[[#This Row],[kosten / jaar weekend]]+Ruimtestaat[[#This Row],[kosten / jaar werkdagen]]</f>
        <v>0</v>
      </c>
      <c r="AH203" s="91"/>
      <c r="HL203" s="67"/>
    </row>
    <row r="204" spans="1:220" ht="15" customHeight="1">
      <c r="A204" s="53">
        <v>2</v>
      </c>
      <c r="B204" s="53" t="str">
        <f>VLOOKUP(Ruimtestaat[[#This Row],[Code]],Locaties[#All],2,FALSE)</f>
        <v>Open Schoolgemeenschap Bijlmer</v>
      </c>
      <c r="C204" s="53" t="str">
        <f>VLOOKUP(Ruimtestaat[[#This Row],[Code]],Locaties[#All],4,FALSE)</f>
        <v>Gulden Kruis 5</v>
      </c>
      <c r="D204" s="53" t="str">
        <f>VLOOKUP(Ruimtestaat[[#This Row],[Code]],Locaties[#All],5,FALSE)</f>
        <v>1103 BE</v>
      </c>
      <c r="E204" s="53" t="str">
        <f>VLOOKUP(Ruimtestaat[[#This Row],[Code]],Locaties[#All],6,FALSE)</f>
        <v>Amsterdam Zuidoost</v>
      </c>
      <c r="F204" s="78"/>
      <c r="G204" s="53" t="s">
        <v>564</v>
      </c>
      <c r="H204" s="53" t="s">
        <v>569</v>
      </c>
      <c r="I204" s="23" t="s">
        <v>428</v>
      </c>
      <c r="J204" s="53">
        <v>16</v>
      </c>
      <c r="K204" s="78" t="str">
        <f>VLOOKUP(J204,Ruimtegroepen[],2,FALSE)</f>
        <v>Leslokalen theorie</v>
      </c>
      <c r="L204" s="53" t="s">
        <v>285</v>
      </c>
      <c r="M204" s="53" t="s">
        <v>580</v>
      </c>
      <c r="N204" s="79">
        <v>69.138599999999997</v>
      </c>
      <c r="O204" s="79"/>
      <c r="P204" s="80" t="str">
        <f>LEFT(VLOOKUP(Ruimtestaat[[#This Row],[Ruimte code]],Ruimtegroepen[#All],4,1),2)</f>
        <v xml:space="preserve">L </v>
      </c>
      <c r="Q204" s="80"/>
      <c r="R204" s="81">
        <v>40</v>
      </c>
      <c r="S204" s="81" t="s">
        <v>298</v>
      </c>
      <c r="T204" s="82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4" s="82">
        <f>IF(T204&gt;0,VLOOKUP($J204,Ruimtegroepen[],3,FALSE)*VLOOKUP($L204,Vloersoorten[],3,FALSE)*VLOOKUP($S204,Frequenties[],3,FALSE)*VLOOKUP($A204,Locaties[],3,FALSE),0)</f>
        <v>0</v>
      </c>
      <c r="V204" s="83">
        <f>Ruimtestaat[[#This Row],[Uitvoeringen werkdagen]]*Ruimtestaat[[#This Row],[Oppervlak (netto)]]</f>
        <v>13827.72</v>
      </c>
      <c r="W204" s="84">
        <f>IF(U204&gt;0,Ruimtestaat[[#This Row],[Prest. (m2 /jaar) werkdagen]]/Ruimtestaat[[#This Row],[Norm (m2/uur) werkdagen]],0)</f>
        <v>0</v>
      </c>
      <c r="X204" s="85">
        <f>Ruimtestaat[[#This Row],[uren / jaar werkdagen]]*Tariefsopbouw!$E$35</f>
        <v>0</v>
      </c>
      <c r="Y204" s="82"/>
      <c r="Z204" s="86">
        <f>IF(Ruimtestaat[[#This Row],[Frequentie weekend]]&gt;0,VALUE(LEFT(Y204,1))*R204,0)</f>
        <v>0</v>
      </c>
      <c r="AA204" s="82">
        <f>IF($Z204&gt;0,VLOOKUP($J204,Ruimtegroepen[],3,FALSE)*VLOOKUP($L204,Vloersoorten[],3,FALSE)*VLOOKUP($Y204,Frequenties[],3,FALSE)*VLOOKUP($A200,Locaties[],3,FALSE),0)</f>
        <v>0</v>
      </c>
      <c r="AB204" s="84">
        <f>Ruimtestaat[[#This Row],[Uitvoeringen weekend]]*Ruimtestaat[[#This Row],[Oppervlak (netto)]]</f>
        <v>0</v>
      </c>
      <c r="AC204" s="87">
        <f>IF(AB204&gt;0,Ruimtestaat[[#This Row],[Prest. (m2 /jaar) weekend]]/Ruimtestaat[[#This Row],[Norm (m2/uur) weekend]],0)</f>
        <v>0</v>
      </c>
      <c r="AD204" s="88">
        <f>Ruimtestaat[[#This Row],[uren / jaar weekend]]*Tariefsopbouw!$D$40</f>
        <v>0</v>
      </c>
      <c r="AE204" s="89">
        <f>Ruimtestaat[[#This Row],[Prest. (m2 /jaar) weekend]]+Ruimtestaat[[#This Row],[Prest. (m2 /jaar) werkdagen]]</f>
        <v>13827.72</v>
      </c>
      <c r="AF204" s="89">
        <f>Ruimtestaat[[#This Row],[uren / jaar weekend]]+Ruimtestaat[[#This Row],[uren / jaar werkdagen]]</f>
        <v>0</v>
      </c>
      <c r="AG204" s="90">
        <f>Ruimtestaat[[#This Row],[kosten / jaar weekend]]+Ruimtestaat[[#This Row],[kosten / jaar werkdagen]]</f>
        <v>0</v>
      </c>
      <c r="AH204" s="91"/>
      <c r="HL204" s="67"/>
    </row>
    <row r="205" spans="1:220" ht="15" customHeight="1">
      <c r="A205" s="53">
        <v>2</v>
      </c>
      <c r="B205" s="53" t="str">
        <f>VLOOKUP(Ruimtestaat[[#This Row],[Code]],Locaties[#All],2,FALSE)</f>
        <v>Open Schoolgemeenschap Bijlmer</v>
      </c>
      <c r="C205" s="53" t="str">
        <f>VLOOKUP(Ruimtestaat[[#This Row],[Code]],Locaties[#All],4,FALSE)</f>
        <v>Gulden Kruis 5</v>
      </c>
      <c r="D205" s="53" t="str">
        <f>VLOOKUP(Ruimtestaat[[#This Row],[Code]],Locaties[#All],5,FALSE)</f>
        <v>1103 BE</v>
      </c>
      <c r="E205" s="53" t="str">
        <f>VLOOKUP(Ruimtestaat[[#This Row],[Code]],Locaties[#All],6,FALSE)</f>
        <v>Amsterdam Zuidoost</v>
      </c>
      <c r="F205" s="78"/>
      <c r="G205" s="53" t="s">
        <v>564</v>
      </c>
      <c r="H205" s="53" t="s">
        <v>570</v>
      </c>
      <c r="I205" s="23" t="s">
        <v>571</v>
      </c>
      <c r="J205" s="53">
        <v>1</v>
      </c>
      <c r="K205" s="78" t="str">
        <f>VLOOKUP(J205,Ruimtegroepen[],2,FALSE)</f>
        <v>Magazijnen/bergingen</v>
      </c>
      <c r="L205" s="53" t="s">
        <v>280</v>
      </c>
      <c r="M205" s="53" t="s">
        <v>566</v>
      </c>
      <c r="N205" s="79">
        <v>10</v>
      </c>
      <c r="O205" s="79"/>
      <c r="P205" s="80" t="str">
        <f>LEFT(VLOOKUP(Ruimtestaat[[#This Row],[Ruimte code]],Ruimtegroepen[#All],4,1),2)</f>
        <v xml:space="preserve">V </v>
      </c>
      <c r="Q205" s="80"/>
      <c r="R205" s="81">
        <v>40</v>
      </c>
      <c r="S205" s="81" t="s">
        <v>298</v>
      </c>
      <c r="T205" s="82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5" s="82">
        <f>IF(T205&gt;0,VLOOKUP($J205,Ruimtegroepen[],3,FALSE)*VLOOKUP($L205,Vloersoorten[],3,FALSE)*VLOOKUP($S205,Frequenties[],3,FALSE)*VLOOKUP($A205,Locaties[],3,FALSE),0)</f>
        <v>0</v>
      </c>
      <c r="V205" s="83">
        <f>Ruimtestaat[[#This Row],[Uitvoeringen werkdagen]]*Ruimtestaat[[#This Row],[Oppervlak (netto)]]</f>
        <v>2000</v>
      </c>
      <c r="W205" s="84">
        <f>IF(U205&gt;0,Ruimtestaat[[#This Row],[Prest. (m2 /jaar) werkdagen]]/Ruimtestaat[[#This Row],[Norm (m2/uur) werkdagen]],0)</f>
        <v>0</v>
      </c>
      <c r="X205" s="85">
        <f>Ruimtestaat[[#This Row],[uren / jaar werkdagen]]*Tariefsopbouw!$E$35</f>
        <v>0</v>
      </c>
      <c r="Y205" s="82"/>
      <c r="Z205" s="86">
        <f>IF(Ruimtestaat[[#This Row],[Frequentie weekend]]&gt;0,VALUE(LEFT(Y205,1))*R205,0)</f>
        <v>0</v>
      </c>
      <c r="AA205" s="82">
        <f>IF($Z205&gt;0,VLOOKUP($J205,Ruimtegroepen[],3,FALSE)*VLOOKUP($L205,Vloersoorten[],3,FALSE)*VLOOKUP($Y205,Frequenties[],3,FALSE)*VLOOKUP($A201,Locaties[],3,FALSE),0)</f>
        <v>0</v>
      </c>
      <c r="AB205" s="84">
        <f>Ruimtestaat[[#This Row],[Uitvoeringen weekend]]*Ruimtestaat[[#This Row],[Oppervlak (netto)]]</f>
        <v>0</v>
      </c>
      <c r="AC205" s="87">
        <f>IF(AB205&gt;0,Ruimtestaat[[#This Row],[Prest. (m2 /jaar) weekend]]/Ruimtestaat[[#This Row],[Norm (m2/uur) weekend]],0)</f>
        <v>0</v>
      </c>
      <c r="AD205" s="88">
        <f>Ruimtestaat[[#This Row],[uren / jaar weekend]]*Tariefsopbouw!$D$40</f>
        <v>0</v>
      </c>
      <c r="AE205" s="89">
        <f>Ruimtestaat[[#This Row],[Prest. (m2 /jaar) weekend]]+Ruimtestaat[[#This Row],[Prest. (m2 /jaar) werkdagen]]</f>
        <v>2000</v>
      </c>
      <c r="AF205" s="89">
        <f>Ruimtestaat[[#This Row],[uren / jaar weekend]]+Ruimtestaat[[#This Row],[uren / jaar werkdagen]]</f>
        <v>0</v>
      </c>
      <c r="AG205" s="90">
        <f>Ruimtestaat[[#This Row],[kosten / jaar weekend]]+Ruimtestaat[[#This Row],[kosten / jaar werkdagen]]</f>
        <v>0</v>
      </c>
      <c r="AH205" s="91"/>
      <c r="HL205" s="67"/>
    </row>
    <row r="206" spans="1:220" ht="15" customHeight="1">
      <c r="A206" s="53">
        <v>2</v>
      </c>
      <c r="B206" s="53" t="str">
        <f>VLOOKUP(Ruimtestaat[[#This Row],[Code]],Locaties[#All],2,FALSE)</f>
        <v>Open Schoolgemeenschap Bijlmer</v>
      </c>
      <c r="C206" s="53" t="str">
        <f>VLOOKUP(Ruimtestaat[[#This Row],[Code]],Locaties[#All],4,FALSE)</f>
        <v>Gulden Kruis 5</v>
      </c>
      <c r="D206" s="53" t="str">
        <f>VLOOKUP(Ruimtestaat[[#This Row],[Code]],Locaties[#All],5,FALSE)</f>
        <v>1103 BE</v>
      </c>
      <c r="E206" s="53" t="str">
        <f>VLOOKUP(Ruimtestaat[[#This Row],[Code]],Locaties[#All],6,FALSE)</f>
        <v>Amsterdam Zuidoost</v>
      </c>
      <c r="F206" s="78"/>
      <c r="G206" s="53" t="s">
        <v>564</v>
      </c>
      <c r="H206" s="53" t="s">
        <v>572</v>
      </c>
      <c r="I206" s="23" t="s">
        <v>359</v>
      </c>
      <c r="J206" s="53">
        <v>2</v>
      </c>
      <c r="K206" s="78" t="str">
        <f>VLOOKUP(J206,Ruimtegroepen[],2,FALSE)</f>
        <v>Kantoren</v>
      </c>
      <c r="L206" s="53" t="s">
        <v>283</v>
      </c>
      <c r="M206" s="53" t="s">
        <v>136</v>
      </c>
      <c r="N206" s="79">
        <v>10</v>
      </c>
      <c r="O206" s="79"/>
      <c r="P206" s="80" t="str">
        <f>LEFT(VLOOKUP(Ruimtestaat[[#This Row],[Ruimte code]],Ruimtegroepen[#All],4,1),2)</f>
        <v xml:space="preserve">B </v>
      </c>
      <c r="Q206" s="80"/>
      <c r="R206" s="81">
        <v>40</v>
      </c>
      <c r="S206" s="81" t="s">
        <v>298</v>
      </c>
      <c r="T206" s="82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6" s="82">
        <f>IF(T206&gt;0,VLOOKUP($J206,Ruimtegroepen[],3,FALSE)*VLOOKUP($L206,Vloersoorten[],3,FALSE)*VLOOKUP($S206,Frequenties[],3,FALSE)*VLOOKUP($A206,Locaties[],3,FALSE),0)</f>
        <v>0</v>
      </c>
      <c r="V206" s="83">
        <f>Ruimtestaat[[#This Row],[Uitvoeringen werkdagen]]*Ruimtestaat[[#This Row],[Oppervlak (netto)]]</f>
        <v>2000</v>
      </c>
      <c r="W206" s="84">
        <f>IF(U206&gt;0,Ruimtestaat[[#This Row],[Prest. (m2 /jaar) werkdagen]]/Ruimtestaat[[#This Row],[Norm (m2/uur) werkdagen]],0)</f>
        <v>0</v>
      </c>
      <c r="X206" s="85">
        <f>Ruimtestaat[[#This Row],[uren / jaar werkdagen]]*Tariefsopbouw!$E$35</f>
        <v>0</v>
      </c>
      <c r="Y206" s="82"/>
      <c r="Z206" s="86">
        <f>IF(Ruimtestaat[[#This Row],[Frequentie weekend]]&gt;0,VALUE(LEFT(Y206,1))*R206,0)</f>
        <v>0</v>
      </c>
      <c r="AA206" s="82">
        <f>IF($Z206&gt;0,VLOOKUP($J206,Ruimtegroepen[],3,FALSE)*VLOOKUP($L206,Vloersoorten[],3,FALSE)*VLOOKUP($Y206,Frequenties[],3,FALSE)*VLOOKUP($A202,Locaties[],3,FALSE),0)</f>
        <v>0</v>
      </c>
      <c r="AB206" s="84">
        <f>Ruimtestaat[[#This Row],[Uitvoeringen weekend]]*Ruimtestaat[[#This Row],[Oppervlak (netto)]]</f>
        <v>0</v>
      </c>
      <c r="AC206" s="87">
        <f>IF(AB206&gt;0,Ruimtestaat[[#This Row],[Prest. (m2 /jaar) weekend]]/Ruimtestaat[[#This Row],[Norm (m2/uur) weekend]],0)</f>
        <v>0</v>
      </c>
      <c r="AD206" s="88">
        <f>Ruimtestaat[[#This Row],[uren / jaar weekend]]*Tariefsopbouw!$D$40</f>
        <v>0</v>
      </c>
      <c r="AE206" s="89">
        <f>Ruimtestaat[[#This Row],[Prest. (m2 /jaar) weekend]]+Ruimtestaat[[#This Row],[Prest. (m2 /jaar) werkdagen]]</f>
        <v>2000</v>
      </c>
      <c r="AF206" s="89">
        <f>Ruimtestaat[[#This Row],[uren / jaar weekend]]+Ruimtestaat[[#This Row],[uren / jaar werkdagen]]</f>
        <v>0</v>
      </c>
      <c r="AG206" s="90">
        <f>Ruimtestaat[[#This Row],[kosten / jaar weekend]]+Ruimtestaat[[#This Row],[kosten / jaar werkdagen]]</f>
        <v>0</v>
      </c>
      <c r="AH206" s="91"/>
      <c r="HL206" s="67"/>
    </row>
    <row r="207" spans="1:220" ht="15" customHeight="1">
      <c r="A207" s="53">
        <v>2</v>
      </c>
      <c r="B207" s="53" t="str">
        <f>VLOOKUP(Ruimtestaat[[#This Row],[Code]],Locaties[#All],2,FALSE)</f>
        <v>Open Schoolgemeenschap Bijlmer</v>
      </c>
      <c r="C207" s="53" t="str">
        <f>VLOOKUP(Ruimtestaat[[#This Row],[Code]],Locaties[#All],4,FALSE)</f>
        <v>Gulden Kruis 5</v>
      </c>
      <c r="D207" s="53" t="str">
        <f>VLOOKUP(Ruimtestaat[[#This Row],[Code]],Locaties[#All],5,FALSE)</f>
        <v>1103 BE</v>
      </c>
      <c r="E207" s="53" t="str">
        <f>VLOOKUP(Ruimtestaat[[#This Row],[Code]],Locaties[#All],6,FALSE)</f>
        <v>Amsterdam Zuidoost</v>
      </c>
      <c r="F207" s="78"/>
      <c r="G207" s="53" t="s">
        <v>564</v>
      </c>
      <c r="H207" s="53" t="s">
        <v>573</v>
      </c>
      <c r="I207" s="23" t="s">
        <v>359</v>
      </c>
      <c r="J207" s="53">
        <v>2</v>
      </c>
      <c r="K207" s="78" t="str">
        <f>VLOOKUP(J207,Ruimtegroepen[],2,FALSE)</f>
        <v>Kantoren</v>
      </c>
      <c r="L207" s="53" t="s">
        <v>283</v>
      </c>
      <c r="M207" s="53" t="s">
        <v>136</v>
      </c>
      <c r="N207" s="79">
        <v>10</v>
      </c>
      <c r="O207" s="79"/>
      <c r="P207" s="80" t="str">
        <f>LEFT(VLOOKUP(Ruimtestaat[[#This Row],[Ruimte code]],Ruimtegroepen[#All],4,1),2)</f>
        <v xml:space="preserve">B </v>
      </c>
      <c r="Q207" s="80"/>
      <c r="R207" s="81">
        <v>40</v>
      </c>
      <c r="S207" s="81" t="s">
        <v>298</v>
      </c>
      <c r="T207" s="82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7" s="82">
        <f>IF(T207&gt;0,VLOOKUP($J207,Ruimtegroepen[],3,FALSE)*VLOOKUP($L207,Vloersoorten[],3,FALSE)*VLOOKUP($S207,Frequenties[],3,FALSE)*VLOOKUP($A207,Locaties[],3,FALSE),0)</f>
        <v>0</v>
      </c>
      <c r="V207" s="83">
        <f>Ruimtestaat[[#This Row],[Uitvoeringen werkdagen]]*Ruimtestaat[[#This Row],[Oppervlak (netto)]]</f>
        <v>2000</v>
      </c>
      <c r="W207" s="84">
        <f>IF(U207&gt;0,Ruimtestaat[[#This Row],[Prest. (m2 /jaar) werkdagen]]/Ruimtestaat[[#This Row],[Norm (m2/uur) werkdagen]],0)</f>
        <v>0</v>
      </c>
      <c r="X207" s="85">
        <f>Ruimtestaat[[#This Row],[uren / jaar werkdagen]]*Tariefsopbouw!$E$35</f>
        <v>0</v>
      </c>
      <c r="Y207" s="82"/>
      <c r="Z207" s="86">
        <f>IF(Ruimtestaat[[#This Row],[Frequentie weekend]]&gt;0,VALUE(LEFT(Y207,1))*R207,0)</f>
        <v>0</v>
      </c>
      <c r="AA207" s="82">
        <f>IF($Z207&gt;0,VLOOKUP($J207,Ruimtegroepen[],3,FALSE)*VLOOKUP($L207,Vloersoorten[],3,FALSE)*VLOOKUP($Y207,Frequenties[],3,FALSE)*VLOOKUP($A203,Locaties[],3,FALSE),0)</f>
        <v>0</v>
      </c>
      <c r="AB207" s="84">
        <f>Ruimtestaat[[#This Row],[Uitvoeringen weekend]]*Ruimtestaat[[#This Row],[Oppervlak (netto)]]</f>
        <v>0</v>
      </c>
      <c r="AC207" s="87">
        <f>IF(AB207&gt;0,Ruimtestaat[[#This Row],[Prest. (m2 /jaar) weekend]]/Ruimtestaat[[#This Row],[Norm (m2/uur) weekend]],0)</f>
        <v>0</v>
      </c>
      <c r="AD207" s="88">
        <f>Ruimtestaat[[#This Row],[uren / jaar weekend]]*Tariefsopbouw!$D$40</f>
        <v>0</v>
      </c>
      <c r="AE207" s="89">
        <f>Ruimtestaat[[#This Row],[Prest. (m2 /jaar) weekend]]+Ruimtestaat[[#This Row],[Prest. (m2 /jaar) werkdagen]]</f>
        <v>2000</v>
      </c>
      <c r="AF207" s="89">
        <f>Ruimtestaat[[#This Row],[uren / jaar weekend]]+Ruimtestaat[[#This Row],[uren / jaar werkdagen]]</f>
        <v>0</v>
      </c>
      <c r="AG207" s="90">
        <f>Ruimtestaat[[#This Row],[kosten / jaar weekend]]+Ruimtestaat[[#This Row],[kosten / jaar werkdagen]]</f>
        <v>0</v>
      </c>
      <c r="AH207" s="91"/>
      <c r="HL207" s="67"/>
    </row>
    <row r="208" spans="1:220" ht="15" customHeight="1">
      <c r="A208" s="53">
        <v>2</v>
      </c>
      <c r="B208" s="53" t="str">
        <f>VLOOKUP(Ruimtestaat[[#This Row],[Code]],Locaties[#All],2,FALSE)</f>
        <v>Open Schoolgemeenschap Bijlmer</v>
      </c>
      <c r="C208" s="53" t="str">
        <f>VLOOKUP(Ruimtestaat[[#This Row],[Code]],Locaties[#All],4,FALSE)</f>
        <v>Gulden Kruis 5</v>
      </c>
      <c r="D208" s="53" t="str">
        <f>VLOOKUP(Ruimtestaat[[#This Row],[Code]],Locaties[#All],5,FALSE)</f>
        <v>1103 BE</v>
      </c>
      <c r="E208" s="53" t="str">
        <f>VLOOKUP(Ruimtestaat[[#This Row],[Code]],Locaties[#All],6,FALSE)</f>
        <v>Amsterdam Zuidoost</v>
      </c>
      <c r="F208" s="78"/>
      <c r="G208" s="53" t="s">
        <v>564</v>
      </c>
      <c r="H208" s="53" t="s">
        <v>574</v>
      </c>
      <c r="I208" s="23" t="s">
        <v>456</v>
      </c>
      <c r="J208" s="53">
        <v>6</v>
      </c>
      <c r="K208" s="78" t="str">
        <f>VLOOKUP(J208,Ruimtegroepen[],2,FALSE)</f>
        <v>Gangen/hallen</v>
      </c>
      <c r="L208" s="53" t="s">
        <v>285</v>
      </c>
      <c r="M208" s="53" t="s">
        <v>580</v>
      </c>
      <c r="N208" s="79">
        <v>168.28</v>
      </c>
      <c r="O208" s="79"/>
      <c r="P208" s="80" t="str">
        <f>LEFT(VLOOKUP(Ruimtestaat[[#This Row],[Ruimte code]],Ruimtegroepen[#All],4,1),2)</f>
        <v xml:space="preserve">V </v>
      </c>
      <c r="Q208" s="80"/>
      <c r="R208" s="81">
        <v>40</v>
      </c>
      <c r="S208" s="81" t="s">
        <v>298</v>
      </c>
      <c r="T208" s="82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8" s="82">
        <f>IF(T208&gt;0,VLOOKUP($J208,Ruimtegroepen[],3,FALSE)*VLOOKUP($L208,Vloersoorten[],3,FALSE)*VLOOKUP($S208,Frequenties[],3,FALSE)*VLOOKUP($A208,Locaties[],3,FALSE),0)</f>
        <v>0</v>
      </c>
      <c r="V208" s="83">
        <f>Ruimtestaat[[#This Row],[Uitvoeringen werkdagen]]*Ruimtestaat[[#This Row],[Oppervlak (netto)]]</f>
        <v>33656</v>
      </c>
      <c r="W208" s="84">
        <f>IF(U208&gt;0,Ruimtestaat[[#This Row],[Prest. (m2 /jaar) werkdagen]]/Ruimtestaat[[#This Row],[Norm (m2/uur) werkdagen]],0)</f>
        <v>0</v>
      </c>
      <c r="X208" s="85">
        <f>Ruimtestaat[[#This Row],[uren / jaar werkdagen]]*Tariefsopbouw!$E$35</f>
        <v>0</v>
      </c>
      <c r="Y208" s="82"/>
      <c r="Z208" s="86">
        <f>IF(Ruimtestaat[[#This Row],[Frequentie weekend]]&gt;0,VALUE(LEFT(Y208,1))*R208,0)</f>
        <v>0</v>
      </c>
      <c r="AA208" s="82">
        <f>IF($Z208&gt;0,VLOOKUP($J208,Ruimtegroepen[],3,FALSE)*VLOOKUP($L208,Vloersoorten[],3,FALSE)*VLOOKUP($Y208,Frequenties[],3,FALSE)*VLOOKUP($A204,Locaties[],3,FALSE),0)</f>
        <v>0</v>
      </c>
      <c r="AB208" s="84">
        <f>Ruimtestaat[[#This Row],[Uitvoeringen weekend]]*Ruimtestaat[[#This Row],[Oppervlak (netto)]]</f>
        <v>0</v>
      </c>
      <c r="AC208" s="87">
        <f>IF(AB208&gt;0,Ruimtestaat[[#This Row],[Prest. (m2 /jaar) weekend]]/Ruimtestaat[[#This Row],[Norm (m2/uur) weekend]],0)</f>
        <v>0</v>
      </c>
      <c r="AD208" s="88">
        <f>Ruimtestaat[[#This Row],[uren / jaar weekend]]*Tariefsopbouw!$D$40</f>
        <v>0</v>
      </c>
      <c r="AE208" s="89">
        <f>Ruimtestaat[[#This Row],[Prest. (m2 /jaar) weekend]]+Ruimtestaat[[#This Row],[Prest. (m2 /jaar) werkdagen]]</f>
        <v>33656</v>
      </c>
      <c r="AF208" s="89">
        <f>Ruimtestaat[[#This Row],[uren / jaar weekend]]+Ruimtestaat[[#This Row],[uren / jaar werkdagen]]</f>
        <v>0</v>
      </c>
      <c r="AG208" s="90">
        <f>Ruimtestaat[[#This Row],[kosten / jaar weekend]]+Ruimtestaat[[#This Row],[kosten / jaar werkdagen]]</f>
        <v>0</v>
      </c>
      <c r="AH208" s="91"/>
      <c r="HL208" s="67"/>
    </row>
    <row r="209" spans="1:220" ht="15" customHeight="1">
      <c r="A209" s="53">
        <v>2</v>
      </c>
      <c r="B209" s="53" t="str">
        <f>VLOOKUP(Ruimtestaat[[#This Row],[Code]],Locaties[#All],2,FALSE)</f>
        <v>Open Schoolgemeenschap Bijlmer</v>
      </c>
      <c r="C209" s="53" t="str">
        <f>VLOOKUP(Ruimtestaat[[#This Row],[Code]],Locaties[#All],4,FALSE)</f>
        <v>Gulden Kruis 5</v>
      </c>
      <c r="D209" s="53" t="str">
        <f>VLOOKUP(Ruimtestaat[[#This Row],[Code]],Locaties[#All],5,FALSE)</f>
        <v>1103 BE</v>
      </c>
      <c r="E209" s="53" t="str">
        <f>VLOOKUP(Ruimtestaat[[#This Row],[Code]],Locaties[#All],6,FALSE)</f>
        <v>Amsterdam Zuidoost</v>
      </c>
      <c r="F209" s="78"/>
      <c r="G209" s="53" t="s">
        <v>564</v>
      </c>
      <c r="H209" s="53" t="s">
        <v>575</v>
      </c>
      <c r="I209" s="23" t="s">
        <v>359</v>
      </c>
      <c r="J209" s="53">
        <v>2</v>
      </c>
      <c r="K209" s="78" t="str">
        <f>VLOOKUP(J209,Ruimtegroepen[],2,FALSE)</f>
        <v>Kantoren</v>
      </c>
      <c r="L209" s="53" t="s">
        <v>283</v>
      </c>
      <c r="M209" s="53" t="s">
        <v>576</v>
      </c>
      <c r="N209" s="79">
        <v>20.3</v>
      </c>
      <c r="O209" s="79"/>
      <c r="P209" s="80" t="str">
        <f>LEFT(VLOOKUP(Ruimtestaat[[#This Row],[Ruimte code]],Ruimtegroepen[#All],4,1),2)</f>
        <v xml:space="preserve">B </v>
      </c>
      <c r="Q209" s="80"/>
      <c r="R209" s="81">
        <v>40</v>
      </c>
      <c r="S209" s="81" t="s">
        <v>298</v>
      </c>
      <c r="T209" s="82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09" s="82">
        <f>IF(T209&gt;0,VLOOKUP($J209,Ruimtegroepen[],3,FALSE)*VLOOKUP($L209,Vloersoorten[],3,FALSE)*VLOOKUP($S209,Frequenties[],3,FALSE)*VLOOKUP($A209,Locaties[],3,FALSE),0)</f>
        <v>0</v>
      </c>
      <c r="V209" s="83">
        <f>Ruimtestaat[[#This Row],[Uitvoeringen werkdagen]]*Ruimtestaat[[#This Row],[Oppervlak (netto)]]</f>
        <v>4060</v>
      </c>
      <c r="W209" s="84">
        <f>IF(U209&gt;0,Ruimtestaat[[#This Row],[Prest. (m2 /jaar) werkdagen]]/Ruimtestaat[[#This Row],[Norm (m2/uur) werkdagen]],0)</f>
        <v>0</v>
      </c>
      <c r="X209" s="85">
        <f>Ruimtestaat[[#This Row],[uren / jaar werkdagen]]*Tariefsopbouw!$E$35</f>
        <v>0</v>
      </c>
      <c r="Y209" s="82"/>
      <c r="Z209" s="86">
        <f>IF(Ruimtestaat[[#This Row],[Frequentie weekend]]&gt;0,VALUE(LEFT(Y209,1))*R209,0)</f>
        <v>0</v>
      </c>
      <c r="AA209" s="82">
        <f>IF($Z209&gt;0,VLOOKUP($J209,Ruimtegroepen[],3,FALSE)*VLOOKUP($L209,Vloersoorten[],3,FALSE)*VLOOKUP($Y209,Frequenties[],3,FALSE)*VLOOKUP($A205,Locaties[],3,FALSE),0)</f>
        <v>0</v>
      </c>
      <c r="AB209" s="84">
        <f>Ruimtestaat[[#This Row],[Uitvoeringen weekend]]*Ruimtestaat[[#This Row],[Oppervlak (netto)]]</f>
        <v>0</v>
      </c>
      <c r="AC209" s="87">
        <f>IF(AB209&gt;0,Ruimtestaat[[#This Row],[Prest. (m2 /jaar) weekend]]/Ruimtestaat[[#This Row],[Norm (m2/uur) weekend]],0)</f>
        <v>0</v>
      </c>
      <c r="AD209" s="88">
        <f>Ruimtestaat[[#This Row],[uren / jaar weekend]]*Tariefsopbouw!$D$40</f>
        <v>0</v>
      </c>
      <c r="AE209" s="89">
        <f>Ruimtestaat[[#This Row],[Prest. (m2 /jaar) weekend]]+Ruimtestaat[[#This Row],[Prest. (m2 /jaar) werkdagen]]</f>
        <v>4060</v>
      </c>
      <c r="AF209" s="89">
        <f>Ruimtestaat[[#This Row],[uren / jaar weekend]]+Ruimtestaat[[#This Row],[uren / jaar werkdagen]]</f>
        <v>0</v>
      </c>
      <c r="AG209" s="90">
        <f>Ruimtestaat[[#This Row],[kosten / jaar weekend]]+Ruimtestaat[[#This Row],[kosten / jaar werkdagen]]</f>
        <v>0</v>
      </c>
      <c r="AH209" s="91"/>
      <c r="HL209" s="67"/>
    </row>
    <row r="210" spans="1:220" ht="15" customHeight="1">
      <c r="A210" s="53">
        <v>2</v>
      </c>
      <c r="B210" s="53" t="str">
        <f>VLOOKUP(Ruimtestaat[[#This Row],[Code]],Locaties[#All],2,FALSE)</f>
        <v>Open Schoolgemeenschap Bijlmer</v>
      </c>
      <c r="C210" s="53" t="str">
        <f>VLOOKUP(Ruimtestaat[[#This Row],[Code]],Locaties[#All],4,FALSE)</f>
        <v>Gulden Kruis 5</v>
      </c>
      <c r="D210" s="53" t="str">
        <f>VLOOKUP(Ruimtestaat[[#This Row],[Code]],Locaties[#All],5,FALSE)</f>
        <v>1103 BE</v>
      </c>
      <c r="E210" s="53" t="str">
        <f>VLOOKUP(Ruimtestaat[[#This Row],[Code]],Locaties[#All],6,FALSE)</f>
        <v>Amsterdam Zuidoost</v>
      </c>
      <c r="F210" s="78"/>
      <c r="G210" s="53" t="s">
        <v>564</v>
      </c>
      <c r="H210" s="53" t="s">
        <v>577</v>
      </c>
      <c r="I210" s="23" t="s">
        <v>359</v>
      </c>
      <c r="J210" s="53">
        <v>2</v>
      </c>
      <c r="K210" s="78" t="str">
        <f>VLOOKUP(J210,Ruimtegroepen[],2,FALSE)</f>
        <v>Kantoren</v>
      </c>
      <c r="L210" s="53" t="s">
        <v>283</v>
      </c>
      <c r="M210" s="53" t="s">
        <v>576</v>
      </c>
      <c r="N210" s="79">
        <v>13.137600000000001</v>
      </c>
      <c r="O210" s="79"/>
      <c r="P210" s="80" t="str">
        <f>LEFT(VLOOKUP(Ruimtestaat[[#This Row],[Ruimte code]],Ruimtegroepen[#All],4,1),2)</f>
        <v xml:space="preserve">B </v>
      </c>
      <c r="Q210" s="80"/>
      <c r="R210" s="81">
        <v>40</v>
      </c>
      <c r="S210" s="81" t="s">
        <v>298</v>
      </c>
      <c r="T210" s="82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0" s="82">
        <f>IF(T210&gt;0,VLOOKUP($J210,Ruimtegroepen[],3,FALSE)*VLOOKUP($L210,Vloersoorten[],3,FALSE)*VLOOKUP($S210,Frequenties[],3,FALSE)*VLOOKUP($A210,Locaties[],3,FALSE),0)</f>
        <v>0</v>
      </c>
      <c r="V210" s="83">
        <f>Ruimtestaat[[#This Row],[Uitvoeringen werkdagen]]*Ruimtestaat[[#This Row],[Oppervlak (netto)]]</f>
        <v>2627.52</v>
      </c>
      <c r="W210" s="84">
        <f>IF(U210&gt;0,Ruimtestaat[[#This Row],[Prest. (m2 /jaar) werkdagen]]/Ruimtestaat[[#This Row],[Norm (m2/uur) werkdagen]],0)</f>
        <v>0</v>
      </c>
      <c r="X210" s="85">
        <f>Ruimtestaat[[#This Row],[uren / jaar werkdagen]]*Tariefsopbouw!$E$35</f>
        <v>0</v>
      </c>
      <c r="Y210" s="82"/>
      <c r="Z210" s="86">
        <f>IF(Ruimtestaat[[#This Row],[Frequentie weekend]]&gt;0,VALUE(LEFT(Y210,1))*R210,0)</f>
        <v>0</v>
      </c>
      <c r="AA210" s="82">
        <f>IF($Z210&gt;0,VLOOKUP($J210,Ruimtegroepen[],3,FALSE)*VLOOKUP($L210,Vloersoorten[],3,FALSE)*VLOOKUP($Y210,Frequenties[],3,FALSE)*VLOOKUP($A206,Locaties[],3,FALSE),0)</f>
        <v>0</v>
      </c>
      <c r="AB210" s="84">
        <f>Ruimtestaat[[#This Row],[Uitvoeringen weekend]]*Ruimtestaat[[#This Row],[Oppervlak (netto)]]</f>
        <v>0</v>
      </c>
      <c r="AC210" s="87">
        <f>IF(AB210&gt;0,Ruimtestaat[[#This Row],[Prest. (m2 /jaar) weekend]]/Ruimtestaat[[#This Row],[Norm (m2/uur) weekend]],0)</f>
        <v>0</v>
      </c>
      <c r="AD210" s="88">
        <f>Ruimtestaat[[#This Row],[uren / jaar weekend]]*Tariefsopbouw!$D$40</f>
        <v>0</v>
      </c>
      <c r="AE210" s="89">
        <f>Ruimtestaat[[#This Row],[Prest. (m2 /jaar) weekend]]+Ruimtestaat[[#This Row],[Prest. (m2 /jaar) werkdagen]]</f>
        <v>2627.52</v>
      </c>
      <c r="AF210" s="89">
        <f>Ruimtestaat[[#This Row],[uren / jaar weekend]]+Ruimtestaat[[#This Row],[uren / jaar werkdagen]]</f>
        <v>0</v>
      </c>
      <c r="AG210" s="90">
        <f>Ruimtestaat[[#This Row],[kosten / jaar weekend]]+Ruimtestaat[[#This Row],[kosten / jaar werkdagen]]</f>
        <v>0</v>
      </c>
      <c r="AH210" s="91"/>
      <c r="HL210" s="67"/>
    </row>
    <row r="211" spans="1:220" ht="15" customHeight="1">
      <c r="A211" s="53">
        <v>2</v>
      </c>
      <c r="B211" s="53" t="str">
        <f>VLOOKUP(Ruimtestaat[[#This Row],[Code]],Locaties[#All],2,FALSE)</f>
        <v>Open Schoolgemeenschap Bijlmer</v>
      </c>
      <c r="C211" s="53" t="str">
        <f>VLOOKUP(Ruimtestaat[[#This Row],[Code]],Locaties[#All],4,FALSE)</f>
        <v>Gulden Kruis 5</v>
      </c>
      <c r="D211" s="53" t="str">
        <f>VLOOKUP(Ruimtestaat[[#This Row],[Code]],Locaties[#All],5,FALSE)</f>
        <v>1103 BE</v>
      </c>
      <c r="E211" s="53" t="str">
        <f>VLOOKUP(Ruimtestaat[[#This Row],[Code]],Locaties[#All],6,FALSE)</f>
        <v>Amsterdam Zuidoost</v>
      </c>
      <c r="F211" s="78"/>
      <c r="G211" s="53" t="s">
        <v>564</v>
      </c>
      <c r="H211" s="53" t="s">
        <v>578</v>
      </c>
      <c r="I211" s="23" t="s">
        <v>579</v>
      </c>
      <c r="J211" s="53">
        <v>5</v>
      </c>
      <c r="K211" s="78" t="str">
        <f>VLOOKUP(J211,Ruimtegroepen[],2,FALSE)</f>
        <v>Sanitair</v>
      </c>
      <c r="L211" s="53" t="s">
        <v>285</v>
      </c>
      <c r="M211" s="53" t="s">
        <v>580</v>
      </c>
      <c r="N211" s="79">
        <v>13.84</v>
      </c>
      <c r="O211" s="79"/>
      <c r="P211" s="80" t="str">
        <f>LEFT(VLOOKUP(Ruimtestaat[[#This Row],[Ruimte code]],Ruimtegroepen[#All],4,1),2)</f>
        <v xml:space="preserve">S </v>
      </c>
      <c r="Q211" s="80"/>
      <c r="R211" s="81">
        <v>40</v>
      </c>
      <c r="S211" s="81" t="s">
        <v>296</v>
      </c>
      <c r="T211" s="82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11" s="82">
        <f>IF(T211&gt;0,VLOOKUP($J211,Ruimtegroepen[],3,FALSE)*VLOOKUP($L211,Vloersoorten[],3,FALSE)*VLOOKUP($S211,Frequenties[],3,FALSE)*VLOOKUP($A211,Locaties[],3,FALSE),0)</f>
        <v>0</v>
      </c>
      <c r="V211" s="83">
        <f>Ruimtestaat[[#This Row],[Uitvoeringen werkdagen]]*Ruimtestaat[[#This Row],[Oppervlak (netto)]]</f>
        <v>5536</v>
      </c>
      <c r="W211" s="84">
        <f>IF(U211&gt;0,Ruimtestaat[[#This Row],[Prest. (m2 /jaar) werkdagen]]/Ruimtestaat[[#This Row],[Norm (m2/uur) werkdagen]],0)</f>
        <v>0</v>
      </c>
      <c r="X211" s="85">
        <f>Ruimtestaat[[#This Row],[uren / jaar werkdagen]]*Tariefsopbouw!$E$35</f>
        <v>0</v>
      </c>
      <c r="Y211" s="82"/>
      <c r="Z211" s="86">
        <f>IF(Ruimtestaat[[#This Row],[Frequentie weekend]]&gt;0,VALUE(LEFT(Y211,1))*R211,0)</f>
        <v>0</v>
      </c>
      <c r="AA211" s="82">
        <f>IF($Z211&gt;0,VLOOKUP($J211,Ruimtegroepen[],3,FALSE)*VLOOKUP($L211,Vloersoorten[],3,FALSE)*VLOOKUP($Y211,Frequenties[],3,FALSE)*VLOOKUP($A207,Locaties[],3,FALSE),0)</f>
        <v>0</v>
      </c>
      <c r="AB211" s="84">
        <f>Ruimtestaat[[#This Row],[Uitvoeringen weekend]]*Ruimtestaat[[#This Row],[Oppervlak (netto)]]</f>
        <v>0</v>
      </c>
      <c r="AC211" s="87">
        <f>IF(AB211&gt;0,Ruimtestaat[[#This Row],[Prest. (m2 /jaar) weekend]]/Ruimtestaat[[#This Row],[Norm (m2/uur) weekend]],0)</f>
        <v>0</v>
      </c>
      <c r="AD211" s="88">
        <f>Ruimtestaat[[#This Row],[uren / jaar weekend]]*Tariefsopbouw!$D$40</f>
        <v>0</v>
      </c>
      <c r="AE211" s="89">
        <f>Ruimtestaat[[#This Row],[Prest. (m2 /jaar) weekend]]+Ruimtestaat[[#This Row],[Prest. (m2 /jaar) werkdagen]]</f>
        <v>5536</v>
      </c>
      <c r="AF211" s="89">
        <f>Ruimtestaat[[#This Row],[uren / jaar weekend]]+Ruimtestaat[[#This Row],[uren / jaar werkdagen]]</f>
        <v>0</v>
      </c>
      <c r="AG211" s="90">
        <f>Ruimtestaat[[#This Row],[kosten / jaar weekend]]+Ruimtestaat[[#This Row],[kosten / jaar werkdagen]]</f>
        <v>0</v>
      </c>
      <c r="AH211" s="91"/>
      <c r="HL211" s="67"/>
    </row>
    <row r="212" spans="1:220" ht="15" customHeight="1">
      <c r="A212" s="53">
        <v>2</v>
      </c>
      <c r="B212" s="53" t="str">
        <f>VLOOKUP(Ruimtestaat[[#This Row],[Code]],Locaties[#All],2,FALSE)</f>
        <v>Open Schoolgemeenschap Bijlmer</v>
      </c>
      <c r="C212" s="53" t="str">
        <f>VLOOKUP(Ruimtestaat[[#This Row],[Code]],Locaties[#All],4,FALSE)</f>
        <v>Gulden Kruis 5</v>
      </c>
      <c r="D212" s="53" t="str">
        <f>VLOOKUP(Ruimtestaat[[#This Row],[Code]],Locaties[#All],5,FALSE)</f>
        <v>1103 BE</v>
      </c>
      <c r="E212" s="53" t="str">
        <f>VLOOKUP(Ruimtestaat[[#This Row],[Code]],Locaties[#All],6,FALSE)</f>
        <v>Amsterdam Zuidoost</v>
      </c>
      <c r="F212" s="78"/>
      <c r="G212" s="53" t="s">
        <v>564</v>
      </c>
      <c r="H212" s="53" t="s">
        <v>581</v>
      </c>
      <c r="I212" s="23" t="s">
        <v>378</v>
      </c>
      <c r="J212" s="53">
        <v>10</v>
      </c>
      <c r="K212" s="78" t="str">
        <f>VLOOKUP(J212,Ruimtegroepen[],2,FALSE)</f>
        <v>Trappenhuizen/lift</v>
      </c>
      <c r="L212" s="53" t="s">
        <v>285</v>
      </c>
      <c r="M212" s="53" t="s">
        <v>580</v>
      </c>
      <c r="N212" s="79">
        <v>33.25</v>
      </c>
      <c r="O212" s="79"/>
      <c r="P212" s="80" t="str">
        <f>LEFT(VLOOKUP(Ruimtestaat[[#This Row],[Ruimte code]],Ruimtegroepen[#All],4,1),2)</f>
        <v xml:space="preserve">V </v>
      </c>
      <c r="Q212" s="80"/>
      <c r="R212" s="81">
        <v>40</v>
      </c>
      <c r="S212" s="81" t="s">
        <v>298</v>
      </c>
      <c r="T212" s="82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2" s="82">
        <f>IF(T212&gt;0,VLOOKUP($J212,Ruimtegroepen[],3,FALSE)*VLOOKUP($L212,Vloersoorten[],3,FALSE)*VLOOKUP($S212,Frequenties[],3,FALSE)*VLOOKUP($A212,Locaties[],3,FALSE),0)</f>
        <v>0</v>
      </c>
      <c r="V212" s="83">
        <f>Ruimtestaat[[#This Row],[Uitvoeringen werkdagen]]*Ruimtestaat[[#This Row],[Oppervlak (netto)]]</f>
        <v>6650</v>
      </c>
      <c r="W212" s="84">
        <f>IF(U212&gt;0,Ruimtestaat[[#This Row],[Prest. (m2 /jaar) werkdagen]]/Ruimtestaat[[#This Row],[Norm (m2/uur) werkdagen]],0)</f>
        <v>0</v>
      </c>
      <c r="X212" s="85">
        <f>Ruimtestaat[[#This Row],[uren / jaar werkdagen]]*Tariefsopbouw!$E$35</f>
        <v>0</v>
      </c>
      <c r="Y212" s="82"/>
      <c r="Z212" s="86">
        <f>IF(Ruimtestaat[[#This Row],[Frequentie weekend]]&gt;0,VALUE(LEFT(Y212,1))*R212,0)</f>
        <v>0</v>
      </c>
      <c r="AA212" s="82">
        <f>IF($Z212&gt;0,VLOOKUP($J212,Ruimtegroepen[],3,FALSE)*VLOOKUP($L212,Vloersoorten[],3,FALSE)*VLOOKUP($Y212,Frequenties[],3,FALSE)*VLOOKUP($A208,Locaties[],3,FALSE),0)</f>
        <v>0</v>
      </c>
      <c r="AB212" s="84">
        <f>Ruimtestaat[[#This Row],[Uitvoeringen weekend]]*Ruimtestaat[[#This Row],[Oppervlak (netto)]]</f>
        <v>0</v>
      </c>
      <c r="AC212" s="87">
        <f>IF(AB212&gt;0,Ruimtestaat[[#This Row],[Prest. (m2 /jaar) weekend]]/Ruimtestaat[[#This Row],[Norm (m2/uur) weekend]],0)</f>
        <v>0</v>
      </c>
      <c r="AD212" s="88">
        <f>Ruimtestaat[[#This Row],[uren / jaar weekend]]*Tariefsopbouw!$D$40</f>
        <v>0</v>
      </c>
      <c r="AE212" s="89">
        <f>Ruimtestaat[[#This Row],[Prest. (m2 /jaar) weekend]]+Ruimtestaat[[#This Row],[Prest. (m2 /jaar) werkdagen]]</f>
        <v>6650</v>
      </c>
      <c r="AF212" s="89">
        <f>Ruimtestaat[[#This Row],[uren / jaar weekend]]+Ruimtestaat[[#This Row],[uren / jaar werkdagen]]</f>
        <v>0</v>
      </c>
      <c r="AG212" s="90">
        <f>Ruimtestaat[[#This Row],[kosten / jaar weekend]]+Ruimtestaat[[#This Row],[kosten / jaar werkdagen]]</f>
        <v>0</v>
      </c>
      <c r="AH212" s="91"/>
      <c r="HL212" s="67"/>
    </row>
    <row r="213" spans="1:220" ht="15" customHeight="1">
      <c r="A213" s="53">
        <v>2</v>
      </c>
      <c r="B213" s="53" t="str">
        <f>VLOOKUP(Ruimtestaat[[#This Row],[Code]],Locaties[#All],2,FALSE)</f>
        <v>Open Schoolgemeenschap Bijlmer</v>
      </c>
      <c r="C213" s="53" t="str">
        <f>VLOOKUP(Ruimtestaat[[#This Row],[Code]],Locaties[#All],4,FALSE)</f>
        <v>Gulden Kruis 5</v>
      </c>
      <c r="D213" s="53" t="str">
        <f>VLOOKUP(Ruimtestaat[[#This Row],[Code]],Locaties[#All],5,FALSE)</f>
        <v>1103 BE</v>
      </c>
      <c r="E213" s="53" t="str">
        <f>VLOOKUP(Ruimtestaat[[#This Row],[Code]],Locaties[#All],6,FALSE)</f>
        <v>Amsterdam Zuidoost</v>
      </c>
      <c r="F213" s="78"/>
      <c r="G213" s="53" t="s">
        <v>564</v>
      </c>
      <c r="H213" s="53" t="s">
        <v>582</v>
      </c>
      <c r="I213" s="23" t="s">
        <v>259</v>
      </c>
      <c r="J213" s="53">
        <v>7</v>
      </c>
      <c r="K213" s="78" t="str">
        <f>VLOOKUP(J213,Ruimtegroepen[],2,FALSE)</f>
        <v>Entree</v>
      </c>
      <c r="L213" s="53" t="s">
        <v>283</v>
      </c>
      <c r="M213" s="53" t="s">
        <v>583</v>
      </c>
      <c r="N213" s="79">
        <v>5.69</v>
      </c>
      <c r="O213" s="79"/>
      <c r="P213" s="80" t="str">
        <f>LEFT(VLOOKUP(Ruimtestaat[[#This Row],[Ruimte code]],Ruimtegroepen[#All],4,1),2)</f>
        <v xml:space="preserve">V </v>
      </c>
      <c r="Q213" s="80"/>
      <c r="R213" s="81">
        <v>40</v>
      </c>
      <c r="S213" s="81" t="s">
        <v>298</v>
      </c>
      <c r="T213" s="82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3" s="82">
        <f>IF(T213&gt;0,VLOOKUP($J213,Ruimtegroepen[],3,FALSE)*VLOOKUP($L213,Vloersoorten[],3,FALSE)*VLOOKUP($S213,Frequenties[],3,FALSE)*VLOOKUP($A213,Locaties[],3,FALSE),0)</f>
        <v>0</v>
      </c>
      <c r="V213" s="83">
        <f>Ruimtestaat[[#This Row],[Uitvoeringen werkdagen]]*Ruimtestaat[[#This Row],[Oppervlak (netto)]]</f>
        <v>1138</v>
      </c>
      <c r="W213" s="84">
        <f>IF(U213&gt;0,Ruimtestaat[[#This Row],[Prest. (m2 /jaar) werkdagen]]/Ruimtestaat[[#This Row],[Norm (m2/uur) werkdagen]],0)</f>
        <v>0</v>
      </c>
      <c r="X213" s="85">
        <f>Ruimtestaat[[#This Row],[uren / jaar werkdagen]]*Tariefsopbouw!$E$35</f>
        <v>0</v>
      </c>
      <c r="Y213" s="82"/>
      <c r="Z213" s="86">
        <f>IF(Ruimtestaat[[#This Row],[Frequentie weekend]]&gt;0,VALUE(LEFT(Y213,1))*R213,0)</f>
        <v>0</v>
      </c>
      <c r="AA213" s="82">
        <f>IF($Z213&gt;0,VLOOKUP($J213,Ruimtegroepen[],3,FALSE)*VLOOKUP($L213,Vloersoorten[],3,FALSE)*VLOOKUP($Y213,Frequenties[],3,FALSE)*VLOOKUP($A209,Locaties[],3,FALSE),0)</f>
        <v>0</v>
      </c>
      <c r="AB213" s="84">
        <f>Ruimtestaat[[#This Row],[Uitvoeringen weekend]]*Ruimtestaat[[#This Row],[Oppervlak (netto)]]</f>
        <v>0</v>
      </c>
      <c r="AC213" s="87">
        <f>IF(AB213&gt;0,Ruimtestaat[[#This Row],[Prest. (m2 /jaar) weekend]]/Ruimtestaat[[#This Row],[Norm (m2/uur) weekend]],0)</f>
        <v>0</v>
      </c>
      <c r="AD213" s="88">
        <f>Ruimtestaat[[#This Row],[uren / jaar weekend]]*Tariefsopbouw!$D$40</f>
        <v>0</v>
      </c>
      <c r="AE213" s="89">
        <f>Ruimtestaat[[#This Row],[Prest. (m2 /jaar) weekend]]+Ruimtestaat[[#This Row],[Prest. (m2 /jaar) werkdagen]]</f>
        <v>1138</v>
      </c>
      <c r="AF213" s="89">
        <f>Ruimtestaat[[#This Row],[uren / jaar weekend]]+Ruimtestaat[[#This Row],[uren / jaar werkdagen]]</f>
        <v>0</v>
      </c>
      <c r="AG213" s="90">
        <f>Ruimtestaat[[#This Row],[kosten / jaar weekend]]+Ruimtestaat[[#This Row],[kosten / jaar werkdagen]]</f>
        <v>0</v>
      </c>
      <c r="AH213" s="91"/>
      <c r="HL213" s="67"/>
    </row>
    <row r="214" spans="1:220" ht="15" customHeight="1">
      <c r="A214" s="53">
        <v>2</v>
      </c>
      <c r="B214" s="53" t="str">
        <f>VLOOKUP(Ruimtestaat[[#This Row],[Code]],Locaties[#All],2,FALSE)</f>
        <v>Open Schoolgemeenschap Bijlmer</v>
      </c>
      <c r="C214" s="53" t="str">
        <f>VLOOKUP(Ruimtestaat[[#This Row],[Code]],Locaties[#All],4,FALSE)</f>
        <v>Gulden Kruis 5</v>
      </c>
      <c r="D214" s="53" t="str">
        <f>VLOOKUP(Ruimtestaat[[#This Row],[Code]],Locaties[#All],5,FALSE)</f>
        <v>1103 BE</v>
      </c>
      <c r="E214" s="53" t="str">
        <f>VLOOKUP(Ruimtestaat[[#This Row],[Code]],Locaties[#All],6,FALSE)</f>
        <v>Amsterdam Zuidoost</v>
      </c>
      <c r="F214" s="78"/>
      <c r="G214" s="53" t="s">
        <v>564</v>
      </c>
      <c r="H214" s="53" t="s">
        <v>584</v>
      </c>
      <c r="I214" s="23" t="s">
        <v>428</v>
      </c>
      <c r="J214" s="53">
        <v>16</v>
      </c>
      <c r="K214" s="78" t="str">
        <f>VLOOKUP(J214,Ruimtegroepen[],2,FALSE)</f>
        <v>Leslokalen theorie</v>
      </c>
      <c r="L214" s="53" t="s">
        <v>285</v>
      </c>
      <c r="M214" s="53" t="s">
        <v>580</v>
      </c>
      <c r="N214" s="92">
        <v>59.24</v>
      </c>
      <c r="O214" s="79"/>
      <c r="P214" s="80" t="str">
        <f>LEFT(VLOOKUP(Ruimtestaat[[#This Row],[Ruimte code]],Ruimtegroepen[#All],4,1),2)</f>
        <v xml:space="preserve">L </v>
      </c>
      <c r="Q214" s="80"/>
      <c r="R214" s="81">
        <v>40</v>
      </c>
      <c r="S214" s="81" t="s">
        <v>298</v>
      </c>
      <c r="T214" s="82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4" s="82">
        <f>IF(T214&gt;0,VLOOKUP($J214,Ruimtegroepen[],3,FALSE)*VLOOKUP($L214,Vloersoorten[],3,FALSE)*VLOOKUP($S214,Frequenties[],3,FALSE)*VLOOKUP($A214,Locaties[],3,FALSE),0)</f>
        <v>0</v>
      </c>
      <c r="V214" s="83">
        <f>Ruimtestaat[[#This Row],[Uitvoeringen werkdagen]]*Ruimtestaat[[#This Row],[Oppervlak (netto)]]</f>
        <v>11848</v>
      </c>
      <c r="W214" s="84">
        <f>IF(U214&gt;0,Ruimtestaat[[#This Row],[Prest. (m2 /jaar) werkdagen]]/Ruimtestaat[[#This Row],[Norm (m2/uur) werkdagen]],0)</f>
        <v>0</v>
      </c>
      <c r="X214" s="85">
        <f>Ruimtestaat[[#This Row],[uren / jaar werkdagen]]*Tariefsopbouw!$E$35</f>
        <v>0</v>
      </c>
      <c r="Y214" s="82"/>
      <c r="Z214" s="86">
        <f>IF(Ruimtestaat[[#This Row],[Frequentie weekend]]&gt;0,VALUE(LEFT(Y214,1))*R214,0)</f>
        <v>0</v>
      </c>
      <c r="AA214" s="82">
        <f>IF($Z214&gt;0,VLOOKUP($J214,Ruimtegroepen[],3,FALSE)*VLOOKUP($L214,Vloersoorten[],3,FALSE)*VLOOKUP($Y214,Frequenties[],3,FALSE)*VLOOKUP($A210,Locaties[],3,FALSE),0)</f>
        <v>0</v>
      </c>
      <c r="AB214" s="84">
        <f>Ruimtestaat[[#This Row],[Uitvoeringen weekend]]*Ruimtestaat[[#This Row],[Oppervlak (netto)]]</f>
        <v>0</v>
      </c>
      <c r="AC214" s="87">
        <f>IF(AB214&gt;0,Ruimtestaat[[#This Row],[Prest. (m2 /jaar) weekend]]/Ruimtestaat[[#This Row],[Norm (m2/uur) weekend]],0)</f>
        <v>0</v>
      </c>
      <c r="AD214" s="88">
        <f>Ruimtestaat[[#This Row],[uren / jaar weekend]]*Tariefsopbouw!$D$40</f>
        <v>0</v>
      </c>
      <c r="AE214" s="89">
        <f>Ruimtestaat[[#This Row],[Prest. (m2 /jaar) weekend]]+Ruimtestaat[[#This Row],[Prest. (m2 /jaar) werkdagen]]</f>
        <v>11848</v>
      </c>
      <c r="AF214" s="89">
        <f>Ruimtestaat[[#This Row],[uren / jaar weekend]]+Ruimtestaat[[#This Row],[uren / jaar werkdagen]]</f>
        <v>0</v>
      </c>
      <c r="AG214" s="90">
        <f>Ruimtestaat[[#This Row],[kosten / jaar weekend]]+Ruimtestaat[[#This Row],[kosten / jaar werkdagen]]</f>
        <v>0</v>
      </c>
      <c r="AH214" s="91"/>
      <c r="HL214" s="67"/>
    </row>
    <row r="215" spans="1:220" ht="15" customHeight="1">
      <c r="A215" s="53">
        <v>2</v>
      </c>
      <c r="B215" s="53" t="str">
        <f>VLOOKUP(Ruimtestaat[[#This Row],[Code]],Locaties[#All],2,FALSE)</f>
        <v>Open Schoolgemeenschap Bijlmer</v>
      </c>
      <c r="C215" s="53" t="str">
        <f>VLOOKUP(Ruimtestaat[[#This Row],[Code]],Locaties[#All],4,FALSE)</f>
        <v>Gulden Kruis 5</v>
      </c>
      <c r="D215" s="53" t="str">
        <f>VLOOKUP(Ruimtestaat[[#This Row],[Code]],Locaties[#All],5,FALSE)</f>
        <v>1103 BE</v>
      </c>
      <c r="E215" s="53" t="str">
        <f>VLOOKUP(Ruimtestaat[[#This Row],[Code]],Locaties[#All],6,FALSE)</f>
        <v>Amsterdam Zuidoost</v>
      </c>
      <c r="F215" s="78"/>
      <c r="G215" s="53" t="s">
        <v>564</v>
      </c>
      <c r="H215" s="53" t="s">
        <v>585</v>
      </c>
      <c r="I215" s="23" t="s">
        <v>428</v>
      </c>
      <c r="J215" s="53">
        <v>16</v>
      </c>
      <c r="K215" s="78" t="str">
        <f>VLOOKUP(J215,Ruimtegroepen[],2,FALSE)</f>
        <v>Leslokalen theorie</v>
      </c>
      <c r="L215" s="53" t="s">
        <v>285</v>
      </c>
      <c r="M215" s="53" t="s">
        <v>580</v>
      </c>
      <c r="N215" s="79">
        <v>60.87</v>
      </c>
      <c r="O215" s="79"/>
      <c r="P215" s="80" t="str">
        <f>LEFT(VLOOKUP(Ruimtestaat[[#This Row],[Ruimte code]],Ruimtegroepen[#All],4,1),2)</f>
        <v xml:space="preserve">L </v>
      </c>
      <c r="Q215" s="80"/>
      <c r="R215" s="81">
        <v>40</v>
      </c>
      <c r="S215" s="81" t="s">
        <v>298</v>
      </c>
      <c r="T215" s="82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5" s="82">
        <f>IF(T215&gt;0,VLOOKUP($J215,Ruimtegroepen[],3,FALSE)*VLOOKUP($L215,Vloersoorten[],3,FALSE)*VLOOKUP($S215,Frequenties[],3,FALSE)*VLOOKUP($A215,Locaties[],3,FALSE),0)</f>
        <v>0</v>
      </c>
      <c r="V215" s="83">
        <f>Ruimtestaat[[#This Row],[Uitvoeringen werkdagen]]*Ruimtestaat[[#This Row],[Oppervlak (netto)]]</f>
        <v>12174</v>
      </c>
      <c r="W215" s="84">
        <f>IF(U215&gt;0,Ruimtestaat[[#This Row],[Prest. (m2 /jaar) werkdagen]]/Ruimtestaat[[#This Row],[Norm (m2/uur) werkdagen]],0)</f>
        <v>0</v>
      </c>
      <c r="X215" s="85">
        <f>Ruimtestaat[[#This Row],[uren / jaar werkdagen]]*Tariefsopbouw!$E$35</f>
        <v>0</v>
      </c>
      <c r="Y215" s="82"/>
      <c r="Z215" s="86">
        <f>IF(Ruimtestaat[[#This Row],[Frequentie weekend]]&gt;0,VALUE(LEFT(Y215,1))*R215,0)</f>
        <v>0</v>
      </c>
      <c r="AA215" s="82">
        <f>IF($Z215&gt;0,VLOOKUP($J215,Ruimtegroepen[],3,FALSE)*VLOOKUP($L215,Vloersoorten[],3,FALSE)*VLOOKUP($Y215,Frequenties[],3,FALSE)*VLOOKUP($A211,Locaties[],3,FALSE),0)</f>
        <v>0</v>
      </c>
      <c r="AB215" s="84">
        <f>Ruimtestaat[[#This Row],[Uitvoeringen weekend]]*Ruimtestaat[[#This Row],[Oppervlak (netto)]]</f>
        <v>0</v>
      </c>
      <c r="AC215" s="87">
        <f>IF(AB215&gt;0,Ruimtestaat[[#This Row],[Prest. (m2 /jaar) weekend]]/Ruimtestaat[[#This Row],[Norm (m2/uur) weekend]],0)</f>
        <v>0</v>
      </c>
      <c r="AD215" s="88">
        <f>Ruimtestaat[[#This Row],[uren / jaar weekend]]*Tariefsopbouw!$D$40</f>
        <v>0</v>
      </c>
      <c r="AE215" s="89">
        <f>Ruimtestaat[[#This Row],[Prest. (m2 /jaar) weekend]]+Ruimtestaat[[#This Row],[Prest. (m2 /jaar) werkdagen]]</f>
        <v>12174</v>
      </c>
      <c r="AF215" s="89">
        <f>Ruimtestaat[[#This Row],[uren / jaar weekend]]+Ruimtestaat[[#This Row],[uren / jaar werkdagen]]</f>
        <v>0</v>
      </c>
      <c r="AG215" s="90">
        <f>Ruimtestaat[[#This Row],[kosten / jaar weekend]]+Ruimtestaat[[#This Row],[kosten / jaar werkdagen]]</f>
        <v>0</v>
      </c>
      <c r="AH215" s="91"/>
      <c r="HL215" s="67"/>
    </row>
    <row r="216" spans="1:220" ht="15" customHeight="1">
      <c r="A216" s="53">
        <v>2</v>
      </c>
      <c r="B216" s="53" t="str">
        <f>VLOOKUP(Ruimtestaat[[#This Row],[Code]],Locaties[#All],2,FALSE)</f>
        <v>Open Schoolgemeenschap Bijlmer</v>
      </c>
      <c r="C216" s="53" t="str">
        <f>VLOOKUP(Ruimtestaat[[#This Row],[Code]],Locaties[#All],4,FALSE)</f>
        <v>Gulden Kruis 5</v>
      </c>
      <c r="D216" s="53" t="str">
        <f>VLOOKUP(Ruimtestaat[[#This Row],[Code]],Locaties[#All],5,FALSE)</f>
        <v>1103 BE</v>
      </c>
      <c r="E216" s="53" t="str">
        <f>VLOOKUP(Ruimtestaat[[#This Row],[Code]],Locaties[#All],6,FALSE)</f>
        <v>Amsterdam Zuidoost</v>
      </c>
      <c r="F216" s="78"/>
      <c r="G216" s="53" t="s">
        <v>564</v>
      </c>
      <c r="H216" s="53" t="s">
        <v>586</v>
      </c>
      <c r="I216" s="23" t="s">
        <v>428</v>
      </c>
      <c r="J216" s="53">
        <v>16</v>
      </c>
      <c r="K216" s="78" t="str">
        <f>VLOOKUP(J216,Ruimtegroepen[],2,FALSE)</f>
        <v>Leslokalen theorie</v>
      </c>
      <c r="L216" s="53" t="s">
        <v>285</v>
      </c>
      <c r="M216" s="53" t="s">
        <v>580</v>
      </c>
      <c r="N216" s="79">
        <v>60.9</v>
      </c>
      <c r="O216" s="79"/>
      <c r="P216" s="80" t="str">
        <f>LEFT(VLOOKUP(Ruimtestaat[[#This Row],[Ruimte code]],Ruimtegroepen[#All],4,1),2)</f>
        <v xml:space="preserve">L </v>
      </c>
      <c r="Q216" s="80"/>
      <c r="R216" s="81">
        <v>40</v>
      </c>
      <c r="S216" s="81" t="s">
        <v>298</v>
      </c>
      <c r="T216" s="82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6" s="82">
        <f>IF(T216&gt;0,VLOOKUP($J216,Ruimtegroepen[],3,FALSE)*VLOOKUP($L216,Vloersoorten[],3,FALSE)*VLOOKUP($S216,Frequenties[],3,FALSE)*VLOOKUP($A216,Locaties[],3,FALSE),0)</f>
        <v>0</v>
      </c>
      <c r="V216" s="83">
        <f>Ruimtestaat[[#This Row],[Uitvoeringen werkdagen]]*Ruimtestaat[[#This Row],[Oppervlak (netto)]]</f>
        <v>12180</v>
      </c>
      <c r="W216" s="84">
        <f>IF(U216&gt;0,Ruimtestaat[[#This Row],[Prest. (m2 /jaar) werkdagen]]/Ruimtestaat[[#This Row],[Norm (m2/uur) werkdagen]],0)</f>
        <v>0</v>
      </c>
      <c r="X216" s="85">
        <f>Ruimtestaat[[#This Row],[uren / jaar werkdagen]]*Tariefsopbouw!$E$35</f>
        <v>0</v>
      </c>
      <c r="Y216" s="82"/>
      <c r="Z216" s="86">
        <f>IF(Ruimtestaat[[#This Row],[Frequentie weekend]]&gt;0,VALUE(LEFT(Y216,1))*R216,0)</f>
        <v>0</v>
      </c>
      <c r="AA216" s="82">
        <f>IF($Z216&gt;0,VLOOKUP($J216,Ruimtegroepen[],3,FALSE)*VLOOKUP($L216,Vloersoorten[],3,FALSE)*VLOOKUP($Y216,Frequenties[],3,FALSE)*VLOOKUP($A212,Locaties[],3,FALSE),0)</f>
        <v>0</v>
      </c>
      <c r="AB216" s="84">
        <f>Ruimtestaat[[#This Row],[Uitvoeringen weekend]]*Ruimtestaat[[#This Row],[Oppervlak (netto)]]</f>
        <v>0</v>
      </c>
      <c r="AC216" s="87">
        <f>IF(AB216&gt;0,Ruimtestaat[[#This Row],[Prest. (m2 /jaar) weekend]]/Ruimtestaat[[#This Row],[Norm (m2/uur) weekend]],0)</f>
        <v>0</v>
      </c>
      <c r="AD216" s="88">
        <f>Ruimtestaat[[#This Row],[uren / jaar weekend]]*Tariefsopbouw!$D$40</f>
        <v>0</v>
      </c>
      <c r="AE216" s="89">
        <f>Ruimtestaat[[#This Row],[Prest. (m2 /jaar) weekend]]+Ruimtestaat[[#This Row],[Prest. (m2 /jaar) werkdagen]]</f>
        <v>12180</v>
      </c>
      <c r="AF216" s="89">
        <f>Ruimtestaat[[#This Row],[uren / jaar weekend]]+Ruimtestaat[[#This Row],[uren / jaar werkdagen]]</f>
        <v>0</v>
      </c>
      <c r="AG216" s="90">
        <f>Ruimtestaat[[#This Row],[kosten / jaar weekend]]+Ruimtestaat[[#This Row],[kosten / jaar werkdagen]]</f>
        <v>0</v>
      </c>
      <c r="AH216" s="91"/>
      <c r="HL216" s="67"/>
    </row>
    <row r="217" spans="1:220" ht="15" customHeight="1">
      <c r="A217" s="53">
        <v>2</v>
      </c>
      <c r="B217" s="53" t="str">
        <f>VLOOKUP(Ruimtestaat[[#This Row],[Code]],Locaties[#All],2,FALSE)</f>
        <v>Open Schoolgemeenschap Bijlmer</v>
      </c>
      <c r="C217" s="53" t="str">
        <f>VLOOKUP(Ruimtestaat[[#This Row],[Code]],Locaties[#All],4,FALSE)</f>
        <v>Gulden Kruis 5</v>
      </c>
      <c r="D217" s="53" t="str">
        <f>VLOOKUP(Ruimtestaat[[#This Row],[Code]],Locaties[#All],5,FALSE)</f>
        <v>1103 BE</v>
      </c>
      <c r="E217" s="53" t="str">
        <f>VLOOKUP(Ruimtestaat[[#This Row],[Code]],Locaties[#All],6,FALSE)</f>
        <v>Amsterdam Zuidoost</v>
      </c>
      <c r="F217" s="78"/>
      <c r="G217" s="53" t="s">
        <v>564</v>
      </c>
      <c r="H217" s="53" t="s">
        <v>587</v>
      </c>
      <c r="I217" s="23" t="s">
        <v>428</v>
      </c>
      <c r="J217" s="53">
        <v>16</v>
      </c>
      <c r="K217" s="78" t="str">
        <f>VLOOKUP(J217,Ruimtegroepen[],2,FALSE)</f>
        <v>Leslokalen theorie</v>
      </c>
      <c r="L217" s="53" t="s">
        <v>285</v>
      </c>
      <c r="M217" s="53" t="s">
        <v>580</v>
      </c>
      <c r="N217" s="79">
        <v>60.9</v>
      </c>
      <c r="O217" s="79"/>
      <c r="P217" s="80" t="str">
        <f>LEFT(VLOOKUP(Ruimtestaat[[#This Row],[Ruimte code]],Ruimtegroepen[#All],4,1),2)</f>
        <v xml:space="preserve">L </v>
      </c>
      <c r="Q217" s="80"/>
      <c r="R217" s="81">
        <v>40</v>
      </c>
      <c r="S217" s="81" t="s">
        <v>298</v>
      </c>
      <c r="T217" s="82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7" s="82">
        <f>IF(T217&gt;0,VLOOKUP($J217,Ruimtegroepen[],3,FALSE)*VLOOKUP($L217,Vloersoorten[],3,FALSE)*VLOOKUP($S217,Frequenties[],3,FALSE)*VLOOKUP($A217,Locaties[],3,FALSE),0)</f>
        <v>0</v>
      </c>
      <c r="V217" s="83">
        <f>Ruimtestaat[[#This Row],[Uitvoeringen werkdagen]]*Ruimtestaat[[#This Row],[Oppervlak (netto)]]</f>
        <v>12180</v>
      </c>
      <c r="W217" s="84">
        <f>IF(U217&gt;0,Ruimtestaat[[#This Row],[Prest. (m2 /jaar) werkdagen]]/Ruimtestaat[[#This Row],[Norm (m2/uur) werkdagen]],0)</f>
        <v>0</v>
      </c>
      <c r="X217" s="85">
        <f>Ruimtestaat[[#This Row],[uren / jaar werkdagen]]*Tariefsopbouw!$E$35</f>
        <v>0</v>
      </c>
      <c r="Y217" s="82"/>
      <c r="Z217" s="86">
        <f>IF(Ruimtestaat[[#This Row],[Frequentie weekend]]&gt;0,VALUE(LEFT(Y217,1))*R217,0)</f>
        <v>0</v>
      </c>
      <c r="AA217" s="82">
        <f>IF($Z217&gt;0,VLOOKUP($J217,Ruimtegroepen[],3,FALSE)*VLOOKUP($L217,Vloersoorten[],3,FALSE)*VLOOKUP($Y217,Frequenties[],3,FALSE)*VLOOKUP($A213,Locaties[],3,FALSE),0)</f>
        <v>0</v>
      </c>
      <c r="AB217" s="84">
        <f>Ruimtestaat[[#This Row],[Uitvoeringen weekend]]*Ruimtestaat[[#This Row],[Oppervlak (netto)]]</f>
        <v>0</v>
      </c>
      <c r="AC217" s="87">
        <f>IF(AB217&gt;0,Ruimtestaat[[#This Row],[Prest. (m2 /jaar) weekend]]/Ruimtestaat[[#This Row],[Norm (m2/uur) weekend]],0)</f>
        <v>0</v>
      </c>
      <c r="AD217" s="88">
        <f>Ruimtestaat[[#This Row],[uren / jaar weekend]]*Tariefsopbouw!$D$40</f>
        <v>0</v>
      </c>
      <c r="AE217" s="89">
        <f>Ruimtestaat[[#This Row],[Prest. (m2 /jaar) weekend]]+Ruimtestaat[[#This Row],[Prest. (m2 /jaar) werkdagen]]</f>
        <v>12180</v>
      </c>
      <c r="AF217" s="89">
        <f>Ruimtestaat[[#This Row],[uren / jaar weekend]]+Ruimtestaat[[#This Row],[uren / jaar werkdagen]]</f>
        <v>0</v>
      </c>
      <c r="AG217" s="90">
        <f>Ruimtestaat[[#This Row],[kosten / jaar weekend]]+Ruimtestaat[[#This Row],[kosten / jaar werkdagen]]</f>
        <v>0</v>
      </c>
      <c r="AH217" s="91"/>
      <c r="HL217" s="67"/>
    </row>
    <row r="218" spans="1:220" ht="15" customHeight="1">
      <c r="A218" s="53">
        <v>2</v>
      </c>
      <c r="B218" s="53" t="str">
        <f>VLOOKUP(Ruimtestaat[[#This Row],[Code]],Locaties[#All],2,FALSE)</f>
        <v>Open Schoolgemeenschap Bijlmer</v>
      </c>
      <c r="C218" s="53" t="str">
        <f>VLOOKUP(Ruimtestaat[[#This Row],[Code]],Locaties[#All],4,FALSE)</f>
        <v>Gulden Kruis 5</v>
      </c>
      <c r="D218" s="53" t="str">
        <f>VLOOKUP(Ruimtestaat[[#This Row],[Code]],Locaties[#All],5,FALSE)</f>
        <v>1103 BE</v>
      </c>
      <c r="E218" s="53" t="str">
        <f>VLOOKUP(Ruimtestaat[[#This Row],[Code]],Locaties[#All],6,FALSE)</f>
        <v>Amsterdam Zuidoost</v>
      </c>
      <c r="F218" s="78"/>
      <c r="G218" s="53" t="s">
        <v>564</v>
      </c>
      <c r="H218" s="53" t="s">
        <v>588</v>
      </c>
      <c r="I218" s="23" t="s">
        <v>428</v>
      </c>
      <c r="J218" s="53">
        <v>16</v>
      </c>
      <c r="K218" s="78" t="str">
        <f>VLOOKUP(J218,Ruimtegroepen[],2,FALSE)</f>
        <v>Leslokalen theorie</v>
      </c>
      <c r="L218" s="53" t="s">
        <v>285</v>
      </c>
      <c r="M218" s="53" t="s">
        <v>580</v>
      </c>
      <c r="N218" s="79">
        <v>61.48</v>
      </c>
      <c r="O218" s="79"/>
      <c r="P218" s="80" t="str">
        <f>LEFT(VLOOKUP(Ruimtestaat[[#This Row],[Ruimte code]],Ruimtegroepen[#All],4,1),2)</f>
        <v xml:space="preserve">L </v>
      </c>
      <c r="Q218" s="80"/>
      <c r="R218" s="81">
        <v>40</v>
      </c>
      <c r="S218" s="81" t="s">
        <v>298</v>
      </c>
      <c r="T218" s="82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8" s="82">
        <f>IF(T218&gt;0,VLOOKUP($J218,Ruimtegroepen[],3,FALSE)*VLOOKUP($L218,Vloersoorten[],3,FALSE)*VLOOKUP($S218,Frequenties[],3,FALSE)*VLOOKUP($A218,Locaties[],3,FALSE),0)</f>
        <v>0</v>
      </c>
      <c r="V218" s="83">
        <f>Ruimtestaat[[#This Row],[Uitvoeringen werkdagen]]*Ruimtestaat[[#This Row],[Oppervlak (netto)]]</f>
        <v>12296</v>
      </c>
      <c r="W218" s="84">
        <f>IF(U218&gt;0,Ruimtestaat[[#This Row],[Prest. (m2 /jaar) werkdagen]]/Ruimtestaat[[#This Row],[Norm (m2/uur) werkdagen]],0)</f>
        <v>0</v>
      </c>
      <c r="X218" s="85">
        <f>Ruimtestaat[[#This Row],[uren / jaar werkdagen]]*Tariefsopbouw!$E$35</f>
        <v>0</v>
      </c>
      <c r="Y218" s="82"/>
      <c r="Z218" s="86">
        <f>IF(Ruimtestaat[[#This Row],[Frequentie weekend]]&gt;0,VALUE(LEFT(Y218,1))*R218,0)</f>
        <v>0</v>
      </c>
      <c r="AA218" s="82">
        <f>IF($Z218&gt;0,VLOOKUP($J218,Ruimtegroepen[],3,FALSE)*VLOOKUP($L218,Vloersoorten[],3,FALSE)*VLOOKUP($Y218,Frequenties[],3,FALSE)*VLOOKUP($A214,Locaties[],3,FALSE),0)</f>
        <v>0</v>
      </c>
      <c r="AB218" s="84">
        <f>Ruimtestaat[[#This Row],[Uitvoeringen weekend]]*Ruimtestaat[[#This Row],[Oppervlak (netto)]]</f>
        <v>0</v>
      </c>
      <c r="AC218" s="87">
        <f>IF(AB218&gt;0,Ruimtestaat[[#This Row],[Prest. (m2 /jaar) weekend]]/Ruimtestaat[[#This Row],[Norm (m2/uur) weekend]],0)</f>
        <v>0</v>
      </c>
      <c r="AD218" s="88">
        <f>Ruimtestaat[[#This Row],[uren / jaar weekend]]*Tariefsopbouw!$D$40</f>
        <v>0</v>
      </c>
      <c r="AE218" s="89">
        <f>Ruimtestaat[[#This Row],[Prest. (m2 /jaar) weekend]]+Ruimtestaat[[#This Row],[Prest. (m2 /jaar) werkdagen]]</f>
        <v>12296</v>
      </c>
      <c r="AF218" s="89">
        <f>Ruimtestaat[[#This Row],[uren / jaar weekend]]+Ruimtestaat[[#This Row],[uren / jaar werkdagen]]</f>
        <v>0</v>
      </c>
      <c r="AG218" s="90">
        <f>Ruimtestaat[[#This Row],[kosten / jaar weekend]]+Ruimtestaat[[#This Row],[kosten / jaar werkdagen]]</f>
        <v>0</v>
      </c>
      <c r="AH218" s="91"/>
      <c r="HL218" s="67"/>
    </row>
    <row r="219" spans="1:220" ht="15" customHeight="1">
      <c r="A219" s="53">
        <v>2</v>
      </c>
      <c r="B219" s="53" t="str">
        <f>VLOOKUP(Ruimtestaat[[#This Row],[Code]],Locaties[#All],2,FALSE)</f>
        <v>Open Schoolgemeenschap Bijlmer</v>
      </c>
      <c r="C219" s="53" t="str">
        <f>VLOOKUP(Ruimtestaat[[#This Row],[Code]],Locaties[#All],4,FALSE)</f>
        <v>Gulden Kruis 5</v>
      </c>
      <c r="D219" s="53" t="str">
        <f>VLOOKUP(Ruimtestaat[[#This Row],[Code]],Locaties[#All],5,FALSE)</f>
        <v>1103 BE</v>
      </c>
      <c r="E219" s="53" t="str">
        <f>VLOOKUP(Ruimtestaat[[#This Row],[Code]],Locaties[#All],6,FALSE)</f>
        <v>Amsterdam Zuidoost</v>
      </c>
      <c r="F219" s="78"/>
      <c r="G219" s="53" t="s">
        <v>564</v>
      </c>
      <c r="H219" s="53" t="s">
        <v>589</v>
      </c>
      <c r="I219" s="23" t="s">
        <v>428</v>
      </c>
      <c r="J219" s="53">
        <v>16</v>
      </c>
      <c r="K219" s="78" t="str">
        <f>VLOOKUP(J219,Ruimtegroepen[],2,FALSE)</f>
        <v>Leslokalen theorie</v>
      </c>
      <c r="L219" s="53" t="s">
        <v>285</v>
      </c>
      <c r="M219" s="53" t="s">
        <v>580</v>
      </c>
      <c r="N219" s="79">
        <v>65.28</v>
      </c>
      <c r="O219" s="79"/>
      <c r="P219" s="80" t="str">
        <f>LEFT(VLOOKUP(Ruimtestaat[[#This Row],[Ruimte code]],Ruimtegroepen[#All],4,1),2)</f>
        <v xml:space="preserve">L </v>
      </c>
      <c r="Q219" s="80"/>
      <c r="R219" s="81">
        <v>40</v>
      </c>
      <c r="S219" s="81" t="s">
        <v>298</v>
      </c>
      <c r="T219" s="82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19" s="82">
        <f>IF(T219&gt;0,VLOOKUP($J219,Ruimtegroepen[],3,FALSE)*VLOOKUP($L219,Vloersoorten[],3,FALSE)*VLOOKUP($S219,Frequenties[],3,FALSE)*VLOOKUP($A219,Locaties[],3,FALSE),0)</f>
        <v>0</v>
      </c>
      <c r="V219" s="83">
        <f>Ruimtestaat[[#This Row],[Uitvoeringen werkdagen]]*Ruimtestaat[[#This Row],[Oppervlak (netto)]]</f>
        <v>13056</v>
      </c>
      <c r="W219" s="84">
        <f>IF(U219&gt;0,Ruimtestaat[[#This Row],[Prest. (m2 /jaar) werkdagen]]/Ruimtestaat[[#This Row],[Norm (m2/uur) werkdagen]],0)</f>
        <v>0</v>
      </c>
      <c r="X219" s="85">
        <f>Ruimtestaat[[#This Row],[uren / jaar werkdagen]]*Tariefsopbouw!$E$35</f>
        <v>0</v>
      </c>
      <c r="Y219" s="82"/>
      <c r="Z219" s="86">
        <f>IF(Ruimtestaat[[#This Row],[Frequentie weekend]]&gt;0,VALUE(LEFT(Y219,1))*R219,0)</f>
        <v>0</v>
      </c>
      <c r="AA219" s="82">
        <f>IF($Z219&gt;0,VLOOKUP($J219,Ruimtegroepen[],3,FALSE)*VLOOKUP($L219,Vloersoorten[],3,FALSE)*VLOOKUP($Y219,Frequenties[],3,FALSE)*VLOOKUP($A215,Locaties[],3,FALSE),0)</f>
        <v>0</v>
      </c>
      <c r="AB219" s="84">
        <f>Ruimtestaat[[#This Row],[Uitvoeringen weekend]]*Ruimtestaat[[#This Row],[Oppervlak (netto)]]</f>
        <v>0</v>
      </c>
      <c r="AC219" s="87">
        <f>IF(AB219&gt;0,Ruimtestaat[[#This Row],[Prest. (m2 /jaar) weekend]]/Ruimtestaat[[#This Row],[Norm (m2/uur) weekend]],0)</f>
        <v>0</v>
      </c>
      <c r="AD219" s="88">
        <f>Ruimtestaat[[#This Row],[uren / jaar weekend]]*Tariefsopbouw!$D$40</f>
        <v>0</v>
      </c>
      <c r="AE219" s="89">
        <f>Ruimtestaat[[#This Row],[Prest. (m2 /jaar) weekend]]+Ruimtestaat[[#This Row],[Prest. (m2 /jaar) werkdagen]]</f>
        <v>13056</v>
      </c>
      <c r="AF219" s="89">
        <f>Ruimtestaat[[#This Row],[uren / jaar weekend]]+Ruimtestaat[[#This Row],[uren / jaar werkdagen]]</f>
        <v>0</v>
      </c>
      <c r="AG219" s="90">
        <f>Ruimtestaat[[#This Row],[kosten / jaar weekend]]+Ruimtestaat[[#This Row],[kosten / jaar werkdagen]]</f>
        <v>0</v>
      </c>
      <c r="AH219" s="91"/>
      <c r="HL219" s="67"/>
    </row>
    <row r="220" spans="1:220" ht="15" customHeight="1">
      <c r="A220" s="53">
        <v>2</v>
      </c>
      <c r="B220" s="53" t="str">
        <f>VLOOKUP(Ruimtestaat[[#This Row],[Code]],Locaties[#All],2,FALSE)</f>
        <v>Open Schoolgemeenschap Bijlmer</v>
      </c>
      <c r="C220" s="53" t="str">
        <f>VLOOKUP(Ruimtestaat[[#This Row],[Code]],Locaties[#All],4,FALSE)</f>
        <v>Gulden Kruis 5</v>
      </c>
      <c r="D220" s="53" t="str">
        <f>VLOOKUP(Ruimtestaat[[#This Row],[Code]],Locaties[#All],5,FALSE)</f>
        <v>1103 BE</v>
      </c>
      <c r="E220" s="53" t="str">
        <f>VLOOKUP(Ruimtestaat[[#This Row],[Code]],Locaties[#All],6,FALSE)</f>
        <v>Amsterdam Zuidoost</v>
      </c>
      <c r="F220" s="78"/>
      <c r="G220" s="53" t="s">
        <v>564</v>
      </c>
      <c r="H220" s="53" t="s">
        <v>590</v>
      </c>
      <c r="I220" s="23" t="s">
        <v>428</v>
      </c>
      <c r="J220" s="53">
        <v>16</v>
      </c>
      <c r="K220" s="78" t="str">
        <f>VLOOKUP(J220,Ruimtegroepen[],2,FALSE)</f>
        <v>Leslokalen theorie</v>
      </c>
      <c r="L220" s="53" t="s">
        <v>285</v>
      </c>
      <c r="M220" s="53" t="s">
        <v>580</v>
      </c>
      <c r="N220" s="79">
        <v>56.47</v>
      </c>
      <c r="O220" s="79"/>
      <c r="P220" s="80" t="str">
        <f>LEFT(VLOOKUP(Ruimtestaat[[#This Row],[Ruimte code]],Ruimtegroepen[#All],4,1),2)</f>
        <v xml:space="preserve">L </v>
      </c>
      <c r="Q220" s="80"/>
      <c r="R220" s="81">
        <v>40</v>
      </c>
      <c r="S220" s="81" t="s">
        <v>298</v>
      </c>
      <c r="T220" s="82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0" s="82">
        <f>IF(T220&gt;0,VLOOKUP($J220,Ruimtegroepen[],3,FALSE)*VLOOKUP($L220,Vloersoorten[],3,FALSE)*VLOOKUP($S220,Frequenties[],3,FALSE)*VLOOKUP($A220,Locaties[],3,FALSE),0)</f>
        <v>0</v>
      </c>
      <c r="V220" s="83">
        <f>Ruimtestaat[[#This Row],[Uitvoeringen werkdagen]]*Ruimtestaat[[#This Row],[Oppervlak (netto)]]</f>
        <v>11294</v>
      </c>
      <c r="W220" s="84">
        <f>IF(U220&gt;0,Ruimtestaat[[#This Row],[Prest. (m2 /jaar) werkdagen]]/Ruimtestaat[[#This Row],[Norm (m2/uur) werkdagen]],0)</f>
        <v>0</v>
      </c>
      <c r="X220" s="85">
        <f>Ruimtestaat[[#This Row],[uren / jaar werkdagen]]*Tariefsopbouw!$E$35</f>
        <v>0</v>
      </c>
      <c r="Y220" s="82"/>
      <c r="Z220" s="86">
        <f>IF(Ruimtestaat[[#This Row],[Frequentie weekend]]&gt;0,VALUE(LEFT(Y220,1))*R220,0)</f>
        <v>0</v>
      </c>
      <c r="AA220" s="82">
        <f>IF($Z220&gt;0,VLOOKUP($J220,Ruimtegroepen[],3,FALSE)*VLOOKUP($L220,Vloersoorten[],3,FALSE)*VLOOKUP($Y220,Frequenties[],3,FALSE)*VLOOKUP($A216,Locaties[],3,FALSE),0)</f>
        <v>0</v>
      </c>
      <c r="AB220" s="84">
        <f>Ruimtestaat[[#This Row],[Uitvoeringen weekend]]*Ruimtestaat[[#This Row],[Oppervlak (netto)]]</f>
        <v>0</v>
      </c>
      <c r="AC220" s="87">
        <f>IF(AB220&gt;0,Ruimtestaat[[#This Row],[Prest. (m2 /jaar) weekend]]/Ruimtestaat[[#This Row],[Norm (m2/uur) weekend]],0)</f>
        <v>0</v>
      </c>
      <c r="AD220" s="88">
        <f>Ruimtestaat[[#This Row],[uren / jaar weekend]]*Tariefsopbouw!$D$40</f>
        <v>0</v>
      </c>
      <c r="AE220" s="89">
        <f>Ruimtestaat[[#This Row],[Prest. (m2 /jaar) weekend]]+Ruimtestaat[[#This Row],[Prest. (m2 /jaar) werkdagen]]</f>
        <v>11294</v>
      </c>
      <c r="AF220" s="89">
        <f>Ruimtestaat[[#This Row],[uren / jaar weekend]]+Ruimtestaat[[#This Row],[uren / jaar werkdagen]]</f>
        <v>0</v>
      </c>
      <c r="AG220" s="90">
        <f>Ruimtestaat[[#This Row],[kosten / jaar weekend]]+Ruimtestaat[[#This Row],[kosten / jaar werkdagen]]</f>
        <v>0</v>
      </c>
      <c r="AH220" s="91"/>
      <c r="HL220" s="67"/>
    </row>
    <row r="221" spans="1:220" ht="15" customHeight="1">
      <c r="A221" s="53">
        <v>2</v>
      </c>
      <c r="B221" s="53" t="str">
        <f>VLOOKUP(Ruimtestaat[[#This Row],[Code]],Locaties[#All],2,FALSE)</f>
        <v>Open Schoolgemeenschap Bijlmer</v>
      </c>
      <c r="C221" s="53" t="str">
        <f>VLOOKUP(Ruimtestaat[[#This Row],[Code]],Locaties[#All],4,FALSE)</f>
        <v>Gulden Kruis 5</v>
      </c>
      <c r="D221" s="53" t="str">
        <f>VLOOKUP(Ruimtestaat[[#This Row],[Code]],Locaties[#All],5,FALSE)</f>
        <v>1103 BE</v>
      </c>
      <c r="E221" s="53" t="str">
        <f>VLOOKUP(Ruimtestaat[[#This Row],[Code]],Locaties[#All],6,FALSE)</f>
        <v>Amsterdam Zuidoost</v>
      </c>
      <c r="F221" s="78"/>
      <c r="G221" s="53" t="s">
        <v>564</v>
      </c>
      <c r="H221" s="53" t="s">
        <v>591</v>
      </c>
      <c r="I221" s="23" t="s">
        <v>428</v>
      </c>
      <c r="J221" s="53">
        <v>16</v>
      </c>
      <c r="K221" s="78" t="str">
        <f>VLOOKUP(J221,Ruimtegroepen[],2,FALSE)</f>
        <v>Leslokalen theorie</v>
      </c>
      <c r="L221" s="53" t="s">
        <v>285</v>
      </c>
      <c r="M221" s="53" t="s">
        <v>580</v>
      </c>
      <c r="N221" s="79">
        <v>59.24</v>
      </c>
      <c r="O221" s="79"/>
      <c r="P221" s="80" t="str">
        <f>LEFT(VLOOKUP(Ruimtestaat[[#This Row],[Ruimte code]],Ruimtegroepen[#All],4,1),2)</f>
        <v xml:space="preserve">L </v>
      </c>
      <c r="Q221" s="80"/>
      <c r="R221" s="81">
        <v>40</v>
      </c>
      <c r="S221" s="81" t="s">
        <v>298</v>
      </c>
      <c r="T221" s="82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1" s="82">
        <f>IF(T221&gt;0,VLOOKUP($J221,Ruimtegroepen[],3,FALSE)*VLOOKUP($L221,Vloersoorten[],3,FALSE)*VLOOKUP($S221,Frequenties[],3,FALSE)*VLOOKUP($A221,Locaties[],3,FALSE),0)</f>
        <v>0</v>
      </c>
      <c r="V221" s="83">
        <f>Ruimtestaat[[#This Row],[Uitvoeringen werkdagen]]*Ruimtestaat[[#This Row],[Oppervlak (netto)]]</f>
        <v>11848</v>
      </c>
      <c r="W221" s="84">
        <f>IF(U221&gt;0,Ruimtestaat[[#This Row],[Prest. (m2 /jaar) werkdagen]]/Ruimtestaat[[#This Row],[Norm (m2/uur) werkdagen]],0)</f>
        <v>0</v>
      </c>
      <c r="X221" s="85">
        <f>Ruimtestaat[[#This Row],[uren / jaar werkdagen]]*Tariefsopbouw!$E$35</f>
        <v>0</v>
      </c>
      <c r="Y221" s="82"/>
      <c r="Z221" s="86">
        <f>IF(Ruimtestaat[[#This Row],[Frequentie weekend]]&gt;0,VALUE(LEFT(Y221,1))*R221,0)</f>
        <v>0</v>
      </c>
      <c r="AA221" s="82">
        <f>IF($Z221&gt;0,VLOOKUP($J221,Ruimtegroepen[],3,FALSE)*VLOOKUP($L221,Vloersoorten[],3,FALSE)*VLOOKUP($Y221,Frequenties[],3,FALSE)*VLOOKUP($A217,Locaties[],3,FALSE),0)</f>
        <v>0</v>
      </c>
      <c r="AB221" s="84">
        <f>Ruimtestaat[[#This Row],[Uitvoeringen weekend]]*Ruimtestaat[[#This Row],[Oppervlak (netto)]]</f>
        <v>0</v>
      </c>
      <c r="AC221" s="87">
        <f>IF(AB221&gt;0,Ruimtestaat[[#This Row],[Prest. (m2 /jaar) weekend]]/Ruimtestaat[[#This Row],[Norm (m2/uur) weekend]],0)</f>
        <v>0</v>
      </c>
      <c r="AD221" s="88">
        <f>Ruimtestaat[[#This Row],[uren / jaar weekend]]*Tariefsopbouw!$D$40</f>
        <v>0</v>
      </c>
      <c r="AE221" s="89">
        <f>Ruimtestaat[[#This Row],[Prest. (m2 /jaar) weekend]]+Ruimtestaat[[#This Row],[Prest. (m2 /jaar) werkdagen]]</f>
        <v>11848</v>
      </c>
      <c r="AF221" s="89">
        <f>Ruimtestaat[[#This Row],[uren / jaar weekend]]+Ruimtestaat[[#This Row],[uren / jaar werkdagen]]</f>
        <v>0</v>
      </c>
      <c r="AG221" s="90">
        <f>Ruimtestaat[[#This Row],[kosten / jaar weekend]]+Ruimtestaat[[#This Row],[kosten / jaar werkdagen]]</f>
        <v>0</v>
      </c>
      <c r="AH221" s="91"/>
      <c r="HL221" s="67"/>
    </row>
    <row r="222" spans="1:220" ht="15" customHeight="1">
      <c r="A222" s="53">
        <v>2</v>
      </c>
      <c r="B222" s="53" t="str">
        <f>VLOOKUP(Ruimtestaat[[#This Row],[Code]],Locaties[#All],2,FALSE)</f>
        <v>Open Schoolgemeenschap Bijlmer</v>
      </c>
      <c r="C222" s="53" t="str">
        <f>VLOOKUP(Ruimtestaat[[#This Row],[Code]],Locaties[#All],4,FALSE)</f>
        <v>Gulden Kruis 5</v>
      </c>
      <c r="D222" s="53" t="str">
        <f>VLOOKUP(Ruimtestaat[[#This Row],[Code]],Locaties[#All],5,FALSE)</f>
        <v>1103 BE</v>
      </c>
      <c r="E222" s="53" t="str">
        <f>VLOOKUP(Ruimtestaat[[#This Row],[Code]],Locaties[#All],6,FALSE)</f>
        <v>Amsterdam Zuidoost</v>
      </c>
      <c r="F222" s="78"/>
      <c r="G222" s="53" t="s">
        <v>564</v>
      </c>
      <c r="H222" s="53" t="s">
        <v>592</v>
      </c>
      <c r="I222" s="23" t="s">
        <v>456</v>
      </c>
      <c r="J222" s="53">
        <v>6</v>
      </c>
      <c r="K222" s="78" t="str">
        <f>VLOOKUP(J222,Ruimtegroepen[],2,FALSE)</f>
        <v>Gangen/hallen</v>
      </c>
      <c r="L222" s="53" t="s">
        <v>285</v>
      </c>
      <c r="M222" s="53" t="s">
        <v>580</v>
      </c>
      <c r="N222" s="79">
        <v>172.04</v>
      </c>
      <c r="O222" s="79"/>
      <c r="P222" s="80" t="str">
        <f>LEFT(VLOOKUP(Ruimtestaat[[#This Row],[Ruimte code]],Ruimtegroepen[#All],4,1),2)</f>
        <v xml:space="preserve">V </v>
      </c>
      <c r="Q222" s="80"/>
      <c r="R222" s="81">
        <v>40</v>
      </c>
      <c r="S222" s="81" t="s">
        <v>298</v>
      </c>
      <c r="T222" s="82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2" s="82">
        <f>IF(T222&gt;0,VLOOKUP($J222,Ruimtegroepen[],3,FALSE)*VLOOKUP($L222,Vloersoorten[],3,FALSE)*VLOOKUP($S222,Frequenties[],3,FALSE)*VLOOKUP($A222,Locaties[],3,FALSE),0)</f>
        <v>0</v>
      </c>
      <c r="V222" s="83">
        <f>Ruimtestaat[[#This Row],[Uitvoeringen werkdagen]]*Ruimtestaat[[#This Row],[Oppervlak (netto)]]</f>
        <v>34408</v>
      </c>
      <c r="W222" s="84">
        <f>IF(U222&gt;0,Ruimtestaat[[#This Row],[Prest. (m2 /jaar) werkdagen]]/Ruimtestaat[[#This Row],[Norm (m2/uur) werkdagen]],0)</f>
        <v>0</v>
      </c>
      <c r="X222" s="85">
        <f>Ruimtestaat[[#This Row],[uren / jaar werkdagen]]*Tariefsopbouw!$E$35</f>
        <v>0</v>
      </c>
      <c r="Y222" s="82"/>
      <c r="Z222" s="86">
        <f>IF(Ruimtestaat[[#This Row],[Frequentie weekend]]&gt;0,VALUE(LEFT(Y222,1))*R222,0)</f>
        <v>0</v>
      </c>
      <c r="AA222" s="82">
        <f>IF($Z222&gt;0,VLOOKUP($J222,Ruimtegroepen[],3,FALSE)*VLOOKUP($L222,Vloersoorten[],3,FALSE)*VLOOKUP($Y222,Frequenties[],3,FALSE)*VLOOKUP($A218,Locaties[],3,FALSE),0)</f>
        <v>0</v>
      </c>
      <c r="AB222" s="84">
        <f>Ruimtestaat[[#This Row],[Uitvoeringen weekend]]*Ruimtestaat[[#This Row],[Oppervlak (netto)]]</f>
        <v>0</v>
      </c>
      <c r="AC222" s="87">
        <f>IF(AB222&gt;0,Ruimtestaat[[#This Row],[Prest. (m2 /jaar) weekend]]/Ruimtestaat[[#This Row],[Norm (m2/uur) weekend]],0)</f>
        <v>0</v>
      </c>
      <c r="AD222" s="88">
        <f>Ruimtestaat[[#This Row],[uren / jaar weekend]]*Tariefsopbouw!$D$40</f>
        <v>0</v>
      </c>
      <c r="AE222" s="89">
        <f>Ruimtestaat[[#This Row],[Prest. (m2 /jaar) weekend]]+Ruimtestaat[[#This Row],[Prest. (m2 /jaar) werkdagen]]</f>
        <v>34408</v>
      </c>
      <c r="AF222" s="89">
        <f>Ruimtestaat[[#This Row],[uren / jaar weekend]]+Ruimtestaat[[#This Row],[uren / jaar werkdagen]]</f>
        <v>0</v>
      </c>
      <c r="AG222" s="90">
        <f>Ruimtestaat[[#This Row],[kosten / jaar weekend]]+Ruimtestaat[[#This Row],[kosten / jaar werkdagen]]</f>
        <v>0</v>
      </c>
      <c r="AH222" s="91"/>
      <c r="HL222" s="67"/>
    </row>
    <row r="223" spans="1:220" ht="15" customHeight="1">
      <c r="A223" s="53">
        <v>2</v>
      </c>
      <c r="B223" s="53" t="str">
        <f>VLOOKUP(Ruimtestaat[[#This Row],[Code]],Locaties[#All],2,FALSE)</f>
        <v>Open Schoolgemeenschap Bijlmer</v>
      </c>
      <c r="C223" s="53" t="str">
        <f>VLOOKUP(Ruimtestaat[[#This Row],[Code]],Locaties[#All],4,FALSE)</f>
        <v>Gulden Kruis 5</v>
      </c>
      <c r="D223" s="53" t="str">
        <f>VLOOKUP(Ruimtestaat[[#This Row],[Code]],Locaties[#All],5,FALSE)</f>
        <v>1103 BE</v>
      </c>
      <c r="E223" s="53" t="str">
        <f>VLOOKUP(Ruimtestaat[[#This Row],[Code]],Locaties[#All],6,FALSE)</f>
        <v>Amsterdam Zuidoost</v>
      </c>
      <c r="F223" s="78"/>
      <c r="G223" s="53" t="s">
        <v>564</v>
      </c>
      <c r="H223" s="53" t="s">
        <v>593</v>
      </c>
      <c r="I223" s="23" t="s">
        <v>594</v>
      </c>
      <c r="J223" s="53">
        <v>5</v>
      </c>
      <c r="K223" s="78" t="str">
        <f>VLOOKUP(J223,Ruimtegroepen[],2,FALSE)</f>
        <v>Sanitair</v>
      </c>
      <c r="L223" s="53" t="s">
        <v>285</v>
      </c>
      <c r="M223" s="53" t="s">
        <v>580</v>
      </c>
      <c r="N223" s="79">
        <v>3.65</v>
      </c>
      <c r="O223" s="79"/>
      <c r="P223" s="80" t="str">
        <f>LEFT(VLOOKUP(Ruimtestaat[[#This Row],[Ruimte code]],Ruimtegroepen[#All],4,1),2)</f>
        <v xml:space="preserve">S </v>
      </c>
      <c r="Q223" s="80"/>
      <c r="R223" s="81">
        <v>40</v>
      </c>
      <c r="S223" s="81" t="s">
        <v>296</v>
      </c>
      <c r="T223" s="82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23" s="82">
        <f>IF(T223&gt;0,VLOOKUP($J223,Ruimtegroepen[],3,FALSE)*VLOOKUP($L223,Vloersoorten[],3,FALSE)*VLOOKUP($S223,Frequenties[],3,FALSE)*VLOOKUP($A223,Locaties[],3,FALSE),0)</f>
        <v>0</v>
      </c>
      <c r="V223" s="83">
        <f>Ruimtestaat[[#This Row],[Uitvoeringen werkdagen]]*Ruimtestaat[[#This Row],[Oppervlak (netto)]]</f>
        <v>1460</v>
      </c>
      <c r="W223" s="84">
        <f>IF(U223&gt;0,Ruimtestaat[[#This Row],[Prest. (m2 /jaar) werkdagen]]/Ruimtestaat[[#This Row],[Norm (m2/uur) werkdagen]],0)</f>
        <v>0</v>
      </c>
      <c r="X223" s="85">
        <f>Ruimtestaat[[#This Row],[uren / jaar werkdagen]]*Tariefsopbouw!$E$35</f>
        <v>0</v>
      </c>
      <c r="Y223" s="82"/>
      <c r="Z223" s="86">
        <f>IF(Ruimtestaat[[#This Row],[Frequentie weekend]]&gt;0,VALUE(LEFT(Y223,1))*R223,0)</f>
        <v>0</v>
      </c>
      <c r="AA223" s="82">
        <f>IF($Z223&gt;0,VLOOKUP($J223,Ruimtegroepen[],3,FALSE)*VLOOKUP($L223,Vloersoorten[],3,FALSE)*VLOOKUP($Y223,Frequenties[],3,FALSE)*VLOOKUP($A219,Locaties[],3,FALSE),0)</f>
        <v>0</v>
      </c>
      <c r="AB223" s="84">
        <f>Ruimtestaat[[#This Row],[Uitvoeringen weekend]]*Ruimtestaat[[#This Row],[Oppervlak (netto)]]</f>
        <v>0</v>
      </c>
      <c r="AC223" s="87">
        <f>IF(AB223&gt;0,Ruimtestaat[[#This Row],[Prest. (m2 /jaar) weekend]]/Ruimtestaat[[#This Row],[Norm (m2/uur) weekend]],0)</f>
        <v>0</v>
      </c>
      <c r="AD223" s="88">
        <f>Ruimtestaat[[#This Row],[uren / jaar weekend]]*Tariefsopbouw!$D$40</f>
        <v>0</v>
      </c>
      <c r="AE223" s="89">
        <f>Ruimtestaat[[#This Row],[Prest. (m2 /jaar) weekend]]+Ruimtestaat[[#This Row],[Prest. (m2 /jaar) werkdagen]]</f>
        <v>1460</v>
      </c>
      <c r="AF223" s="89">
        <f>Ruimtestaat[[#This Row],[uren / jaar weekend]]+Ruimtestaat[[#This Row],[uren / jaar werkdagen]]</f>
        <v>0</v>
      </c>
      <c r="AG223" s="90">
        <f>Ruimtestaat[[#This Row],[kosten / jaar weekend]]+Ruimtestaat[[#This Row],[kosten / jaar werkdagen]]</f>
        <v>0</v>
      </c>
      <c r="AH223" s="91"/>
      <c r="HL223" s="67"/>
    </row>
    <row r="224" spans="1:220" ht="15" customHeight="1">
      <c r="A224" s="53">
        <v>2</v>
      </c>
      <c r="B224" s="53" t="str">
        <f>VLOOKUP(Ruimtestaat[[#This Row],[Code]],Locaties[#All],2,FALSE)</f>
        <v>Open Schoolgemeenschap Bijlmer</v>
      </c>
      <c r="C224" s="53" t="str">
        <f>VLOOKUP(Ruimtestaat[[#This Row],[Code]],Locaties[#All],4,FALSE)</f>
        <v>Gulden Kruis 5</v>
      </c>
      <c r="D224" s="53" t="str">
        <f>VLOOKUP(Ruimtestaat[[#This Row],[Code]],Locaties[#All],5,FALSE)</f>
        <v>1103 BE</v>
      </c>
      <c r="E224" s="53" t="str">
        <f>VLOOKUP(Ruimtestaat[[#This Row],[Code]],Locaties[#All],6,FALSE)</f>
        <v>Amsterdam Zuidoost</v>
      </c>
      <c r="F224" s="78"/>
      <c r="G224" s="53" t="s">
        <v>564</v>
      </c>
      <c r="H224" s="53" t="s">
        <v>595</v>
      </c>
      <c r="I224" s="23" t="s">
        <v>579</v>
      </c>
      <c r="J224" s="53">
        <v>5</v>
      </c>
      <c r="K224" s="78" t="str">
        <f>VLOOKUP(J224,Ruimtegroepen[],2,FALSE)</f>
        <v>Sanitair</v>
      </c>
      <c r="L224" s="53" t="s">
        <v>285</v>
      </c>
      <c r="M224" s="53" t="s">
        <v>580</v>
      </c>
      <c r="N224" s="79">
        <v>13.84</v>
      </c>
      <c r="O224" s="79"/>
      <c r="P224" s="80" t="str">
        <f>LEFT(VLOOKUP(Ruimtestaat[[#This Row],[Ruimte code]],Ruimtegroepen[#All],4,1),2)</f>
        <v xml:space="preserve">S </v>
      </c>
      <c r="Q224" s="80"/>
      <c r="R224" s="81">
        <v>40</v>
      </c>
      <c r="S224" s="81" t="s">
        <v>296</v>
      </c>
      <c r="T224" s="82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24" s="82">
        <f>IF(T224&gt;0,VLOOKUP($J224,Ruimtegroepen[],3,FALSE)*VLOOKUP($L224,Vloersoorten[],3,FALSE)*VLOOKUP($S224,Frequenties[],3,FALSE)*VLOOKUP($A224,Locaties[],3,FALSE),0)</f>
        <v>0</v>
      </c>
      <c r="V224" s="83">
        <f>Ruimtestaat[[#This Row],[Uitvoeringen werkdagen]]*Ruimtestaat[[#This Row],[Oppervlak (netto)]]</f>
        <v>5536</v>
      </c>
      <c r="W224" s="84">
        <f>IF(U224&gt;0,Ruimtestaat[[#This Row],[Prest. (m2 /jaar) werkdagen]]/Ruimtestaat[[#This Row],[Norm (m2/uur) werkdagen]],0)</f>
        <v>0</v>
      </c>
      <c r="X224" s="85">
        <f>Ruimtestaat[[#This Row],[uren / jaar werkdagen]]*Tariefsopbouw!$E$35</f>
        <v>0</v>
      </c>
      <c r="Y224" s="82"/>
      <c r="Z224" s="86">
        <f>IF(Ruimtestaat[[#This Row],[Frequentie weekend]]&gt;0,VALUE(LEFT(Y224,1))*R224,0)</f>
        <v>0</v>
      </c>
      <c r="AA224" s="82">
        <f>IF($Z224&gt;0,VLOOKUP($J224,Ruimtegroepen[],3,FALSE)*VLOOKUP($L224,Vloersoorten[],3,FALSE)*VLOOKUP($Y224,Frequenties[],3,FALSE)*VLOOKUP($A220,Locaties[],3,FALSE),0)</f>
        <v>0</v>
      </c>
      <c r="AB224" s="84">
        <f>Ruimtestaat[[#This Row],[Uitvoeringen weekend]]*Ruimtestaat[[#This Row],[Oppervlak (netto)]]</f>
        <v>0</v>
      </c>
      <c r="AC224" s="87">
        <f>IF(AB224&gt;0,Ruimtestaat[[#This Row],[Prest. (m2 /jaar) weekend]]/Ruimtestaat[[#This Row],[Norm (m2/uur) weekend]],0)</f>
        <v>0</v>
      </c>
      <c r="AD224" s="88">
        <f>Ruimtestaat[[#This Row],[uren / jaar weekend]]*Tariefsopbouw!$D$40</f>
        <v>0</v>
      </c>
      <c r="AE224" s="89">
        <f>Ruimtestaat[[#This Row],[Prest. (m2 /jaar) weekend]]+Ruimtestaat[[#This Row],[Prest. (m2 /jaar) werkdagen]]</f>
        <v>5536</v>
      </c>
      <c r="AF224" s="89">
        <f>Ruimtestaat[[#This Row],[uren / jaar weekend]]+Ruimtestaat[[#This Row],[uren / jaar werkdagen]]</f>
        <v>0</v>
      </c>
      <c r="AG224" s="90">
        <f>Ruimtestaat[[#This Row],[kosten / jaar weekend]]+Ruimtestaat[[#This Row],[kosten / jaar werkdagen]]</f>
        <v>0</v>
      </c>
      <c r="AH224" s="91"/>
      <c r="HL224" s="67"/>
    </row>
    <row r="225" spans="1:220" ht="15" customHeight="1">
      <c r="A225" s="53">
        <v>2</v>
      </c>
      <c r="B225" s="53" t="str">
        <f>VLOOKUP(Ruimtestaat[[#This Row],[Code]],Locaties[#All],2,FALSE)</f>
        <v>Open Schoolgemeenschap Bijlmer</v>
      </c>
      <c r="C225" s="53" t="str">
        <f>VLOOKUP(Ruimtestaat[[#This Row],[Code]],Locaties[#All],4,FALSE)</f>
        <v>Gulden Kruis 5</v>
      </c>
      <c r="D225" s="53" t="str">
        <f>VLOOKUP(Ruimtestaat[[#This Row],[Code]],Locaties[#All],5,FALSE)</f>
        <v>1103 BE</v>
      </c>
      <c r="E225" s="53" t="str">
        <f>VLOOKUP(Ruimtestaat[[#This Row],[Code]],Locaties[#All],6,FALSE)</f>
        <v>Amsterdam Zuidoost</v>
      </c>
      <c r="F225" s="78"/>
      <c r="G225" s="53" t="s">
        <v>564</v>
      </c>
      <c r="H225" s="53" t="s">
        <v>596</v>
      </c>
      <c r="I225" s="23" t="s">
        <v>378</v>
      </c>
      <c r="J225" s="53">
        <v>10</v>
      </c>
      <c r="K225" s="78" t="str">
        <f>VLOOKUP(J225,Ruimtegroepen[],2,FALSE)</f>
        <v>Trappenhuizen/lift</v>
      </c>
      <c r="L225" s="53" t="s">
        <v>285</v>
      </c>
      <c r="M225" s="53" t="s">
        <v>597</v>
      </c>
      <c r="N225" s="79">
        <v>34.72</v>
      </c>
      <c r="O225" s="79"/>
      <c r="P225" s="80" t="str">
        <f>LEFT(VLOOKUP(Ruimtestaat[[#This Row],[Ruimte code]],Ruimtegroepen[#All],4,1),2)</f>
        <v xml:space="preserve">V </v>
      </c>
      <c r="Q225" s="80"/>
      <c r="R225" s="81">
        <v>40</v>
      </c>
      <c r="S225" s="81" t="s">
        <v>298</v>
      </c>
      <c r="T225" s="82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5" s="82">
        <f>IF(T225&gt;0,VLOOKUP($J225,Ruimtegroepen[],3,FALSE)*VLOOKUP($L225,Vloersoorten[],3,FALSE)*VLOOKUP($S225,Frequenties[],3,FALSE)*VLOOKUP($A225,Locaties[],3,FALSE),0)</f>
        <v>0</v>
      </c>
      <c r="V225" s="83">
        <f>Ruimtestaat[[#This Row],[Uitvoeringen werkdagen]]*Ruimtestaat[[#This Row],[Oppervlak (netto)]]</f>
        <v>6944</v>
      </c>
      <c r="W225" s="84">
        <f>IF(U225&gt;0,Ruimtestaat[[#This Row],[Prest. (m2 /jaar) werkdagen]]/Ruimtestaat[[#This Row],[Norm (m2/uur) werkdagen]],0)</f>
        <v>0</v>
      </c>
      <c r="X225" s="85">
        <f>Ruimtestaat[[#This Row],[uren / jaar werkdagen]]*Tariefsopbouw!$E$35</f>
        <v>0</v>
      </c>
      <c r="Y225" s="82"/>
      <c r="Z225" s="86">
        <f>IF(Ruimtestaat[[#This Row],[Frequentie weekend]]&gt;0,VALUE(LEFT(Y225,1))*R225,0)</f>
        <v>0</v>
      </c>
      <c r="AA225" s="82">
        <f>IF($Z225&gt;0,VLOOKUP($J225,Ruimtegroepen[],3,FALSE)*VLOOKUP($L225,Vloersoorten[],3,FALSE)*VLOOKUP($Y225,Frequenties[],3,FALSE)*VLOOKUP($A221,Locaties[],3,FALSE),0)</f>
        <v>0</v>
      </c>
      <c r="AB225" s="84">
        <f>Ruimtestaat[[#This Row],[Uitvoeringen weekend]]*Ruimtestaat[[#This Row],[Oppervlak (netto)]]</f>
        <v>0</v>
      </c>
      <c r="AC225" s="87">
        <f>IF(AB225&gt;0,Ruimtestaat[[#This Row],[Prest. (m2 /jaar) weekend]]/Ruimtestaat[[#This Row],[Norm (m2/uur) weekend]],0)</f>
        <v>0</v>
      </c>
      <c r="AD225" s="88">
        <f>Ruimtestaat[[#This Row],[uren / jaar weekend]]*Tariefsopbouw!$D$40</f>
        <v>0</v>
      </c>
      <c r="AE225" s="89">
        <f>Ruimtestaat[[#This Row],[Prest. (m2 /jaar) weekend]]+Ruimtestaat[[#This Row],[Prest. (m2 /jaar) werkdagen]]</f>
        <v>6944</v>
      </c>
      <c r="AF225" s="89">
        <f>Ruimtestaat[[#This Row],[uren / jaar weekend]]+Ruimtestaat[[#This Row],[uren / jaar werkdagen]]</f>
        <v>0</v>
      </c>
      <c r="AG225" s="90">
        <f>Ruimtestaat[[#This Row],[kosten / jaar weekend]]+Ruimtestaat[[#This Row],[kosten / jaar werkdagen]]</f>
        <v>0</v>
      </c>
      <c r="AH225" s="91"/>
      <c r="HL225" s="67"/>
    </row>
    <row r="226" spans="1:220" ht="15" customHeight="1">
      <c r="A226" s="53">
        <v>2</v>
      </c>
      <c r="B226" s="53" t="str">
        <f>VLOOKUP(Ruimtestaat[[#This Row],[Code]],Locaties[#All],2,FALSE)</f>
        <v>Open Schoolgemeenschap Bijlmer</v>
      </c>
      <c r="C226" s="53" t="str">
        <f>VLOOKUP(Ruimtestaat[[#This Row],[Code]],Locaties[#All],4,FALSE)</f>
        <v>Gulden Kruis 5</v>
      </c>
      <c r="D226" s="53" t="str">
        <f>VLOOKUP(Ruimtestaat[[#This Row],[Code]],Locaties[#All],5,FALSE)</f>
        <v>1103 BE</v>
      </c>
      <c r="E226" s="53" t="str">
        <f>VLOOKUP(Ruimtestaat[[#This Row],[Code]],Locaties[#All],6,FALSE)</f>
        <v>Amsterdam Zuidoost</v>
      </c>
      <c r="F226" s="78"/>
      <c r="G226" s="53" t="s">
        <v>564</v>
      </c>
      <c r="H226" s="53" t="s">
        <v>598</v>
      </c>
      <c r="I226" s="23" t="s">
        <v>81</v>
      </c>
      <c r="J226" s="53">
        <v>10</v>
      </c>
      <c r="K226" s="78" t="str">
        <f>VLOOKUP(J226,Ruimtegroepen[],2,FALSE)</f>
        <v>Trappenhuizen/lift</v>
      </c>
      <c r="L226" s="53" t="s">
        <v>280</v>
      </c>
      <c r="M226" s="53" t="s">
        <v>566</v>
      </c>
      <c r="N226" s="79">
        <v>3.69</v>
      </c>
      <c r="O226" s="79"/>
      <c r="P226" s="80" t="str">
        <f>LEFT(VLOOKUP(Ruimtestaat[[#This Row],[Ruimte code]],Ruimtegroepen[#All],4,1),2)</f>
        <v xml:space="preserve">V </v>
      </c>
      <c r="Q226" s="80"/>
      <c r="R226" s="81">
        <v>40</v>
      </c>
      <c r="S226" s="81" t="s">
        <v>298</v>
      </c>
      <c r="T226" s="82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6" s="82">
        <f>IF(T226&gt;0,VLOOKUP($J226,Ruimtegroepen[],3,FALSE)*VLOOKUP($L226,Vloersoorten[],3,FALSE)*VLOOKUP($S226,Frequenties[],3,FALSE)*VLOOKUP($A226,Locaties[],3,FALSE),0)</f>
        <v>0</v>
      </c>
      <c r="V226" s="83">
        <f>Ruimtestaat[[#This Row],[Uitvoeringen werkdagen]]*Ruimtestaat[[#This Row],[Oppervlak (netto)]]</f>
        <v>738</v>
      </c>
      <c r="W226" s="84">
        <f>IF(U226&gt;0,Ruimtestaat[[#This Row],[Prest. (m2 /jaar) werkdagen]]/Ruimtestaat[[#This Row],[Norm (m2/uur) werkdagen]],0)</f>
        <v>0</v>
      </c>
      <c r="X226" s="85">
        <f>Ruimtestaat[[#This Row],[uren / jaar werkdagen]]*Tariefsopbouw!$E$35</f>
        <v>0</v>
      </c>
      <c r="Y226" s="82"/>
      <c r="Z226" s="86">
        <f>IF(Ruimtestaat[[#This Row],[Frequentie weekend]]&gt;0,VALUE(LEFT(Y226,1))*R226,0)</f>
        <v>0</v>
      </c>
      <c r="AA226" s="82">
        <f>IF($Z226&gt;0,VLOOKUP($J226,Ruimtegroepen[],3,FALSE)*VLOOKUP($L226,Vloersoorten[],3,FALSE)*VLOOKUP($Y226,Frequenties[],3,FALSE)*VLOOKUP($A222,Locaties[],3,FALSE),0)</f>
        <v>0</v>
      </c>
      <c r="AB226" s="84">
        <f>Ruimtestaat[[#This Row],[Uitvoeringen weekend]]*Ruimtestaat[[#This Row],[Oppervlak (netto)]]</f>
        <v>0</v>
      </c>
      <c r="AC226" s="87">
        <f>IF(AB226&gt;0,Ruimtestaat[[#This Row],[Prest. (m2 /jaar) weekend]]/Ruimtestaat[[#This Row],[Norm (m2/uur) weekend]],0)</f>
        <v>0</v>
      </c>
      <c r="AD226" s="88">
        <f>Ruimtestaat[[#This Row],[uren / jaar weekend]]*Tariefsopbouw!$D$40</f>
        <v>0</v>
      </c>
      <c r="AE226" s="89">
        <f>Ruimtestaat[[#This Row],[Prest. (m2 /jaar) weekend]]+Ruimtestaat[[#This Row],[Prest. (m2 /jaar) werkdagen]]</f>
        <v>738</v>
      </c>
      <c r="AF226" s="89">
        <f>Ruimtestaat[[#This Row],[uren / jaar weekend]]+Ruimtestaat[[#This Row],[uren / jaar werkdagen]]</f>
        <v>0</v>
      </c>
      <c r="AG226" s="90">
        <f>Ruimtestaat[[#This Row],[kosten / jaar weekend]]+Ruimtestaat[[#This Row],[kosten / jaar werkdagen]]</f>
        <v>0</v>
      </c>
      <c r="AH226" s="91"/>
      <c r="HL226" s="67"/>
    </row>
    <row r="227" spans="1:220" ht="15" customHeight="1">
      <c r="A227" s="53">
        <v>2</v>
      </c>
      <c r="B227" s="53" t="str">
        <f>VLOOKUP(Ruimtestaat[[#This Row],[Code]],Locaties[#All],2,FALSE)</f>
        <v>Open Schoolgemeenschap Bijlmer</v>
      </c>
      <c r="C227" s="53" t="str">
        <f>VLOOKUP(Ruimtestaat[[#This Row],[Code]],Locaties[#All],4,FALSE)</f>
        <v>Gulden Kruis 5</v>
      </c>
      <c r="D227" s="53" t="str">
        <f>VLOOKUP(Ruimtestaat[[#This Row],[Code]],Locaties[#All],5,FALSE)</f>
        <v>1103 BE</v>
      </c>
      <c r="E227" s="53" t="str">
        <f>VLOOKUP(Ruimtestaat[[#This Row],[Code]],Locaties[#All],6,FALSE)</f>
        <v>Amsterdam Zuidoost</v>
      </c>
      <c r="F227" s="78"/>
      <c r="G227" s="53" t="s">
        <v>564</v>
      </c>
      <c r="H227" s="53" t="s">
        <v>599</v>
      </c>
      <c r="I227" s="23" t="s">
        <v>359</v>
      </c>
      <c r="J227" s="53">
        <v>2</v>
      </c>
      <c r="K227" s="78" t="str">
        <f>VLOOKUP(J227,Ruimtegroepen[],2,FALSE)</f>
        <v>Kantoren</v>
      </c>
      <c r="L227" s="53" t="s">
        <v>283</v>
      </c>
      <c r="M227" s="53" t="s">
        <v>576</v>
      </c>
      <c r="N227" s="79">
        <v>20.3</v>
      </c>
      <c r="O227" s="79"/>
      <c r="P227" s="80" t="str">
        <f>LEFT(VLOOKUP(Ruimtestaat[[#This Row],[Ruimte code]],Ruimtegroepen[#All],4,1),2)</f>
        <v xml:space="preserve">B </v>
      </c>
      <c r="Q227" s="80"/>
      <c r="R227" s="81">
        <v>40</v>
      </c>
      <c r="S227" s="81" t="s">
        <v>298</v>
      </c>
      <c r="T227" s="82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7" s="82">
        <f>IF(T227&gt;0,VLOOKUP($J227,Ruimtegroepen[],3,FALSE)*VLOOKUP($L227,Vloersoorten[],3,FALSE)*VLOOKUP($S227,Frequenties[],3,FALSE)*VLOOKUP($A227,Locaties[],3,FALSE),0)</f>
        <v>0</v>
      </c>
      <c r="V227" s="83">
        <f>Ruimtestaat[[#This Row],[Uitvoeringen werkdagen]]*Ruimtestaat[[#This Row],[Oppervlak (netto)]]</f>
        <v>4060</v>
      </c>
      <c r="W227" s="84">
        <f>IF(U227&gt;0,Ruimtestaat[[#This Row],[Prest. (m2 /jaar) werkdagen]]/Ruimtestaat[[#This Row],[Norm (m2/uur) werkdagen]],0)</f>
        <v>0</v>
      </c>
      <c r="X227" s="85">
        <f>Ruimtestaat[[#This Row],[uren / jaar werkdagen]]*Tariefsopbouw!$E$35</f>
        <v>0</v>
      </c>
      <c r="Y227" s="82"/>
      <c r="Z227" s="86">
        <f>IF(Ruimtestaat[[#This Row],[Frequentie weekend]]&gt;0,VALUE(LEFT(Y227,1))*R227,0)</f>
        <v>0</v>
      </c>
      <c r="AA227" s="82">
        <f>IF($Z227&gt;0,VLOOKUP($J227,Ruimtegroepen[],3,FALSE)*VLOOKUP($L227,Vloersoorten[],3,FALSE)*VLOOKUP($Y227,Frequenties[],3,FALSE)*VLOOKUP($A223,Locaties[],3,FALSE),0)</f>
        <v>0</v>
      </c>
      <c r="AB227" s="84">
        <f>Ruimtestaat[[#This Row],[Uitvoeringen weekend]]*Ruimtestaat[[#This Row],[Oppervlak (netto)]]</f>
        <v>0</v>
      </c>
      <c r="AC227" s="87">
        <f>IF(AB227&gt;0,Ruimtestaat[[#This Row],[Prest. (m2 /jaar) weekend]]/Ruimtestaat[[#This Row],[Norm (m2/uur) weekend]],0)</f>
        <v>0</v>
      </c>
      <c r="AD227" s="88">
        <f>Ruimtestaat[[#This Row],[uren / jaar weekend]]*Tariefsopbouw!$D$40</f>
        <v>0</v>
      </c>
      <c r="AE227" s="89">
        <f>Ruimtestaat[[#This Row],[Prest. (m2 /jaar) weekend]]+Ruimtestaat[[#This Row],[Prest. (m2 /jaar) werkdagen]]</f>
        <v>4060</v>
      </c>
      <c r="AF227" s="89">
        <f>Ruimtestaat[[#This Row],[uren / jaar weekend]]+Ruimtestaat[[#This Row],[uren / jaar werkdagen]]</f>
        <v>0</v>
      </c>
      <c r="AG227" s="90">
        <f>Ruimtestaat[[#This Row],[kosten / jaar weekend]]+Ruimtestaat[[#This Row],[kosten / jaar werkdagen]]</f>
        <v>0</v>
      </c>
      <c r="AH227" s="91"/>
      <c r="HL227" s="67"/>
    </row>
    <row r="228" spans="1:220" ht="15" customHeight="1">
      <c r="A228" s="53">
        <v>2</v>
      </c>
      <c r="B228" s="53" t="str">
        <f>VLOOKUP(Ruimtestaat[[#This Row],[Code]],Locaties[#All],2,FALSE)</f>
        <v>Open Schoolgemeenschap Bijlmer</v>
      </c>
      <c r="C228" s="53" t="str">
        <f>VLOOKUP(Ruimtestaat[[#This Row],[Code]],Locaties[#All],4,FALSE)</f>
        <v>Gulden Kruis 5</v>
      </c>
      <c r="D228" s="53" t="str">
        <f>VLOOKUP(Ruimtestaat[[#This Row],[Code]],Locaties[#All],5,FALSE)</f>
        <v>1103 BE</v>
      </c>
      <c r="E228" s="53" t="str">
        <f>VLOOKUP(Ruimtestaat[[#This Row],[Code]],Locaties[#All],6,FALSE)</f>
        <v>Amsterdam Zuidoost</v>
      </c>
      <c r="F228" s="78"/>
      <c r="G228" s="53" t="s">
        <v>564</v>
      </c>
      <c r="H228" s="53" t="s">
        <v>600</v>
      </c>
      <c r="I228" s="23" t="s">
        <v>456</v>
      </c>
      <c r="J228" s="53">
        <v>6</v>
      </c>
      <c r="K228" s="78" t="str">
        <f>VLOOKUP(J228,Ruimtegroepen[],2,FALSE)</f>
        <v>Gangen/hallen</v>
      </c>
      <c r="L228" s="53" t="s">
        <v>285</v>
      </c>
      <c r="M228" s="53" t="s">
        <v>580</v>
      </c>
      <c r="N228" s="79">
        <v>168.28</v>
      </c>
      <c r="O228" s="79"/>
      <c r="P228" s="80" t="str">
        <f>LEFT(VLOOKUP(Ruimtestaat[[#This Row],[Ruimte code]],Ruimtegroepen[#All],4,1),2)</f>
        <v xml:space="preserve">V </v>
      </c>
      <c r="Q228" s="80"/>
      <c r="R228" s="81">
        <v>40</v>
      </c>
      <c r="S228" s="81" t="s">
        <v>298</v>
      </c>
      <c r="T228" s="82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8" s="82">
        <f>IF(T228&gt;0,VLOOKUP($J228,Ruimtegroepen[],3,FALSE)*VLOOKUP($L228,Vloersoorten[],3,FALSE)*VLOOKUP($S228,Frequenties[],3,FALSE)*VLOOKUP($A228,Locaties[],3,FALSE),0)</f>
        <v>0</v>
      </c>
      <c r="V228" s="83">
        <f>Ruimtestaat[[#This Row],[Uitvoeringen werkdagen]]*Ruimtestaat[[#This Row],[Oppervlak (netto)]]</f>
        <v>33656</v>
      </c>
      <c r="W228" s="84">
        <f>IF(U228&gt;0,Ruimtestaat[[#This Row],[Prest. (m2 /jaar) werkdagen]]/Ruimtestaat[[#This Row],[Norm (m2/uur) werkdagen]],0)</f>
        <v>0</v>
      </c>
      <c r="X228" s="85">
        <f>Ruimtestaat[[#This Row],[uren / jaar werkdagen]]*Tariefsopbouw!$E$35</f>
        <v>0</v>
      </c>
      <c r="Y228" s="82"/>
      <c r="Z228" s="86">
        <f>IF(Ruimtestaat[[#This Row],[Frequentie weekend]]&gt;0,VALUE(LEFT(Y228,1))*R228,0)</f>
        <v>0</v>
      </c>
      <c r="AA228" s="82">
        <f>IF($Z228&gt;0,VLOOKUP($J228,Ruimtegroepen[],3,FALSE)*VLOOKUP($L228,Vloersoorten[],3,FALSE)*VLOOKUP($Y228,Frequenties[],3,FALSE)*VLOOKUP($A224,Locaties[],3,FALSE),0)</f>
        <v>0</v>
      </c>
      <c r="AB228" s="84">
        <f>Ruimtestaat[[#This Row],[Uitvoeringen weekend]]*Ruimtestaat[[#This Row],[Oppervlak (netto)]]</f>
        <v>0</v>
      </c>
      <c r="AC228" s="87">
        <f>IF(AB228&gt;0,Ruimtestaat[[#This Row],[Prest. (m2 /jaar) weekend]]/Ruimtestaat[[#This Row],[Norm (m2/uur) weekend]],0)</f>
        <v>0</v>
      </c>
      <c r="AD228" s="88">
        <f>Ruimtestaat[[#This Row],[uren / jaar weekend]]*Tariefsopbouw!$D$40</f>
        <v>0</v>
      </c>
      <c r="AE228" s="89">
        <f>Ruimtestaat[[#This Row],[Prest. (m2 /jaar) weekend]]+Ruimtestaat[[#This Row],[Prest. (m2 /jaar) werkdagen]]</f>
        <v>33656</v>
      </c>
      <c r="AF228" s="89">
        <f>Ruimtestaat[[#This Row],[uren / jaar weekend]]+Ruimtestaat[[#This Row],[uren / jaar werkdagen]]</f>
        <v>0</v>
      </c>
      <c r="AG228" s="90">
        <f>Ruimtestaat[[#This Row],[kosten / jaar weekend]]+Ruimtestaat[[#This Row],[kosten / jaar werkdagen]]</f>
        <v>0</v>
      </c>
      <c r="AH228" s="91"/>
      <c r="HL228" s="67"/>
    </row>
    <row r="229" spans="1:220" ht="15" customHeight="1">
      <c r="A229" s="53">
        <v>2</v>
      </c>
      <c r="B229" s="53" t="str">
        <f>VLOOKUP(Ruimtestaat[[#This Row],[Code]],Locaties[#All],2,FALSE)</f>
        <v>Open Schoolgemeenschap Bijlmer</v>
      </c>
      <c r="C229" s="53" t="str">
        <f>VLOOKUP(Ruimtestaat[[#This Row],[Code]],Locaties[#All],4,FALSE)</f>
        <v>Gulden Kruis 5</v>
      </c>
      <c r="D229" s="53" t="str">
        <f>VLOOKUP(Ruimtestaat[[#This Row],[Code]],Locaties[#All],5,FALSE)</f>
        <v>1103 BE</v>
      </c>
      <c r="E229" s="53" t="str">
        <f>VLOOKUP(Ruimtestaat[[#This Row],[Code]],Locaties[#All],6,FALSE)</f>
        <v>Amsterdam Zuidoost</v>
      </c>
      <c r="F229" s="78"/>
      <c r="G229" s="53" t="s">
        <v>564</v>
      </c>
      <c r="H229" s="53" t="s">
        <v>601</v>
      </c>
      <c r="I229" s="23" t="s">
        <v>359</v>
      </c>
      <c r="J229" s="53">
        <v>2</v>
      </c>
      <c r="K229" s="78" t="str">
        <f>VLOOKUP(J229,Ruimtegroepen[],2,FALSE)</f>
        <v>Kantoren</v>
      </c>
      <c r="L229" s="53" t="s">
        <v>283</v>
      </c>
      <c r="M229" s="53" t="s">
        <v>136</v>
      </c>
      <c r="N229" s="79">
        <v>10</v>
      </c>
      <c r="O229" s="79"/>
      <c r="P229" s="80" t="str">
        <f>LEFT(VLOOKUP(Ruimtestaat[[#This Row],[Ruimte code]],Ruimtegroepen[#All],4,1),2)</f>
        <v xml:space="preserve">B </v>
      </c>
      <c r="Q229" s="80"/>
      <c r="R229" s="81">
        <v>40</v>
      </c>
      <c r="S229" s="81" t="s">
        <v>298</v>
      </c>
      <c r="T229" s="82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29" s="82">
        <f>IF(T229&gt;0,VLOOKUP($J229,Ruimtegroepen[],3,FALSE)*VLOOKUP($L229,Vloersoorten[],3,FALSE)*VLOOKUP($S229,Frequenties[],3,FALSE)*VLOOKUP($A229,Locaties[],3,FALSE),0)</f>
        <v>0</v>
      </c>
      <c r="V229" s="83">
        <f>Ruimtestaat[[#This Row],[Uitvoeringen werkdagen]]*Ruimtestaat[[#This Row],[Oppervlak (netto)]]</f>
        <v>2000</v>
      </c>
      <c r="W229" s="84">
        <f>IF(U229&gt;0,Ruimtestaat[[#This Row],[Prest. (m2 /jaar) werkdagen]]/Ruimtestaat[[#This Row],[Norm (m2/uur) werkdagen]],0)</f>
        <v>0</v>
      </c>
      <c r="X229" s="85">
        <f>Ruimtestaat[[#This Row],[uren / jaar werkdagen]]*Tariefsopbouw!$E$35</f>
        <v>0</v>
      </c>
      <c r="Y229" s="82"/>
      <c r="Z229" s="86">
        <f>IF(Ruimtestaat[[#This Row],[Frequentie weekend]]&gt;0,VALUE(LEFT(Y229,1))*R229,0)</f>
        <v>0</v>
      </c>
      <c r="AA229" s="82">
        <f>IF($Z229&gt;0,VLOOKUP($J229,Ruimtegroepen[],3,FALSE)*VLOOKUP($L229,Vloersoorten[],3,FALSE)*VLOOKUP($Y229,Frequenties[],3,FALSE)*VLOOKUP($A225,Locaties[],3,FALSE),0)</f>
        <v>0</v>
      </c>
      <c r="AB229" s="84">
        <f>Ruimtestaat[[#This Row],[Uitvoeringen weekend]]*Ruimtestaat[[#This Row],[Oppervlak (netto)]]</f>
        <v>0</v>
      </c>
      <c r="AC229" s="87">
        <f>IF(AB229&gt;0,Ruimtestaat[[#This Row],[Prest. (m2 /jaar) weekend]]/Ruimtestaat[[#This Row],[Norm (m2/uur) weekend]],0)</f>
        <v>0</v>
      </c>
      <c r="AD229" s="88">
        <f>Ruimtestaat[[#This Row],[uren / jaar weekend]]*Tariefsopbouw!$D$40</f>
        <v>0</v>
      </c>
      <c r="AE229" s="89">
        <f>Ruimtestaat[[#This Row],[Prest. (m2 /jaar) weekend]]+Ruimtestaat[[#This Row],[Prest. (m2 /jaar) werkdagen]]</f>
        <v>2000</v>
      </c>
      <c r="AF229" s="89">
        <f>Ruimtestaat[[#This Row],[uren / jaar weekend]]+Ruimtestaat[[#This Row],[uren / jaar werkdagen]]</f>
        <v>0</v>
      </c>
      <c r="AG229" s="90">
        <f>Ruimtestaat[[#This Row],[kosten / jaar weekend]]+Ruimtestaat[[#This Row],[kosten / jaar werkdagen]]</f>
        <v>0</v>
      </c>
      <c r="AH229" s="91"/>
      <c r="HL229" s="67"/>
    </row>
    <row r="230" spans="1:220" ht="15" customHeight="1">
      <c r="A230" s="53">
        <v>2</v>
      </c>
      <c r="B230" s="53" t="str">
        <f>VLOOKUP(Ruimtestaat[[#This Row],[Code]],Locaties[#All],2,FALSE)</f>
        <v>Open Schoolgemeenschap Bijlmer</v>
      </c>
      <c r="C230" s="53" t="str">
        <f>VLOOKUP(Ruimtestaat[[#This Row],[Code]],Locaties[#All],4,FALSE)</f>
        <v>Gulden Kruis 5</v>
      </c>
      <c r="D230" s="53" t="str">
        <f>VLOOKUP(Ruimtestaat[[#This Row],[Code]],Locaties[#All],5,FALSE)</f>
        <v>1103 BE</v>
      </c>
      <c r="E230" s="53" t="str">
        <f>VLOOKUP(Ruimtestaat[[#This Row],[Code]],Locaties[#All],6,FALSE)</f>
        <v>Amsterdam Zuidoost</v>
      </c>
      <c r="F230" s="78"/>
      <c r="G230" s="53" t="s">
        <v>564</v>
      </c>
      <c r="H230" s="53" t="s">
        <v>602</v>
      </c>
      <c r="I230" s="23" t="s">
        <v>359</v>
      </c>
      <c r="J230" s="53">
        <v>2</v>
      </c>
      <c r="K230" s="78" t="str">
        <f>VLOOKUP(J230,Ruimtegroepen[],2,FALSE)</f>
        <v>Kantoren</v>
      </c>
      <c r="L230" s="53" t="s">
        <v>283</v>
      </c>
      <c r="M230" s="53" t="s">
        <v>136</v>
      </c>
      <c r="N230" s="79">
        <v>10</v>
      </c>
      <c r="O230" s="79"/>
      <c r="P230" s="80" t="str">
        <f>LEFT(VLOOKUP(Ruimtestaat[[#This Row],[Ruimte code]],Ruimtegroepen[#All],4,1),2)</f>
        <v xml:space="preserve">B </v>
      </c>
      <c r="Q230" s="80"/>
      <c r="R230" s="81">
        <v>40</v>
      </c>
      <c r="S230" s="81" t="s">
        <v>298</v>
      </c>
      <c r="T230" s="82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0" s="82">
        <f>IF(T230&gt;0,VLOOKUP($J230,Ruimtegroepen[],3,FALSE)*VLOOKUP($L230,Vloersoorten[],3,FALSE)*VLOOKUP($S230,Frequenties[],3,FALSE)*VLOOKUP($A230,Locaties[],3,FALSE),0)</f>
        <v>0</v>
      </c>
      <c r="V230" s="83">
        <f>Ruimtestaat[[#This Row],[Uitvoeringen werkdagen]]*Ruimtestaat[[#This Row],[Oppervlak (netto)]]</f>
        <v>2000</v>
      </c>
      <c r="W230" s="84">
        <f>IF(U230&gt;0,Ruimtestaat[[#This Row],[Prest. (m2 /jaar) werkdagen]]/Ruimtestaat[[#This Row],[Norm (m2/uur) werkdagen]],0)</f>
        <v>0</v>
      </c>
      <c r="X230" s="85">
        <f>Ruimtestaat[[#This Row],[uren / jaar werkdagen]]*Tariefsopbouw!$E$35</f>
        <v>0</v>
      </c>
      <c r="Y230" s="82"/>
      <c r="Z230" s="86">
        <f>IF(Ruimtestaat[[#This Row],[Frequentie weekend]]&gt;0,VALUE(LEFT(Y230,1))*R230,0)</f>
        <v>0</v>
      </c>
      <c r="AA230" s="82">
        <f>IF($Z230&gt;0,VLOOKUP($J230,Ruimtegroepen[],3,FALSE)*VLOOKUP($L230,Vloersoorten[],3,FALSE)*VLOOKUP($Y230,Frequenties[],3,FALSE)*VLOOKUP($A226,Locaties[],3,FALSE),0)</f>
        <v>0</v>
      </c>
      <c r="AB230" s="84">
        <f>Ruimtestaat[[#This Row],[Uitvoeringen weekend]]*Ruimtestaat[[#This Row],[Oppervlak (netto)]]</f>
        <v>0</v>
      </c>
      <c r="AC230" s="87">
        <f>IF(AB230&gt;0,Ruimtestaat[[#This Row],[Prest. (m2 /jaar) weekend]]/Ruimtestaat[[#This Row],[Norm (m2/uur) weekend]],0)</f>
        <v>0</v>
      </c>
      <c r="AD230" s="88">
        <f>Ruimtestaat[[#This Row],[uren / jaar weekend]]*Tariefsopbouw!$D$40</f>
        <v>0</v>
      </c>
      <c r="AE230" s="89">
        <f>Ruimtestaat[[#This Row],[Prest. (m2 /jaar) weekend]]+Ruimtestaat[[#This Row],[Prest. (m2 /jaar) werkdagen]]</f>
        <v>2000</v>
      </c>
      <c r="AF230" s="89">
        <f>Ruimtestaat[[#This Row],[uren / jaar weekend]]+Ruimtestaat[[#This Row],[uren / jaar werkdagen]]</f>
        <v>0</v>
      </c>
      <c r="AG230" s="90">
        <f>Ruimtestaat[[#This Row],[kosten / jaar weekend]]+Ruimtestaat[[#This Row],[kosten / jaar werkdagen]]</f>
        <v>0</v>
      </c>
      <c r="AH230" s="91"/>
      <c r="HL230" s="67"/>
    </row>
    <row r="231" spans="1:220" ht="15" customHeight="1">
      <c r="A231" s="53">
        <v>2</v>
      </c>
      <c r="B231" s="53" t="str">
        <f>VLOOKUP(Ruimtestaat[[#This Row],[Code]],Locaties[#All],2,FALSE)</f>
        <v>Open Schoolgemeenschap Bijlmer</v>
      </c>
      <c r="C231" s="53" t="str">
        <f>VLOOKUP(Ruimtestaat[[#This Row],[Code]],Locaties[#All],4,FALSE)</f>
        <v>Gulden Kruis 5</v>
      </c>
      <c r="D231" s="53" t="str">
        <f>VLOOKUP(Ruimtestaat[[#This Row],[Code]],Locaties[#All],5,FALSE)</f>
        <v>1103 BE</v>
      </c>
      <c r="E231" s="53" t="str">
        <f>VLOOKUP(Ruimtestaat[[#This Row],[Code]],Locaties[#All],6,FALSE)</f>
        <v>Amsterdam Zuidoost</v>
      </c>
      <c r="F231" s="78"/>
      <c r="G231" s="53" t="s">
        <v>564</v>
      </c>
      <c r="H231" s="53" t="s">
        <v>603</v>
      </c>
      <c r="I231" s="23" t="s">
        <v>359</v>
      </c>
      <c r="J231" s="53">
        <v>2</v>
      </c>
      <c r="K231" s="78" t="str">
        <f>VLOOKUP(J231,Ruimtegroepen[],2,FALSE)</f>
        <v>Kantoren</v>
      </c>
      <c r="L231" s="53" t="s">
        <v>283</v>
      </c>
      <c r="M231" s="53" t="s">
        <v>136</v>
      </c>
      <c r="N231" s="79">
        <v>10</v>
      </c>
      <c r="O231" s="79"/>
      <c r="P231" s="80" t="str">
        <f>LEFT(VLOOKUP(Ruimtestaat[[#This Row],[Ruimte code]],Ruimtegroepen[#All],4,1),2)</f>
        <v xml:space="preserve">B </v>
      </c>
      <c r="Q231" s="80"/>
      <c r="R231" s="81">
        <v>40</v>
      </c>
      <c r="S231" s="81" t="s">
        <v>298</v>
      </c>
      <c r="T231" s="82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1" s="82">
        <f>IF(T231&gt;0,VLOOKUP($J231,Ruimtegroepen[],3,FALSE)*VLOOKUP($L231,Vloersoorten[],3,FALSE)*VLOOKUP($S231,Frequenties[],3,FALSE)*VLOOKUP($A231,Locaties[],3,FALSE),0)</f>
        <v>0</v>
      </c>
      <c r="V231" s="83">
        <f>Ruimtestaat[[#This Row],[Uitvoeringen werkdagen]]*Ruimtestaat[[#This Row],[Oppervlak (netto)]]</f>
        <v>2000</v>
      </c>
      <c r="W231" s="84">
        <f>IF(U231&gt;0,Ruimtestaat[[#This Row],[Prest. (m2 /jaar) werkdagen]]/Ruimtestaat[[#This Row],[Norm (m2/uur) werkdagen]],0)</f>
        <v>0</v>
      </c>
      <c r="X231" s="85">
        <f>Ruimtestaat[[#This Row],[uren / jaar werkdagen]]*Tariefsopbouw!$E$35</f>
        <v>0</v>
      </c>
      <c r="Y231" s="82"/>
      <c r="Z231" s="86">
        <f>IF(Ruimtestaat[[#This Row],[Frequentie weekend]]&gt;0,VALUE(LEFT(Y231,1))*R231,0)</f>
        <v>0</v>
      </c>
      <c r="AA231" s="82">
        <f>IF($Z231&gt;0,VLOOKUP($J231,Ruimtegroepen[],3,FALSE)*VLOOKUP($L231,Vloersoorten[],3,FALSE)*VLOOKUP($Y231,Frequenties[],3,FALSE)*VLOOKUP($A227,Locaties[],3,FALSE),0)</f>
        <v>0</v>
      </c>
      <c r="AB231" s="84">
        <f>Ruimtestaat[[#This Row],[Uitvoeringen weekend]]*Ruimtestaat[[#This Row],[Oppervlak (netto)]]</f>
        <v>0</v>
      </c>
      <c r="AC231" s="87">
        <f>IF(AB231&gt;0,Ruimtestaat[[#This Row],[Prest. (m2 /jaar) weekend]]/Ruimtestaat[[#This Row],[Norm (m2/uur) weekend]],0)</f>
        <v>0</v>
      </c>
      <c r="AD231" s="88">
        <f>Ruimtestaat[[#This Row],[uren / jaar weekend]]*Tariefsopbouw!$D$40</f>
        <v>0</v>
      </c>
      <c r="AE231" s="89">
        <f>Ruimtestaat[[#This Row],[Prest. (m2 /jaar) weekend]]+Ruimtestaat[[#This Row],[Prest. (m2 /jaar) werkdagen]]</f>
        <v>2000</v>
      </c>
      <c r="AF231" s="89">
        <f>Ruimtestaat[[#This Row],[uren / jaar weekend]]+Ruimtestaat[[#This Row],[uren / jaar werkdagen]]</f>
        <v>0</v>
      </c>
      <c r="AG231" s="90">
        <f>Ruimtestaat[[#This Row],[kosten / jaar weekend]]+Ruimtestaat[[#This Row],[kosten / jaar werkdagen]]</f>
        <v>0</v>
      </c>
      <c r="AH231" s="91"/>
      <c r="HL231" s="67"/>
    </row>
    <row r="232" spans="1:220" ht="15" customHeight="1">
      <c r="A232" s="53">
        <v>2</v>
      </c>
      <c r="B232" s="53" t="str">
        <f>VLOOKUP(Ruimtestaat[[#This Row],[Code]],Locaties[#All],2,FALSE)</f>
        <v>Open Schoolgemeenschap Bijlmer</v>
      </c>
      <c r="C232" s="53" t="str">
        <f>VLOOKUP(Ruimtestaat[[#This Row],[Code]],Locaties[#All],4,FALSE)</f>
        <v>Gulden Kruis 5</v>
      </c>
      <c r="D232" s="53" t="str">
        <f>VLOOKUP(Ruimtestaat[[#This Row],[Code]],Locaties[#All],5,FALSE)</f>
        <v>1103 BE</v>
      </c>
      <c r="E232" s="53" t="str">
        <f>VLOOKUP(Ruimtestaat[[#This Row],[Code]],Locaties[#All],6,FALSE)</f>
        <v>Amsterdam Zuidoost</v>
      </c>
      <c r="F232" s="78"/>
      <c r="G232" s="53" t="s">
        <v>564</v>
      </c>
      <c r="H232" s="53" t="s">
        <v>604</v>
      </c>
      <c r="I232" s="23" t="s">
        <v>428</v>
      </c>
      <c r="J232" s="53">
        <v>16</v>
      </c>
      <c r="K232" s="78" t="str">
        <f>VLOOKUP(J232,Ruimtegroepen[],2,FALSE)</f>
        <v>Leslokalen theorie</v>
      </c>
      <c r="L232" s="53" t="s">
        <v>285</v>
      </c>
      <c r="M232" s="53" t="s">
        <v>580</v>
      </c>
      <c r="N232" s="79">
        <v>65.03</v>
      </c>
      <c r="O232" s="79"/>
      <c r="P232" s="80" t="str">
        <f>LEFT(VLOOKUP(Ruimtestaat[[#This Row],[Ruimte code]],Ruimtegroepen[#All],4,1),2)</f>
        <v xml:space="preserve">L </v>
      </c>
      <c r="Q232" s="80"/>
      <c r="R232" s="81">
        <v>40</v>
      </c>
      <c r="S232" s="81" t="s">
        <v>298</v>
      </c>
      <c r="T232" s="82">
        <f>IF(R232&gt;0,IF(RIGHT(Ruimtestaat[[#This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2" s="82">
        <f>IF(T232&gt;0,VLOOKUP($J232,Ruimtegroepen[],3,FALSE)*VLOOKUP($L232,Vloersoorten[],3,FALSE)*VLOOKUP($S232,Frequenties[],3,FALSE)*VLOOKUP($A232,Locaties[],3,FALSE),0)</f>
        <v>0</v>
      </c>
      <c r="V232" s="83">
        <f>Ruimtestaat[[#This Row],[Uitvoeringen werkdagen]]*Ruimtestaat[[#This Row],[Oppervlak (netto)]]</f>
        <v>13006</v>
      </c>
      <c r="W232" s="84">
        <f>IF(U232&gt;0,Ruimtestaat[[#This Row],[Prest. (m2 /jaar) werkdagen]]/Ruimtestaat[[#This Row],[Norm (m2/uur) werkdagen]],0)</f>
        <v>0</v>
      </c>
      <c r="X232" s="85">
        <f>Ruimtestaat[[#This Row],[uren / jaar werkdagen]]*Tariefsopbouw!$E$35</f>
        <v>0</v>
      </c>
      <c r="Y232" s="82"/>
      <c r="Z232" s="86">
        <f>IF(Ruimtestaat[[#This Row],[Frequentie weekend]]&gt;0,VALUE(LEFT(Y232,1))*R232,0)</f>
        <v>0</v>
      </c>
      <c r="AA232" s="82">
        <f>IF($Z232&gt;0,VLOOKUP($J232,Ruimtegroepen[],3,FALSE)*VLOOKUP($L232,Vloersoorten[],3,FALSE)*VLOOKUP($Y232,Frequenties[],3,FALSE)*VLOOKUP($A228,Locaties[],3,FALSE),0)</f>
        <v>0</v>
      </c>
      <c r="AB232" s="84">
        <f>Ruimtestaat[[#This Row],[Uitvoeringen weekend]]*Ruimtestaat[[#This Row],[Oppervlak (netto)]]</f>
        <v>0</v>
      </c>
      <c r="AC232" s="87">
        <f>IF(AB232&gt;0,Ruimtestaat[[#This Row],[Prest. (m2 /jaar) weekend]]/Ruimtestaat[[#This Row],[Norm (m2/uur) weekend]],0)</f>
        <v>0</v>
      </c>
      <c r="AD232" s="88">
        <f>Ruimtestaat[[#This Row],[uren / jaar weekend]]*Tariefsopbouw!$D$40</f>
        <v>0</v>
      </c>
      <c r="AE232" s="89">
        <f>Ruimtestaat[[#This Row],[Prest. (m2 /jaar) weekend]]+Ruimtestaat[[#This Row],[Prest. (m2 /jaar) werkdagen]]</f>
        <v>13006</v>
      </c>
      <c r="AF232" s="89">
        <f>Ruimtestaat[[#This Row],[uren / jaar weekend]]+Ruimtestaat[[#This Row],[uren / jaar werkdagen]]</f>
        <v>0</v>
      </c>
      <c r="AG232" s="90">
        <f>Ruimtestaat[[#This Row],[kosten / jaar weekend]]+Ruimtestaat[[#This Row],[kosten / jaar werkdagen]]</f>
        <v>0</v>
      </c>
      <c r="AH232" s="91"/>
      <c r="HL232" s="67"/>
    </row>
    <row r="233" spans="1:220" ht="15" customHeight="1">
      <c r="A233" s="53">
        <v>2</v>
      </c>
      <c r="B233" s="53" t="str">
        <f>VLOOKUP(Ruimtestaat[[#This Row],[Code]],Locaties[#All],2,FALSE)</f>
        <v>Open Schoolgemeenschap Bijlmer</v>
      </c>
      <c r="C233" s="53" t="str">
        <f>VLOOKUP(Ruimtestaat[[#This Row],[Code]],Locaties[#All],4,FALSE)</f>
        <v>Gulden Kruis 5</v>
      </c>
      <c r="D233" s="53" t="str">
        <f>VLOOKUP(Ruimtestaat[[#This Row],[Code]],Locaties[#All],5,FALSE)</f>
        <v>1103 BE</v>
      </c>
      <c r="E233" s="53" t="str">
        <f>VLOOKUP(Ruimtestaat[[#This Row],[Code]],Locaties[#All],6,FALSE)</f>
        <v>Amsterdam Zuidoost</v>
      </c>
      <c r="F233" s="78"/>
      <c r="G233" s="53" t="s">
        <v>564</v>
      </c>
      <c r="H233" s="53" t="s">
        <v>605</v>
      </c>
      <c r="I233" s="23" t="s">
        <v>428</v>
      </c>
      <c r="J233" s="53">
        <v>16</v>
      </c>
      <c r="K233" s="78" t="str">
        <f>VLOOKUP(J233,Ruimtegroepen[],2,FALSE)</f>
        <v>Leslokalen theorie</v>
      </c>
      <c r="L233" s="53" t="s">
        <v>285</v>
      </c>
      <c r="M233" s="53" t="s">
        <v>580</v>
      </c>
      <c r="N233" s="79">
        <v>73.02</v>
      </c>
      <c r="O233" s="79"/>
      <c r="P233" s="80" t="str">
        <f>LEFT(VLOOKUP(Ruimtestaat[[#This Row],[Ruimte code]],Ruimtegroepen[#All],4,1),2)</f>
        <v xml:space="preserve">L </v>
      </c>
      <c r="Q233" s="80"/>
      <c r="R233" s="81">
        <v>40</v>
      </c>
      <c r="S233" s="81" t="s">
        <v>298</v>
      </c>
      <c r="T233" s="82">
        <f>IF(R233&gt;0,IF(RIGHT(Ruimtestaat[[#This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3" s="82">
        <f>IF(T233&gt;0,VLOOKUP($J233,Ruimtegroepen[],3,FALSE)*VLOOKUP($L233,Vloersoorten[],3,FALSE)*VLOOKUP($S233,Frequenties[],3,FALSE)*VLOOKUP($A233,Locaties[],3,FALSE),0)</f>
        <v>0</v>
      </c>
      <c r="V233" s="83">
        <f>Ruimtestaat[[#This Row],[Uitvoeringen werkdagen]]*Ruimtestaat[[#This Row],[Oppervlak (netto)]]</f>
        <v>14604</v>
      </c>
      <c r="W233" s="84">
        <f>IF(U233&gt;0,Ruimtestaat[[#This Row],[Prest. (m2 /jaar) werkdagen]]/Ruimtestaat[[#This Row],[Norm (m2/uur) werkdagen]],0)</f>
        <v>0</v>
      </c>
      <c r="X233" s="85">
        <f>Ruimtestaat[[#This Row],[uren / jaar werkdagen]]*Tariefsopbouw!$E$35</f>
        <v>0</v>
      </c>
      <c r="Y233" s="82"/>
      <c r="Z233" s="86">
        <f>IF(Ruimtestaat[[#This Row],[Frequentie weekend]]&gt;0,VALUE(LEFT(Y233,1))*R233,0)</f>
        <v>0</v>
      </c>
      <c r="AA233" s="82">
        <f>IF($Z233&gt;0,VLOOKUP($J233,Ruimtegroepen[],3,FALSE)*VLOOKUP($L233,Vloersoorten[],3,FALSE)*VLOOKUP($Y233,Frequenties[],3,FALSE)*VLOOKUP($A229,Locaties[],3,FALSE),0)</f>
        <v>0</v>
      </c>
      <c r="AB233" s="84">
        <f>Ruimtestaat[[#This Row],[Uitvoeringen weekend]]*Ruimtestaat[[#This Row],[Oppervlak (netto)]]</f>
        <v>0</v>
      </c>
      <c r="AC233" s="87">
        <f>IF(AB233&gt;0,Ruimtestaat[[#This Row],[Prest. (m2 /jaar) weekend]]/Ruimtestaat[[#This Row],[Norm (m2/uur) weekend]],0)</f>
        <v>0</v>
      </c>
      <c r="AD233" s="88">
        <f>Ruimtestaat[[#This Row],[uren / jaar weekend]]*Tariefsopbouw!$D$40</f>
        <v>0</v>
      </c>
      <c r="AE233" s="89">
        <f>Ruimtestaat[[#This Row],[Prest. (m2 /jaar) weekend]]+Ruimtestaat[[#This Row],[Prest. (m2 /jaar) werkdagen]]</f>
        <v>14604</v>
      </c>
      <c r="AF233" s="89">
        <f>Ruimtestaat[[#This Row],[uren / jaar weekend]]+Ruimtestaat[[#This Row],[uren / jaar werkdagen]]</f>
        <v>0</v>
      </c>
      <c r="AG233" s="90">
        <f>Ruimtestaat[[#This Row],[kosten / jaar weekend]]+Ruimtestaat[[#This Row],[kosten / jaar werkdagen]]</f>
        <v>0</v>
      </c>
      <c r="AH233" s="91"/>
      <c r="HL233" s="67"/>
    </row>
    <row r="234" spans="1:220" ht="15" customHeight="1">
      <c r="A234" s="53">
        <v>2</v>
      </c>
      <c r="B234" s="53" t="str">
        <f>VLOOKUP(Ruimtestaat[[#This Row],[Code]],Locaties[#All],2,FALSE)</f>
        <v>Open Schoolgemeenschap Bijlmer</v>
      </c>
      <c r="C234" s="53" t="str">
        <f>VLOOKUP(Ruimtestaat[[#This Row],[Code]],Locaties[#All],4,FALSE)</f>
        <v>Gulden Kruis 5</v>
      </c>
      <c r="D234" s="53" t="str">
        <f>VLOOKUP(Ruimtestaat[[#This Row],[Code]],Locaties[#All],5,FALSE)</f>
        <v>1103 BE</v>
      </c>
      <c r="E234" s="53" t="str">
        <f>VLOOKUP(Ruimtestaat[[#This Row],[Code]],Locaties[#All],6,FALSE)</f>
        <v>Amsterdam Zuidoost</v>
      </c>
      <c r="F234" s="78"/>
      <c r="G234" s="53" t="s">
        <v>564</v>
      </c>
      <c r="H234" s="53" t="s">
        <v>606</v>
      </c>
      <c r="I234" s="23" t="s">
        <v>428</v>
      </c>
      <c r="J234" s="53">
        <v>16</v>
      </c>
      <c r="K234" s="78" t="str">
        <f>VLOOKUP(J234,Ruimtegroepen[],2,FALSE)</f>
        <v>Leslokalen theorie</v>
      </c>
      <c r="L234" s="53" t="s">
        <v>285</v>
      </c>
      <c r="M234" s="53" t="s">
        <v>580</v>
      </c>
      <c r="N234" s="79">
        <v>73.02</v>
      </c>
      <c r="O234" s="79"/>
      <c r="P234" s="80" t="str">
        <f>LEFT(VLOOKUP(Ruimtestaat[[#This Row],[Ruimte code]],Ruimtegroepen[#All],4,1),2)</f>
        <v xml:space="preserve">L </v>
      </c>
      <c r="Q234" s="80"/>
      <c r="R234" s="81">
        <v>40</v>
      </c>
      <c r="S234" s="81" t="s">
        <v>298</v>
      </c>
      <c r="T234" s="82">
        <f>IF(R234&gt;0,IF(RIGHT(Ruimtestaat[[#This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4" s="82">
        <f>IF(T234&gt;0,VLOOKUP($J234,Ruimtegroepen[],3,FALSE)*VLOOKUP($L234,Vloersoorten[],3,FALSE)*VLOOKUP($S234,Frequenties[],3,FALSE)*VLOOKUP($A234,Locaties[],3,FALSE),0)</f>
        <v>0</v>
      </c>
      <c r="V234" s="83">
        <f>Ruimtestaat[[#This Row],[Uitvoeringen werkdagen]]*Ruimtestaat[[#This Row],[Oppervlak (netto)]]</f>
        <v>14604</v>
      </c>
      <c r="W234" s="84">
        <f>IF(U234&gt;0,Ruimtestaat[[#This Row],[Prest. (m2 /jaar) werkdagen]]/Ruimtestaat[[#This Row],[Norm (m2/uur) werkdagen]],0)</f>
        <v>0</v>
      </c>
      <c r="X234" s="85">
        <f>Ruimtestaat[[#This Row],[uren / jaar werkdagen]]*Tariefsopbouw!$E$35</f>
        <v>0</v>
      </c>
      <c r="Y234" s="82"/>
      <c r="Z234" s="86">
        <f>IF(Ruimtestaat[[#This Row],[Frequentie weekend]]&gt;0,VALUE(LEFT(Y234,1))*R234,0)</f>
        <v>0</v>
      </c>
      <c r="AA234" s="82">
        <f>IF($Z234&gt;0,VLOOKUP($J234,Ruimtegroepen[],3,FALSE)*VLOOKUP($L234,Vloersoorten[],3,FALSE)*VLOOKUP($Y234,Frequenties[],3,FALSE)*VLOOKUP($A230,Locaties[],3,FALSE),0)</f>
        <v>0</v>
      </c>
      <c r="AB234" s="84">
        <f>Ruimtestaat[[#This Row],[Uitvoeringen weekend]]*Ruimtestaat[[#This Row],[Oppervlak (netto)]]</f>
        <v>0</v>
      </c>
      <c r="AC234" s="87">
        <f>IF(AB234&gt;0,Ruimtestaat[[#This Row],[Prest. (m2 /jaar) weekend]]/Ruimtestaat[[#This Row],[Norm (m2/uur) weekend]],0)</f>
        <v>0</v>
      </c>
      <c r="AD234" s="88">
        <f>Ruimtestaat[[#This Row],[uren / jaar weekend]]*Tariefsopbouw!$D$40</f>
        <v>0</v>
      </c>
      <c r="AE234" s="89">
        <f>Ruimtestaat[[#This Row],[Prest. (m2 /jaar) weekend]]+Ruimtestaat[[#This Row],[Prest. (m2 /jaar) werkdagen]]</f>
        <v>14604</v>
      </c>
      <c r="AF234" s="89">
        <f>Ruimtestaat[[#This Row],[uren / jaar weekend]]+Ruimtestaat[[#This Row],[uren / jaar werkdagen]]</f>
        <v>0</v>
      </c>
      <c r="AG234" s="90">
        <f>Ruimtestaat[[#This Row],[kosten / jaar weekend]]+Ruimtestaat[[#This Row],[kosten / jaar werkdagen]]</f>
        <v>0</v>
      </c>
      <c r="AH234" s="91"/>
      <c r="HL234" s="67"/>
    </row>
    <row r="235" spans="1:220" ht="15" customHeight="1">
      <c r="A235" s="53">
        <v>2</v>
      </c>
      <c r="B235" s="53" t="str">
        <f>VLOOKUP(Ruimtestaat[[#This Row],[Code]],Locaties[#All],2,FALSE)</f>
        <v>Open Schoolgemeenschap Bijlmer</v>
      </c>
      <c r="C235" s="53" t="str">
        <f>VLOOKUP(Ruimtestaat[[#This Row],[Code]],Locaties[#All],4,FALSE)</f>
        <v>Gulden Kruis 5</v>
      </c>
      <c r="D235" s="53" t="str">
        <f>VLOOKUP(Ruimtestaat[[#This Row],[Code]],Locaties[#All],5,FALSE)</f>
        <v>1103 BE</v>
      </c>
      <c r="E235" s="53" t="str">
        <f>VLOOKUP(Ruimtestaat[[#This Row],[Code]],Locaties[#All],6,FALSE)</f>
        <v>Amsterdam Zuidoost</v>
      </c>
      <c r="F235" s="78"/>
      <c r="G235" s="53" t="s">
        <v>564</v>
      </c>
      <c r="H235" s="53" t="s">
        <v>607</v>
      </c>
      <c r="I235" s="23" t="s">
        <v>428</v>
      </c>
      <c r="J235" s="53">
        <v>16</v>
      </c>
      <c r="K235" s="78" t="str">
        <f>VLOOKUP(J235,Ruimtegroepen[],2,FALSE)</f>
        <v>Leslokalen theorie</v>
      </c>
      <c r="L235" s="53" t="s">
        <v>285</v>
      </c>
      <c r="M235" s="53" t="s">
        <v>580</v>
      </c>
      <c r="N235" s="79">
        <v>73.02</v>
      </c>
      <c r="O235" s="79"/>
      <c r="P235" s="80" t="str">
        <f>LEFT(VLOOKUP(Ruimtestaat[[#This Row],[Ruimte code]],Ruimtegroepen[#All],4,1),2)</f>
        <v xml:space="preserve">L </v>
      </c>
      <c r="Q235" s="80"/>
      <c r="R235" s="81">
        <v>40</v>
      </c>
      <c r="S235" s="81" t="s">
        <v>298</v>
      </c>
      <c r="T235" s="82">
        <f>IF(R235&gt;0,IF(RIGHT(Ruimtestaat[[#This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5" s="82">
        <f>IF(T235&gt;0,VLOOKUP($J235,Ruimtegroepen[],3,FALSE)*VLOOKUP($L235,Vloersoorten[],3,FALSE)*VLOOKUP($S235,Frequenties[],3,FALSE)*VLOOKUP($A235,Locaties[],3,FALSE),0)</f>
        <v>0</v>
      </c>
      <c r="V235" s="83">
        <f>Ruimtestaat[[#This Row],[Uitvoeringen werkdagen]]*Ruimtestaat[[#This Row],[Oppervlak (netto)]]</f>
        <v>14604</v>
      </c>
      <c r="W235" s="84">
        <f>IF(U235&gt;0,Ruimtestaat[[#This Row],[Prest. (m2 /jaar) werkdagen]]/Ruimtestaat[[#This Row],[Norm (m2/uur) werkdagen]],0)</f>
        <v>0</v>
      </c>
      <c r="X235" s="85">
        <f>Ruimtestaat[[#This Row],[uren / jaar werkdagen]]*Tariefsopbouw!$E$35</f>
        <v>0</v>
      </c>
      <c r="Y235" s="82"/>
      <c r="Z235" s="86">
        <f>IF(Ruimtestaat[[#This Row],[Frequentie weekend]]&gt;0,VALUE(LEFT(Y235,1))*R235,0)</f>
        <v>0</v>
      </c>
      <c r="AA235" s="82">
        <f>IF($Z235&gt;0,VLOOKUP($J235,Ruimtegroepen[],3,FALSE)*VLOOKUP($L235,Vloersoorten[],3,FALSE)*VLOOKUP($Y235,Frequenties[],3,FALSE)*VLOOKUP($A231,Locaties[],3,FALSE),0)</f>
        <v>0</v>
      </c>
      <c r="AB235" s="84">
        <f>Ruimtestaat[[#This Row],[Uitvoeringen weekend]]*Ruimtestaat[[#This Row],[Oppervlak (netto)]]</f>
        <v>0</v>
      </c>
      <c r="AC235" s="87">
        <f>IF(AB235&gt;0,Ruimtestaat[[#This Row],[Prest. (m2 /jaar) weekend]]/Ruimtestaat[[#This Row],[Norm (m2/uur) weekend]],0)</f>
        <v>0</v>
      </c>
      <c r="AD235" s="88">
        <f>Ruimtestaat[[#This Row],[uren / jaar weekend]]*Tariefsopbouw!$D$40</f>
        <v>0</v>
      </c>
      <c r="AE235" s="89">
        <f>Ruimtestaat[[#This Row],[Prest. (m2 /jaar) weekend]]+Ruimtestaat[[#This Row],[Prest. (m2 /jaar) werkdagen]]</f>
        <v>14604</v>
      </c>
      <c r="AF235" s="89">
        <f>Ruimtestaat[[#This Row],[uren / jaar weekend]]+Ruimtestaat[[#This Row],[uren / jaar werkdagen]]</f>
        <v>0</v>
      </c>
      <c r="AG235" s="90">
        <f>Ruimtestaat[[#This Row],[kosten / jaar weekend]]+Ruimtestaat[[#This Row],[kosten / jaar werkdagen]]</f>
        <v>0</v>
      </c>
      <c r="AH235" s="91"/>
      <c r="HL235" s="67"/>
    </row>
    <row r="236" spans="1:220" ht="15" customHeight="1">
      <c r="A236" s="53">
        <v>2</v>
      </c>
      <c r="B236" s="53" t="str">
        <f>VLOOKUP(Ruimtestaat[[#This Row],[Code]],Locaties[#All],2,FALSE)</f>
        <v>Open Schoolgemeenschap Bijlmer</v>
      </c>
      <c r="C236" s="53" t="str">
        <f>VLOOKUP(Ruimtestaat[[#This Row],[Code]],Locaties[#All],4,FALSE)</f>
        <v>Gulden Kruis 5</v>
      </c>
      <c r="D236" s="53" t="str">
        <f>VLOOKUP(Ruimtestaat[[#This Row],[Code]],Locaties[#All],5,FALSE)</f>
        <v>1103 BE</v>
      </c>
      <c r="E236" s="53" t="str">
        <f>VLOOKUP(Ruimtestaat[[#This Row],[Code]],Locaties[#All],6,FALSE)</f>
        <v>Amsterdam Zuidoost</v>
      </c>
      <c r="F236" s="78"/>
      <c r="G236" s="53" t="s">
        <v>564</v>
      </c>
      <c r="H236" s="53" t="s">
        <v>608</v>
      </c>
      <c r="I236" s="23" t="s">
        <v>609</v>
      </c>
      <c r="J236" s="53">
        <v>8</v>
      </c>
      <c r="K236" s="78" t="str">
        <f>VLOOKUP(J236,Ruimtegroepen[],2,FALSE)</f>
        <v>Mediatheek / OLC</v>
      </c>
      <c r="L236" s="53" t="s">
        <v>283</v>
      </c>
      <c r="M236" s="53" t="s">
        <v>576</v>
      </c>
      <c r="N236" s="92">
        <v>312.52</v>
      </c>
      <c r="O236" s="79"/>
      <c r="P236" s="80" t="str">
        <f>LEFT(VLOOKUP(Ruimtestaat[[#This Row],[Ruimte code]],Ruimtegroepen[#All],4,1),2)</f>
        <v xml:space="preserve">L </v>
      </c>
      <c r="Q236" s="80"/>
      <c r="R236" s="81">
        <v>40</v>
      </c>
      <c r="S236" s="81" t="s">
        <v>298</v>
      </c>
      <c r="T236" s="82">
        <f>IF(R236&gt;0,IF(RIGHT(Ruimtestaat[[#This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6" s="82">
        <f>IF(T236&gt;0,VLOOKUP($J236,Ruimtegroepen[],3,FALSE)*VLOOKUP($L236,Vloersoorten[],3,FALSE)*VLOOKUP($S236,Frequenties[],3,FALSE)*VLOOKUP($A236,Locaties[],3,FALSE),0)</f>
        <v>0</v>
      </c>
      <c r="V236" s="83">
        <f>Ruimtestaat[[#This Row],[Uitvoeringen werkdagen]]*Ruimtestaat[[#This Row],[Oppervlak (netto)]]</f>
        <v>62504</v>
      </c>
      <c r="W236" s="84">
        <f>IF(U236&gt;0,Ruimtestaat[[#This Row],[Prest. (m2 /jaar) werkdagen]]/Ruimtestaat[[#This Row],[Norm (m2/uur) werkdagen]],0)</f>
        <v>0</v>
      </c>
      <c r="X236" s="85">
        <f>Ruimtestaat[[#This Row],[uren / jaar werkdagen]]*Tariefsopbouw!$E$35</f>
        <v>0</v>
      </c>
      <c r="Y236" s="82"/>
      <c r="Z236" s="86">
        <f>IF(Ruimtestaat[[#This Row],[Frequentie weekend]]&gt;0,VALUE(LEFT(Y236,1))*R236,0)</f>
        <v>0</v>
      </c>
      <c r="AA236" s="82">
        <f>IF($Z236&gt;0,VLOOKUP($J236,Ruimtegroepen[],3,FALSE)*VLOOKUP($L236,Vloersoorten[],3,FALSE)*VLOOKUP($Y236,Frequenties[],3,FALSE)*VLOOKUP($A232,Locaties[],3,FALSE),0)</f>
        <v>0</v>
      </c>
      <c r="AB236" s="84">
        <f>Ruimtestaat[[#This Row],[Uitvoeringen weekend]]*Ruimtestaat[[#This Row],[Oppervlak (netto)]]</f>
        <v>0</v>
      </c>
      <c r="AC236" s="87">
        <f>IF(AB236&gt;0,Ruimtestaat[[#This Row],[Prest. (m2 /jaar) weekend]]/Ruimtestaat[[#This Row],[Norm (m2/uur) weekend]],0)</f>
        <v>0</v>
      </c>
      <c r="AD236" s="88">
        <f>Ruimtestaat[[#This Row],[uren / jaar weekend]]*Tariefsopbouw!$D$40</f>
        <v>0</v>
      </c>
      <c r="AE236" s="89">
        <f>Ruimtestaat[[#This Row],[Prest. (m2 /jaar) weekend]]+Ruimtestaat[[#This Row],[Prest. (m2 /jaar) werkdagen]]</f>
        <v>62504</v>
      </c>
      <c r="AF236" s="89">
        <f>Ruimtestaat[[#This Row],[uren / jaar weekend]]+Ruimtestaat[[#This Row],[uren / jaar werkdagen]]</f>
        <v>0</v>
      </c>
      <c r="AG236" s="90">
        <f>Ruimtestaat[[#This Row],[kosten / jaar weekend]]+Ruimtestaat[[#This Row],[kosten / jaar werkdagen]]</f>
        <v>0</v>
      </c>
      <c r="AH236" s="91"/>
      <c r="HL236" s="67"/>
    </row>
    <row r="237" spans="1:220" ht="15" customHeight="1">
      <c r="A237" s="53">
        <v>2</v>
      </c>
      <c r="B237" s="53" t="str">
        <f>VLOOKUP(Ruimtestaat[[#This Row],[Code]],Locaties[#All],2,FALSE)</f>
        <v>Open Schoolgemeenschap Bijlmer</v>
      </c>
      <c r="C237" s="53" t="str">
        <f>VLOOKUP(Ruimtestaat[[#This Row],[Code]],Locaties[#All],4,FALSE)</f>
        <v>Gulden Kruis 5</v>
      </c>
      <c r="D237" s="53" t="str">
        <f>VLOOKUP(Ruimtestaat[[#This Row],[Code]],Locaties[#All],5,FALSE)</f>
        <v>1103 BE</v>
      </c>
      <c r="E237" s="53" t="str">
        <f>VLOOKUP(Ruimtestaat[[#This Row],[Code]],Locaties[#All],6,FALSE)</f>
        <v>Amsterdam Zuidoost</v>
      </c>
      <c r="F237" s="78"/>
      <c r="G237" s="53" t="s">
        <v>564</v>
      </c>
      <c r="H237" s="53" t="s">
        <v>610</v>
      </c>
      <c r="I237" s="23" t="s">
        <v>611</v>
      </c>
      <c r="J237" s="53">
        <v>14</v>
      </c>
      <c r="K237" s="78" t="str">
        <f>VLOOKUP(J237,Ruimtegroepen[],2,FALSE)</f>
        <v>Praktijklokalen binas/zorg</v>
      </c>
      <c r="L237" s="53" t="s">
        <v>285</v>
      </c>
      <c r="M237" s="53" t="s">
        <v>580</v>
      </c>
      <c r="N237" s="92">
        <v>87.03</v>
      </c>
      <c r="O237" s="79"/>
      <c r="P237" s="80" t="str">
        <f>LEFT(VLOOKUP(Ruimtestaat[[#This Row],[Ruimte code]],Ruimtegroepen[#All],4,1),2)</f>
        <v xml:space="preserve">L </v>
      </c>
      <c r="Q237" s="80"/>
      <c r="R237" s="81">
        <v>40</v>
      </c>
      <c r="S237" s="81" t="s">
        <v>298</v>
      </c>
      <c r="T237" s="82">
        <f>IF(R237&gt;0,IF(RIGHT(Ruimtestaat[[#This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7" s="82">
        <f>IF(T237&gt;0,VLOOKUP($J237,Ruimtegroepen[],3,FALSE)*VLOOKUP($L237,Vloersoorten[],3,FALSE)*VLOOKUP($S237,Frequenties[],3,FALSE)*VLOOKUP($A237,Locaties[],3,FALSE),0)</f>
        <v>0</v>
      </c>
      <c r="V237" s="83">
        <f>Ruimtestaat[[#This Row],[Uitvoeringen werkdagen]]*Ruimtestaat[[#This Row],[Oppervlak (netto)]]</f>
        <v>17406</v>
      </c>
      <c r="W237" s="84">
        <f>IF(U237&gt;0,Ruimtestaat[[#This Row],[Prest. (m2 /jaar) werkdagen]]/Ruimtestaat[[#This Row],[Norm (m2/uur) werkdagen]],0)</f>
        <v>0</v>
      </c>
      <c r="X237" s="85">
        <f>Ruimtestaat[[#This Row],[uren / jaar werkdagen]]*Tariefsopbouw!$E$35</f>
        <v>0</v>
      </c>
      <c r="Y237" s="82"/>
      <c r="Z237" s="86">
        <f>IF(Ruimtestaat[[#This Row],[Frequentie weekend]]&gt;0,VALUE(LEFT(Y237,1))*R237,0)</f>
        <v>0</v>
      </c>
      <c r="AA237" s="82">
        <f>IF($Z237&gt;0,VLOOKUP($J237,Ruimtegroepen[],3,FALSE)*VLOOKUP($L237,Vloersoorten[],3,FALSE)*VLOOKUP($Y237,Frequenties[],3,FALSE)*VLOOKUP($A233,Locaties[],3,FALSE),0)</f>
        <v>0</v>
      </c>
      <c r="AB237" s="84">
        <f>Ruimtestaat[[#This Row],[Uitvoeringen weekend]]*Ruimtestaat[[#This Row],[Oppervlak (netto)]]</f>
        <v>0</v>
      </c>
      <c r="AC237" s="87">
        <f>IF(AB237&gt;0,Ruimtestaat[[#This Row],[Prest. (m2 /jaar) weekend]]/Ruimtestaat[[#This Row],[Norm (m2/uur) weekend]],0)</f>
        <v>0</v>
      </c>
      <c r="AD237" s="88">
        <f>Ruimtestaat[[#This Row],[uren / jaar weekend]]*Tariefsopbouw!$D$40</f>
        <v>0</v>
      </c>
      <c r="AE237" s="89">
        <f>Ruimtestaat[[#This Row],[Prest. (m2 /jaar) weekend]]+Ruimtestaat[[#This Row],[Prest. (m2 /jaar) werkdagen]]</f>
        <v>17406</v>
      </c>
      <c r="AF237" s="89">
        <f>Ruimtestaat[[#This Row],[uren / jaar weekend]]+Ruimtestaat[[#This Row],[uren / jaar werkdagen]]</f>
        <v>0</v>
      </c>
      <c r="AG237" s="90">
        <f>Ruimtestaat[[#This Row],[kosten / jaar weekend]]+Ruimtestaat[[#This Row],[kosten / jaar werkdagen]]</f>
        <v>0</v>
      </c>
      <c r="AH237" s="91"/>
      <c r="HL237" s="67"/>
    </row>
    <row r="238" spans="1:220" ht="15" customHeight="1">
      <c r="A238" s="53">
        <v>2</v>
      </c>
      <c r="B238" s="53" t="str">
        <f>VLOOKUP(Ruimtestaat[[#This Row],[Code]],Locaties[#All],2,FALSE)</f>
        <v>Open Schoolgemeenschap Bijlmer</v>
      </c>
      <c r="C238" s="53" t="str">
        <f>VLOOKUP(Ruimtestaat[[#This Row],[Code]],Locaties[#All],4,FALSE)</f>
        <v>Gulden Kruis 5</v>
      </c>
      <c r="D238" s="53" t="str">
        <f>VLOOKUP(Ruimtestaat[[#This Row],[Code]],Locaties[#All],5,FALSE)</f>
        <v>1103 BE</v>
      </c>
      <c r="E238" s="53" t="str">
        <f>VLOOKUP(Ruimtestaat[[#This Row],[Code]],Locaties[#All],6,FALSE)</f>
        <v>Amsterdam Zuidoost</v>
      </c>
      <c r="F238" s="78"/>
      <c r="G238" s="53" t="s">
        <v>564</v>
      </c>
      <c r="H238" s="53" t="s">
        <v>612</v>
      </c>
      <c r="I238" s="23" t="s">
        <v>613</v>
      </c>
      <c r="J238" s="53">
        <v>14</v>
      </c>
      <c r="K238" s="78" t="str">
        <f>VLOOKUP(J238,Ruimtegroepen[],2,FALSE)</f>
        <v>Praktijklokalen binas/zorg</v>
      </c>
      <c r="L238" s="53" t="s">
        <v>285</v>
      </c>
      <c r="M238" s="53" t="s">
        <v>580</v>
      </c>
      <c r="N238" s="79">
        <v>96.03</v>
      </c>
      <c r="O238" s="79"/>
      <c r="P238" s="80" t="str">
        <f>LEFT(VLOOKUP(Ruimtestaat[[#This Row],[Ruimte code]],Ruimtegroepen[#All],4,1),2)</f>
        <v xml:space="preserve">L </v>
      </c>
      <c r="Q238" s="80"/>
      <c r="R238" s="81">
        <v>40</v>
      </c>
      <c r="S238" s="81" t="s">
        <v>298</v>
      </c>
      <c r="T238" s="82">
        <f>IF(R238&gt;0,IF(RIGHT(Ruimtestaat[[#This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8" s="82">
        <f>IF(T238&gt;0,VLOOKUP($J238,Ruimtegroepen[],3,FALSE)*VLOOKUP($L238,Vloersoorten[],3,FALSE)*VLOOKUP($S238,Frequenties[],3,FALSE)*VLOOKUP($A238,Locaties[],3,FALSE),0)</f>
        <v>0</v>
      </c>
      <c r="V238" s="83">
        <f>Ruimtestaat[[#This Row],[Uitvoeringen werkdagen]]*Ruimtestaat[[#This Row],[Oppervlak (netto)]]</f>
        <v>19206</v>
      </c>
      <c r="W238" s="84">
        <f>IF(U238&gt;0,Ruimtestaat[[#This Row],[Prest. (m2 /jaar) werkdagen]]/Ruimtestaat[[#This Row],[Norm (m2/uur) werkdagen]],0)</f>
        <v>0</v>
      </c>
      <c r="X238" s="85">
        <f>Ruimtestaat[[#This Row],[uren / jaar werkdagen]]*Tariefsopbouw!$E$35</f>
        <v>0</v>
      </c>
      <c r="Y238" s="82"/>
      <c r="Z238" s="86">
        <f>IF(Ruimtestaat[[#This Row],[Frequentie weekend]]&gt;0,VALUE(LEFT(Y238,1))*R238,0)</f>
        <v>0</v>
      </c>
      <c r="AA238" s="82">
        <f>IF($Z238&gt;0,VLOOKUP($J238,Ruimtegroepen[],3,FALSE)*VLOOKUP($L238,Vloersoorten[],3,FALSE)*VLOOKUP($Y238,Frequenties[],3,FALSE)*VLOOKUP($A234,Locaties[],3,FALSE),0)</f>
        <v>0</v>
      </c>
      <c r="AB238" s="84">
        <f>Ruimtestaat[[#This Row],[Uitvoeringen weekend]]*Ruimtestaat[[#This Row],[Oppervlak (netto)]]</f>
        <v>0</v>
      </c>
      <c r="AC238" s="87">
        <f>IF(AB238&gt;0,Ruimtestaat[[#This Row],[Prest. (m2 /jaar) weekend]]/Ruimtestaat[[#This Row],[Norm (m2/uur) weekend]],0)</f>
        <v>0</v>
      </c>
      <c r="AD238" s="88">
        <f>Ruimtestaat[[#This Row],[uren / jaar weekend]]*Tariefsopbouw!$D$40</f>
        <v>0</v>
      </c>
      <c r="AE238" s="89">
        <f>Ruimtestaat[[#This Row],[Prest. (m2 /jaar) weekend]]+Ruimtestaat[[#This Row],[Prest. (m2 /jaar) werkdagen]]</f>
        <v>19206</v>
      </c>
      <c r="AF238" s="89">
        <f>Ruimtestaat[[#This Row],[uren / jaar weekend]]+Ruimtestaat[[#This Row],[uren / jaar werkdagen]]</f>
        <v>0</v>
      </c>
      <c r="AG238" s="90">
        <f>Ruimtestaat[[#This Row],[kosten / jaar weekend]]+Ruimtestaat[[#This Row],[kosten / jaar werkdagen]]</f>
        <v>0</v>
      </c>
      <c r="AH238" s="91"/>
      <c r="HL238" s="67"/>
    </row>
    <row r="239" spans="1:220" ht="15" customHeight="1">
      <c r="A239" s="53">
        <v>2</v>
      </c>
      <c r="B239" s="53" t="str">
        <f>VLOOKUP(Ruimtestaat[[#This Row],[Code]],Locaties[#All],2,FALSE)</f>
        <v>Open Schoolgemeenschap Bijlmer</v>
      </c>
      <c r="C239" s="53" t="str">
        <f>VLOOKUP(Ruimtestaat[[#This Row],[Code]],Locaties[#All],4,FALSE)</f>
        <v>Gulden Kruis 5</v>
      </c>
      <c r="D239" s="53" t="str">
        <f>VLOOKUP(Ruimtestaat[[#This Row],[Code]],Locaties[#All],5,FALSE)</f>
        <v>1103 BE</v>
      </c>
      <c r="E239" s="53" t="str">
        <f>VLOOKUP(Ruimtestaat[[#This Row],[Code]],Locaties[#All],6,FALSE)</f>
        <v>Amsterdam Zuidoost</v>
      </c>
      <c r="F239" s="78"/>
      <c r="G239" s="53" t="s">
        <v>564</v>
      </c>
      <c r="H239" s="53" t="s">
        <v>614</v>
      </c>
      <c r="I239" s="23" t="s">
        <v>615</v>
      </c>
      <c r="J239" s="53">
        <v>14</v>
      </c>
      <c r="K239" s="78" t="str">
        <f>VLOOKUP(J239,Ruimtegroepen[],2,FALSE)</f>
        <v>Praktijklokalen binas/zorg</v>
      </c>
      <c r="L239" s="53" t="s">
        <v>285</v>
      </c>
      <c r="M239" s="53" t="s">
        <v>580</v>
      </c>
      <c r="N239" s="79">
        <v>77.98</v>
      </c>
      <c r="O239" s="79"/>
      <c r="P239" s="80" t="str">
        <f>LEFT(VLOOKUP(Ruimtestaat[[#This Row],[Ruimte code]],Ruimtegroepen[#All],4,1),2)</f>
        <v xml:space="preserve">L </v>
      </c>
      <c r="Q239" s="80"/>
      <c r="R239" s="81">
        <v>40</v>
      </c>
      <c r="S239" s="81" t="s">
        <v>298</v>
      </c>
      <c r="T239" s="82">
        <f>IF(R239&gt;0,IF(RIGHT(Ruimtestaat[[#This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39" s="82">
        <f>IF(T239&gt;0,VLOOKUP($J239,Ruimtegroepen[],3,FALSE)*VLOOKUP($L239,Vloersoorten[],3,FALSE)*VLOOKUP($S239,Frequenties[],3,FALSE)*VLOOKUP($A239,Locaties[],3,FALSE),0)</f>
        <v>0</v>
      </c>
      <c r="V239" s="83">
        <f>Ruimtestaat[[#This Row],[Uitvoeringen werkdagen]]*Ruimtestaat[[#This Row],[Oppervlak (netto)]]</f>
        <v>15596</v>
      </c>
      <c r="W239" s="84">
        <f>IF(U239&gt;0,Ruimtestaat[[#This Row],[Prest. (m2 /jaar) werkdagen]]/Ruimtestaat[[#This Row],[Norm (m2/uur) werkdagen]],0)</f>
        <v>0</v>
      </c>
      <c r="X239" s="85">
        <f>Ruimtestaat[[#This Row],[uren / jaar werkdagen]]*Tariefsopbouw!$E$35</f>
        <v>0</v>
      </c>
      <c r="Y239" s="82"/>
      <c r="Z239" s="86">
        <f>IF(Ruimtestaat[[#This Row],[Frequentie weekend]]&gt;0,VALUE(LEFT(Y239,1))*R239,0)</f>
        <v>0</v>
      </c>
      <c r="AA239" s="82">
        <f>IF($Z239&gt;0,VLOOKUP($J239,Ruimtegroepen[],3,FALSE)*VLOOKUP($L239,Vloersoorten[],3,FALSE)*VLOOKUP($Y239,Frequenties[],3,FALSE)*VLOOKUP($A235,Locaties[],3,FALSE),0)</f>
        <v>0</v>
      </c>
      <c r="AB239" s="84">
        <f>Ruimtestaat[[#This Row],[Uitvoeringen weekend]]*Ruimtestaat[[#This Row],[Oppervlak (netto)]]</f>
        <v>0</v>
      </c>
      <c r="AC239" s="87">
        <f>IF(AB239&gt;0,Ruimtestaat[[#This Row],[Prest. (m2 /jaar) weekend]]/Ruimtestaat[[#This Row],[Norm (m2/uur) weekend]],0)</f>
        <v>0</v>
      </c>
      <c r="AD239" s="88">
        <f>Ruimtestaat[[#This Row],[uren / jaar weekend]]*Tariefsopbouw!$D$40</f>
        <v>0</v>
      </c>
      <c r="AE239" s="89">
        <f>Ruimtestaat[[#This Row],[Prest. (m2 /jaar) weekend]]+Ruimtestaat[[#This Row],[Prest. (m2 /jaar) werkdagen]]</f>
        <v>15596</v>
      </c>
      <c r="AF239" s="89">
        <f>Ruimtestaat[[#This Row],[uren / jaar weekend]]+Ruimtestaat[[#This Row],[uren / jaar werkdagen]]</f>
        <v>0</v>
      </c>
      <c r="AG239" s="90">
        <f>Ruimtestaat[[#This Row],[kosten / jaar weekend]]+Ruimtestaat[[#This Row],[kosten / jaar werkdagen]]</f>
        <v>0</v>
      </c>
      <c r="AH239" s="91"/>
      <c r="HL239" s="67"/>
    </row>
    <row r="240" spans="1:220" ht="15" customHeight="1">
      <c r="A240" s="53">
        <v>2</v>
      </c>
      <c r="B240" s="53" t="str">
        <f>VLOOKUP(Ruimtestaat[[#This Row],[Code]],Locaties[#All],2,FALSE)</f>
        <v>Open Schoolgemeenschap Bijlmer</v>
      </c>
      <c r="C240" s="53" t="str">
        <f>VLOOKUP(Ruimtestaat[[#This Row],[Code]],Locaties[#All],4,FALSE)</f>
        <v>Gulden Kruis 5</v>
      </c>
      <c r="D240" s="53" t="str">
        <f>VLOOKUP(Ruimtestaat[[#This Row],[Code]],Locaties[#All],5,FALSE)</f>
        <v>1103 BE</v>
      </c>
      <c r="E240" s="53" t="str">
        <f>VLOOKUP(Ruimtestaat[[#This Row],[Code]],Locaties[#All],6,FALSE)</f>
        <v>Amsterdam Zuidoost</v>
      </c>
      <c r="F240" s="78"/>
      <c r="G240" s="53" t="s">
        <v>564</v>
      </c>
      <c r="H240" s="53" t="s">
        <v>616</v>
      </c>
      <c r="I240" s="23" t="s">
        <v>456</v>
      </c>
      <c r="J240" s="53">
        <v>6</v>
      </c>
      <c r="K240" s="78" t="str">
        <f>VLOOKUP(J240,Ruimtegroepen[],2,FALSE)</f>
        <v>Gangen/hallen</v>
      </c>
      <c r="L240" s="53" t="s">
        <v>285</v>
      </c>
      <c r="M240" s="53" t="s">
        <v>580</v>
      </c>
      <c r="N240" s="79">
        <v>107.5046</v>
      </c>
      <c r="O240" s="79"/>
      <c r="P240" s="80" t="str">
        <f>LEFT(VLOOKUP(Ruimtestaat[[#This Row],[Ruimte code]],Ruimtegroepen[#All],4,1),2)</f>
        <v xml:space="preserve">V </v>
      </c>
      <c r="Q240" s="80"/>
      <c r="R240" s="81">
        <v>40</v>
      </c>
      <c r="S240" s="81" t="s">
        <v>298</v>
      </c>
      <c r="T240" s="82">
        <f>IF(R240&gt;0,IF(RIGHT(Ruimtestaat[[#This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0" s="82">
        <f>IF(T240&gt;0,VLOOKUP($J240,Ruimtegroepen[],3,FALSE)*VLOOKUP($L240,Vloersoorten[],3,FALSE)*VLOOKUP($S240,Frequenties[],3,FALSE)*VLOOKUP($A240,Locaties[],3,FALSE),0)</f>
        <v>0</v>
      </c>
      <c r="V240" s="83">
        <f>Ruimtestaat[[#This Row],[Uitvoeringen werkdagen]]*Ruimtestaat[[#This Row],[Oppervlak (netto)]]</f>
        <v>21500.92</v>
      </c>
      <c r="W240" s="84">
        <f>IF(U240&gt;0,Ruimtestaat[[#This Row],[Prest. (m2 /jaar) werkdagen]]/Ruimtestaat[[#This Row],[Norm (m2/uur) werkdagen]],0)</f>
        <v>0</v>
      </c>
      <c r="X240" s="85">
        <f>Ruimtestaat[[#This Row],[uren / jaar werkdagen]]*Tariefsopbouw!$E$35</f>
        <v>0</v>
      </c>
      <c r="Y240" s="82"/>
      <c r="Z240" s="86">
        <f>IF(Ruimtestaat[[#This Row],[Frequentie weekend]]&gt;0,VALUE(LEFT(Y240,1))*R240,0)</f>
        <v>0</v>
      </c>
      <c r="AA240" s="82">
        <f>IF($Z240&gt;0,VLOOKUP($J240,Ruimtegroepen[],3,FALSE)*VLOOKUP($L240,Vloersoorten[],3,FALSE)*VLOOKUP($Y240,Frequenties[],3,FALSE)*VLOOKUP($A236,Locaties[],3,FALSE),0)</f>
        <v>0</v>
      </c>
      <c r="AB240" s="84">
        <f>Ruimtestaat[[#This Row],[Uitvoeringen weekend]]*Ruimtestaat[[#This Row],[Oppervlak (netto)]]</f>
        <v>0</v>
      </c>
      <c r="AC240" s="87">
        <f>IF(AB240&gt;0,Ruimtestaat[[#This Row],[Prest. (m2 /jaar) weekend]]/Ruimtestaat[[#This Row],[Norm (m2/uur) weekend]],0)</f>
        <v>0</v>
      </c>
      <c r="AD240" s="88">
        <f>Ruimtestaat[[#This Row],[uren / jaar weekend]]*Tariefsopbouw!$D$40</f>
        <v>0</v>
      </c>
      <c r="AE240" s="89">
        <f>Ruimtestaat[[#This Row],[Prest. (m2 /jaar) weekend]]+Ruimtestaat[[#This Row],[Prest. (m2 /jaar) werkdagen]]</f>
        <v>21500.92</v>
      </c>
      <c r="AF240" s="89">
        <f>Ruimtestaat[[#This Row],[uren / jaar weekend]]+Ruimtestaat[[#This Row],[uren / jaar werkdagen]]</f>
        <v>0</v>
      </c>
      <c r="AG240" s="90">
        <f>Ruimtestaat[[#This Row],[kosten / jaar weekend]]+Ruimtestaat[[#This Row],[kosten / jaar werkdagen]]</f>
        <v>0</v>
      </c>
      <c r="AH240" s="91"/>
      <c r="HL240" s="67"/>
    </row>
    <row r="241" spans="1:220" ht="15" customHeight="1">
      <c r="A241" s="53">
        <v>2</v>
      </c>
      <c r="B241" s="53" t="str">
        <f>VLOOKUP(Ruimtestaat[[#This Row],[Code]],Locaties[#All],2,FALSE)</f>
        <v>Open Schoolgemeenschap Bijlmer</v>
      </c>
      <c r="C241" s="53" t="str">
        <f>VLOOKUP(Ruimtestaat[[#This Row],[Code]],Locaties[#All],4,FALSE)</f>
        <v>Gulden Kruis 5</v>
      </c>
      <c r="D241" s="53" t="str">
        <f>VLOOKUP(Ruimtestaat[[#This Row],[Code]],Locaties[#All],5,FALSE)</f>
        <v>1103 BE</v>
      </c>
      <c r="E241" s="53" t="str">
        <f>VLOOKUP(Ruimtestaat[[#This Row],[Code]],Locaties[#All],6,FALSE)</f>
        <v>Amsterdam Zuidoost</v>
      </c>
      <c r="F241" s="78"/>
      <c r="G241" s="53" t="s">
        <v>564</v>
      </c>
      <c r="H241" s="53" t="s">
        <v>617</v>
      </c>
      <c r="I241" s="23" t="s">
        <v>618</v>
      </c>
      <c r="J241" s="53">
        <v>19</v>
      </c>
      <c r="K241" s="78" t="str">
        <f>VLOOKUP(J241,Ruimtegroepen[],2,FALSE)</f>
        <v>Kleedruimten</v>
      </c>
      <c r="L241" s="53" t="s">
        <v>285</v>
      </c>
      <c r="M241" s="53" t="s">
        <v>580</v>
      </c>
      <c r="N241" s="79">
        <v>17.079999999999998</v>
      </c>
      <c r="O241" s="79"/>
      <c r="P241" s="80" t="str">
        <f>LEFT(VLOOKUP(Ruimtestaat[[#This Row],[Ruimte code]],Ruimtegroepen[#All],4,1),2)</f>
        <v xml:space="preserve">V </v>
      </c>
      <c r="Q241" s="80"/>
      <c r="R241" s="81">
        <v>40</v>
      </c>
      <c r="S241" s="81" t="s">
        <v>298</v>
      </c>
      <c r="T241" s="82">
        <f>IF(R241&gt;0,IF(RIGHT(Ruimtestaat[[#This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1" s="82">
        <f>IF(T241&gt;0,VLOOKUP($J241,Ruimtegroepen[],3,FALSE)*VLOOKUP($L241,Vloersoorten[],3,FALSE)*VLOOKUP($S241,Frequenties[],3,FALSE)*VLOOKUP($A241,Locaties[],3,FALSE),0)</f>
        <v>0</v>
      </c>
      <c r="V241" s="83">
        <f>Ruimtestaat[[#This Row],[Uitvoeringen werkdagen]]*Ruimtestaat[[#This Row],[Oppervlak (netto)]]</f>
        <v>3415.9999999999995</v>
      </c>
      <c r="W241" s="84">
        <f>IF(U241&gt;0,Ruimtestaat[[#This Row],[Prest. (m2 /jaar) werkdagen]]/Ruimtestaat[[#This Row],[Norm (m2/uur) werkdagen]],0)</f>
        <v>0</v>
      </c>
      <c r="X241" s="85">
        <f>Ruimtestaat[[#This Row],[uren / jaar werkdagen]]*Tariefsopbouw!$E$35</f>
        <v>0</v>
      </c>
      <c r="Y241" s="82"/>
      <c r="Z241" s="86">
        <f>IF(Ruimtestaat[[#This Row],[Frequentie weekend]]&gt;0,VALUE(LEFT(Y241,1))*R241,0)</f>
        <v>0</v>
      </c>
      <c r="AA241" s="82">
        <f>IF($Z241&gt;0,VLOOKUP($J241,Ruimtegroepen[],3,FALSE)*VLOOKUP($L241,Vloersoorten[],3,FALSE)*VLOOKUP($Y241,Frequenties[],3,FALSE)*VLOOKUP($A237,Locaties[],3,FALSE),0)</f>
        <v>0</v>
      </c>
      <c r="AB241" s="84">
        <f>Ruimtestaat[[#This Row],[Uitvoeringen weekend]]*Ruimtestaat[[#This Row],[Oppervlak (netto)]]</f>
        <v>0</v>
      </c>
      <c r="AC241" s="87">
        <f>IF(AB241&gt;0,Ruimtestaat[[#This Row],[Prest. (m2 /jaar) weekend]]/Ruimtestaat[[#This Row],[Norm (m2/uur) weekend]],0)</f>
        <v>0</v>
      </c>
      <c r="AD241" s="88">
        <f>Ruimtestaat[[#This Row],[uren / jaar weekend]]*Tariefsopbouw!$D$40</f>
        <v>0</v>
      </c>
      <c r="AE241" s="89">
        <f>Ruimtestaat[[#This Row],[Prest. (m2 /jaar) weekend]]+Ruimtestaat[[#This Row],[Prest. (m2 /jaar) werkdagen]]</f>
        <v>3415.9999999999995</v>
      </c>
      <c r="AF241" s="89">
        <f>Ruimtestaat[[#This Row],[uren / jaar weekend]]+Ruimtestaat[[#This Row],[uren / jaar werkdagen]]</f>
        <v>0</v>
      </c>
      <c r="AG241" s="90">
        <f>Ruimtestaat[[#This Row],[kosten / jaar weekend]]+Ruimtestaat[[#This Row],[kosten / jaar werkdagen]]</f>
        <v>0</v>
      </c>
      <c r="AH241" s="91"/>
      <c r="HL241" s="67"/>
    </row>
    <row r="242" spans="1:220" ht="15" customHeight="1">
      <c r="A242" s="53">
        <v>2</v>
      </c>
      <c r="B242" s="53" t="str">
        <f>VLOOKUP(Ruimtestaat[[#This Row],[Code]],Locaties[#All],2,FALSE)</f>
        <v>Open Schoolgemeenschap Bijlmer</v>
      </c>
      <c r="C242" s="53" t="str">
        <f>VLOOKUP(Ruimtestaat[[#This Row],[Code]],Locaties[#All],4,FALSE)</f>
        <v>Gulden Kruis 5</v>
      </c>
      <c r="D242" s="53" t="str">
        <f>VLOOKUP(Ruimtestaat[[#This Row],[Code]],Locaties[#All],5,FALSE)</f>
        <v>1103 BE</v>
      </c>
      <c r="E242" s="53" t="str">
        <f>VLOOKUP(Ruimtestaat[[#This Row],[Code]],Locaties[#All],6,FALSE)</f>
        <v>Amsterdam Zuidoost</v>
      </c>
      <c r="F242" s="78"/>
      <c r="G242" s="53" t="s">
        <v>564</v>
      </c>
      <c r="H242" s="53" t="s">
        <v>619</v>
      </c>
      <c r="I242" s="23" t="s">
        <v>579</v>
      </c>
      <c r="J242" s="53">
        <v>5</v>
      </c>
      <c r="K242" s="78" t="str">
        <f>VLOOKUP(J242,Ruimtegroepen[],2,FALSE)</f>
        <v>Sanitair</v>
      </c>
      <c r="L242" s="53" t="s">
        <v>285</v>
      </c>
      <c r="M242" s="53" t="s">
        <v>580</v>
      </c>
      <c r="N242" s="79">
        <v>2.08</v>
      </c>
      <c r="O242" s="79"/>
      <c r="P242" s="80" t="str">
        <f>LEFT(VLOOKUP(Ruimtestaat[[#This Row],[Ruimte code]],Ruimtegroepen[#All],4,1),2)</f>
        <v xml:space="preserve">S </v>
      </c>
      <c r="Q242" s="80"/>
      <c r="R242" s="81">
        <v>40</v>
      </c>
      <c r="S242" s="81" t="s">
        <v>296</v>
      </c>
      <c r="T242" s="82">
        <f>IF(R242&gt;0,IF(RIGHT(Ruimtestaat[[#This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42" s="82">
        <f>IF(T242&gt;0,VLOOKUP($J242,Ruimtegroepen[],3,FALSE)*VLOOKUP($L242,Vloersoorten[],3,FALSE)*VLOOKUP($S242,Frequenties[],3,FALSE)*VLOOKUP($A242,Locaties[],3,FALSE),0)</f>
        <v>0</v>
      </c>
      <c r="V242" s="83">
        <f>Ruimtestaat[[#This Row],[Uitvoeringen werkdagen]]*Ruimtestaat[[#This Row],[Oppervlak (netto)]]</f>
        <v>832</v>
      </c>
      <c r="W242" s="84">
        <f>IF(U242&gt;0,Ruimtestaat[[#This Row],[Prest. (m2 /jaar) werkdagen]]/Ruimtestaat[[#This Row],[Norm (m2/uur) werkdagen]],0)</f>
        <v>0</v>
      </c>
      <c r="X242" s="85">
        <f>Ruimtestaat[[#This Row],[uren / jaar werkdagen]]*Tariefsopbouw!$E$35</f>
        <v>0</v>
      </c>
      <c r="Y242" s="82"/>
      <c r="Z242" s="86">
        <f>IF(Ruimtestaat[[#This Row],[Frequentie weekend]]&gt;0,VALUE(LEFT(Y242,1))*R242,0)</f>
        <v>0</v>
      </c>
      <c r="AA242" s="82">
        <f>IF($Z242&gt;0,VLOOKUP($J242,Ruimtegroepen[],3,FALSE)*VLOOKUP($L242,Vloersoorten[],3,FALSE)*VLOOKUP($Y242,Frequenties[],3,FALSE)*VLOOKUP($A238,Locaties[],3,FALSE),0)</f>
        <v>0</v>
      </c>
      <c r="AB242" s="84">
        <f>Ruimtestaat[[#This Row],[Uitvoeringen weekend]]*Ruimtestaat[[#This Row],[Oppervlak (netto)]]</f>
        <v>0</v>
      </c>
      <c r="AC242" s="87">
        <f>IF(AB242&gt;0,Ruimtestaat[[#This Row],[Prest. (m2 /jaar) weekend]]/Ruimtestaat[[#This Row],[Norm (m2/uur) weekend]],0)</f>
        <v>0</v>
      </c>
      <c r="AD242" s="88">
        <f>Ruimtestaat[[#This Row],[uren / jaar weekend]]*Tariefsopbouw!$D$40</f>
        <v>0</v>
      </c>
      <c r="AE242" s="89">
        <f>Ruimtestaat[[#This Row],[Prest. (m2 /jaar) weekend]]+Ruimtestaat[[#This Row],[Prest. (m2 /jaar) werkdagen]]</f>
        <v>832</v>
      </c>
      <c r="AF242" s="89">
        <f>Ruimtestaat[[#This Row],[uren / jaar weekend]]+Ruimtestaat[[#This Row],[uren / jaar werkdagen]]</f>
        <v>0</v>
      </c>
      <c r="AG242" s="90">
        <f>Ruimtestaat[[#This Row],[kosten / jaar weekend]]+Ruimtestaat[[#This Row],[kosten / jaar werkdagen]]</f>
        <v>0</v>
      </c>
      <c r="AH242" s="91"/>
      <c r="HL242" s="67"/>
    </row>
    <row r="243" spans="1:220" ht="15" customHeight="1">
      <c r="A243" s="53">
        <v>2</v>
      </c>
      <c r="B243" s="53" t="str">
        <f>VLOOKUP(Ruimtestaat[[#This Row],[Code]],Locaties[#All],2,FALSE)</f>
        <v>Open Schoolgemeenschap Bijlmer</v>
      </c>
      <c r="C243" s="53" t="str">
        <f>VLOOKUP(Ruimtestaat[[#This Row],[Code]],Locaties[#All],4,FALSE)</f>
        <v>Gulden Kruis 5</v>
      </c>
      <c r="D243" s="53" t="str">
        <f>VLOOKUP(Ruimtestaat[[#This Row],[Code]],Locaties[#All],5,FALSE)</f>
        <v>1103 BE</v>
      </c>
      <c r="E243" s="53" t="str">
        <f>VLOOKUP(Ruimtestaat[[#This Row],[Code]],Locaties[#All],6,FALSE)</f>
        <v>Amsterdam Zuidoost</v>
      </c>
      <c r="F243" s="78"/>
      <c r="G243" s="53" t="s">
        <v>564</v>
      </c>
      <c r="H243" s="53" t="s">
        <v>620</v>
      </c>
      <c r="I243" s="23" t="s">
        <v>621</v>
      </c>
      <c r="J243" s="53">
        <v>5</v>
      </c>
      <c r="K243" s="78" t="str">
        <f>VLOOKUP(J243,Ruimtegroepen[],2,FALSE)</f>
        <v>Sanitair</v>
      </c>
      <c r="L243" s="53" t="s">
        <v>285</v>
      </c>
      <c r="M243" s="53" t="s">
        <v>580</v>
      </c>
      <c r="N243" s="79">
        <v>12.08</v>
      </c>
      <c r="O243" s="79"/>
      <c r="P243" s="80" t="str">
        <f>LEFT(VLOOKUP(Ruimtestaat[[#This Row],[Ruimte code]],Ruimtegroepen[#All],4,1),2)</f>
        <v xml:space="preserve">S </v>
      </c>
      <c r="Q243" s="80"/>
      <c r="R243" s="81">
        <v>40</v>
      </c>
      <c r="S243" s="81" t="s">
        <v>296</v>
      </c>
      <c r="T243" s="82">
        <f>IF(R243&gt;0,IF(RIGHT(Ruimtestaat[[#This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43" s="82">
        <f>IF(T243&gt;0,VLOOKUP($J243,Ruimtegroepen[],3,FALSE)*VLOOKUP($L243,Vloersoorten[],3,FALSE)*VLOOKUP($S243,Frequenties[],3,FALSE)*VLOOKUP($A243,Locaties[],3,FALSE),0)</f>
        <v>0</v>
      </c>
      <c r="V243" s="83">
        <f>Ruimtestaat[[#This Row],[Uitvoeringen werkdagen]]*Ruimtestaat[[#This Row],[Oppervlak (netto)]]</f>
        <v>4832</v>
      </c>
      <c r="W243" s="84">
        <f>IF(U243&gt;0,Ruimtestaat[[#This Row],[Prest. (m2 /jaar) werkdagen]]/Ruimtestaat[[#This Row],[Norm (m2/uur) werkdagen]],0)</f>
        <v>0</v>
      </c>
      <c r="X243" s="85">
        <f>Ruimtestaat[[#This Row],[uren / jaar werkdagen]]*Tariefsopbouw!$E$35</f>
        <v>0</v>
      </c>
      <c r="Y243" s="82"/>
      <c r="Z243" s="86">
        <f>IF(Ruimtestaat[[#This Row],[Frequentie weekend]]&gt;0,VALUE(LEFT(Y243,1))*R243,0)</f>
        <v>0</v>
      </c>
      <c r="AA243" s="82">
        <f>IF($Z243&gt;0,VLOOKUP($J243,Ruimtegroepen[],3,FALSE)*VLOOKUP($L243,Vloersoorten[],3,FALSE)*VLOOKUP($Y243,Frequenties[],3,FALSE)*VLOOKUP($A239,Locaties[],3,FALSE),0)</f>
        <v>0</v>
      </c>
      <c r="AB243" s="84">
        <f>Ruimtestaat[[#This Row],[Uitvoeringen weekend]]*Ruimtestaat[[#This Row],[Oppervlak (netto)]]</f>
        <v>0</v>
      </c>
      <c r="AC243" s="87">
        <f>IF(AB243&gt;0,Ruimtestaat[[#This Row],[Prest. (m2 /jaar) weekend]]/Ruimtestaat[[#This Row],[Norm (m2/uur) weekend]],0)</f>
        <v>0</v>
      </c>
      <c r="AD243" s="88">
        <f>Ruimtestaat[[#This Row],[uren / jaar weekend]]*Tariefsopbouw!$D$40</f>
        <v>0</v>
      </c>
      <c r="AE243" s="89">
        <f>Ruimtestaat[[#This Row],[Prest. (m2 /jaar) weekend]]+Ruimtestaat[[#This Row],[Prest. (m2 /jaar) werkdagen]]</f>
        <v>4832</v>
      </c>
      <c r="AF243" s="89">
        <f>Ruimtestaat[[#This Row],[uren / jaar weekend]]+Ruimtestaat[[#This Row],[uren / jaar werkdagen]]</f>
        <v>0</v>
      </c>
      <c r="AG243" s="90">
        <f>Ruimtestaat[[#This Row],[kosten / jaar weekend]]+Ruimtestaat[[#This Row],[kosten / jaar werkdagen]]</f>
        <v>0</v>
      </c>
      <c r="AH243" s="91"/>
      <c r="HL243" s="67"/>
    </row>
    <row r="244" spans="1:220" ht="15" customHeight="1">
      <c r="A244" s="53">
        <v>2</v>
      </c>
      <c r="B244" s="53" t="str">
        <f>VLOOKUP(Ruimtestaat[[#This Row],[Code]],Locaties[#All],2,FALSE)</f>
        <v>Open Schoolgemeenschap Bijlmer</v>
      </c>
      <c r="C244" s="53" t="str">
        <f>VLOOKUP(Ruimtestaat[[#This Row],[Code]],Locaties[#All],4,FALSE)</f>
        <v>Gulden Kruis 5</v>
      </c>
      <c r="D244" s="53" t="str">
        <f>VLOOKUP(Ruimtestaat[[#This Row],[Code]],Locaties[#All],5,FALSE)</f>
        <v>1103 BE</v>
      </c>
      <c r="E244" s="53" t="str">
        <f>VLOOKUP(Ruimtestaat[[#This Row],[Code]],Locaties[#All],6,FALSE)</f>
        <v>Amsterdam Zuidoost</v>
      </c>
      <c r="F244" s="78"/>
      <c r="G244" s="53" t="s">
        <v>564</v>
      </c>
      <c r="H244" s="53" t="s">
        <v>622</v>
      </c>
      <c r="I244" s="23" t="s">
        <v>579</v>
      </c>
      <c r="J244" s="53">
        <v>5</v>
      </c>
      <c r="K244" s="78" t="str">
        <f>VLOOKUP(J244,Ruimtegroepen[],2,FALSE)</f>
        <v>Sanitair</v>
      </c>
      <c r="L244" s="53" t="s">
        <v>285</v>
      </c>
      <c r="M244" s="53" t="s">
        <v>580</v>
      </c>
      <c r="N244" s="79">
        <v>6.27</v>
      </c>
      <c r="O244" s="79"/>
      <c r="P244" s="80" t="str">
        <f>LEFT(VLOOKUP(Ruimtestaat[[#This Row],[Ruimte code]],Ruimtegroepen[#All],4,1),2)</f>
        <v xml:space="preserve">S </v>
      </c>
      <c r="Q244" s="80"/>
      <c r="R244" s="81">
        <v>40</v>
      </c>
      <c r="S244" s="81" t="s">
        <v>296</v>
      </c>
      <c r="T244" s="82">
        <f>IF(R244&gt;0,IF(RIGHT(Ruimtestaat[[#This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44" s="82">
        <f>IF(T244&gt;0,VLOOKUP($J244,Ruimtegroepen[],3,FALSE)*VLOOKUP($L244,Vloersoorten[],3,FALSE)*VLOOKUP($S244,Frequenties[],3,FALSE)*VLOOKUP($A244,Locaties[],3,FALSE),0)</f>
        <v>0</v>
      </c>
      <c r="V244" s="83">
        <f>Ruimtestaat[[#This Row],[Uitvoeringen werkdagen]]*Ruimtestaat[[#This Row],[Oppervlak (netto)]]</f>
        <v>2508</v>
      </c>
      <c r="W244" s="84">
        <f>IF(U244&gt;0,Ruimtestaat[[#This Row],[Prest. (m2 /jaar) werkdagen]]/Ruimtestaat[[#This Row],[Norm (m2/uur) werkdagen]],0)</f>
        <v>0</v>
      </c>
      <c r="X244" s="85">
        <f>Ruimtestaat[[#This Row],[uren / jaar werkdagen]]*Tariefsopbouw!$E$35</f>
        <v>0</v>
      </c>
      <c r="Y244" s="82"/>
      <c r="Z244" s="86">
        <f>IF(Ruimtestaat[[#This Row],[Frequentie weekend]]&gt;0,VALUE(LEFT(Y244,1))*R244,0)</f>
        <v>0</v>
      </c>
      <c r="AA244" s="82">
        <f>IF($Z244&gt;0,VLOOKUP($J244,Ruimtegroepen[],3,FALSE)*VLOOKUP($L244,Vloersoorten[],3,FALSE)*VLOOKUP($Y244,Frequenties[],3,FALSE)*VLOOKUP($A240,Locaties[],3,FALSE),0)</f>
        <v>0</v>
      </c>
      <c r="AB244" s="84">
        <f>Ruimtestaat[[#This Row],[Uitvoeringen weekend]]*Ruimtestaat[[#This Row],[Oppervlak (netto)]]</f>
        <v>0</v>
      </c>
      <c r="AC244" s="87">
        <f>IF(AB244&gt;0,Ruimtestaat[[#This Row],[Prest. (m2 /jaar) weekend]]/Ruimtestaat[[#This Row],[Norm (m2/uur) weekend]],0)</f>
        <v>0</v>
      </c>
      <c r="AD244" s="88">
        <f>Ruimtestaat[[#This Row],[uren / jaar weekend]]*Tariefsopbouw!$D$40</f>
        <v>0</v>
      </c>
      <c r="AE244" s="89">
        <f>Ruimtestaat[[#This Row],[Prest. (m2 /jaar) weekend]]+Ruimtestaat[[#This Row],[Prest. (m2 /jaar) werkdagen]]</f>
        <v>2508</v>
      </c>
      <c r="AF244" s="89">
        <f>Ruimtestaat[[#This Row],[uren / jaar weekend]]+Ruimtestaat[[#This Row],[uren / jaar werkdagen]]</f>
        <v>0</v>
      </c>
      <c r="AG244" s="90">
        <f>Ruimtestaat[[#This Row],[kosten / jaar weekend]]+Ruimtestaat[[#This Row],[kosten / jaar werkdagen]]</f>
        <v>0</v>
      </c>
      <c r="AH244" s="91"/>
      <c r="HL244" s="67"/>
    </row>
    <row r="245" spans="1:220" ht="15" customHeight="1">
      <c r="A245" s="53">
        <v>2</v>
      </c>
      <c r="B245" s="53" t="str">
        <f>VLOOKUP(Ruimtestaat[[#This Row],[Code]],Locaties[#All],2,FALSE)</f>
        <v>Open Schoolgemeenschap Bijlmer</v>
      </c>
      <c r="C245" s="53" t="str">
        <f>VLOOKUP(Ruimtestaat[[#This Row],[Code]],Locaties[#All],4,FALSE)</f>
        <v>Gulden Kruis 5</v>
      </c>
      <c r="D245" s="53" t="str">
        <f>VLOOKUP(Ruimtestaat[[#This Row],[Code]],Locaties[#All],5,FALSE)</f>
        <v>1103 BE</v>
      </c>
      <c r="E245" s="53" t="str">
        <f>VLOOKUP(Ruimtestaat[[#This Row],[Code]],Locaties[#All],6,FALSE)</f>
        <v>Amsterdam Zuidoost</v>
      </c>
      <c r="F245" s="78"/>
      <c r="G245" s="53" t="s">
        <v>564</v>
      </c>
      <c r="H245" s="53" t="s">
        <v>623</v>
      </c>
      <c r="I245" s="23" t="s">
        <v>618</v>
      </c>
      <c r="J245" s="53">
        <v>19</v>
      </c>
      <c r="K245" s="78" t="str">
        <f>VLOOKUP(J245,Ruimtegroepen[],2,FALSE)</f>
        <v>Kleedruimten</v>
      </c>
      <c r="L245" s="53" t="s">
        <v>285</v>
      </c>
      <c r="M245" s="53" t="s">
        <v>580</v>
      </c>
      <c r="N245" s="79">
        <v>17.079999999999998</v>
      </c>
      <c r="O245" s="79"/>
      <c r="P245" s="80" t="str">
        <f>LEFT(VLOOKUP(Ruimtestaat[[#This Row],[Ruimte code]],Ruimtegroepen[#All],4,1),2)</f>
        <v xml:space="preserve">V </v>
      </c>
      <c r="Q245" s="80"/>
      <c r="R245" s="81">
        <v>40</v>
      </c>
      <c r="S245" s="81" t="s">
        <v>298</v>
      </c>
      <c r="T245" s="82">
        <f>IF(R245&gt;0,IF(RIGHT(Ruimtestaat[[#This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5" s="82">
        <f>IF(T245&gt;0,VLOOKUP($J245,Ruimtegroepen[],3,FALSE)*VLOOKUP($L245,Vloersoorten[],3,FALSE)*VLOOKUP($S245,Frequenties[],3,FALSE)*VLOOKUP($A245,Locaties[],3,FALSE),0)</f>
        <v>0</v>
      </c>
      <c r="V245" s="83">
        <f>Ruimtestaat[[#This Row],[Uitvoeringen werkdagen]]*Ruimtestaat[[#This Row],[Oppervlak (netto)]]</f>
        <v>3415.9999999999995</v>
      </c>
      <c r="W245" s="84">
        <f>IF(U245&gt;0,Ruimtestaat[[#This Row],[Prest. (m2 /jaar) werkdagen]]/Ruimtestaat[[#This Row],[Norm (m2/uur) werkdagen]],0)</f>
        <v>0</v>
      </c>
      <c r="X245" s="85">
        <f>Ruimtestaat[[#This Row],[uren / jaar werkdagen]]*Tariefsopbouw!$E$35</f>
        <v>0</v>
      </c>
      <c r="Y245" s="82"/>
      <c r="Z245" s="86">
        <f>IF(Ruimtestaat[[#This Row],[Frequentie weekend]]&gt;0,VALUE(LEFT(Y245,1))*R245,0)</f>
        <v>0</v>
      </c>
      <c r="AA245" s="82">
        <f>IF($Z245&gt;0,VLOOKUP($J245,Ruimtegroepen[],3,FALSE)*VLOOKUP($L245,Vloersoorten[],3,FALSE)*VLOOKUP($Y245,Frequenties[],3,FALSE)*VLOOKUP($A241,Locaties[],3,FALSE),0)</f>
        <v>0</v>
      </c>
      <c r="AB245" s="84">
        <f>Ruimtestaat[[#This Row],[Uitvoeringen weekend]]*Ruimtestaat[[#This Row],[Oppervlak (netto)]]</f>
        <v>0</v>
      </c>
      <c r="AC245" s="87">
        <f>IF(AB245&gt;0,Ruimtestaat[[#This Row],[Prest. (m2 /jaar) weekend]]/Ruimtestaat[[#This Row],[Norm (m2/uur) weekend]],0)</f>
        <v>0</v>
      </c>
      <c r="AD245" s="88">
        <f>Ruimtestaat[[#This Row],[uren / jaar weekend]]*Tariefsopbouw!$D$40</f>
        <v>0</v>
      </c>
      <c r="AE245" s="89">
        <f>Ruimtestaat[[#This Row],[Prest. (m2 /jaar) weekend]]+Ruimtestaat[[#This Row],[Prest. (m2 /jaar) werkdagen]]</f>
        <v>3415.9999999999995</v>
      </c>
      <c r="AF245" s="89">
        <f>Ruimtestaat[[#This Row],[uren / jaar weekend]]+Ruimtestaat[[#This Row],[uren / jaar werkdagen]]</f>
        <v>0</v>
      </c>
      <c r="AG245" s="90">
        <f>Ruimtestaat[[#This Row],[kosten / jaar weekend]]+Ruimtestaat[[#This Row],[kosten / jaar werkdagen]]</f>
        <v>0</v>
      </c>
      <c r="AH245" s="91"/>
      <c r="HL245" s="67"/>
    </row>
    <row r="246" spans="1:220" ht="15" customHeight="1">
      <c r="A246" s="53">
        <v>2</v>
      </c>
      <c r="B246" s="53" t="str">
        <f>VLOOKUP(Ruimtestaat[[#This Row],[Code]],Locaties[#All],2,FALSE)</f>
        <v>Open Schoolgemeenschap Bijlmer</v>
      </c>
      <c r="C246" s="53" t="str">
        <f>VLOOKUP(Ruimtestaat[[#This Row],[Code]],Locaties[#All],4,FALSE)</f>
        <v>Gulden Kruis 5</v>
      </c>
      <c r="D246" s="53" t="str">
        <f>VLOOKUP(Ruimtestaat[[#This Row],[Code]],Locaties[#All],5,FALSE)</f>
        <v>1103 BE</v>
      </c>
      <c r="E246" s="53" t="str">
        <f>VLOOKUP(Ruimtestaat[[#This Row],[Code]],Locaties[#All],6,FALSE)</f>
        <v>Amsterdam Zuidoost</v>
      </c>
      <c r="F246" s="78"/>
      <c r="G246" s="53" t="s">
        <v>564</v>
      </c>
      <c r="H246" s="53" t="s">
        <v>624</v>
      </c>
      <c r="I246" s="23" t="s">
        <v>579</v>
      </c>
      <c r="J246" s="53">
        <v>5</v>
      </c>
      <c r="K246" s="78" t="str">
        <f>VLOOKUP(J246,Ruimtegroepen[],2,FALSE)</f>
        <v>Sanitair</v>
      </c>
      <c r="L246" s="53" t="s">
        <v>285</v>
      </c>
      <c r="M246" s="53" t="s">
        <v>580</v>
      </c>
      <c r="N246" s="79">
        <v>2.08</v>
      </c>
      <c r="O246" s="79"/>
      <c r="P246" s="80" t="str">
        <f>LEFT(VLOOKUP(Ruimtestaat[[#This Row],[Ruimte code]],Ruimtegroepen[#All],4,1),2)</f>
        <v xml:space="preserve">S </v>
      </c>
      <c r="Q246" s="80"/>
      <c r="R246" s="81">
        <v>40</v>
      </c>
      <c r="S246" s="81" t="s">
        <v>296</v>
      </c>
      <c r="T246" s="82">
        <f>IF(R246&gt;0,IF(RIGHT(Ruimtestaat[[#This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46" s="82">
        <f>IF(T246&gt;0,VLOOKUP($J246,Ruimtegroepen[],3,FALSE)*VLOOKUP($L246,Vloersoorten[],3,FALSE)*VLOOKUP($S246,Frequenties[],3,FALSE)*VLOOKUP($A246,Locaties[],3,FALSE),0)</f>
        <v>0</v>
      </c>
      <c r="V246" s="83">
        <f>Ruimtestaat[[#This Row],[Uitvoeringen werkdagen]]*Ruimtestaat[[#This Row],[Oppervlak (netto)]]</f>
        <v>832</v>
      </c>
      <c r="W246" s="84">
        <f>IF(U246&gt;0,Ruimtestaat[[#This Row],[Prest. (m2 /jaar) werkdagen]]/Ruimtestaat[[#This Row],[Norm (m2/uur) werkdagen]],0)</f>
        <v>0</v>
      </c>
      <c r="X246" s="85">
        <f>Ruimtestaat[[#This Row],[uren / jaar werkdagen]]*Tariefsopbouw!$E$35</f>
        <v>0</v>
      </c>
      <c r="Y246" s="82"/>
      <c r="Z246" s="86">
        <f>IF(Ruimtestaat[[#This Row],[Frequentie weekend]]&gt;0,VALUE(LEFT(Y246,1))*R246,0)</f>
        <v>0</v>
      </c>
      <c r="AA246" s="82">
        <f>IF($Z246&gt;0,VLOOKUP($J246,Ruimtegroepen[],3,FALSE)*VLOOKUP($L246,Vloersoorten[],3,FALSE)*VLOOKUP($Y246,Frequenties[],3,FALSE)*VLOOKUP($A242,Locaties[],3,FALSE),0)</f>
        <v>0</v>
      </c>
      <c r="AB246" s="84">
        <f>Ruimtestaat[[#This Row],[Uitvoeringen weekend]]*Ruimtestaat[[#This Row],[Oppervlak (netto)]]</f>
        <v>0</v>
      </c>
      <c r="AC246" s="87">
        <f>IF(AB246&gt;0,Ruimtestaat[[#This Row],[Prest. (m2 /jaar) weekend]]/Ruimtestaat[[#This Row],[Norm (m2/uur) weekend]],0)</f>
        <v>0</v>
      </c>
      <c r="AD246" s="88">
        <f>Ruimtestaat[[#This Row],[uren / jaar weekend]]*Tariefsopbouw!$D$40</f>
        <v>0</v>
      </c>
      <c r="AE246" s="89">
        <f>Ruimtestaat[[#This Row],[Prest. (m2 /jaar) weekend]]+Ruimtestaat[[#This Row],[Prest. (m2 /jaar) werkdagen]]</f>
        <v>832</v>
      </c>
      <c r="AF246" s="89">
        <f>Ruimtestaat[[#This Row],[uren / jaar weekend]]+Ruimtestaat[[#This Row],[uren / jaar werkdagen]]</f>
        <v>0</v>
      </c>
      <c r="AG246" s="90">
        <f>Ruimtestaat[[#This Row],[kosten / jaar weekend]]+Ruimtestaat[[#This Row],[kosten / jaar werkdagen]]</f>
        <v>0</v>
      </c>
      <c r="AH246" s="91"/>
      <c r="HL246" s="67"/>
    </row>
    <row r="247" spans="1:220" ht="15" customHeight="1">
      <c r="A247" s="53">
        <v>2</v>
      </c>
      <c r="B247" s="53" t="str">
        <f>VLOOKUP(Ruimtestaat[[#This Row],[Code]],Locaties[#All],2,FALSE)</f>
        <v>Open Schoolgemeenschap Bijlmer</v>
      </c>
      <c r="C247" s="53" t="str">
        <f>VLOOKUP(Ruimtestaat[[#This Row],[Code]],Locaties[#All],4,FALSE)</f>
        <v>Gulden Kruis 5</v>
      </c>
      <c r="D247" s="53" t="str">
        <f>VLOOKUP(Ruimtestaat[[#This Row],[Code]],Locaties[#All],5,FALSE)</f>
        <v>1103 BE</v>
      </c>
      <c r="E247" s="53" t="str">
        <f>VLOOKUP(Ruimtestaat[[#This Row],[Code]],Locaties[#All],6,FALSE)</f>
        <v>Amsterdam Zuidoost</v>
      </c>
      <c r="F247" s="78"/>
      <c r="G247" s="53" t="s">
        <v>564</v>
      </c>
      <c r="H247" s="53" t="s">
        <v>625</v>
      </c>
      <c r="I247" s="23" t="s">
        <v>621</v>
      </c>
      <c r="J247" s="53">
        <v>5</v>
      </c>
      <c r="K247" s="78" t="str">
        <f>VLOOKUP(J247,Ruimtegroepen[],2,FALSE)</f>
        <v>Sanitair</v>
      </c>
      <c r="L247" s="53" t="s">
        <v>285</v>
      </c>
      <c r="M247" s="53" t="s">
        <v>580</v>
      </c>
      <c r="N247" s="79">
        <v>12.08</v>
      </c>
      <c r="O247" s="79"/>
      <c r="P247" s="80" t="str">
        <f>LEFT(VLOOKUP(Ruimtestaat[[#This Row],[Ruimte code]],Ruimtegroepen[#All],4,1),2)</f>
        <v xml:space="preserve">S </v>
      </c>
      <c r="Q247" s="80"/>
      <c r="R247" s="81">
        <v>40</v>
      </c>
      <c r="S247" s="81" t="s">
        <v>296</v>
      </c>
      <c r="T247" s="82">
        <f>IF(R247&gt;0,IF(RIGHT(Ruimtestaat[[#This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47" s="82">
        <f>IF(T247&gt;0,VLOOKUP($J247,Ruimtegroepen[],3,FALSE)*VLOOKUP($L247,Vloersoorten[],3,FALSE)*VLOOKUP($S247,Frequenties[],3,FALSE)*VLOOKUP($A247,Locaties[],3,FALSE),0)</f>
        <v>0</v>
      </c>
      <c r="V247" s="83">
        <f>Ruimtestaat[[#This Row],[Uitvoeringen werkdagen]]*Ruimtestaat[[#This Row],[Oppervlak (netto)]]</f>
        <v>4832</v>
      </c>
      <c r="W247" s="84">
        <f>IF(U247&gt;0,Ruimtestaat[[#This Row],[Prest. (m2 /jaar) werkdagen]]/Ruimtestaat[[#This Row],[Norm (m2/uur) werkdagen]],0)</f>
        <v>0</v>
      </c>
      <c r="X247" s="85">
        <f>Ruimtestaat[[#This Row],[uren / jaar werkdagen]]*Tariefsopbouw!$E$35</f>
        <v>0</v>
      </c>
      <c r="Y247" s="82"/>
      <c r="Z247" s="86">
        <f>IF(Ruimtestaat[[#This Row],[Frequentie weekend]]&gt;0,VALUE(LEFT(Y247,1))*R247,0)</f>
        <v>0</v>
      </c>
      <c r="AA247" s="82">
        <f>IF($Z247&gt;0,VLOOKUP($J247,Ruimtegroepen[],3,FALSE)*VLOOKUP($L247,Vloersoorten[],3,FALSE)*VLOOKUP($Y247,Frequenties[],3,FALSE)*VLOOKUP($A243,Locaties[],3,FALSE),0)</f>
        <v>0</v>
      </c>
      <c r="AB247" s="84">
        <f>Ruimtestaat[[#This Row],[Uitvoeringen weekend]]*Ruimtestaat[[#This Row],[Oppervlak (netto)]]</f>
        <v>0</v>
      </c>
      <c r="AC247" s="87">
        <f>IF(AB247&gt;0,Ruimtestaat[[#This Row],[Prest. (m2 /jaar) weekend]]/Ruimtestaat[[#This Row],[Norm (m2/uur) weekend]],0)</f>
        <v>0</v>
      </c>
      <c r="AD247" s="88">
        <f>Ruimtestaat[[#This Row],[uren / jaar weekend]]*Tariefsopbouw!$D$40</f>
        <v>0</v>
      </c>
      <c r="AE247" s="89">
        <f>Ruimtestaat[[#This Row],[Prest. (m2 /jaar) weekend]]+Ruimtestaat[[#This Row],[Prest. (m2 /jaar) werkdagen]]</f>
        <v>4832</v>
      </c>
      <c r="AF247" s="89">
        <f>Ruimtestaat[[#This Row],[uren / jaar weekend]]+Ruimtestaat[[#This Row],[uren / jaar werkdagen]]</f>
        <v>0</v>
      </c>
      <c r="AG247" s="90">
        <f>Ruimtestaat[[#This Row],[kosten / jaar weekend]]+Ruimtestaat[[#This Row],[kosten / jaar werkdagen]]</f>
        <v>0</v>
      </c>
      <c r="AH247" s="91"/>
      <c r="HL247" s="67"/>
    </row>
    <row r="248" spans="1:220" ht="15" customHeight="1">
      <c r="A248" s="53">
        <v>2</v>
      </c>
      <c r="B248" s="53" t="str">
        <f>VLOOKUP(Ruimtestaat[[#This Row],[Code]],Locaties[#All],2,FALSE)</f>
        <v>Open Schoolgemeenschap Bijlmer</v>
      </c>
      <c r="C248" s="53" t="str">
        <f>VLOOKUP(Ruimtestaat[[#This Row],[Code]],Locaties[#All],4,FALSE)</f>
        <v>Gulden Kruis 5</v>
      </c>
      <c r="D248" s="53" t="str">
        <f>VLOOKUP(Ruimtestaat[[#This Row],[Code]],Locaties[#All],5,FALSE)</f>
        <v>1103 BE</v>
      </c>
      <c r="E248" s="53" t="str">
        <f>VLOOKUP(Ruimtestaat[[#This Row],[Code]],Locaties[#All],6,FALSE)</f>
        <v>Amsterdam Zuidoost</v>
      </c>
      <c r="F248" s="78"/>
      <c r="G248" s="53" t="s">
        <v>564</v>
      </c>
      <c r="H248" s="53" t="s">
        <v>626</v>
      </c>
      <c r="I248" s="23" t="s">
        <v>618</v>
      </c>
      <c r="J248" s="53">
        <v>19</v>
      </c>
      <c r="K248" s="78" t="str">
        <f>VLOOKUP(J248,Ruimtegroepen[],2,FALSE)</f>
        <v>Kleedruimten</v>
      </c>
      <c r="L248" s="53" t="s">
        <v>285</v>
      </c>
      <c r="M248" s="53" t="s">
        <v>580</v>
      </c>
      <c r="N248" s="79">
        <v>17.079999999999998</v>
      </c>
      <c r="O248" s="79"/>
      <c r="P248" s="80" t="str">
        <f>LEFT(VLOOKUP(Ruimtestaat[[#This Row],[Ruimte code]],Ruimtegroepen[#All],4,1),2)</f>
        <v xml:space="preserve">V </v>
      </c>
      <c r="Q248" s="80"/>
      <c r="R248" s="81">
        <v>40</v>
      </c>
      <c r="S248" s="81" t="s">
        <v>298</v>
      </c>
      <c r="T248" s="82">
        <f>IF(R248&gt;0,IF(RIGHT(Ruimtestaat[[#This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48" s="82">
        <f>IF(T248&gt;0,VLOOKUP($J248,Ruimtegroepen[],3,FALSE)*VLOOKUP($L248,Vloersoorten[],3,FALSE)*VLOOKUP($S248,Frequenties[],3,FALSE)*VLOOKUP($A248,Locaties[],3,FALSE),0)</f>
        <v>0</v>
      </c>
      <c r="V248" s="83">
        <f>Ruimtestaat[[#This Row],[Uitvoeringen werkdagen]]*Ruimtestaat[[#This Row],[Oppervlak (netto)]]</f>
        <v>3415.9999999999995</v>
      </c>
      <c r="W248" s="84">
        <f>IF(U248&gt;0,Ruimtestaat[[#This Row],[Prest. (m2 /jaar) werkdagen]]/Ruimtestaat[[#This Row],[Norm (m2/uur) werkdagen]],0)</f>
        <v>0</v>
      </c>
      <c r="X248" s="85">
        <f>Ruimtestaat[[#This Row],[uren / jaar werkdagen]]*Tariefsopbouw!$E$35</f>
        <v>0</v>
      </c>
      <c r="Y248" s="82"/>
      <c r="Z248" s="86">
        <f>IF(Ruimtestaat[[#This Row],[Frequentie weekend]]&gt;0,VALUE(LEFT(Y248,1))*R248,0)</f>
        <v>0</v>
      </c>
      <c r="AA248" s="82">
        <f>IF($Z248&gt;0,VLOOKUP($J248,Ruimtegroepen[],3,FALSE)*VLOOKUP($L248,Vloersoorten[],3,FALSE)*VLOOKUP($Y248,Frequenties[],3,FALSE)*VLOOKUP($A244,Locaties[],3,FALSE),0)</f>
        <v>0</v>
      </c>
      <c r="AB248" s="84">
        <f>Ruimtestaat[[#This Row],[Uitvoeringen weekend]]*Ruimtestaat[[#This Row],[Oppervlak (netto)]]</f>
        <v>0</v>
      </c>
      <c r="AC248" s="87">
        <f>IF(AB248&gt;0,Ruimtestaat[[#This Row],[Prest. (m2 /jaar) weekend]]/Ruimtestaat[[#This Row],[Norm (m2/uur) weekend]],0)</f>
        <v>0</v>
      </c>
      <c r="AD248" s="88">
        <f>Ruimtestaat[[#This Row],[uren / jaar weekend]]*Tariefsopbouw!$D$40</f>
        <v>0</v>
      </c>
      <c r="AE248" s="89">
        <f>Ruimtestaat[[#This Row],[Prest. (m2 /jaar) weekend]]+Ruimtestaat[[#This Row],[Prest. (m2 /jaar) werkdagen]]</f>
        <v>3415.9999999999995</v>
      </c>
      <c r="AF248" s="89">
        <f>Ruimtestaat[[#This Row],[uren / jaar weekend]]+Ruimtestaat[[#This Row],[uren / jaar werkdagen]]</f>
        <v>0</v>
      </c>
      <c r="AG248" s="90">
        <f>Ruimtestaat[[#This Row],[kosten / jaar weekend]]+Ruimtestaat[[#This Row],[kosten / jaar werkdagen]]</f>
        <v>0</v>
      </c>
      <c r="AH248" s="91"/>
      <c r="HL248" s="67"/>
    </row>
    <row r="249" spans="1:220" ht="15" customHeight="1">
      <c r="A249" s="53">
        <v>2</v>
      </c>
      <c r="B249" s="53" t="str">
        <f>VLOOKUP(Ruimtestaat[[#This Row],[Code]],Locaties[#All],2,FALSE)</f>
        <v>Open Schoolgemeenschap Bijlmer</v>
      </c>
      <c r="C249" s="53" t="str">
        <f>VLOOKUP(Ruimtestaat[[#This Row],[Code]],Locaties[#All],4,FALSE)</f>
        <v>Gulden Kruis 5</v>
      </c>
      <c r="D249" s="53" t="str">
        <f>VLOOKUP(Ruimtestaat[[#This Row],[Code]],Locaties[#All],5,FALSE)</f>
        <v>1103 BE</v>
      </c>
      <c r="E249" s="53" t="str">
        <f>VLOOKUP(Ruimtestaat[[#This Row],[Code]],Locaties[#All],6,FALSE)</f>
        <v>Amsterdam Zuidoost</v>
      </c>
      <c r="F249" s="78"/>
      <c r="G249" s="53" t="s">
        <v>564</v>
      </c>
      <c r="H249" s="53" t="s">
        <v>627</v>
      </c>
      <c r="I249" s="23" t="s">
        <v>579</v>
      </c>
      <c r="J249" s="53">
        <v>5</v>
      </c>
      <c r="K249" s="78" t="str">
        <f>VLOOKUP(J249,Ruimtegroepen[],2,FALSE)</f>
        <v>Sanitair</v>
      </c>
      <c r="L249" s="53" t="s">
        <v>285</v>
      </c>
      <c r="M249" s="53" t="s">
        <v>580</v>
      </c>
      <c r="N249" s="79">
        <v>2.08</v>
      </c>
      <c r="O249" s="79"/>
      <c r="P249" s="80" t="str">
        <f>LEFT(VLOOKUP(Ruimtestaat[[#This Row],[Ruimte code]],Ruimtegroepen[#All],4,1),2)</f>
        <v xml:space="preserve">S </v>
      </c>
      <c r="Q249" s="80"/>
      <c r="R249" s="81">
        <v>40</v>
      </c>
      <c r="S249" s="81" t="s">
        <v>296</v>
      </c>
      <c r="T249" s="82">
        <f>IF(R249&gt;0,IF(RIGHT(Ruimtestaat[[#This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49" s="82">
        <f>IF(T249&gt;0,VLOOKUP($J249,Ruimtegroepen[],3,FALSE)*VLOOKUP($L249,Vloersoorten[],3,FALSE)*VLOOKUP($S249,Frequenties[],3,FALSE)*VLOOKUP($A249,Locaties[],3,FALSE),0)</f>
        <v>0</v>
      </c>
      <c r="V249" s="83">
        <f>Ruimtestaat[[#This Row],[Uitvoeringen werkdagen]]*Ruimtestaat[[#This Row],[Oppervlak (netto)]]</f>
        <v>832</v>
      </c>
      <c r="W249" s="84">
        <f>IF(U249&gt;0,Ruimtestaat[[#This Row],[Prest. (m2 /jaar) werkdagen]]/Ruimtestaat[[#This Row],[Norm (m2/uur) werkdagen]],0)</f>
        <v>0</v>
      </c>
      <c r="X249" s="85">
        <f>Ruimtestaat[[#This Row],[uren / jaar werkdagen]]*Tariefsopbouw!$E$35</f>
        <v>0</v>
      </c>
      <c r="Y249" s="82"/>
      <c r="Z249" s="86">
        <f>IF(Ruimtestaat[[#This Row],[Frequentie weekend]]&gt;0,VALUE(LEFT(Y249,1))*R249,0)</f>
        <v>0</v>
      </c>
      <c r="AA249" s="82">
        <f>IF($Z249&gt;0,VLOOKUP($J249,Ruimtegroepen[],3,FALSE)*VLOOKUP($L249,Vloersoorten[],3,FALSE)*VLOOKUP($Y249,Frequenties[],3,FALSE)*VLOOKUP($A245,Locaties[],3,FALSE),0)</f>
        <v>0</v>
      </c>
      <c r="AB249" s="84">
        <f>Ruimtestaat[[#This Row],[Uitvoeringen weekend]]*Ruimtestaat[[#This Row],[Oppervlak (netto)]]</f>
        <v>0</v>
      </c>
      <c r="AC249" s="87">
        <f>IF(AB249&gt;0,Ruimtestaat[[#This Row],[Prest. (m2 /jaar) weekend]]/Ruimtestaat[[#This Row],[Norm (m2/uur) weekend]],0)</f>
        <v>0</v>
      </c>
      <c r="AD249" s="88">
        <f>Ruimtestaat[[#This Row],[uren / jaar weekend]]*Tariefsopbouw!$D$40</f>
        <v>0</v>
      </c>
      <c r="AE249" s="89">
        <f>Ruimtestaat[[#This Row],[Prest. (m2 /jaar) weekend]]+Ruimtestaat[[#This Row],[Prest. (m2 /jaar) werkdagen]]</f>
        <v>832</v>
      </c>
      <c r="AF249" s="89">
        <f>Ruimtestaat[[#This Row],[uren / jaar weekend]]+Ruimtestaat[[#This Row],[uren / jaar werkdagen]]</f>
        <v>0</v>
      </c>
      <c r="AG249" s="90">
        <f>Ruimtestaat[[#This Row],[kosten / jaar weekend]]+Ruimtestaat[[#This Row],[kosten / jaar werkdagen]]</f>
        <v>0</v>
      </c>
      <c r="AH249" s="91"/>
      <c r="HL249" s="67"/>
    </row>
    <row r="250" spans="1:220" ht="15" customHeight="1">
      <c r="A250" s="53">
        <v>2</v>
      </c>
      <c r="B250" s="53" t="str">
        <f>VLOOKUP(Ruimtestaat[[#This Row],[Code]],Locaties[#All],2,FALSE)</f>
        <v>Open Schoolgemeenschap Bijlmer</v>
      </c>
      <c r="C250" s="53" t="str">
        <f>VLOOKUP(Ruimtestaat[[#This Row],[Code]],Locaties[#All],4,FALSE)</f>
        <v>Gulden Kruis 5</v>
      </c>
      <c r="D250" s="53" t="str">
        <f>VLOOKUP(Ruimtestaat[[#This Row],[Code]],Locaties[#All],5,FALSE)</f>
        <v>1103 BE</v>
      </c>
      <c r="E250" s="53" t="str">
        <f>VLOOKUP(Ruimtestaat[[#This Row],[Code]],Locaties[#All],6,FALSE)</f>
        <v>Amsterdam Zuidoost</v>
      </c>
      <c r="F250" s="78"/>
      <c r="G250" s="53" t="s">
        <v>564</v>
      </c>
      <c r="H250" s="53" t="s">
        <v>628</v>
      </c>
      <c r="I250" s="23" t="s">
        <v>621</v>
      </c>
      <c r="J250" s="53">
        <v>5</v>
      </c>
      <c r="K250" s="78" t="str">
        <f>VLOOKUP(J250,Ruimtegroepen[],2,FALSE)</f>
        <v>Sanitair</v>
      </c>
      <c r="L250" s="53" t="s">
        <v>285</v>
      </c>
      <c r="M250" s="53" t="s">
        <v>580</v>
      </c>
      <c r="N250" s="79">
        <v>12.08</v>
      </c>
      <c r="O250" s="79"/>
      <c r="P250" s="80" t="str">
        <f>LEFT(VLOOKUP(Ruimtestaat[[#This Row],[Ruimte code]],Ruimtegroepen[#All],4,1),2)</f>
        <v xml:space="preserve">S </v>
      </c>
      <c r="Q250" s="80"/>
      <c r="R250" s="81">
        <v>40</v>
      </c>
      <c r="S250" s="81" t="s">
        <v>296</v>
      </c>
      <c r="T250" s="82">
        <f>IF(R250&gt;0,IF(RIGHT(Ruimtestaat[[#This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50" s="82">
        <f>IF(T250&gt;0,VLOOKUP($J250,Ruimtegroepen[],3,FALSE)*VLOOKUP($L250,Vloersoorten[],3,FALSE)*VLOOKUP($S250,Frequenties[],3,FALSE)*VLOOKUP($A250,Locaties[],3,FALSE),0)</f>
        <v>0</v>
      </c>
      <c r="V250" s="83">
        <f>Ruimtestaat[[#This Row],[Uitvoeringen werkdagen]]*Ruimtestaat[[#This Row],[Oppervlak (netto)]]</f>
        <v>4832</v>
      </c>
      <c r="W250" s="84">
        <f>IF(U250&gt;0,Ruimtestaat[[#This Row],[Prest. (m2 /jaar) werkdagen]]/Ruimtestaat[[#This Row],[Norm (m2/uur) werkdagen]],0)</f>
        <v>0</v>
      </c>
      <c r="X250" s="85">
        <f>Ruimtestaat[[#This Row],[uren / jaar werkdagen]]*Tariefsopbouw!$E$35</f>
        <v>0</v>
      </c>
      <c r="Y250" s="82"/>
      <c r="Z250" s="86">
        <f>IF(Ruimtestaat[[#This Row],[Frequentie weekend]]&gt;0,VALUE(LEFT(Y250,1))*R250,0)</f>
        <v>0</v>
      </c>
      <c r="AA250" s="82">
        <f>IF($Z250&gt;0,VLOOKUP($J250,Ruimtegroepen[],3,FALSE)*VLOOKUP($L250,Vloersoorten[],3,FALSE)*VLOOKUP($Y250,Frequenties[],3,FALSE)*VLOOKUP($A246,Locaties[],3,FALSE),0)</f>
        <v>0</v>
      </c>
      <c r="AB250" s="84">
        <f>Ruimtestaat[[#This Row],[Uitvoeringen weekend]]*Ruimtestaat[[#This Row],[Oppervlak (netto)]]</f>
        <v>0</v>
      </c>
      <c r="AC250" s="87">
        <f>IF(AB250&gt;0,Ruimtestaat[[#This Row],[Prest. (m2 /jaar) weekend]]/Ruimtestaat[[#This Row],[Norm (m2/uur) weekend]],0)</f>
        <v>0</v>
      </c>
      <c r="AD250" s="88">
        <f>Ruimtestaat[[#This Row],[uren / jaar weekend]]*Tariefsopbouw!$D$40</f>
        <v>0</v>
      </c>
      <c r="AE250" s="89">
        <f>Ruimtestaat[[#This Row],[Prest. (m2 /jaar) weekend]]+Ruimtestaat[[#This Row],[Prest. (m2 /jaar) werkdagen]]</f>
        <v>4832</v>
      </c>
      <c r="AF250" s="89">
        <f>Ruimtestaat[[#This Row],[uren / jaar weekend]]+Ruimtestaat[[#This Row],[uren / jaar werkdagen]]</f>
        <v>0</v>
      </c>
      <c r="AG250" s="90">
        <f>Ruimtestaat[[#This Row],[kosten / jaar weekend]]+Ruimtestaat[[#This Row],[kosten / jaar werkdagen]]</f>
        <v>0</v>
      </c>
      <c r="AH250" s="91"/>
      <c r="HL250" s="67"/>
    </row>
    <row r="251" spans="1:220" ht="15" customHeight="1">
      <c r="A251" s="53">
        <v>2</v>
      </c>
      <c r="B251" s="53" t="str">
        <f>VLOOKUP(Ruimtestaat[[#This Row],[Code]],Locaties[#All],2,FALSE)</f>
        <v>Open Schoolgemeenschap Bijlmer</v>
      </c>
      <c r="C251" s="53" t="str">
        <f>VLOOKUP(Ruimtestaat[[#This Row],[Code]],Locaties[#All],4,FALSE)</f>
        <v>Gulden Kruis 5</v>
      </c>
      <c r="D251" s="53" t="str">
        <f>VLOOKUP(Ruimtestaat[[#This Row],[Code]],Locaties[#All],5,FALSE)</f>
        <v>1103 BE</v>
      </c>
      <c r="E251" s="53" t="str">
        <f>VLOOKUP(Ruimtestaat[[#This Row],[Code]],Locaties[#All],6,FALSE)</f>
        <v>Amsterdam Zuidoost</v>
      </c>
      <c r="F251" s="78"/>
      <c r="G251" s="53" t="s">
        <v>564</v>
      </c>
      <c r="H251" s="53" t="s">
        <v>629</v>
      </c>
      <c r="I251" s="23" t="s">
        <v>579</v>
      </c>
      <c r="J251" s="53">
        <v>5</v>
      </c>
      <c r="K251" s="78" t="str">
        <f>VLOOKUP(J251,Ruimtegroepen[],2,FALSE)</f>
        <v>Sanitair</v>
      </c>
      <c r="L251" s="53" t="s">
        <v>285</v>
      </c>
      <c r="M251" s="53" t="s">
        <v>580</v>
      </c>
      <c r="N251" s="79">
        <v>6.27</v>
      </c>
      <c r="O251" s="79"/>
      <c r="P251" s="80" t="str">
        <f>LEFT(VLOOKUP(Ruimtestaat[[#This Row],[Ruimte code]],Ruimtegroepen[#All],4,1),2)</f>
        <v xml:space="preserve">S </v>
      </c>
      <c r="Q251" s="80"/>
      <c r="R251" s="81">
        <v>40</v>
      </c>
      <c r="S251" s="81" t="s">
        <v>296</v>
      </c>
      <c r="T251" s="82">
        <f>IF(R251&gt;0,IF(RIGHT(Ruimtestaat[[#This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51" s="82">
        <f>IF(T251&gt;0,VLOOKUP($J251,Ruimtegroepen[],3,FALSE)*VLOOKUP($L251,Vloersoorten[],3,FALSE)*VLOOKUP($S251,Frequenties[],3,FALSE)*VLOOKUP($A251,Locaties[],3,FALSE),0)</f>
        <v>0</v>
      </c>
      <c r="V251" s="83">
        <f>Ruimtestaat[[#This Row],[Uitvoeringen werkdagen]]*Ruimtestaat[[#This Row],[Oppervlak (netto)]]</f>
        <v>2508</v>
      </c>
      <c r="W251" s="84">
        <f>IF(U251&gt;0,Ruimtestaat[[#This Row],[Prest. (m2 /jaar) werkdagen]]/Ruimtestaat[[#This Row],[Norm (m2/uur) werkdagen]],0)</f>
        <v>0</v>
      </c>
      <c r="X251" s="85">
        <f>Ruimtestaat[[#This Row],[uren / jaar werkdagen]]*Tariefsopbouw!$E$35</f>
        <v>0</v>
      </c>
      <c r="Y251" s="82"/>
      <c r="Z251" s="86">
        <f>IF(Ruimtestaat[[#This Row],[Frequentie weekend]]&gt;0,VALUE(LEFT(Y251,1))*R251,0)</f>
        <v>0</v>
      </c>
      <c r="AA251" s="82">
        <f>IF($Z251&gt;0,VLOOKUP($J251,Ruimtegroepen[],3,FALSE)*VLOOKUP($L251,Vloersoorten[],3,FALSE)*VLOOKUP($Y251,Frequenties[],3,FALSE)*VLOOKUP($A247,Locaties[],3,FALSE),0)</f>
        <v>0</v>
      </c>
      <c r="AB251" s="84">
        <f>Ruimtestaat[[#This Row],[Uitvoeringen weekend]]*Ruimtestaat[[#This Row],[Oppervlak (netto)]]</f>
        <v>0</v>
      </c>
      <c r="AC251" s="87">
        <f>IF(AB251&gt;0,Ruimtestaat[[#This Row],[Prest. (m2 /jaar) weekend]]/Ruimtestaat[[#This Row],[Norm (m2/uur) weekend]],0)</f>
        <v>0</v>
      </c>
      <c r="AD251" s="88">
        <f>Ruimtestaat[[#This Row],[uren / jaar weekend]]*Tariefsopbouw!$D$40</f>
        <v>0</v>
      </c>
      <c r="AE251" s="89">
        <f>Ruimtestaat[[#This Row],[Prest. (m2 /jaar) weekend]]+Ruimtestaat[[#This Row],[Prest. (m2 /jaar) werkdagen]]</f>
        <v>2508</v>
      </c>
      <c r="AF251" s="89">
        <f>Ruimtestaat[[#This Row],[uren / jaar weekend]]+Ruimtestaat[[#This Row],[uren / jaar werkdagen]]</f>
        <v>0</v>
      </c>
      <c r="AG251" s="90">
        <f>Ruimtestaat[[#This Row],[kosten / jaar weekend]]+Ruimtestaat[[#This Row],[kosten / jaar werkdagen]]</f>
        <v>0</v>
      </c>
      <c r="HL251" s="67"/>
    </row>
    <row r="252" spans="1:220" ht="15" customHeight="1">
      <c r="A252" s="53">
        <v>2</v>
      </c>
      <c r="B252" s="53" t="str">
        <f>VLOOKUP(Ruimtestaat[[#This Row],[Code]],Locaties[#All],2,FALSE)</f>
        <v>Open Schoolgemeenschap Bijlmer</v>
      </c>
      <c r="C252" s="53" t="str">
        <f>VLOOKUP(Ruimtestaat[[#This Row],[Code]],Locaties[#All],4,FALSE)</f>
        <v>Gulden Kruis 5</v>
      </c>
      <c r="D252" s="53" t="str">
        <f>VLOOKUP(Ruimtestaat[[#This Row],[Code]],Locaties[#All],5,FALSE)</f>
        <v>1103 BE</v>
      </c>
      <c r="E252" s="53" t="str">
        <f>VLOOKUP(Ruimtestaat[[#This Row],[Code]],Locaties[#All],6,FALSE)</f>
        <v>Amsterdam Zuidoost</v>
      </c>
      <c r="F252" s="78"/>
      <c r="G252" s="53" t="s">
        <v>564</v>
      </c>
      <c r="H252" s="53" t="s">
        <v>630</v>
      </c>
      <c r="I252" s="23" t="s">
        <v>618</v>
      </c>
      <c r="J252" s="53">
        <v>19</v>
      </c>
      <c r="K252" s="78" t="str">
        <f>VLOOKUP(J252,Ruimtegroepen[],2,FALSE)</f>
        <v>Kleedruimten</v>
      </c>
      <c r="L252" s="53" t="s">
        <v>285</v>
      </c>
      <c r="M252" s="53" t="s">
        <v>580</v>
      </c>
      <c r="N252" s="79">
        <v>17.079999999999998</v>
      </c>
      <c r="O252" s="79"/>
      <c r="P252" s="80" t="str">
        <f>LEFT(VLOOKUP(Ruimtestaat[[#This Row],[Ruimte code]],Ruimtegroepen[#All],4,1),2)</f>
        <v xml:space="preserve">V </v>
      </c>
      <c r="Q252" s="80"/>
      <c r="R252" s="81">
        <v>40</v>
      </c>
      <c r="S252" s="81" t="s">
        <v>298</v>
      </c>
      <c r="T252" s="82">
        <f>IF(R252&gt;0,IF(RIGHT(Ruimtestaat[[#This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2" s="82">
        <f>IF(T252&gt;0,VLOOKUP($J252,Ruimtegroepen[],3,FALSE)*VLOOKUP($L252,Vloersoorten[],3,FALSE)*VLOOKUP($S252,Frequenties[],3,FALSE)*VLOOKUP($A252,Locaties[],3,FALSE),0)</f>
        <v>0</v>
      </c>
      <c r="V252" s="83">
        <f>Ruimtestaat[[#This Row],[Uitvoeringen werkdagen]]*Ruimtestaat[[#This Row],[Oppervlak (netto)]]</f>
        <v>3415.9999999999995</v>
      </c>
      <c r="W252" s="84">
        <f>IF(U252&gt;0,Ruimtestaat[[#This Row],[Prest. (m2 /jaar) werkdagen]]/Ruimtestaat[[#This Row],[Norm (m2/uur) werkdagen]],0)</f>
        <v>0</v>
      </c>
      <c r="X252" s="85">
        <f>Ruimtestaat[[#This Row],[uren / jaar werkdagen]]*Tariefsopbouw!$E$35</f>
        <v>0</v>
      </c>
      <c r="Y252" s="82"/>
      <c r="Z252" s="86">
        <f>IF(Ruimtestaat[[#This Row],[Frequentie weekend]]&gt;0,VALUE(LEFT(Y252,1))*R252,0)</f>
        <v>0</v>
      </c>
      <c r="AA252" s="82">
        <f>IF($Z252&gt;0,VLOOKUP($J252,Ruimtegroepen[],3,FALSE)*VLOOKUP($L252,Vloersoorten[],3,FALSE)*VLOOKUP($Y252,Frequenties[],3,FALSE)*VLOOKUP($A248,Locaties[],3,FALSE),0)</f>
        <v>0</v>
      </c>
      <c r="AB252" s="84">
        <f>Ruimtestaat[[#This Row],[Uitvoeringen weekend]]*Ruimtestaat[[#This Row],[Oppervlak (netto)]]</f>
        <v>0</v>
      </c>
      <c r="AC252" s="87">
        <f>IF(AB252&gt;0,Ruimtestaat[[#This Row],[Prest. (m2 /jaar) weekend]]/Ruimtestaat[[#This Row],[Norm (m2/uur) weekend]],0)</f>
        <v>0</v>
      </c>
      <c r="AD252" s="88">
        <f>Ruimtestaat[[#This Row],[uren / jaar weekend]]*Tariefsopbouw!$D$40</f>
        <v>0</v>
      </c>
      <c r="AE252" s="89">
        <f>Ruimtestaat[[#This Row],[Prest. (m2 /jaar) weekend]]+Ruimtestaat[[#This Row],[Prest. (m2 /jaar) werkdagen]]</f>
        <v>3415.9999999999995</v>
      </c>
      <c r="AF252" s="89">
        <f>Ruimtestaat[[#This Row],[uren / jaar weekend]]+Ruimtestaat[[#This Row],[uren / jaar werkdagen]]</f>
        <v>0</v>
      </c>
      <c r="AG252" s="90">
        <f>Ruimtestaat[[#This Row],[kosten / jaar weekend]]+Ruimtestaat[[#This Row],[kosten / jaar werkdagen]]</f>
        <v>0</v>
      </c>
      <c r="HL252" s="67"/>
    </row>
    <row r="253" spans="1:220" ht="15" customHeight="1">
      <c r="A253" s="53">
        <v>2</v>
      </c>
      <c r="B253" s="53" t="str">
        <f>VLOOKUP(Ruimtestaat[[#This Row],[Code]],Locaties[#All],2,FALSE)</f>
        <v>Open Schoolgemeenschap Bijlmer</v>
      </c>
      <c r="C253" s="53" t="str">
        <f>VLOOKUP(Ruimtestaat[[#This Row],[Code]],Locaties[#All],4,FALSE)</f>
        <v>Gulden Kruis 5</v>
      </c>
      <c r="D253" s="53" t="str">
        <f>VLOOKUP(Ruimtestaat[[#This Row],[Code]],Locaties[#All],5,FALSE)</f>
        <v>1103 BE</v>
      </c>
      <c r="E253" s="53" t="str">
        <f>VLOOKUP(Ruimtestaat[[#This Row],[Code]],Locaties[#All],6,FALSE)</f>
        <v>Amsterdam Zuidoost</v>
      </c>
      <c r="F253" s="78"/>
      <c r="G253" s="53" t="s">
        <v>564</v>
      </c>
      <c r="H253" s="53" t="s">
        <v>631</v>
      </c>
      <c r="I253" s="23" t="s">
        <v>579</v>
      </c>
      <c r="J253" s="53">
        <v>5</v>
      </c>
      <c r="K253" s="78" t="str">
        <f>VLOOKUP(J253,Ruimtegroepen[],2,FALSE)</f>
        <v>Sanitair</v>
      </c>
      <c r="L253" s="53" t="s">
        <v>285</v>
      </c>
      <c r="M253" s="53" t="s">
        <v>580</v>
      </c>
      <c r="N253" s="79">
        <v>2.08</v>
      </c>
      <c r="O253" s="79"/>
      <c r="P253" s="80" t="str">
        <f>LEFT(VLOOKUP(Ruimtestaat[[#This Row],[Ruimte code]],Ruimtegroepen[#All],4,1),2)</f>
        <v xml:space="preserve">S </v>
      </c>
      <c r="Q253" s="80"/>
      <c r="R253" s="81">
        <v>40</v>
      </c>
      <c r="S253" s="81" t="s">
        <v>296</v>
      </c>
      <c r="T253" s="82">
        <f>IF(R253&gt;0,IF(RIGHT(Ruimtestaat[[#This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53" s="82">
        <f>IF(T253&gt;0,VLOOKUP($J253,Ruimtegroepen[],3,FALSE)*VLOOKUP($L253,Vloersoorten[],3,FALSE)*VLOOKUP($S253,Frequenties[],3,FALSE)*VLOOKUP($A253,Locaties[],3,FALSE),0)</f>
        <v>0</v>
      </c>
      <c r="V253" s="83">
        <f>Ruimtestaat[[#This Row],[Uitvoeringen werkdagen]]*Ruimtestaat[[#This Row],[Oppervlak (netto)]]</f>
        <v>832</v>
      </c>
      <c r="W253" s="84">
        <f>IF(U253&gt;0,Ruimtestaat[[#This Row],[Prest. (m2 /jaar) werkdagen]]/Ruimtestaat[[#This Row],[Norm (m2/uur) werkdagen]],0)</f>
        <v>0</v>
      </c>
      <c r="X253" s="85">
        <f>Ruimtestaat[[#This Row],[uren / jaar werkdagen]]*Tariefsopbouw!$E$35</f>
        <v>0</v>
      </c>
      <c r="Y253" s="82"/>
      <c r="Z253" s="86">
        <f>IF(Ruimtestaat[[#This Row],[Frequentie weekend]]&gt;0,VALUE(LEFT(Y253,1))*R253,0)</f>
        <v>0</v>
      </c>
      <c r="AA253" s="82">
        <f>IF($Z253&gt;0,VLOOKUP($J253,Ruimtegroepen[],3,FALSE)*VLOOKUP($L253,Vloersoorten[],3,FALSE)*VLOOKUP($Y253,Frequenties[],3,FALSE)*VLOOKUP($A249,Locaties[],3,FALSE),0)</f>
        <v>0</v>
      </c>
      <c r="AB253" s="84">
        <f>Ruimtestaat[[#This Row],[Uitvoeringen weekend]]*Ruimtestaat[[#This Row],[Oppervlak (netto)]]</f>
        <v>0</v>
      </c>
      <c r="AC253" s="87">
        <f>IF(AB253&gt;0,Ruimtestaat[[#This Row],[Prest. (m2 /jaar) weekend]]/Ruimtestaat[[#This Row],[Norm (m2/uur) weekend]],0)</f>
        <v>0</v>
      </c>
      <c r="AD253" s="88">
        <f>Ruimtestaat[[#This Row],[uren / jaar weekend]]*Tariefsopbouw!$D$40</f>
        <v>0</v>
      </c>
      <c r="AE253" s="89">
        <f>Ruimtestaat[[#This Row],[Prest. (m2 /jaar) weekend]]+Ruimtestaat[[#This Row],[Prest. (m2 /jaar) werkdagen]]</f>
        <v>832</v>
      </c>
      <c r="AF253" s="89">
        <f>Ruimtestaat[[#This Row],[uren / jaar weekend]]+Ruimtestaat[[#This Row],[uren / jaar werkdagen]]</f>
        <v>0</v>
      </c>
      <c r="AG253" s="90">
        <f>Ruimtestaat[[#This Row],[kosten / jaar weekend]]+Ruimtestaat[[#This Row],[kosten / jaar werkdagen]]</f>
        <v>0</v>
      </c>
      <c r="HL253" s="67"/>
    </row>
    <row r="254" spans="1:220" ht="15" customHeight="1">
      <c r="A254" s="53">
        <v>2</v>
      </c>
      <c r="B254" s="53" t="str">
        <f>VLOOKUP(Ruimtestaat[[#This Row],[Code]],Locaties[#All],2,FALSE)</f>
        <v>Open Schoolgemeenschap Bijlmer</v>
      </c>
      <c r="C254" s="53" t="str">
        <f>VLOOKUP(Ruimtestaat[[#This Row],[Code]],Locaties[#All],4,FALSE)</f>
        <v>Gulden Kruis 5</v>
      </c>
      <c r="D254" s="53" t="str">
        <f>VLOOKUP(Ruimtestaat[[#This Row],[Code]],Locaties[#All],5,FALSE)</f>
        <v>1103 BE</v>
      </c>
      <c r="E254" s="53" t="str">
        <f>VLOOKUP(Ruimtestaat[[#This Row],[Code]],Locaties[#All],6,FALSE)</f>
        <v>Amsterdam Zuidoost</v>
      </c>
      <c r="F254" s="78"/>
      <c r="G254" s="53" t="s">
        <v>564</v>
      </c>
      <c r="H254" s="53" t="s">
        <v>632</v>
      </c>
      <c r="I254" s="23" t="s">
        <v>621</v>
      </c>
      <c r="J254" s="53">
        <v>5</v>
      </c>
      <c r="K254" s="78" t="str">
        <f>VLOOKUP(J254,Ruimtegroepen[],2,FALSE)</f>
        <v>Sanitair</v>
      </c>
      <c r="L254" s="53" t="s">
        <v>285</v>
      </c>
      <c r="M254" s="53" t="s">
        <v>580</v>
      </c>
      <c r="N254" s="79">
        <v>12.08</v>
      </c>
      <c r="O254" s="79"/>
      <c r="P254" s="80" t="str">
        <f>LEFT(VLOOKUP(Ruimtestaat[[#This Row],[Ruimte code]],Ruimtegroepen[#All],4,1),2)</f>
        <v xml:space="preserve">S </v>
      </c>
      <c r="Q254" s="80"/>
      <c r="R254" s="81">
        <v>40</v>
      </c>
      <c r="S254" s="81" t="s">
        <v>296</v>
      </c>
      <c r="T254" s="82">
        <f>IF(R254&gt;0,IF(RIGHT(Ruimtestaat[[#This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54" s="82">
        <f>IF(T254&gt;0,VLOOKUP($J254,Ruimtegroepen[],3,FALSE)*VLOOKUP($L254,Vloersoorten[],3,FALSE)*VLOOKUP($S254,Frequenties[],3,FALSE)*VLOOKUP($A254,Locaties[],3,FALSE),0)</f>
        <v>0</v>
      </c>
      <c r="V254" s="83">
        <f>Ruimtestaat[[#This Row],[Uitvoeringen werkdagen]]*Ruimtestaat[[#This Row],[Oppervlak (netto)]]</f>
        <v>4832</v>
      </c>
      <c r="W254" s="84">
        <f>IF(U254&gt;0,Ruimtestaat[[#This Row],[Prest. (m2 /jaar) werkdagen]]/Ruimtestaat[[#This Row],[Norm (m2/uur) werkdagen]],0)</f>
        <v>0</v>
      </c>
      <c r="X254" s="85">
        <f>Ruimtestaat[[#This Row],[uren / jaar werkdagen]]*Tariefsopbouw!$E$35</f>
        <v>0</v>
      </c>
      <c r="Y254" s="82"/>
      <c r="Z254" s="86">
        <f>IF(Ruimtestaat[[#This Row],[Frequentie weekend]]&gt;0,VALUE(LEFT(Y254,1))*R254,0)</f>
        <v>0</v>
      </c>
      <c r="AA254" s="82">
        <f>IF($Z254&gt;0,VLOOKUP($J254,Ruimtegroepen[],3,FALSE)*VLOOKUP($L254,Vloersoorten[],3,FALSE)*VLOOKUP($Y254,Frequenties[],3,FALSE)*VLOOKUP($A250,Locaties[],3,FALSE),0)</f>
        <v>0</v>
      </c>
      <c r="AB254" s="84">
        <f>Ruimtestaat[[#This Row],[Uitvoeringen weekend]]*Ruimtestaat[[#This Row],[Oppervlak (netto)]]</f>
        <v>0</v>
      </c>
      <c r="AC254" s="87">
        <f>IF(AB254&gt;0,Ruimtestaat[[#This Row],[Prest. (m2 /jaar) weekend]]/Ruimtestaat[[#This Row],[Norm (m2/uur) weekend]],0)</f>
        <v>0</v>
      </c>
      <c r="AD254" s="88">
        <f>Ruimtestaat[[#This Row],[uren / jaar weekend]]*Tariefsopbouw!$D$40</f>
        <v>0</v>
      </c>
      <c r="AE254" s="89">
        <f>Ruimtestaat[[#This Row],[Prest. (m2 /jaar) weekend]]+Ruimtestaat[[#This Row],[Prest. (m2 /jaar) werkdagen]]</f>
        <v>4832</v>
      </c>
      <c r="AF254" s="89">
        <f>Ruimtestaat[[#This Row],[uren / jaar weekend]]+Ruimtestaat[[#This Row],[uren / jaar werkdagen]]</f>
        <v>0</v>
      </c>
      <c r="AG254" s="90">
        <f>Ruimtestaat[[#This Row],[kosten / jaar weekend]]+Ruimtestaat[[#This Row],[kosten / jaar werkdagen]]</f>
        <v>0</v>
      </c>
      <c r="HL254" s="67"/>
    </row>
    <row r="255" spans="1:220" ht="15" customHeight="1">
      <c r="A255" s="53">
        <v>2</v>
      </c>
      <c r="B255" s="53" t="str">
        <f>VLOOKUP(Ruimtestaat[[#This Row],[Code]],Locaties[#All],2,FALSE)</f>
        <v>Open Schoolgemeenschap Bijlmer</v>
      </c>
      <c r="C255" s="53" t="str">
        <f>VLOOKUP(Ruimtestaat[[#This Row],[Code]],Locaties[#All],4,FALSE)</f>
        <v>Gulden Kruis 5</v>
      </c>
      <c r="D255" s="53" t="str">
        <f>VLOOKUP(Ruimtestaat[[#This Row],[Code]],Locaties[#All],5,FALSE)</f>
        <v>1103 BE</v>
      </c>
      <c r="E255" s="53" t="str">
        <f>VLOOKUP(Ruimtestaat[[#This Row],[Code]],Locaties[#All],6,FALSE)</f>
        <v>Amsterdam Zuidoost</v>
      </c>
      <c r="F255" s="78"/>
      <c r="G255" s="53" t="s">
        <v>564</v>
      </c>
      <c r="H255" s="53" t="s">
        <v>633</v>
      </c>
      <c r="I255" s="23" t="s">
        <v>272</v>
      </c>
      <c r="J255" s="53">
        <v>18</v>
      </c>
      <c r="K255" s="78" t="str">
        <f>VLOOKUP(J255,Ruimtegroepen[],2,FALSE)</f>
        <v>Gymzaal</v>
      </c>
      <c r="L255" s="53" t="s">
        <v>288</v>
      </c>
      <c r="M255" s="53" t="s">
        <v>634</v>
      </c>
      <c r="N255" s="79">
        <v>280</v>
      </c>
      <c r="O255" s="79"/>
      <c r="P255" s="80" t="str">
        <f>LEFT(VLOOKUP(Ruimtestaat[[#This Row],[Ruimte code]],Ruimtegroepen[#All],4,1),2)</f>
        <v>Sp</v>
      </c>
      <c r="Q255" s="80"/>
      <c r="R255" s="81">
        <v>40</v>
      </c>
      <c r="S255" s="81" t="s">
        <v>298</v>
      </c>
      <c r="T255" s="82">
        <f>IF(R255&gt;0,IF(RIGHT(Ruimtestaat[[#This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5" s="82">
        <f>IF(T255&gt;0,VLOOKUP($J255,Ruimtegroepen[],3,FALSE)*VLOOKUP($L255,Vloersoorten[],3,FALSE)*VLOOKUP($S255,Frequenties[],3,FALSE)*VLOOKUP($A255,Locaties[],3,FALSE),0)</f>
        <v>0</v>
      </c>
      <c r="V255" s="83">
        <f>Ruimtestaat[[#This Row],[Uitvoeringen werkdagen]]*Ruimtestaat[[#This Row],[Oppervlak (netto)]]</f>
        <v>56000</v>
      </c>
      <c r="W255" s="84">
        <f>IF(U255&gt;0,Ruimtestaat[[#This Row],[Prest. (m2 /jaar) werkdagen]]/Ruimtestaat[[#This Row],[Norm (m2/uur) werkdagen]],0)</f>
        <v>0</v>
      </c>
      <c r="X255" s="85">
        <f>Ruimtestaat[[#This Row],[uren / jaar werkdagen]]*Tariefsopbouw!$E$35</f>
        <v>0</v>
      </c>
      <c r="Y255" s="82"/>
      <c r="Z255" s="86">
        <f>IF(Ruimtestaat[[#This Row],[Frequentie weekend]]&gt;0,VALUE(LEFT(Y255,1))*R255,0)</f>
        <v>0</v>
      </c>
      <c r="AA255" s="82">
        <f>IF($Z255&gt;0,VLOOKUP($J255,Ruimtegroepen[],3,FALSE)*VLOOKUP($L255,Vloersoorten[],3,FALSE)*VLOOKUP($Y255,Frequenties[],3,FALSE)*VLOOKUP($A251,Locaties[],3,FALSE),0)</f>
        <v>0</v>
      </c>
      <c r="AB255" s="84">
        <f>Ruimtestaat[[#This Row],[Uitvoeringen weekend]]*Ruimtestaat[[#This Row],[Oppervlak (netto)]]</f>
        <v>0</v>
      </c>
      <c r="AC255" s="87">
        <f>IF(AB255&gt;0,Ruimtestaat[[#This Row],[Prest. (m2 /jaar) weekend]]/Ruimtestaat[[#This Row],[Norm (m2/uur) weekend]],0)</f>
        <v>0</v>
      </c>
      <c r="AD255" s="88">
        <f>Ruimtestaat[[#This Row],[uren / jaar weekend]]*Tariefsopbouw!$D$40</f>
        <v>0</v>
      </c>
      <c r="AE255" s="89">
        <f>Ruimtestaat[[#This Row],[Prest. (m2 /jaar) weekend]]+Ruimtestaat[[#This Row],[Prest. (m2 /jaar) werkdagen]]</f>
        <v>56000</v>
      </c>
      <c r="AF255" s="89">
        <f>Ruimtestaat[[#This Row],[uren / jaar weekend]]+Ruimtestaat[[#This Row],[uren / jaar werkdagen]]</f>
        <v>0</v>
      </c>
      <c r="AG255" s="90">
        <f>Ruimtestaat[[#This Row],[kosten / jaar weekend]]+Ruimtestaat[[#This Row],[kosten / jaar werkdagen]]</f>
        <v>0</v>
      </c>
      <c r="HL255" s="67"/>
    </row>
    <row r="256" spans="1:220" ht="15" customHeight="1">
      <c r="A256" s="53">
        <v>2</v>
      </c>
      <c r="B256" s="53" t="str">
        <f>VLOOKUP(Ruimtestaat[[#This Row],[Code]],Locaties[#All],2,FALSE)</f>
        <v>Open Schoolgemeenschap Bijlmer</v>
      </c>
      <c r="C256" s="53" t="str">
        <f>VLOOKUP(Ruimtestaat[[#This Row],[Code]],Locaties[#All],4,FALSE)</f>
        <v>Gulden Kruis 5</v>
      </c>
      <c r="D256" s="53" t="str">
        <f>VLOOKUP(Ruimtestaat[[#This Row],[Code]],Locaties[#All],5,FALSE)</f>
        <v>1103 BE</v>
      </c>
      <c r="E256" s="53" t="str">
        <f>VLOOKUP(Ruimtestaat[[#This Row],[Code]],Locaties[#All],6,FALSE)</f>
        <v>Amsterdam Zuidoost</v>
      </c>
      <c r="F256" s="78"/>
      <c r="G256" s="53" t="s">
        <v>564</v>
      </c>
      <c r="H256" s="53" t="s">
        <v>635</v>
      </c>
      <c r="I256" s="23" t="s">
        <v>270</v>
      </c>
      <c r="J256" s="53">
        <v>17</v>
      </c>
      <c r="K256" s="78" t="str">
        <f>VLOOKUP(J256,Ruimtegroepen[],2,FALSE)</f>
        <v>Toestelberging</v>
      </c>
      <c r="L256" s="53" t="s">
        <v>288</v>
      </c>
      <c r="M256" s="53" t="s">
        <v>634</v>
      </c>
      <c r="N256" s="79">
        <v>25.7</v>
      </c>
      <c r="O256" s="79"/>
      <c r="P256" s="80" t="str">
        <f>LEFT(VLOOKUP(Ruimtestaat[[#This Row],[Ruimte code]],Ruimtegroepen[#All],4,1),2)</f>
        <v>Sp</v>
      </c>
      <c r="Q256" s="80"/>
      <c r="R256" s="81">
        <v>40</v>
      </c>
      <c r="S256" s="81" t="s">
        <v>298</v>
      </c>
      <c r="T256" s="82">
        <f>IF(R256&gt;0,IF(RIGHT(Ruimtestaat[[#This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6" s="82">
        <f>IF(T256&gt;0,VLOOKUP($J256,Ruimtegroepen[],3,FALSE)*VLOOKUP($L256,Vloersoorten[],3,FALSE)*VLOOKUP($S256,Frequenties[],3,FALSE)*VLOOKUP($A256,Locaties[],3,FALSE),0)</f>
        <v>0</v>
      </c>
      <c r="V256" s="83">
        <f>Ruimtestaat[[#This Row],[Uitvoeringen werkdagen]]*Ruimtestaat[[#This Row],[Oppervlak (netto)]]</f>
        <v>5140</v>
      </c>
      <c r="W256" s="84">
        <f>IF(U256&gt;0,Ruimtestaat[[#This Row],[Prest. (m2 /jaar) werkdagen]]/Ruimtestaat[[#This Row],[Norm (m2/uur) werkdagen]],0)</f>
        <v>0</v>
      </c>
      <c r="X256" s="85">
        <f>Ruimtestaat[[#This Row],[uren / jaar werkdagen]]*Tariefsopbouw!$E$35</f>
        <v>0</v>
      </c>
      <c r="Y256" s="82"/>
      <c r="Z256" s="86">
        <f>IF(Ruimtestaat[[#This Row],[Frequentie weekend]]&gt;0,VALUE(LEFT(Y256,1))*R256,0)</f>
        <v>0</v>
      </c>
      <c r="AA256" s="82">
        <f>IF($Z256&gt;0,VLOOKUP($J256,Ruimtegroepen[],3,FALSE)*VLOOKUP($L256,Vloersoorten[],3,FALSE)*VLOOKUP($Y256,Frequenties[],3,FALSE)*VLOOKUP($A252,Locaties[],3,FALSE),0)</f>
        <v>0</v>
      </c>
      <c r="AB256" s="84">
        <f>Ruimtestaat[[#This Row],[Uitvoeringen weekend]]*Ruimtestaat[[#This Row],[Oppervlak (netto)]]</f>
        <v>0</v>
      </c>
      <c r="AC256" s="87">
        <f>IF(AB256&gt;0,Ruimtestaat[[#This Row],[Prest. (m2 /jaar) weekend]]/Ruimtestaat[[#This Row],[Norm (m2/uur) weekend]],0)</f>
        <v>0</v>
      </c>
      <c r="AD256" s="88">
        <f>Ruimtestaat[[#This Row],[uren / jaar weekend]]*Tariefsopbouw!$D$40</f>
        <v>0</v>
      </c>
      <c r="AE256" s="89">
        <f>Ruimtestaat[[#This Row],[Prest. (m2 /jaar) weekend]]+Ruimtestaat[[#This Row],[Prest. (m2 /jaar) werkdagen]]</f>
        <v>5140</v>
      </c>
      <c r="AF256" s="89">
        <f>Ruimtestaat[[#This Row],[uren / jaar weekend]]+Ruimtestaat[[#This Row],[uren / jaar werkdagen]]</f>
        <v>0</v>
      </c>
      <c r="AG256" s="90">
        <f>Ruimtestaat[[#This Row],[kosten / jaar weekend]]+Ruimtestaat[[#This Row],[kosten / jaar werkdagen]]</f>
        <v>0</v>
      </c>
      <c r="HL256" s="67"/>
    </row>
    <row r="257" spans="1:220" ht="15" customHeight="1">
      <c r="A257" s="53">
        <v>2</v>
      </c>
      <c r="B257" s="53" t="str">
        <f>VLOOKUP(Ruimtestaat[[#This Row],[Code]],Locaties[#All],2,FALSE)</f>
        <v>Open Schoolgemeenschap Bijlmer</v>
      </c>
      <c r="C257" s="53" t="str">
        <f>VLOOKUP(Ruimtestaat[[#This Row],[Code]],Locaties[#All],4,FALSE)</f>
        <v>Gulden Kruis 5</v>
      </c>
      <c r="D257" s="53" t="str">
        <f>VLOOKUP(Ruimtestaat[[#This Row],[Code]],Locaties[#All],5,FALSE)</f>
        <v>1103 BE</v>
      </c>
      <c r="E257" s="53" t="str">
        <f>VLOOKUP(Ruimtestaat[[#This Row],[Code]],Locaties[#All],6,FALSE)</f>
        <v>Amsterdam Zuidoost</v>
      </c>
      <c r="F257" s="78"/>
      <c r="G257" s="53" t="s">
        <v>564</v>
      </c>
      <c r="H257" s="53" t="s">
        <v>636</v>
      </c>
      <c r="I257" s="23" t="s">
        <v>272</v>
      </c>
      <c r="J257" s="53">
        <v>18</v>
      </c>
      <c r="K257" s="78" t="str">
        <f>VLOOKUP(J257,Ruimtegroepen[],2,FALSE)</f>
        <v>Gymzaal</v>
      </c>
      <c r="L257" s="53" t="s">
        <v>288</v>
      </c>
      <c r="M257" s="53" t="s">
        <v>634</v>
      </c>
      <c r="N257" s="79">
        <v>280</v>
      </c>
      <c r="O257" s="79"/>
      <c r="P257" s="80" t="str">
        <f>LEFT(VLOOKUP(Ruimtestaat[[#This Row],[Ruimte code]],Ruimtegroepen[#All],4,1),2)</f>
        <v>Sp</v>
      </c>
      <c r="Q257" s="80"/>
      <c r="R257" s="81">
        <v>40</v>
      </c>
      <c r="S257" s="81" t="s">
        <v>298</v>
      </c>
      <c r="T257" s="82">
        <f>IF(R257&gt;0,IF(RIGHT(Ruimtestaat[[#This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7" s="82">
        <f>IF(T257&gt;0,VLOOKUP($J257,Ruimtegroepen[],3,FALSE)*VLOOKUP($L257,Vloersoorten[],3,FALSE)*VLOOKUP($S257,Frequenties[],3,FALSE)*VLOOKUP($A257,Locaties[],3,FALSE),0)</f>
        <v>0</v>
      </c>
      <c r="V257" s="83">
        <f>Ruimtestaat[[#This Row],[Uitvoeringen werkdagen]]*Ruimtestaat[[#This Row],[Oppervlak (netto)]]</f>
        <v>56000</v>
      </c>
      <c r="W257" s="84">
        <f>IF(U257&gt;0,Ruimtestaat[[#This Row],[Prest. (m2 /jaar) werkdagen]]/Ruimtestaat[[#This Row],[Norm (m2/uur) werkdagen]],0)</f>
        <v>0</v>
      </c>
      <c r="X257" s="85">
        <f>Ruimtestaat[[#This Row],[uren / jaar werkdagen]]*Tariefsopbouw!$E$35</f>
        <v>0</v>
      </c>
      <c r="Y257" s="82"/>
      <c r="Z257" s="86">
        <f>IF(Ruimtestaat[[#This Row],[Frequentie weekend]]&gt;0,VALUE(LEFT(Y257,1))*R257,0)</f>
        <v>0</v>
      </c>
      <c r="AA257" s="82">
        <f>IF($Z257&gt;0,VLOOKUP($J257,Ruimtegroepen[],3,FALSE)*VLOOKUP($L257,Vloersoorten[],3,FALSE)*VLOOKUP($Y257,Frequenties[],3,FALSE)*VLOOKUP($A253,Locaties[],3,FALSE),0)</f>
        <v>0</v>
      </c>
      <c r="AB257" s="84">
        <f>Ruimtestaat[[#This Row],[Uitvoeringen weekend]]*Ruimtestaat[[#This Row],[Oppervlak (netto)]]</f>
        <v>0</v>
      </c>
      <c r="AC257" s="87">
        <f>IF(AB257&gt;0,Ruimtestaat[[#This Row],[Prest. (m2 /jaar) weekend]]/Ruimtestaat[[#This Row],[Norm (m2/uur) weekend]],0)</f>
        <v>0</v>
      </c>
      <c r="AD257" s="88">
        <f>Ruimtestaat[[#This Row],[uren / jaar weekend]]*Tariefsopbouw!$D$40</f>
        <v>0</v>
      </c>
      <c r="AE257" s="89">
        <f>Ruimtestaat[[#This Row],[Prest. (m2 /jaar) weekend]]+Ruimtestaat[[#This Row],[Prest. (m2 /jaar) werkdagen]]</f>
        <v>56000</v>
      </c>
      <c r="AF257" s="89">
        <f>Ruimtestaat[[#This Row],[uren / jaar weekend]]+Ruimtestaat[[#This Row],[uren / jaar werkdagen]]</f>
        <v>0</v>
      </c>
      <c r="AG257" s="90">
        <f>Ruimtestaat[[#This Row],[kosten / jaar weekend]]+Ruimtestaat[[#This Row],[kosten / jaar werkdagen]]</f>
        <v>0</v>
      </c>
      <c r="HL257" s="67"/>
    </row>
    <row r="258" spans="1:220" ht="15" customHeight="1">
      <c r="A258" s="53">
        <v>2</v>
      </c>
      <c r="B258" s="53" t="str">
        <f>VLOOKUP(Ruimtestaat[[#This Row],[Code]],Locaties[#All],2,FALSE)</f>
        <v>Open Schoolgemeenschap Bijlmer</v>
      </c>
      <c r="C258" s="53" t="str">
        <f>VLOOKUP(Ruimtestaat[[#This Row],[Code]],Locaties[#All],4,FALSE)</f>
        <v>Gulden Kruis 5</v>
      </c>
      <c r="D258" s="53" t="str">
        <f>VLOOKUP(Ruimtestaat[[#This Row],[Code]],Locaties[#All],5,FALSE)</f>
        <v>1103 BE</v>
      </c>
      <c r="E258" s="53" t="str">
        <f>VLOOKUP(Ruimtestaat[[#This Row],[Code]],Locaties[#All],6,FALSE)</f>
        <v>Amsterdam Zuidoost</v>
      </c>
      <c r="F258" s="78"/>
      <c r="G258" s="53" t="s">
        <v>564</v>
      </c>
      <c r="H258" s="53" t="s">
        <v>637</v>
      </c>
      <c r="I258" s="23" t="s">
        <v>270</v>
      </c>
      <c r="J258" s="53">
        <v>17</v>
      </c>
      <c r="K258" s="78" t="str">
        <f>VLOOKUP(J258,Ruimtegroepen[],2,FALSE)</f>
        <v>Toestelberging</v>
      </c>
      <c r="L258" s="53" t="s">
        <v>288</v>
      </c>
      <c r="M258" s="53" t="s">
        <v>634</v>
      </c>
      <c r="N258" s="79">
        <v>25.7</v>
      </c>
      <c r="O258" s="92"/>
      <c r="P258" s="93" t="str">
        <f>LEFT(VLOOKUP(Ruimtestaat[[#This Row],[Ruimte code]],Ruimtegroepen[#All],4,1),2)</f>
        <v>Sp</v>
      </c>
      <c r="Q258" s="93"/>
      <c r="R258" s="81">
        <v>40</v>
      </c>
      <c r="S258" s="81" t="s">
        <v>298</v>
      </c>
      <c r="T258" s="82">
        <f>IF(R258&gt;0,IF(RIGHT(Ruimtestaat[[#This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58" s="82">
        <f>IF(T258&gt;0,VLOOKUP($J258,Ruimtegroepen[],3,FALSE)*VLOOKUP($L258,Vloersoorten[],3,FALSE)*VLOOKUP($S258,Frequenties[],3,FALSE)*VLOOKUP($A258,Locaties[],3,FALSE),0)</f>
        <v>0</v>
      </c>
      <c r="V258" s="83">
        <f>Ruimtestaat[[#This Row],[Uitvoeringen werkdagen]]*Ruimtestaat[[#This Row],[Oppervlak (netto)]]</f>
        <v>5140</v>
      </c>
      <c r="W258" s="84">
        <f>IF(U258&gt;0,Ruimtestaat[[#This Row],[Prest. (m2 /jaar) werkdagen]]/Ruimtestaat[[#This Row],[Norm (m2/uur) werkdagen]],0)</f>
        <v>0</v>
      </c>
      <c r="X258" s="85">
        <f>Ruimtestaat[[#This Row],[uren / jaar werkdagen]]*Tariefsopbouw!$E$35</f>
        <v>0</v>
      </c>
      <c r="Y258" s="82"/>
      <c r="Z258" s="86">
        <f>IF(Ruimtestaat[[#This Row],[Frequentie weekend]]&gt;0,VALUE(LEFT(Y258,1))*R258,0)</f>
        <v>0</v>
      </c>
      <c r="AA258" s="82">
        <f>IF($Z258&gt;0,VLOOKUP($J258,Ruimtegroepen[],3,FALSE)*VLOOKUP($L258,Vloersoorten[],3,FALSE)*VLOOKUP($Y258,Frequenties[],3,FALSE)*VLOOKUP($A254,Locaties[],3,FALSE),0)</f>
        <v>0</v>
      </c>
      <c r="AB258" s="84">
        <f>Ruimtestaat[[#This Row],[Uitvoeringen weekend]]*Ruimtestaat[[#This Row],[Oppervlak (netto)]]</f>
        <v>0</v>
      </c>
      <c r="AC258" s="87">
        <f>IF(AB258&gt;0,Ruimtestaat[[#This Row],[Prest. (m2 /jaar) weekend]]/Ruimtestaat[[#This Row],[Norm (m2/uur) weekend]],0)</f>
        <v>0</v>
      </c>
      <c r="AD258" s="88">
        <f>Ruimtestaat[[#This Row],[uren / jaar weekend]]*Tariefsopbouw!$D$40</f>
        <v>0</v>
      </c>
      <c r="AE258" s="89">
        <f>Ruimtestaat[[#This Row],[Prest. (m2 /jaar) weekend]]+Ruimtestaat[[#This Row],[Prest. (m2 /jaar) werkdagen]]</f>
        <v>5140</v>
      </c>
      <c r="AF258" s="89">
        <f>Ruimtestaat[[#This Row],[uren / jaar weekend]]+Ruimtestaat[[#This Row],[uren / jaar werkdagen]]</f>
        <v>0</v>
      </c>
      <c r="AG258" s="90">
        <f>Ruimtestaat[[#This Row],[kosten / jaar weekend]]+Ruimtestaat[[#This Row],[kosten / jaar werkdagen]]</f>
        <v>0</v>
      </c>
      <c r="HL258" s="67"/>
    </row>
    <row r="259" spans="1:220" ht="15" customHeight="1">
      <c r="A259" s="53">
        <v>2</v>
      </c>
      <c r="B259" s="53" t="str">
        <f>VLOOKUP(Ruimtestaat[[#This Row],[Code]],Locaties[#All],2,FALSE)</f>
        <v>Open Schoolgemeenschap Bijlmer</v>
      </c>
      <c r="C259" s="53" t="str">
        <f>VLOOKUP(Ruimtestaat[[#This Row],[Code]],Locaties[#All],4,FALSE)</f>
        <v>Gulden Kruis 5</v>
      </c>
      <c r="D259" s="53" t="str">
        <f>VLOOKUP(Ruimtestaat[[#This Row],[Code]],Locaties[#All],5,FALSE)</f>
        <v>1103 BE</v>
      </c>
      <c r="E259" s="53" t="str">
        <f>VLOOKUP(Ruimtestaat[[#This Row],[Code]],Locaties[#All],6,FALSE)</f>
        <v>Amsterdam Zuidoost</v>
      </c>
      <c r="F259" s="78"/>
      <c r="G259" s="53" t="s">
        <v>564</v>
      </c>
      <c r="H259" s="53" t="s">
        <v>638</v>
      </c>
      <c r="I259" s="23" t="s">
        <v>559</v>
      </c>
      <c r="J259" s="53">
        <v>20</v>
      </c>
      <c r="K259" s="78" t="str">
        <f>VLOOKUP(J259,Ruimtegroepen[],2,FALSE)</f>
        <v>Niet in onderhoud</v>
      </c>
      <c r="L259" s="53" t="s">
        <v>280</v>
      </c>
      <c r="M259" s="53" t="s">
        <v>566</v>
      </c>
      <c r="N259" s="79"/>
      <c r="O259" s="92">
        <v>15.7</v>
      </c>
      <c r="P259" s="93" t="str">
        <f>LEFT(VLOOKUP(Ruimtestaat[[#This Row],[Ruimte code]],Ruimtegroepen[#All],4,1),2)</f>
        <v/>
      </c>
      <c r="Q259" s="93"/>
      <c r="R259" s="81"/>
      <c r="S259" s="81"/>
      <c r="T259" s="82">
        <f>IF(R259&gt;0,IF(RIGHT(Ruimtestaat[[#This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59" s="82">
        <f>IF(T259&gt;0,VLOOKUP($J259,Ruimtegroepen[],3,FALSE)*VLOOKUP($L259,Vloersoorten[],3,FALSE)*VLOOKUP($S259,Frequenties[],3,FALSE)*VLOOKUP($A259,Locaties[],3,FALSE),0)</f>
        <v>0</v>
      </c>
      <c r="V259" s="83">
        <f>Ruimtestaat[[#This Row],[Uitvoeringen werkdagen]]*Ruimtestaat[[#This Row],[Oppervlak (netto)]]</f>
        <v>0</v>
      </c>
      <c r="W259" s="84">
        <f>IF(U259&gt;0,Ruimtestaat[[#This Row],[Prest. (m2 /jaar) werkdagen]]/Ruimtestaat[[#This Row],[Norm (m2/uur) werkdagen]],0)</f>
        <v>0</v>
      </c>
      <c r="X259" s="85">
        <f>Ruimtestaat[[#This Row],[uren / jaar werkdagen]]*Tariefsopbouw!$E$35</f>
        <v>0</v>
      </c>
      <c r="Y259" s="82"/>
      <c r="Z259" s="86">
        <f>IF(Ruimtestaat[[#This Row],[Frequentie weekend]]&gt;0,VALUE(LEFT(Y259,1))*R259,0)</f>
        <v>0</v>
      </c>
      <c r="AA259" s="82">
        <f>IF($Z259&gt;0,VLOOKUP($J259,Ruimtegroepen[],3,FALSE)*VLOOKUP($L259,Vloersoorten[],3,FALSE)*VLOOKUP($Y259,Frequenties[],3,FALSE)*VLOOKUP($A255,Locaties[],3,FALSE),0)</f>
        <v>0</v>
      </c>
      <c r="AB259" s="84">
        <f>Ruimtestaat[[#This Row],[Uitvoeringen weekend]]*Ruimtestaat[[#This Row],[Oppervlak (netto)]]</f>
        <v>0</v>
      </c>
      <c r="AC259" s="87">
        <f>IF(AB259&gt;0,Ruimtestaat[[#This Row],[Prest. (m2 /jaar) weekend]]/Ruimtestaat[[#This Row],[Norm (m2/uur) weekend]],0)</f>
        <v>0</v>
      </c>
      <c r="AD259" s="88">
        <f>Ruimtestaat[[#This Row],[uren / jaar weekend]]*Tariefsopbouw!$D$40</f>
        <v>0</v>
      </c>
      <c r="AE259" s="89">
        <f>Ruimtestaat[[#This Row],[Prest. (m2 /jaar) weekend]]+Ruimtestaat[[#This Row],[Prest. (m2 /jaar) werkdagen]]</f>
        <v>0</v>
      </c>
      <c r="AF259" s="89">
        <f>Ruimtestaat[[#This Row],[uren / jaar weekend]]+Ruimtestaat[[#This Row],[uren / jaar werkdagen]]</f>
        <v>0</v>
      </c>
      <c r="AG259" s="90">
        <f>Ruimtestaat[[#This Row],[kosten / jaar weekend]]+Ruimtestaat[[#This Row],[kosten / jaar werkdagen]]</f>
        <v>0</v>
      </c>
      <c r="HL259" s="67"/>
    </row>
    <row r="260" spans="1:220" ht="15" customHeight="1">
      <c r="A260" s="53">
        <v>2</v>
      </c>
      <c r="B260" s="53" t="str">
        <f>VLOOKUP(Ruimtestaat[[#This Row],[Code]],Locaties[#All],2,FALSE)</f>
        <v>Open Schoolgemeenschap Bijlmer</v>
      </c>
      <c r="C260" s="53" t="str">
        <f>VLOOKUP(Ruimtestaat[[#This Row],[Code]],Locaties[#All],4,FALSE)</f>
        <v>Gulden Kruis 5</v>
      </c>
      <c r="D260" s="53" t="str">
        <f>VLOOKUP(Ruimtestaat[[#This Row],[Code]],Locaties[#All],5,FALSE)</f>
        <v>1103 BE</v>
      </c>
      <c r="E260" s="53" t="str">
        <f>VLOOKUP(Ruimtestaat[[#This Row],[Code]],Locaties[#All],6,FALSE)</f>
        <v>Amsterdam Zuidoost</v>
      </c>
      <c r="F260" s="78"/>
      <c r="G260" s="53" t="s">
        <v>564</v>
      </c>
      <c r="H260" s="53" t="s">
        <v>639</v>
      </c>
      <c r="I260" s="23" t="s">
        <v>378</v>
      </c>
      <c r="J260" s="53">
        <v>10</v>
      </c>
      <c r="K260" s="78" t="str">
        <f>VLOOKUP(J260,Ruimtegroepen[],2,FALSE)</f>
        <v>Trappenhuizen/lift</v>
      </c>
      <c r="L260" s="53" t="s">
        <v>285</v>
      </c>
      <c r="M260" s="53" t="s">
        <v>580</v>
      </c>
      <c r="N260" s="92">
        <v>34.619999999999997</v>
      </c>
      <c r="O260" s="92"/>
      <c r="P260" s="93" t="str">
        <f>LEFT(VLOOKUP(Ruimtestaat[[#This Row],[Ruimte code]],Ruimtegroepen[#All],4,1),2)</f>
        <v xml:space="preserve">V </v>
      </c>
      <c r="Q260" s="93"/>
      <c r="R260" s="81">
        <v>40</v>
      </c>
      <c r="S260" s="81" t="s">
        <v>298</v>
      </c>
      <c r="T260" s="82">
        <f>IF(R260&gt;0,IF(RIGHT(Ruimtestaat[[#This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0" s="82">
        <f>IF(T260&gt;0,VLOOKUP($J260,Ruimtegroepen[],3,FALSE)*VLOOKUP($L260,Vloersoorten[],3,FALSE)*VLOOKUP($S260,Frequenties[],3,FALSE)*VLOOKUP($A260,Locaties[],3,FALSE),0)</f>
        <v>0</v>
      </c>
      <c r="V260" s="83">
        <f>Ruimtestaat[[#This Row],[Uitvoeringen werkdagen]]*Ruimtestaat[[#This Row],[Oppervlak (netto)]]</f>
        <v>6923.9999999999991</v>
      </c>
      <c r="W260" s="84">
        <f>IF(U260&gt;0,Ruimtestaat[[#This Row],[Prest. (m2 /jaar) werkdagen]]/Ruimtestaat[[#This Row],[Norm (m2/uur) werkdagen]],0)</f>
        <v>0</v>
      </c>
      <c r="X260" s="85">
        <f>Ruimtestaat[[#This Row],[uren / jaar werkdagen]]*Tariefsopbouw!$E$35</f>
        <v>0</v>
      </c>
      <c r="Y260" s="82"/>
      <c r="Z260" s="86">
        <f>IF(Ruimtestaat[[#This Row],[Frequentie weekend]]&gt;0,VALUE(LEFT(Y260,1))*R260,0)</f>
        <v>0</v>
      </c>
      <c r="AA260" s="82">
        <f>IF($Z260&gt;0,VLOOKUP($J260,Ruimtegroepen[],3,FALSE)*VLOOKUP($L260,Vloersoorten[],3,FALSE)*VLOOKUP($Y260,Frequenties[],3,FALSE)*VLOOKUP($A256,Locaties[],3,FALSE),0)</f>
        <v>0</v>
      </c>
      <c r="AB260" s="84">
        <f>Ruimtestaat[[#This Row],[Uitvoeringen weekend]]*Ruimtestaat[[#This Row],[Oppervlak (netto)]]</f>
        <v>0</v>
      </c>
      <c r="AC260" s="87">
        <f>IF(AB260&gt;0,Ruimtestaat[[#This Row],[Prest. (m2 /jaar) weekend]]/Ruimtestaat[[#This Row],[Norm (m2/uur) weekend]],0)</f>
        <v>0</v>
      </c>
      <c r="AD260" s="88">
        <f>Ruimtestaat[[#This Row],[uren / jaar weekend]]*Tariefsopbouw!$D$40</f>
        <v>0</v>
      </c>
      <c r="AE260" s="89">
        <f>Ruimtestaat[[#This Row],[Prest. (m2 /jaar) weekend]]+Ruimtestaat[[#This Row],[Prest. (m2 /jaar) werkdagen]]</f>
        <v>6923.9999999999991</v>
      </c>
      <c r="AF260" s="89">
        <f>Ruimtestaat[[#This Row],[uren / jaar weekend]]+Ruimtestaat[[#This Row],[uren / jaar werkdagen]]</f>
        <v>0</v>
      </c>
      <c r="AG260" s="90">
        <f>Ruimtestaat[[#This Row],[kosten / jaar weekend]]+Ruimtestaat[[#This Row],[kosten / jaar werkdagen]]</f>
        <v>0</v>
      </c>
      <c r="HL260" s="67"/>
    </row>
    <row r="261" spans="1:220" ht="15" customHeight="1">
      <c r="A261" s="53">
        <v>2</v>
      </c>
      <c r="B261" s="53" t="str">
        <f>VLOOKUP(Ruimtestaat[[#This Row],[Code]],Locaties[#All],2,FALSE)</f>
        <v>Open Schoolgemeenschap Bijlmer</v>
      </c>
      <c r="C261" s="53" t="str">
        <f>VLOOKUP(Ruimtestaat[[#This Row],[Code]],Locaties[#All],4,FALSE)</f>
        <v>Gulden Kruis 5</v>
      </c>
      <c r="D261" s="53" t="str">
        <f>VLOOKUP(Ruimtestaat[[#This Row],[Code]],Locaties[#All],5,FALSE)</f>
        <v>1103 BE</v>
      </c>
      <c r="E261" s="53" t="str">
        <f>VLOOKUP(Ruimtestaat[[#This Row],[Code]],Locaties[#All],6,FALSE)</f>
        <v>Amsterdam Zuidoost</v>
      </c>
      <c r="F261" s="78"/>
      <c r="G261" s="53" t="s">
        <v>564</v>
      </c>
      <c r="H261" s="53" t="s">
        <v>640</v>
      </c>
      <c r="I261" s="23" t="s">
        <v>641</v>
      </c>
      <c r="J261" s="53">
        <v>12</v>
      </c>
      <c r="K261" s="78" t="str">
        <f>VLOOKUP(J261,Ruimtegroepen[],2,FALSE)</f>
        <v>Kantine</v>
      </c>
      <c r="L261" s="53" t="s">
        <v>285</v>
      </c>
      <c r="M261" s="53" t="s">
        <v>580</v>
      </c>
      <c r="N261" s="92">
        <v>949.82</v>
      </c>
      <c r="O261" s="92"/>
      <c r="P261" s="93" t="str">
        <f>LEFT(VLOOKUP(Ruimtestaat[[#This Row],[Ruimte code]],Ruimtegroepen[#All],4,1),2)</f>
        <v xml:space="preserve">V </v>
      </c>
      <c r="Q261" s="93"/>
      <c r="R261" s="81">
        <v>40</v>
      </c>
      <c r="S261" s="81" t="s">
        <v>298</v>
      </c>
      <c r="T261" s="82">
        <f>IF(R261&gt;0,IF(RIGHT(Ruimtestaat[[#This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1" s="82">
        <f>IF(T261&gt;0,VLOOKUP($J261,Ruimtegroepen[],3,FALSE)*VLOOKUP($L261,Vloersoorten[],3,FALSE)*VLOOKUP($S261,Frequenties[],3,FALSE)*VLOOKUP($A261,Locaties[],3,FALSE),0)</f>
        <v>0</v>
      </c>
      <c r="V261" s="83">
        <f>Ruimtestaat[[#This Row],[Uitvoeringen werkdagen]]*Ruimtestaat[[#This Row],[Oppervlak (netto)]]</f>
        <v>189964</v>
      </c>
      <c r="W261" s="84">
        <f>IF(U261&gt;0,Ruimtestaat[[#This Row],[Prest. (m2 /jaar) werkdagen]]/Ruimtestaat[[#This Row],[Norm (m2/uur) werkdagen]],0)</f>
        <v>0</v>
      </c>
      <c r="X261" s="85">
        <f>Ruimtestaat[[#This Row],[uren / jaar werkdagen]]*Tariefsopbouw!$E$35</f>
        <v>0</v>
      </c>
      <c r="Y261" s="82"/>
      <c r="Z261" s="86">
        <f>IF(Ruimtestaat[[#This Row],[Frequentie weekend]]&gt;0,VALUE(LEFT(Y261,1))*R261,0)</f>
        <v>0</v>
      </c>
      <c r="AA261" s="82">
        <f>IF($Z261&gt;0,VLOOKUP($J261,Ruimtegroepen[],3,FALSE)*VLOOKUP($L261,Vloersoorten[],3,FALSE)*VLOOKUP($Y261,Frequenties[],3,FALSE)*VLOOKUP($A257,Locaties[],3,FALSE),0)</f>
        <v>0</v>
      </c>
      <c r="AB261" s="84">
        <f>Ruimtestaat[[#This Row],[Uitvoeringen weekend]]*Ruimtestaat[[#This Row],[Oppervlak (netto)]]</f>
        <v>0</v>
      </c>
      <c r="AC261" s="87">
        <f>IF(AB261&gt;0,Ruimtestaat[[#This Row],[Prest. (m2 /jaar) weekend]]/Ruimtestaat[[#This Row],[Norm (m2/uur) weekend]],0)</f>
        <v>0</v>
      </c>
      <c r="AD261" s="88">
        <f>Ruimtestaat[[#This Row],[uren / jaar weekend]]*Tariefsopbouw!$D$40</f>
        <v>0</v>
      </c>
      <c r="AE261" s="89">
        <f>Ruimtestaat[[#This Row],[Prest. (m2 /jaar) weekend]]+Ruimtestaat[[#This Row],[Prest. (m2 /jaar) werkdagen]]</f>
        <v>189964</v>
      </c>
      <c r="AF261" s="89">
        <f>Ruimtestaat[[#This Row],[uren / jaar weekend]]+Ruimtestaat[[#This Row],[uren / jaar werkdagen]]</f>
        <v>0</v>
      </c>
      <c r="AG261" s="90">
        <f>Ruimtestaat[[#This Row],[kosten / jaar weekend]]+Ruimtestaat[[#This Row],[kosten / jaar werkdagen]]</f>
        <v>0</v>
      </c>
      <c r="HL261" s="67"/>
    </row>
    <row r="262" spans="1:220" ht="15" customHeight="1">
      <c r="A262" s="53">
        <v>2</v>
      </c>
      <c r="B262" s="53" t="str">
        <f>VLOOKUP(Ruimtestaat[[#This Row],[Code]],Locaties[#All],2,FALSE)</f>
        <v>Open Schoolgemeenschap Bijlmer</v>
      </c>
      <c r="C262" s="53" t="str">
        <f>VLOOKUP(Ruimtestaat[[#This Row],[Code]],Locaties[#All],4,FALSE)</f>
        <v>Gulden Kruis 5</v>
      </c>
      <c r="D262" s="53" t="str">
        <f>VLOOKUP(Ruimtestaat[[#This Row],[Code]],Locaties[#All],5,FALSE)</f>
        <v>1103 BE</v>
      </c>
      <c r="E262" s="53" t="str">
        <f>VLOOKUP(Ruimtestaat[[#This Row],[Code]],Locaties[#All],6,FALSE)</f>
        <v>Amsterdam Zuidoost</v>
      </c>
      <c r="F262" s="78"/>
      <c r="G262" s="53" t="s">
        <v>564</v>
      </c>
      <c r="H262" s="53" t="s">
        <v>642</v>
      </c>
      <c r="I262" s="23" t="s">
        <v>643</v>
      </c>
      <c r="J262" s="53">
        <v>2</v>
      </c>
      <c r="K262" s="78" t="str">
        <f>VLOOKUP(J262,Ruimtegroepen[],2,FALSE)</f>
        <v>Kantoren</v>
      </c>
      <c r="L262" s="53" t="s">
        <v>283</v>
      </c>
      <c r="M262" s="53" t="s">
        <v>576</v>
      </c>
      <c r="N262" s="92">
        <v>26.14</v>
      </c>
      <c r="O262" s="92"/>
      <c r="P262" s="93" t="str">
        <f>LEFT(VLOOKUP(Ruimtestaat[[#This Row],[Ruimte code]],Ruimtegroepen[#All],4,1),2)</f>
        <v xml:space="preserve">B </v>
      </c>
      <c r="Q262" s="93"/>
      <c r="R262" s="81">
        <v>40</v>
      </c>
      <c r="S262" s="81" t="s">
        <v>298</v>
      </c>
      <c r="T262" s="82">
        <f>IF(R262&gt;0,IF(RIGHT(Ruimtestaat[[#This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2" s="82">
        <f>IF(T262&gt;0,VLOOKUP($J262,Ruimtegroepen[],3,FALSE)*VLOOKUP($L262,Vloersoorten[],3,FALSE)*VLOOKUP($S262,Frequenties[],3,FALSE)*VLOOKUP($A262,Locaties[],3,FALSE),0)</f>
        <v>0</v>
      </c>
      <c r="V262" s="83">
        <f>Ruimtestaat[[#This Row],[Uitvoeringen werkdagen]]*Ruimtestaat[[#This Row],[Oppervlak (netto)]]</f>
        <v>5228</v>
      </c>
      <c r="W262" s="84">
        <f>IF(U262&gt;0,Ruimtestaat[[#This Row],[Prest. (m2 /jaar) werkdagen]]/Ruimtestaat[[#This Row],[Norm (m2/uur) werkdagen]],0)</f>
        <v>0</v>
      </c>
      <c r="X262" s="85">
        <f>Ruimtestaat[[#This Row],[uren / jaar werkdagen]]*Tariefsopbouw!$E$35</f>
        <v>0</v>
      </c>
      <c r="Y262" s="82"/>
      <c r="Z262" s="86">
        <f>IF(Ruimtestaat[[#This Row],[Frequentie weekend]]&gt;0,VALUE(LEFT(Y262,1))*R262,0)</f>
        <v>0</v>
      </c>
      <c r="AA262" s="82">
        <f>IF($Z262&gt;0,VLOOKUP($J262,Ruimtegroepen[],3,FALSE)*VLOOKUP($L262,Vloersoorten[],3,FALSE)*VLOOKUP($Y262,Frequenties[],3,FALSE)*VLOOKUP($A258,Locaties[],3,FALSE),0)</f>
        <v>0</v>
      </c>
      <c r="AB262" s="84">
        <f>Ruimtestaat[[#This Row],[Uitvoeringen weekend]]*Ruimtestaat[[#This Row],[Oppervlak (netto)]]</f>
        <v>0</v>
      </c>
      <c r="AC262" s="87">
        <f>IF(AB262&gt;0,Ruimtestaat[[#This Row],[Prest. (m2 /jaar) weekend]]/Ruimtestaat[[#This Row],[Norm (m2/uur) weekend]],0)</f>
        <v>0</v>
      </c>
      <c r="AD262" s="88">
        <f>Ruimtestaat[[#This Row],[uren / jaar weekend]]*Tariefsopbouw!$D$40</f>
        <v>0</v>
      </c>
      <c r="AE262" s="89">
        <f>Ruimtestaat[[#This Row],[Prest. (m2 /jaar) weekend]]+Ruimtestaat[[#This Row],[Prest. (m2 /jaar) werkdagen]]</f>
        <v>5228</v>
      </c>
      <c r="AF262" s="89">
        <f>Ruimtestaat[[#This Row],[uren / jaar weekend]]+Ruimtestaat[[#This Row],[uren / jaar werkdagen]]</f>
        <v>0</v>
      </c>
      <c r="AG262" s="90">
        <f>Ruimtestaat[[#This Row],[kosten / jaar weekend]]+Ruimtestaat[[#This Row],[kosten / jaar werkdagen]]</f>
        <v>0</v>
      </c>
      <c r="HL262" s="67"/>
    </row>
    <row r="263" spans="1:220" ht="15" customHeight="1">
      <c r="A263" s="53">
        <v>2</v>
      </c>
      <c r="B263" s="53" t="str">
        <f>VLOOKUP(Ruimtestaat[[#This Row],[Code]],Locaties[#All],2,FALSE)</f>
        <v>Open Schoolgemeenschap Bijlmer</v>
      </c>
      <c r="C263" s="53" t="str">
        <f>VLOOKUP(Ruimtestaat[[#This Row],[Code]],Locaties[#All],4,FALSE)</f>
        <v>Gulden Kruis 5</v>
      </c>
      <c r="D263" s="53" t="str">
        <f>VLOOKUP(Ruimtestaat[[#This Row],[Code]],Locaties[#All],5,FALSE)</f>
        <v>1103 BE</v>
      </c>
      <c r="E263" s="53" t="str">
        <f>VLOOKUP(Ruimtestaat[[#This Row],[Code]],Locaties[#All],6,FALSE)</f>
        <v>Amsterdam Zuidoost</v>
      </c>
      <c r="F263" s="78"/>
      <c r="G263" s="53" t="s">
        <v>564</v>
      </c>
      <c r="H263" s="53" t="s">
        <v>644</v>
      </c>
      <c r="I263" s="23" t="s">
        <v>259</v>
      </c>
      <c r="J263" s="53">
        <v>7</v>
      </c>
      <c r="K263" s="78" t="str">
        <f>VLOOKUP(J263,Ruimtegroepen[],2,FALSE)</f>
        <v>Entree</v>
      </c>
      <c r="L263" s="53" t="s">
        <v>283</v>
      </c>
      <c r="M263" s="53" t="s">
        <v>583</v>
      </c>
      <c r="N263" s="92">
        <v>17.03</v>
      </c>
      <c r="O263" s="92"/>
      <c r="P263" s="93" t="str">
        <f>LEFT(VLOOKUP(Ruimtestaat[[#This Row],[Ruimte code]],Ruimtegroepen[#All],4,1),2)</f>
        <v xml:space="preserve">V </v>
      </c>
      <c r="Q263" s="93"/>
      <c r="R263" s="81">
        <v>40</v>
      </c>
      <c r="S263" s="81" t="s">
        <v>298</v>
      </c>
      <c r="T263" s="82">
        <f>IF(R263&gt;0,IF(RIGHT(Ruimtestaat[[#This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3" s="82">
        <f>IF(T263&gt;0,VLOOKUP($J263,Ruimtegroepen[],3,FALSE)*VLOOKUP($L263,Vloersoorten[],3,FALSE)*VLOOKUP($S263,Frequenties[],3,FALSE)*VLOOKUP($A263,Locaties[],3,FALSE),0)</f>
        <v>0</v>
      </c>
      <c r="V263" s="83">
        <f>Ruimtestaat[[#This Row],[Uitvoeringen werkdagen]]*Ruimtestaat[[#This Row],[Oppervlak (netto)]]</f>
        <v>3406</v>
      </c>
      <c r="W263" s="84">
        <f>IF(U263&gt;0,Ruimtestaat[[#This Row],[Prest. (m2 /jaar) werkdagen]]/Ruimtestaat[[#This Row],[Norm (m2/uur) werkdagen]],0)</f>
        <v>0</v>
      </c>
      <c r="X263" s="85">
        <f>Ruimtestaat[[#This Row],[uren / jaar werkdagen]]*Tariefsopbouw!$E$35</f>
        <v>0</v>
      </c>
      <c r="Y263" s="82"/>
      <c r="Z263" s="86">
        <f>IF(Ruimtestaat[[#This Row],[Frequentie weekend]]&gt;0,VALUE(LEFT(Y263,1))*R263,0)</f>
        <v>0</v>
      </c>
      <c r="AA263" s="82">
        <f>IF($Z263&gt;0,VLOOKUP($J263,Ruimtegroepen[],3,FALSE)*VLOOKUP($L263,Vloersoorten[],3,FALSE)*VLOOKUP($Y263,Frequenties[],3,FALSE)*VLOOKUP($A259,Locaties[],3,FALSE),0)</f>
        <v>0</v>
      </c>
      <c r="AB263" s="84">
        <f>Ruimtestaat[[#This Row],[Uitvoeringen weekend]]*Ruimtestaat[[#This Row],[Oppervlak (netto)]]</f>
        <v>0</v>
      </c>
      <c r="AC263" s="87">
        <f>IF(AB263&gt;0,Ruimtestaat[[#This Row],[Prest. (m2 /jaar) weekend]]/Ruimtestaat[[#This Row],[Norm (m2/uur) weekend]],0)</f>
        <v>0</v>
      </c>
      <c r="AD263" s="88">
        <f>Ruimtestaat[[#This Row],[uren / jaar weekend]]*Tariefsopbouw!$D$40</f>
        <v>0</v>
      </c>
      <c r="AE263" s="89">
        <f>Ruimtestaat[[#This Row],[Prest. (m2 /jaar) weekend]]+Ruimtestaat[[#This Row],[Prest. (m2 /jaar) werkdagen]]</f>
        <v>3406</v>
      </c>
      <c r="AF263" s="89">
        <f>Ruimtestaat[[#This Row],[uren / jaar weekend]]+Ruimtestaat[[#This Row],[uren / jaar werkdagen]]</f>
        <v>0</v>
      </c>
      <c r="AG263" s="90">
        <f>Ruimtestaat[[#This Row],[kosten / jaar weekend]]+Ruimtestaat[[#This Row],[kosten / jaar werkdagen]]</f>
        <v>0</v>
      </c>
      <c r="HL263" s="67"/>
    </row>
    <row r="264" spans="1:220" ht="15" customHeight="1">
      <c r="A264" s="53">
        <v>2</v>
      </c>
      <c r="B264" s="53" t="str">
        <f>VLOOKUP(Ruimtestaat[[#This Row],[Code]],Locaties[#All],2,FALSE)</f>
        <v>Open Schoolgemeenschap Bijlmer</v>
      </c>
      <c r="C264" s="53" t="str">
        <f>VLOOKUP(Ruimtestaat[[#This Row],[Code]],Locaties[#All],4,FALSE)</f>
        <v>Gulden Kruis 5</v>
      </c>
      <c r="D264" s="53" t="str">
        <f>VLOOKUP(Ruimtestaat[[#This Row],[Code]],Locaties[#All],5,FALSE)</f>
        <v>1103 BE</v>
      </c>
      <c r="E264" s="53" t="str">
        <f>VLOOKUP(Ruimtestaat[[#This Row],[Code]],Locaties[#All],6,FALSE)</f>
        <v>Amsterdam Zuidoost</v>
      </c>
      <c r="F264" s="78"/>
      <c r="G264" s="53" t="s">
        <v>564</v>
      </c>
      <c r="H264" s="53" t="s">
        <v>645</v>
      </c>
      <c r="I264" s="78" t="s">
        <v>259</v>
      </c>
      <c r="J264" s="53">
        <v>7</v>
      </c>
      <c r="K264" s="78" t="str">
        <f>VLOOKUP(J264,Ruimtegroepen[],2,FALSE)</f>
        <v>Entree</v>
      </c>
      <c r="L264" s="53" t="s">
        <v>283</v>
      </c>
      <c r="M264" s="53" t="s">
        <v>583</v>
      </c>
      <c r="N264" s="92">
        <v>26.14</v>
      </c>
      <c r="O264" s="92"/>
      <c r="P264" s="80" t="str">
        <f>LEFT(VLOOKUP(Ruimtestaat[[#This Row],[Ruimte code]],Ruimtegroepen[#All],4,1),2)</f>
        <v xml:space="preserve">V </v>
      </c>
      <c r="Q264" s="93"/>
      <c r="R264" s="81">
        <v>40</v>
      </c>
      <c r="S264" s="81" t="s">
        <v>298</v>
      </c>
      <c r="T264" s="82">
        <f>IF(R264&gt;0,IF(RIGHT(Ruimtestaat[[#This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4" s="82">
        <f>IF(T264&gt;0,VLOOKUP($J264,Ruimtegroepen[],3,FALSE)*VLOOKUP($L264,Vloersoorten[],3,FALSE)*VLOOKUP($S264,Frequenties[],3,FALSE)*VLOOKUP($A264,Locaties[],3,FALSE),0)</f>
        <v>0</v>
      </c>
      <c r="V264" s="83">
        <f>Ruimtestaat[[#This Row],[Uitvoeringen werkdagen]]*Ruimtestaat[[#This Row],[Oppervlak (netto)]]</f>
        <v>5228</v>
      </c>
      <c r="W264" s="84">
        <f>IF(U264&gt;0,Ruimtestaat[[#This Row],[Prest. (m2 /jaar) werkdagen]]/Ruimtestaat[[#This Row],[Norm (m2/uur) werkdagen]],0)</f>
        <v>0</v>
      </c>
      <c r="X264" s="85">
        <f>Ruimtestaat[[#This Row],[uren / jaar werkdagen]]*Tariefsopbouw!$E$35</f>
        <v>0</v>
      </c>
      <c r="Y264" s="82"/>
      <c r="Z264" s="86">
        <f>IF(Ruimtestaat[[#This Row],[Frequentie weekend]]&gt;0,VALUE(LEFT(Y264,1))*R264,0)</f>
        <v>0</v>
      </c>
      <c r="AA264" s="82">
        <f>IF($Z264&gt;0,VLOOKUP($J264,Ruimtegroepen[],3,FALSE)*VLOOKUP($L264,Vloersoorten[],3,FALSE)*VLOOKUP($Y264,Frequenties[],3,FALSE)*VLOOKUP($A260,Locaties[],3,FALSE),0)</f>
        <v>0</v>
      </c>
      <c r="AB264" s="84">
        <f>Ruimtestaat[[#This Row],[Uitvoeringen weekend]]*Ruimtestaat[[#This Row],[Oppervlak (netto)]]</f>
        <v>0</v>
      </c>
      <c r="AC264" s="87">
        <f>IF(AB264&gt;0,Ruimtestaat[[#This Row],[Prest. (m2 /jaar) weekend]]/Ruimtestaat[[#This Row],[Norm (m2/uur) weekend]],0)</f>
        <v>0</v>
      </c>
      <c r="AD264" s="88">
        <f>Ruimtestaat[[#This Row],[uren / jaar weekend]]*Tariefsopbouw!$D$40</f>
        <v>0</v>
      </c>
      <c r="AE264" s="89">
        <f>Ruimtestaat[[#This Row],[Prest. (m2 /jaar) weekend]]+Ruimtestaat[[#This Row],[Prest. (m2 /jaar) werkdagen]]</f>
        <v>5228</v>
      </c>
      <c r="AF264" s="89">
        <f>Ruimtestaat[[#This Row],[uren / jaar weekend]]+Ruimtestaat[[#This Row],[uren / jaar werkdagen]]</f>
        <v>0</v>
      </c>
      <c r="AG264" s="90">
        <f>Ruimtestaat[[#This Row],[kosten / jaar weekend]]+Ruimtestaat[[#This Row],[kosten / jaar werkdagen]]</f>
        <v>0</v>
      </c>
    </row>
    <row r="265" spans="1:220" ht="15" customHeight="1">
      <c r="A265" s="53">
        <v>2</v>
      </c>
      <c r="B265" s="53" t="str">
        <f>VLOOKUP(Ruimtestaat[[#This Row],[Code]],Locaties[#All],2,FALSE)</f>
        <v>Open Schoolgemeenschap Bijlmer</v>
      </c>
      <c r="C265" s="53" t="str">
        <f>VLOOKUP(Ruimtestaat[[#This Row],[Code]],Locaties[#All],4,FALSE)</f>
        <v>Gulden Kruis 5</v>
      </c>
      <c r="D265" s="53" t="str">
        <f>VLOOKUP(Ruimtestaat[[#This Row],[Code]],Locaties[#All],5,FALSE)</f>
        <v>1103 BE</v>
      </c>
      <c r="E265" s="53" t="str">
        <f>VLOOKUP(Ruimtestaat[[#This Row],[Code]],Locaties[#All],6,FALSE)</f>
        <v>Amsterdam Zuidoost</v>
      </c>
      <c r="F265" s="78"/>
      <c r="G265" s="53" t="s">
        <v>564</v>
      </c>
      <c r="H265" s="53" t="s">
        <v>646</v>
      </c>
      <c r="I265" s="78" t="s">
        <v>647</v>
      </c>
      <c r="J265" s="53">
        <v>2</v>
      </c>
      <c r="K265" s="78" t="str">
        <f>VLOOKUP(J265,Ruimtegroepen[],2,FALSE)</f>
        <v>Kantoren</v>
      </c>
      <c r="L265" s="53" t="s">
        <v>283</v>
      </c>
      <c r="M265" s="53" t="s">
        <v>576</v>
      </c>
      <c r="N265" s="92">
        <v>17.03</v>
      </c>
      <c r="O265" s="92"/>
      <c r="P265" s="80" t="str">
        <f>LEFT(VLOOKUP(Ruimtestaat[[#This Row],[Ruimte code]],Ruimtegroepen[#All],4,1),2)</f>
        <v xml:space="preserve">B </v>
      </c>
      <c r="Q265" s="93"/>
      <c r="R265" s="81">
        <v>40</v>
      </c>
      <c r="S265" s="81" t="s">
        <v>298</v>
      </c>
      <c r="T265" s="82">
        <f>IF(R265&gt;0,IF(RIGHT(Ruimtestaat[[#This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5" s="82">
        <f>IF(T265&gt;0,VLOOKUP($J265,Ruimtegroepen[],3,FALSE)*VLOOKUP($L265,Vloersoorten[],3,FALSE)*VLOOKUP($S265,Frequenties[],3,FALSE)*VLOOKUP($A265,Locaties[],3,FALSE),0)</f>
        <v>0</v>
      </c>
      <c r="V265" s="83">
        <f>Ruimtestaat[[#This Row],[Uitvoeringen werkdagen]]*Ruimtestaat[[#This Row],[Oppervlak (netto)]]</f>
        <v>3406</v>
      </c>
      <c r="W265" s="84">
        <f>IF(U265&gt;0,Ruimtestaat[[#This Row],[Prest. (m2 /jaar) werkdagen]]/Ruimtestaat[[#This Row],[Norm (m2/uur) werkdagen]],0)</f>
        <v>0</v>
      </c>
      <c r="X265" s="85">
        <f>Ruimtestaat[[#This Row],[uren / jaar werkdagen]]*Tariefsopbouw!$E$35</f>
        <v>0</v>
      </c>
      <c r="Y265" s="82"/>
      <c r="Z265" s="86">
        <f>IF(Ruimtestaat[[#This Row],[Frequentie weekend]]&gt;0,VALUE(LEFT(Y265,1))*R265,0)</f>
        <v>0</v>
      </c>
      <c r="AA265" s="82">
        <f>IF($Z265&gt;0,VLOOKUP($J265,Ruimtegroepen[],3,FALSE)*VLOOKUP($L265,Vloersoorten[],3,FALSE)*VLOOKUP($Y265,Frequenties[],3,FALSE)*VLOOKUP($A261,Locaties[],3,FALSE),0)</f>
        <v>0</v>
      </c>
      <c r="AB265" s="84">
        <f>Ruimtestaat[[#This Row],[Uitvoeringen weekend]]*Ruimtestaat[[#This Row],[Oppervlak (netto)]]</f>
        <v>0</v>
      </c>
      <c r="AC265" s="87">
        <f>IF(AB265&gt;0,Ruimtestaat[[#This Row],[Prest. (m2 /jaar) weekend]]/Ruimtestaat[[#This Row],[Norm (m2/uur) weekend]],0)</f>
        <v>0</v>
      </c>
      <c r="AD265" s="88">
        <f>Ruimtestaat[[#This Row],[uren / jaar weekend]]*Tariefsopbouw!$D$40</f>
        <v>0</v>
      </c>
      <c r="AE265" s="89">
        <f>Ruimtestaat[[#This Row],[Prest. (m2 /jaar) weekend]]+Ruimtestaat[[#This Row],[Prest. (m2 /jaar) werkdagen]]</f>
        <v>3406</v>
      </c>
      <c r="AF265" s="89">
        <f>Ruimtestaat[[#This Row],[uren / jaar weekend]]+Ruimtestaat[[#This Row],[uren / jaar werkdagen]]</f>
        <v>0</v>
      </c>
      <c r="AG265" s="90">
        <f>Ruimtestaat[[#This Row],[kosten / jaar weekend]]+Ruimtestaat[[#This Row],[kosten / jaar werkdagen]]</f>
        <v>0</v>
      </c>
    </row>
    <row r="266" spans="1:220" ht="15" customHeight="1">
      <c r="A266" s="53">
        <v>2</v>
      </c>
      <c r="B266" s="53" t="str">
        <f>VLOOKUP(Ruimtestaat[[#This Row],[Code]],Locaties[#All],2,FALSE)</f>
        <v>Open Schoolgemeenschap Bijlmer</v>
      </c>
      <c r="C266" s="53" t="str">
        <f>VLOOKUP(Ruimtestaat[[#This Row],[Code]],Locaties[#All],4,FALSE)</f>
        <v>Gulden Kruis 5</v>
      </c>
      <c r="D266" s="53" t="str">
        <f>VLOOKUP(Ruimtestaat[[#This Row],[Code]],Locaties[#All],5,FALSE)</f>
        <v>1103 BE</v>
      </c>
      <c r="E266" s="53" t="str">
        <f>VLOOKUP(Ruimtestaat[[#This Row],[Code]],Locaties[#All],6,FALSE)</f>
        <v>Amsterdam Zuidoost</v>
      </c>
      <c r="F266" s="78"/>
      <c r="G266" s="53" t="s">
        <v>564</v>
      </c>
      <c r="H266" s="53" t="s">
        <v>649</v>
      </c>
      <c r="I266" s="78" t="s">
        <v>579</v>
      </c>
      <c r="J266" s="53">
        <v>5</v>
      </c>
      <c r="K266" s="78" t="str">
        <f>VLOOKUP(J266,Ruimtegroepen[],2,FALSE)</f>
        <v>Sanitair</v>
      </c>
      <c r="L266" s="53" t="s">
        <v>285</v>
      </c>
      <c r="M266" s="53" t="s">
        <v>580</v>
      </c>
      <c r="N266" s="92">
        <v>31.97</v>
      </c>
      <c r="O266" s="92"/>
      <c r="P266" s="80" t="str">
        <f>LEFT(VLOOKUP(Ruimtestaat[[#This Row],[Ruimte code]],Ruimtegroepen[#All],4,1),2)</f>
        <v xml:space="preserve">S </v>
      </c>
      <c r="Q266" s="93"/>
      <c r="R266" s="81">
        <v>40</v>
      </c>
      <c r="S266" s="81" t="s">
        <v>296</v>
      </c>
      <c r="T266" s="82">
        <f>IF(R266&gt;0,IF(RIGHT(Ruimtestaat[[#This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66" s="82">
        <f>IF(T266&gt;0,VLOOKUP($J266,Ruimtegroepen[],3,FALSE)*VLOOKUP($L266,Vloersoorten[],3,FALSE)*VLOOKUP($S266,Frequenties[],3,FALSE)*VLOOKUP($A266,Locaties[],3,FALSE),0)</f>
        <v>0</v>
      </c>
      <c r="V266" s="83">
        <f>Ruimtestaat[[#This Row],[Uitvoeringen werkdagen]]*Ruimtestaat[[#This Row],[Oppervlak (netto)]]</f>
        <v>12788</v>
      </c>
      <c r="W266" s="84">
        <f>IF(U266&gt;0,Ruimtestaat[[#This Row],[Prest. (m2 /jaar) werkdagen]]/Ruimtestaat[[#This Row],[Norm (m2/uur) werkdagen]],0)</f>
        <v>0</v>
      </c>
      <c r="X266" s="85">
        <f>Ruimtestaat[[#This Row],[uren / jaar werkdagen]]*Tariefsopbouw!$E$35</f>
        <v>0</v>
      </c>
      <c r="Y266" s="82"/>
      <c r="Z266" s="86">
        <f>IF(Ruimtestaat[[#This Row],[Frequentie weekend]]&gt;0,VALUE(LEFT(Y266,1))*R266,0)</f>
        <v>0</v>
      </c>
      <c r="AA266" s="82">
        <f>IF($Z266&gt;0,VLOOKUP($J266,Ruimtegroepen[],3,FALSE)*VLOOKUP($L266,Vloersoorten[],3,FALSE)*VLOOKUP($Y266,Frequenties[],3,FALSE)*VLOOKUP($A262,Locaties[],3,FALSE),0)</f>
        <v>0</v>
      </c>
      <c r="AB266" s="84">
        <f>Ruimtestaat[[#This Row],[Uitvoeringen weekend]]*Ruimtestaat[[#This Row],[Oppervlak (netto)]]</f>
        <v>0</v>
      </c>
      <c r="AC266" s="87">
        <f>IF(AB266&gt;0,Ruimtestaat[[#This Row],[Prest. (m2 /jaar) weekend]]/Ruimtestaat[[#This Row],[Norm (m2/uur) weekend]],0)</f>
        <v>0</v>
      </c>
      <c r="AD266" s="88">
        <f>Ruimtestaat[[#This Row],[uren / jaar weekend]]*Tariefsopbouw!$D$40</f>
        <v>0</v>
      </c>
      <c r="AE266" s="89">
        <f>Ruimtestaat[[#This Row],[Prest. (m2 /jaar) weekend]]+Ruimtestaat[[#This Row],[Prest. (m2 /jaar) werkdagen]]</f>
        <v>12788</v>
      </c>
      <c r="AF266" s="89">
        <f>Ruimtestaat[[#This Row],[uren / jaar weekend]]+Ruimtestaat[[#This Row],[uren / jaar werkdagen]]</f>
        <v>0</v>
      </c>
      <c r="AG266" s="90">
        <f>Ruimtestaat[[#This Row],[kosten / jaar weekend]]+Ruimtestaat[[#This Row],[kosten / jaar werkdagen]]</f>
        <v>0</v>
      </c>
    </row>
    <row r="267" spans="1:220" ht="15" customHeight="1">
      <c r="A267" s="53">
        <v>2</v>
      </c>
      <c r="B267" s="53" t="str">
        <f>VLOOKUP(Ruimtestaat[[#This Row],[Code]],Locaties[#All],2,FALSE)</f>
        <v>Open Schoolgemeenschap Bijlmer</v>
      </c>
      <c r="C267" s="53" t="str">
        <f>VLOOKUP(Ruimtestaat[[#This Row],[Code]],Locaties[#All],4,FALSE)</f>
        <v>Gulden Kruis 5</v>
      </c>
      <c r="D267" s="53" t="str">
        <f>VLOOKUP(Ruimtestaat[[#This Row],[Code]],Locaties[#All],5,FALSE)</f>
        <v>1103 BE</v>
      </c>
      <c r="E267" s="53" t="str">
        <f>VLOOKUP(Ruimtestaat[[#This Row],[Code]],Locaties[#All],6,FALSE)</f>
        <v>Amsterdam Zuidoost</v>
      </c>
      <c r="F267" s="78"/>
      <c r="G267" s="53" t="s">
        <v>564</v>
      </c>
      <c r="H267" s="53" t="s">
        <v>645</v>
      </c>
      <c r="I267" s="78" t="s">
        <v>378</v>
      </c>
      <c r="J267" s="53">
        <v>10</v>
      </c>
      <c r="K267" s="78" t="str">
        <f>VLOOKUP(J267,Ruimtegroepen[],2,FALSE)</f>
        <v>Trappenhuizen/lift</v>
      </c>
      <c r="L267" s="53" t="s">
        <v>285</v>
      </c>
      <c r="M267" s="53" t="s">
        <v>580</v>
      </c>
      <c r="N267" s="92">
        <v>12.22</v>
      </c>
      <c r="O267" s="92"/>
      <c r="P267" s="80" t="str">
        <f>LEFT(VLOOKUP(Ruimtestaat[[#This Row],[Ruimte code]],Ruimtegroepen[#All],4,1),2)</f>
        <v xml:space="preserve">V </v>
      </c>
      <c r="Q267" s="93"/>
      <c r="R267" s="81">
        <v>40</v>
      </c>
      <c r="S267" s="81" t="s">
        <v>298</v>
      </c>
      <c r="T267" s="82">
        <f>IF(R267&gt;0,IF(RIGHT(Ruimtestaat[[#This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7" s="82">
        <f>IF(T267&gt;0,VLOOKUP($J267,Ruimtegroepen[],3,FALSE)*VLOOKUP($L267,Vloersoorten[],3,FALSE)*VLOOKUP($S267,Frequenties[],3,FALSE)*VLOOKUP($A267,Locaties[],3,FALSE),0)</f>
        <v>0</v>
      </c>
      <c r="V267" s="83">
        <f>Ruimtestaat[[#This Row],[Uitvoeringen werkdagen]]*Ruimtestaat[[#This Row],[Oppervlak (netto)]]</f>
        <v>2444</v>
      </c>
      <c r="W267" s="84">
        <f>IF(U267&gt;0,Ruimtestaat[[#This Row],[Prest. (m2 /jaar) werkdagen]]/Ruimtestaat[[#This Row],[Norm (m2/uur) werkdagen]],0)</f>
        <v>0</v>
      </c>
      <c r="X267" s="85">
        <f>Ruimtestaat[[#This Row],[uren / jaar werkdagen]]*Tariefsopbouw!$E$35</f>
        <v>0</v>
      </c>
      <c r="Y267" s="82"/>
      <c r="Z267" s="86">
        <f>IF(Ruimtestaat[[#This Row],[Frequentie weekend]]&gt;0,VALUE(LEFT(Y267,1))*R267,0)</f>
        <v>0</v>
      </c>
      <c r="AA267" s="82">
        <f>IF($Z267&gt;0,VLOOKUP($J267,Ruimtegroepen[],3,FALSE)*VLOOKUP($L267,Vloersoorten[],3,FALSE)*VLOOKUP($Y267,Frequenties[],3,FALSE)*VLOOKUP($A263,Locaties[],3,FALSE),0)</f>
        <v>0</v>
      </c>
      <c r="AB267" s="84">
        <f>Ruimtestaat[[#This Row],[Uitvoeringen weekend]]*Ruimtestaat[[#This Row],[Oppervlak (netto)]]</f>
        <v>0</v>
      </c>
      <c r="AC267" s="87">
        <f>IF(AB267&gt;0,Ruimtestaat[[#This Row],[Prest. (m2 /jaar) weekend]]/Ruimtestaat[[#This Row],[Norm (m2/uur) weekend]],0)</f>
        <v>0</v>
      </c>
      <c r="AD267" s="88">
        <f>Ruimtestaat[[#This Row],[uren / jaar weekend]]*Tariefsopbouw!$D$40</f>
        <v>0</v>
      </c>
      <c r="AE267" s="89">
        <f>Ruimtestaat[[#This Row],[Prest. (m2 /jaar) weekend]]+Ruimtestaat[[#This Row],[Prest. (m2 /jaar) werkdagen]]</f>
        <v>2444</v>
      </c>
      <c r="AF267" s="89">
        <f>Ruimtestaat[[#This Row],[uren / jaar weekend]]+Ruimtestaat[[#This Row],[uren / jaar werkdagen]]</f>
        <v>0</v>
      </c>
      <c r="AG267" s="90">
        <f>Ruimtestaat[[#This Row],[kosten / jaar weekend]]+Ruimtestaat[[#This Row],[kosten / jaar werkdagen]]</f>
        <v>0</v>
      </c>
    </row>
    <row r="268" spans="1:220" ht="15" customHeight="1">
      <c r="A268" s="53">
        <v>2</v>
      </c>
      <c r="B268" s="53" t="str">
        <f>VLOOKUP(Ruimtestaat[[#This Row],[Code]],Locaties[#All],2,FALSE)</f>
        <v>Open Schoolgemeenschap Bijlmer</v>
      </c>
      <c r="C268" s="53" t="str">
        <f>VLOOKUP(Ruimtestaat[[#This Row],[Code]],Locaties[#All],4,FALSE)</f>
        <v>Gulden Kruis 5</v>
      </c>
      <c r="D268" s="53" t="str">
        <f>VLOOKUP(Ruimtestaat[[#This Row],[Code]],Locaties[#All],5,FALSE)</f>
        <v>1103 BE</v>
      </c>
      <c r="E268" s="53" t="str">
        <f>VLOOKUP(Ruimtestaat[[#This Row],[Code]],Locaties[#All],6,FALSE)</f>
        <v>Amsterdam Zuidoost</v>
      </c>
      <c r="F268" s="78"/>
      <c r="G268" s="53" t="s">
        <v>564</v>
      </c>
      <c r="H268" s="53" t="s">
        <v>650</v>
      </c>
      <c r="I268" s="78" t="s">
        <v>456</v>
      </c>
      <c r="J268" s="53">
        <v>6</v>
      </c>
      <c r="K268" s="78" t="str">
        <f>VLOOKUP(J268,Ruimtegroepen[],2,FALSE)</f>
        <v>Gangen/hallen</v>
      </c>
      <c r="L268" s="53" t="s">
        <v>285</v>
      </c>
      <c r="M268" s="53" t="s">
        <v>580</v>
      </c>
      <c r="N268" s="92">
        <v>35.884599999999999</v>
      </c>
      <c r="O268" s="92"/>
      <c r="P268" s="80" t="str">
        <f>LEFT(VLOOKUP(Ruimtestaat[[#This Row],[Ruimte code]],Ruimtegroepen[#All],4,1),2)</f>
        <v xml:space="preserve">V </v>
      </c>
      <c r="Q268" s="93"/>
      <c r="R268" s="81">
        <v>40</v>
      </c>
      <c r="S268" s="81" t="s">
        <v>298</v>
      </c>
      <c r="T268" s="82">
        <f>IF(R268&gt;0,IF(RIGHT(Ruimtestaat[[#This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68" s="82">
        <f>IF(T268&gt;0,VLOOKUP($J268,Ruimtegroepen[],3,FALSE)*VLOOKUP($L268,Vloersoorten[],3,FALSE)*VLOOKUP($S268,Frequenties[],3,FALSE)*VLOOKUP($A268,Locaties[],3,FALSE),0)</f>
        <v>0</v>
      </c>
      <c r="V268" s="83">
        <f>Ruimtestaat[[#This Row],[Uitvoeringen werkdagen]]*Ruimtestaat[[#This Row],[Oppervlak (netto)]]</f>
        <v>7176.92</v>
      </c>
      <c r="W268" s="84">
        <f>IF(U268&gt;0,Ruimtestaat[[#This Row],[Prest. (m2 /jaar) werkdagen]]/Ruimtestaat[[#This Row],[Norm (m2/uur) werkdagen]],0)</f>
        <v>0</v>
      </c>
      <c r="X268" s="85">
        <f>Ruimtestaat[[#This Row],[uren / jaar werkdagen]]*Tariefsopbouw!$E$35</f>
        <v>0</v>
      </c>
      <c r="Y268" s="82"/>
      <c r="Z268" s="86">
        <f>IF(Ruimtestaat[[#This Row],[Frequentie weekend]]&gt;0,VALUE(LEFT(Y268,1))*R268,0)</f>
        <v>0</v>
      </c>
      <c r="AA268" s="82">
        <f>IF($Z268&gt;0,VLOOKUP($J268,Ruimtegroepen[],3,FALSE)*VLOOKUP($L268,Vloersoorten[],3,FALSE)*VLOOKUP($Y268,Frequenties[],3,FALSE)*VLOOKUP($A264,Locaties[],3,FALSE),0)</f>
        <v>0</v>
      </c>
      <c r="AB268" s="84">
        <f>Ruimtestaat[[#This Row],[Uitvoeringen weekend]]*Ruimtestaat[[#This Row],[Oppervlak (netto)]]</f>
        <v>0</v>
      </c>
      <c r="AC268" s="87">
        <f>IF(AB268&gt;0,Ruimtestaat[[#This Row],[Prest. (m2 /jaar) weekend]]/Ruimtestaat[[#This Row],[Norm (m2/uur) weekend]],0)</f>
        <v>0</v>
      </c>
      <c r="AD268" s="88">
        <f>Ruimtestaat[[#This Row],[uren / jaar weekend]]*Tariefsopbouw!$D$40</f>
        <v>0</v>
      </c>
      <c r="AE268" s="89">
        <f>Ruimtestaat[[#This Row],[Prest. (m2 /jaar) weekend]]+Ruimtestaat[[#This Row],[Prest. (m2 /jaar) werkdagen]]</f>
        <v>7176.92</v>
      </c>
      <c r="AF268" s="89">
        <f>Ruimtestaat[[#This Row],[uren / jaar weekend]]+Ruimtestaat[[#This Row],[uren / jaar werkdagen]]</f>
        <v>0</v>
      </c>
      <c r="AG268" s="90">
        <f>Ruimtestaat[[#This Row],[kosten / jaar weekend]]+Ruimtestaat[[#This Row],[kosten / jaar werkdagen]]</f>
        <v>0</v>
      </c>
    </row>
    <row r="269" spans="1:220" ht="15" customHeight="1">
      <c r="A269" s="53">
        <v>2</v>
      </c>
      <c r="B269" s="53" t="str">
        <f>VLOOKUP(Ruimtestaat[[#This Row],[Code]],Locaties[#All],2,FALSE)</f>
        <v>Open Schoolgemeenschap Bijlmer</v>
      </c>
      <c r="C269" s="53" t="str">
        <f>VLOOKUP(Ruimtestaat[[#This Row],[Code]],Locaties[#All],4,FALSE)</f>
        <v>Gulden Kruis 5</v>
      </c>
      <c r="D269" s="53" t="str">
        <f>VLOOKUP(Ruimtestaat[[#This Row],[Code]],Locaties[#All],5,FALSE)</f>
        <v>1103 BE</v>
      </c>
      <c r="E269" s="53" t="str">
        <f>VLOOKUP(Ruimtestaat[[#This Row],[Code]],Locaties[#All],6,FALSE)</f>
        <v>Amsterdam Zuidoost</v>
      </c>
      <c r="F269" s="78"/>
      <c r="G269" s="53" t="s">
        <v>564</v>
      </c>
      <c r="H269" s="53" t="s">
        <v>651</v>
      </c>
      <c r="I269" s="78" t="s">
        <v>579</v>
      </c>
      <c r="J269" s="53">
        <v>5</v>
      </c>
      <c r="K269" s="78" t="str">
        <f>VLOOKUP(J269,Ruimtegroepen[],2,FALSE)</f>
        <v>Sanitair</v>
      </c>
      <c r="L269" s="53" t="s">
        <v>285</v>
      </c>
      <c r="M269" s="53" t="s">
        <v>580</v>
      </c>
      <c r="N269" s="92">
        <v>27.55</v>
      </c>
      <c r="O269" s="92"/>
      <c r="P269" s="80" t="str">
        <f>LEFT(VLOOKUP(Ruimtestaat[[#This Row],[Ruimte code]],Ruimtegroepen[#All],4,1),2)</f>
        <v xml:space="preserve">S </v>
      </c>
      <c r="Q269" s="93"/>
      <c r="R269" s="81">
        <v>40</v>
      </c>
      <c r="S269" s="81" t="s">
        <v>296</v>
      </c>
      <c r="T269" s="82">
        <f>IF(R269&gt;0,IF(RIGHT(Ruimtestaat[[#This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69" s="82">
        <f>IF(T269&gt;0,VLOOKUP($J269,Ruimtegroepen[],3,FALSE)*VLOOKUP($L269,Vloersoorten[],3,FALSE)*VLOOKUP($S269,Frequenties[],3,FALSE)*VLOOKUP($A269,Locaties[],3,FALSE),0)</f>
        <v>0</v>
      </c>
      <c r="V269" s="83">
        <f>Ruimtestaat[[#This Row],[Uitvoeringen werkdagen]]*Ruimtestaat[[#This Row],[Oppervlak (netto)]]</f>
        <v>11020</v>
      </c>
      <c r="W269" s="84">
        <f>IF(U269&gt;0,Ruimtestaat[[#This Row],[Prest. (m2 /jaar) werkdagen]]/Ruimtestaat[[#This Row],[Norm (m2/uur) werkdagen]],0)</f>
        <v>0</v>
      </c>
      <c r="X269" s="85">
        <f>Ruimtestaat[[#This Row],[uren / jaar werkdagen]]*Tariefsopbouw!$E$35</f>
        <v>0</v>
      </c>
      <c r="Y269" s="82"/>
      <c r="Z269" s="86">
        <f>IF(Ruimtestaat[[#This Row],[Frequentie weekend]]&gt;0,VALUE(LEFT(Y269,1))*R269,0)</f>
        <v>0</v>
      </c>
      <c r="AA269" s="82">
        <f>IF($Z269&gt;0,VLOOKUP($J269,Ruimtegroepen[],3,FALSE)*VLOOKUP($L269,Vloersoorten[],3,FALSE)*VLOOKUP($Y269,Frequenties[],3,FALSE)*VLOOKUP($A265,Locaties[],3,FALSE),0)</f>
        <v>0</v>
      </c>
      <c r="AB269" s="84">
        <f>Ruimtestaat[[#This Row],[Uitvoeringen weekend]]*Ruimtestaat[[#This Row],[Oppervlak (netto)]]</f>
        <v>0</v>
      </c>
      <c r="AC269" s="87">
        <f>IF(AB269&gt;0,Ruimtestaat[[#This Row],[Prest. (m2 /jaar) weekend]]/Ruimtestaat[[#This Row],[Norm (m2/uur) weekend]],0)</f>
        <v>0</v>
      </c>
      <c r="AD269" s="88">
        <f>Ruimtestaat[[#This Row],[uren / jaar weekend]]*Tariefsopbouw!$D$40</f>
        <v>0</v>
      </c>
      <c r="AE269" s="89">
        <f>Ruimtestaat[[#This Row],[Prest. (m2 /jaar) weekend]]+Ruimtestaat[[#This Row],[Prest. (m2 /jaar) werkdagen]]</f>
        <v>11020</v>
      </c>
      <c r="AF269" s="89">
        <f>Ruimtestaat[[#This Row],[uren / jaar weekend]]+Ruimtestaat[[#This Row],[uren / jaar werkdagen]]</f>
        <v>0</v>
      </c>
      <c r="AG269" s="90">
        <f>Ruimtestaat[[#This Row],[kosten / jaar weekend]]+Ruimtestaat[[#This Row],[kosten / jaar werkdagen]]</f>
        <v>0</v>
      </c>
    </row>
    <row r="270" spans="1:220" ht="15" customHeight="1">
      <c r="A270" s="53">
        <v>2</v>
      </c>
      <c r="B270" s="53" t="str">
        <f>VLOOKUP(Ruimtestaat[[#This Row],[Code]],Locaties[#All],2,FALSE)</f>
        <v>Open Schoolgemeenschap Bijlmer</v>
      </c>
      <c r="C270" s="53" t="str">
        <f>VLOOKUP(Ruimtestaat[[#This Row],[Code]],Locaties[#All],4,FALSE)</f>
        <v>Gulden Kruis 5</v>
      </c>
      <c r="D270" s="53" t="str">
        <f>VLOOKUP(Ruimtestaat[[#This Row],[Code]],Locaties[#All],5,FALSE)</f>
        <v>1103 BE</v>
      </c>
      <c r="E270" s="53" t="str">
        <f>VLOOKUP(Ruimtestaat[[#This Row],[Code]],Locaties[#All],6,FALSE)</f>
        <v>Amsterdam Zuidoost</v>
      </c>
      <c r="F270" s="78"/>
      <c r="G270" s="53" t="s">
        <v>564</v>
      </c>
      <c r="H270" s="53" t="s">
        <v>652</v>
      </c>
      <c r="I270" s="78" t="s">
        <v>381</v>
      </c>
      <c r="J270" s="53">
        <v>20</v>
      </c>
      <c r="K270" s="78" t="str">
        <f>VLOOKUP(J270,Ruimtegroepen[],2,FALSE)</f>
        <v>Niet in onderhoud</v>
      </c>
      <c r="L270" s="53" t="s">
        <v>280</v>
      </c>
      <c r="M270" s="53" t="s">
        <v>566</v>
      </c>
      <c r="O270" s="92">
        <v>75.290000000000006</v>
      </c>
      <c r="P270" s="80" t="str">
        <f>LEFT(VLOOKUP(Ruimtestaat[[#This Row],[Ruimte code]],Ruimtegroepen[#All],4,1),2)</f>
        <v/>
      </c>
      <c r="Q270" s="93"/>
      <c r="R270" s="81"/>
      <c r="S270" s="81"/>
      <c r="T270" s="82">
        <f>IF(R270&gt;0,IF(RIGHT(Ruimtestaat[[#This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270" s="82">
        <f>IF(T270&gt;0,VLOOKUP($J270,Ruimtegroepen[],3,FALSE)*VLOOKUP($L270,Vloersoorten[],3,FALSE)*VLOOKUP($S270,Frequenties[],3,FALSE)*VLOOKUP($A270,Locaties[],3,FALSE),0)</f>
        <v>0</v>
      </c>
      <c r="V270" s="83">
        <f>Ruimtestaat[[#This Row],[Uitvoeringen werkdagen]]*Ruimtestaat[[#This Row],[Oppervlak (netto)]]</f>
        <v>0</v>
      </c>
      <c r="W270" s="84">
        <f>IF(U270&gt;0,Ruimtestaat[[#This Row],[Prest. (m2 /jaar) werkdagen]]/Ruimtestaat[[#This Row],[Norm (m2/uur) werkdagen]],0)</f>
        <v>0</v>
      </c>
      <c r="X270" s="85">
        <f>Ruimtestaat[[#This Row],[uren / jaar werkdagen]]*Tariefsopbouw!$E$35</f>
        <v>0</v>
      </c>
      <c r="Y270" s="82"/>
      <c r="Z270" s="86">
        <f>IF(Ruimtestaat[[#This Row],[Frequentie weekend]]&gt;0,VALUE(LEFT(Y270,1))*R270,0)</f>
        <v>0</v>
      </c>
      <c r="AA270" s="82">
        <f>IF($Z270&gt;0,VLOOKUP($J270,Ruimtegroepen[],3,FALSE)*VLOOKUP($L270,Vloersoorten[],3,FALSE)*VLOOKUP($Y270,Frequenties[],3,FALSE)*VLOOKUP($A266,Locaties[],3,FALSE),0)</f>
        <v>0</v>
      </c>
      <c r="AB270" s="84">
        <f>Ruimtestaat[[#This Row],[Uitvoeringen weekend]]*Ruimtestaat[[#This Row],[Oppervlak (netto)]]</f>
        <v>0</v>
      </c>
      <c r="AC270" s="87">
        <f>IF(AB270&gt;0,Ruimtestaat[[#This Row],[Prest. (m2 /jaar) weekend]]/Ruimtestaat[[#This Row],[Norm (m2/uur) weekend]],0)</f>
        <v>0</v>
      </c>
      <c r="AD270" s="88">
        <f>Ruimtestaat[[#This Row],[uren / jaar weekend]]*Tariefsopbouw!$D$40</f>
        <v>0</v>
      </c>
      <c r="AE270" s="89">
        <f>Ruimtestaat[[#This Row],[Prest. (m2 /jaar) weekend]]+Ruimtestaat[[#This Row],[Prest. (m2 /jaar) werkdagen]]</f>
        <v>0</v>
      </c>
      <c r="AF270" s="89">
        <f>Ruimtestaat[[#This Row],[uren / jaar weekend]]+Ruimtestaat[[#This Row],[uren / jaar werkdagen]]</f>
        <v>0</v>
      </c>
      <c r="AG270" s="90">
        <f>Ruimtestaat[[#This Row],[kosten / jaar weekend]]+Ruimtestaat[[#This Row],[kosten / jaar werkdagen]]</f>
        <v>0</v>
      </c>
    </row>
    <row r="271" spans="1:220" ht="15" customHeight="1">
      <c r="A271" s="53">
        <v>2</v>
      </c>
      <c r="B271" s="53" t="str">
        <f>VLOOKUP(Ruimtestaat[[#This Row],[Code]],Locaties[#All],2,FALSE)</f>
        <v>Open Schoolgemeenschap Bijlmer</v>
      </c>
      <c r="C271" s="53" t="str">
        <f>VLOOKUP(Ruimtestaat[[#This Row],[Code]],Locaties[#All],4,FALSE)</f>
        <v>Gulden Kruis 5</v>
      </c>
      <c r="D271" s="53" t="str">
        <f>VLOOKUP(Ruimtestaat[[#This Row],[Code]],Locaties[#All],5,FALSE)</f>
        <v>1103 BE</v>
      </c>
      <c r="E271" s="53" t="str">
        <f>VLOOKUP(Ruimtestaat[[#This Row],[Code]],Locaties[#All],6,FALSE)</f>
        <v>Amsterdam Zuidoost</v>
      </c>
      <c r="F271" s="78"/>
      <c r="G271" s="53" t="s">
        <v>564</v>
      </c>
      <c r="H271" s="53" t="s">
        <v>653</v>
      </c>
      <c r="I271" s="78" t="s">
        <v>654</v>
      </c>
      <c r="J271" s="53">
        <v>8</v>
      </c>
      <c r="K271" s="78" t="str">
        <f>VLOOKUP(J271,Ruimtegroepen[],2,FALSE)</f>
        <v>Mediatheek / OLC</v>
      </c>
      <c r="L271" s="53" t="s">
        <v>291</v>
      </c>
      <c r="M271" s="53" t="s">
        <v>655</v>
      </c>
      <c r="N271" s="92">
        <v>197.5</v>
      </c>
      <c r="O271" s="92"/>
      <c r="P271" s="80" t="str">
        <f>LEFT(VLOOKUP(Ruimtestaat[[#This Row],[Ruimte code]],Ruimtegroepen[#All],4,1),2)</f>
        <v xml:space="preserve">L </v>
      </c>
      <c r="Q271" s="93"/>
      <c r="R271" s="81">
        <v>40</v>
      </c>
      <c r="S271" s="81" t="s">
        <v>298</v>
      </c>
      <c r="T271" s="82">
        <f>IF(R271&gt;0,IF(RIGHT(Ruimtestaat[[#This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1" s="82">
        <f>IF(T271&gt;0,VLOOKUP($J271,Ruimtegroepen[],3,FALSE)*VLOOKUP($L271,Vloersoorten[],3,FALSE)*VLOOKUP($S271,Frequenties[],3,FALSE)*VLOOKUP($A271,Locaties[],3,FALSE),0)</f>
        <v>0</v>
      </c>
      <c r="V271" s="83">
        <f>Ruimtestaat[[#This Row],[Uitvoeringen werkdagen]]*Ruimtestaat[[#This Row],[Oppervlak (netto)]]</f>
        <v>39500</v>
      </c>
      <c r="W271" s="84">
        <f>IF(U271&gt;0,Ruimtestaat[[#This Row],[Prest. (m2 /jaar) werkdagen]]/Ruimtestaat[[#This Row],[Norm (m2/uur) werkdagen]],0)</f>
        <v>0</v>
      </c>
      <c r="X271" s="85">
        <f>Ruimtestaat[[#This Row],[uren / jaar werkdagen]]*Tariefsopbouw!$E$35</f>
        <v>0</v>
      </c>
      <c r="Y271" s="82"/>
      <c r="Z271" s="86">
        <f>IF(Ruimtestaat[[#This Row],[Frequentie weekend]]&gt;0,VALUE(LEFT(Y271,1))*R271,0)</f>
        <v>0</v>
      </c>
      <c r="AA271" s="82">
        <f>IF($Z271&gt;0,VLOOKUP($J271,Ruimtegroepen[],3,FALSE)*VLOOKUP($L271,Vloersoorten[],3,FALSE)*VLOOKUP($Y271,Frequenties[],3,FALSE)*VLOOKUP($A267,Locaties[],3,FALSE),0)</f>
        <v>0</v>
      </c>
      <c r="AB271" s="84">
        <f>Ruimtestaat[[#This Row],[Uitvoeringen weekend]]*Ruimtestaat[[#This Row],[Oppervlak (netto)]]</f>
        <v>0</v>
      </c>
      <c r="AC271" s="87">
        <f>IF(AB271&gt;0,Ruimtestaat[[#This Row],[Prest. (m2 /jaar) weekend]]/Ruimtestaat[[#This Row],[Norm (m2/uur) weekend]],0)</f>
        <v>0</v>
      </c>
      <c r="AD271" s="88">
        <f>Ruimtestaat[[#This Row],[uren / jaar weekend]]*Tariefsopbouw!$D$40</f>
        <v>0</v>
      </c>
      <c r="AE271" s="89">
        <f>Ruimtestaat[[#This Row],[Prest. (m2 /jaar) weekend]]+Ruimtestaat[[#This Row],[Prest. (m2 /jaar) werkdagen]]</f>
        <v>39500</v>
      </c>
      <c r="AF271" s="89">
        <f>Ruimtestaat[[#This Row],[uren / jaar weekend]]+Ruimtestaat[[#This Row],[uren / jaar werkdagen]]</f>
        <v>0</v>
      </c>
      <c r="AG271" s="90">
        <f>Ruimtestaat[[#This Row],[kosten / jaar weekend]]+Ruimtestaat[[#This Row],[kosten / jaar werkdagen]]</f>
        <v>0</v>
      </c>
    </row>
    <row r="272" spans="1:220" ht="15" customHeight="1">
      <c r="A272" s="53">
        <v>2</v>
      </c>
      <c r="B272" s="53" t="str">
        <f>VLOOKUP(Ruimtestaat[[#This Row],[Code]],Locaties[#All],2,FALSE)</f>
        <v>Open Schoolgemeenschap Bijlmer</v>
      </c>
      <c r="C272" s="53" t="str">
        <f>VLOOKUP(Ruimtestaat[[#This Row],[Code]],Locaties[#All],4,FALSE)</f>
        <v>Gulden Kruis 5</v>
      </c>
      <c r="D272" s="53" t="str">
        <f>VLOOKUP(Ruimtestaat[[#This Row],[Code]],Locaties[#All],5,FALSE)</f>
        <v>1103 BE</v>
      </c>
      <c r="E272" s="53" t="str">
        <f>VLOOKUP(Ruimtestaat[[#This Row],[Code]],Locaties[#All],6,FALSE)</f>
        <v>Amsterdam Zuidoost</v>
      </c>
      <c r="F272" s="78"/>
      <c r="G272" s="53" t="s">
        <v>564</v>
      </c>
      <c r="H272" s="53" t="s">
        <v>656</v>
      </c>
      <c r="I272" s="78" t="s">
        <v>428</v>
      </c>
      <c r="J272" s="53">
        <v>16</v>
      </c>
      <c r="K272" s="78" t="str">
        <f>VLOOKUP(J272,Ruimtegroepen[],2,FALSE)</f>
        <v>Leslokalen theorie</v>
      </c>
      <c r="L272" s="53" t="s">
        <v>288</v>
      </c>
      <c r="M272" s="53" t="s">
        <v>657</v>
      </c>
      <c r="N272" s="92">
        <v>113.21</v>
      </c>
      <c r="O272" s="92"/>
      <c r="P272" s="80" t="str">
        <f>LEFT(VLOOKUP(Ruimtestaat[[#This Row],[Ruimte code]],Ruimtegroepen[#All],4,1),2)</f>
        <v xml:space="preserve">L </v>
      </c>
      <c r="Q272" s="93"/>
      <c r="R272" s="81">
        <v>40</v>
      </c>
      <c r="S272" s="81" t="s">
        <v>298</v>
      </c>
      <c r="T272" s="82">
        <f>IF(R272&gt;0,IF(RIGHT(Ruimtestaat[[#This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2" s="82">
        <f>IF(T272&gt;0,VLOOKUP($J272,Ruimtegroepen[],3,FALSE)*VLOOKUP($L272,Vloersoorten[],3,FALSE)*VLOOKUP($S272,Frequenties[],3,FALSE)*VLOOKUP($A272,Locaties[],3,FALSE),0)</f>
        <v>0</v>
      </c>
      <c r="V272" s="83">
        <f>Ruimtestaat[[#This Row],[Uitvoeringen werkdagen]]*Ruimtestaat[[#This Row],[Oppervlak (netto)]]</f>
        <v>22642</v>
      </c>
      <c r="W272" s="84">
        <f>IF(U272&gt;0,Ruimtestaat[[#This Row],[Prest. (m2 /jaar) werkdagen]]/Ruimtestaat[[#This Row],[Norm (m2/uur) werkdagen]],0)</f>
        <v>0</v>
      </c>
      <c r="X272" s="85">
        <f>Ruimtestaat[[#This Row],[uren / jaar werkdagen]]*Tariefsopbouw!$E$35</f>
        <v>0</v>
      </c>
      <c r="Y272" s="82"/>
      <c r="Z272" s="86">
        <f>IF(Ruimtestaat[[#This Row],[Frequentie weekend]]&gt;0,VALUE(LEFT(Y272,1))*R272,0)</f>
        <v>0</v>
      </c>
      <c r="AA272" s="82">
        <f>IF($Z272&gt;0,VLOOKUP($J272,Ruimtegroepen[],3,FALSE)*VLOOKUP($L272,Vloersoorten[],3,FALSE)*VLOOKUP($Y272,Frequenties[],3,FALSE)*VLOOKUP($A268,Locaties[],3,FALSE),0)</f>
        <v>0</v>
      </c>
      <c r="AB272" s="84">
        <f>Ruimtestaat[[#This Row],[Uitvoeringen weekend]]*Ruimtestaat[[#This Row],[Oppervlak (netto)]]</f>
        <v>0</v>
      </c>
      <c r="AC272" s="87">
        <f>IF(AB272&gt;0,Ruimtestaat[[#This Row],[Prest. (m2 /jaar) weekend]]/Ruimtestaat[[#This Row],[Norm (m2/uur) weekend]],0)</f>
        <v>0</v>
      </c>
      <c r="AD272" s="88">
        <f>Ruimtestaat[[#This Row],[uren / jaar weekend]]*Tariefsopbouw!$D$40</f>
        <v>0</v>
      </c>
      <c r="AE272" s="89">
        <f>Ruimtestaat[[#This Row],[Prest. (m2 /jaar) weekend]]+Ruimtestaat[[#This Row],[Prest. (m2 /jaar) werkdagen]]</f>
        <v>22642</v>
      </c>
      <c r="AF272" s="89">
        <f>Ruimtestaat[[#This Row],[uren / jaar weekend]]+Ruimtestaat[[#This Row],[uren / jaar werkdagen]]</f>
        <v>0</v>
      </c>
      <c r="AG272" s="90">
        <f>Ruimtestaat[[#This Row],[kosten / jaar weekend]]+Ruimtestaat[[#This Row],[kosten / jaar werkdagen]]</f>
        <v>0</v>
      </c>
    </row>
    <row r="273" spans="1:33" ht="15" customHeight="1">
      <c r="A273" s="53">
        <v>2</v>
      </c>
      <c r="B273" s="53" t="str">
        <f>VLOOKUP(Ruimtestaat[[#This Row],[Code]],Locaties[#All],2,FALSE)</f>
        <v>Open Schoolgemeenschap Bijlmer</v>
      </c>
      <c r="C273" s="53" t="str">
        <f>VLOOKUP(Ruimtestaat[[#This Row],[Code]],Locaties[#All],4,FALSE)</f>
        <v>Gulden Kruis 5</v>
      </c>
      <c r="D273" s="53" t="str">
        <f>VLOOKUP(Ruimtestaat[[#This Row],[Code]],Locaties[#All],5,FALSE)</f>
        <v>1103 BE</v>
      </c>
      <c r="E273" s="53" t="str">
        <f>VLOOKUP(Ruimtestaat[[#This Row],[Code]],Locaties[#All],6,FALSE)</f>
        <v>Amsterdam Zuidoost</v>
      </c>
      <c r="F273" s="78"/>
      <c r="G273" s="53" t="s">
        <v>564</v>
      </c>
      <c r="H273" s="53" t="s">
        <v>658</v>
      </c>
      <c r="I273" s="78" t="s">
        <v>378</v>
      </c>
      <c r="J273" s="53">
        <v>10</v>
      </c>
      <c r="K273" s="78" t="str">
        <f>VLOOKUP(J273,Ruimtegroepen[],2,FALSE)</f>
        <v>Trappenhuizen/lift</v>
      </c>
      <c r="L273" s="53" t="s">
        <v>285</v>
      </c>
      <c r="M273" s="53" t="s">
        <v>597</v>
      </c>
      <c r="N273" s="92">
        <v>14.61</v>
      </c>
      <c r="O273" s="92"/>
      <c r="P273" s="80" t="str">
        <f>LEFT(VLOOKUP(Ruimtestaat[[#This Row],[Ruimte code]],Ruimtegroepen[#All],4,1),2)</f>
        <v xml:space="preserve">V </v>
      </c>
      <c r="Q273" s="93"/>
      <c r="R273" s="81">
        <v>40</v>
      </c>
      <c r="S273" s="81" t="s">
        <v>298</v>
      </c>
      <c r="T273" s="82">
        <f>IF(R273&gt;0,IF(RIGHT(Ruimtestaat[[#This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3" s="82">
        <f>IF(T273&gt;0,VLOOKUP($J273,Ruimtegroepen[],3,FALSE)*VLOOKUP($L273,Vloersoorten[],3,FALSE)*VLOOKUP($S273,Frequenties[],3,FALSE)*VLOOKUP($A273,Locaties[],3,FALSE),0)</f>
        <v>0</v>
      </c>
      <c r="V273" s="83">
        <f>Ruimtestaat[[#This Row],[Uitvoeringen werkdagen]]*Ruimtestaat[[#This Row],[Oppervlak (netto)]]</f>
        <v>2922</v>
      </c>
      <c r="W273" s="84">
        <f>IF(U273&gt;0,Ruimtestaat[[#This Row],[Prest. (m2 /jaar) werkdagen]]/Ruimtestaat[[#This Row],[Norm (m2/uur) werkdagen]],0)</f>
        <v>0</v>
      </c>
      <c r="X273" s="85">
        <f>Ruimtestaat[[#This Row],[uren / jaar werkdagen]]*Tariefsopbouw!$E$35</f>
        <v>0</v>
      </c>
      <c r="Y273" s="82"/>
      <c r="Z273" s="86">
        <f>IF(Ruimtestaat[[#This Row],[Frequentie weekend]]&gt;0,VALUE(LEFT(Y273,1))*R273,0)</f>
        <v>0</v>
      </c>
      <c r="AA273" s="82">
        <f>IF($Z273&gt;0,VLOOKUP($J273,Ruimtegroepen[],3,FALSE)*VLOOKUP($L273,Vloersoorten[],3,FALSE)*VLOOKUP($Y273,Frequenties[],3,FALSE)*VLOOKUP($A269,Locaties[],3,FALSE),0)</f>
        <v>0</v>
      </c>
      <c r="AB273" s="84">
        <f>Ruimtestaat[[#This Row],[Uitvoeringen weekend]]*Ruimtestaat[[#This Row],[Oppervlak (netto)]]</f>
        <v>0</v>
      </c>
      <c r="AC273" s="87">
        <f>IF(AB273&gt;0,Ruimtestaat[[#This Row],[Prest. (m2 /jaar) weekend]]/Ruimtestaat[[#This Row],[Norm (m2/uur) weekend]],0)</f>
        <v>0</v>
      </c>
      <c r="AD273" s="88">
        <f>Ruimtestaat[[#This Row],[uren / jaar weekend]]*Tariefsopbouw!$D$40</f>
        <v>0</v>
      </c>
      <c r="AE273" s="89">
        <f>Ruimtestaat[[#This Row],[Prest. (m2 /jaar) weekend]]+Ruimtestaat[[#This Row],[Prest. (m2 /jaar) werkdagen]]</f>
        <v>2922</v>
      </c>
      <c r="AF273" s="89">
        <f>Ruimtestaat[[#This Row],[uren / jaar weekend]]+Ruimtestaat[[#This Row],[uren / jaar werkdagen]]</f>
        <v>0</v>
      </c>
      <c r="AG273" s="90">
        <f>Ruimtestaat[[#This Row],[kosten / jaar weekend]]+Ruimtestaat[[#This Row],[kosten / jaar werkdagen]]</f>
        <v>0</v>
      </c>
    </row>
    <row r="274" spans="1:33" ht="15" customHeight="1">
      <c r="A274" s="53">
        <v>2</v>
      </c>
      <c r="B274" s="53" t="str">
        <f>VLOOKUP(Ruimtestaat[[#This Row],[Code]],Locaties[#All],2,FALSE)</f>
        <v>Open Schoolgemeenschap Bijlmer</v>
      </c>
      <c r="C274" s="53" t="str">
        <f>VLOOKUP(Ruimtestaat[[#This Row],[Code]],Locaties[#All],4,FALSE)</f>
        <v>Gulden Kruis 5</v>
      </c>
      <c r="D274" s="53" t="str">
        <f>VLOOKUP(Ruimtestaat[[#This Row],[Code]],Locaties[#All],5,FALSE)</f>
        <v>1103 BE</v>
      </c>
      <c r="E274" s="53" t="str">
        <f>VLOOKUP(Ruimtestaat[[#This Row],[Code]],Locaties[#All],6,FALSE)</f>
        <v>Amsterdam Zuidoost</v>
      </c>
      <c r="F274" s="78"/>
      <c r="G274" s="53" t="s">
        <v>564</v>
      </c>
      <c r="H274" s="53" t="s">
        <v>659</v>
      </c>
      <c r="I274" s="78" t="s">
        <v>359</v>
      </c>
      <c r="J274" s="53">
        <v>2</v>
      </c>
      <c r="K274" s="78" t="str">
        <f>VLOOKUP(J274,Ruimtegroepen[],2,FALSE)</f>
        <v>Kantoren</v>
      </c>
      <c r="L274" s="53" t="s">
        <v>280</v>
      </c>
      <c r="M274" s="53" t="s">
        <v>576</v>
      </c>
      <c r="N274" s="92">
        <v>18.21</v>
      </c>
      <c r="O274" s="92"/>
      <c r="P274" s="80" t="str">
        <f>LEFT(VLOOKUP(Ruimtestaat[[#This Row],[Ruimte code]],Ruimtegroepen[#All],4,1),2)</f>
        <v xml:space="preserve">B </v>
      </c>
      <c r="Q274" s="93"/>
      <c r="R274" s="81">
        <v>40</v>
      </c>
      <c r="S274" s="81" t="s">
        <v>298</v>
      </c>
      <c r="T274" s="82">
        <f>IF(R274&gt;0,IF(RIGHT(Ruimtestaat[[#This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4" s="82">
        <f>IF(T274&gt;0,VLOOKUP($J274,Ruimtegroepen[],3,FALSE)*VLOOKUP($L274,Vloersoorten[],3,FALSE)*VLOOKUP($S274,Frequenties[],3,FALSE)*VLOOKUP($A274,Locaties[],3,FALSE),0)</f>
        <v>0</v>
      </c>
      <c r="V274" s="83">
        <f>Ruimtestaat[[#This Row],[Uitvoeringen werkdagen]]*Ruimtestaat[[#This Row],[Oppervlak (netto)]]</f>
        <v>3642</v>
      </c>
      <c r="W274" s="84">
        <f>IF(U274&gt;0,Ruimtestaat[[#This Row],[Prest. (m2 /jaar) werkdagen]]/Ruimtestaat[[#This Row],[Norm (m2/uur) werkdagen]],0)</f>
        <v>0</v>
      </c>
      <c r="X274" s="85">
        <f>Ruimtestaat[[#This Row],[uren / jaar werkdagen]]*Tariefsopbouw!$E$35</f>
        <v>0</v>
      </c>
      <c r="Y274" s="82"/>
      <c r="Z274" s="86">
        <f>IF(Ruimtestaat[[#This Row],[Frequentie weekend]]&gt;0,VALUE(LEFT(Y274,1))*R274,0)</f>
        <v>0</v>
      </c>
      <c r="AA274" s="82">
        <f>IF($Z274&gt;0,VLOOKUP($J274,Ruimtegroepen[],3,FALSE)*VLOOKUP($L274,Vloersoorten[],3,FALSE)*VLOOKUP($Y274,Frequenties[],3,FALSE)*VLOOKUP($A270,Locaties[],3,FALSE),0)</f>
        <v>0</v>
      </c>
      <c r="AB274" s="84">
        <f>Ruimtestaat[[#This Row],[Uitvoeringen weekend]]*Ruimtestaat[[#This Row],[Oppervlak (netto)]]</f>
        <v>0</v>
      </c>
      <c r="AC274" s="87">
        <f>IF(AB274&gt;0,Ruimtestaat[[#This Row],[Prest. (m2 /jaar) weekend]]/Ruimtestaat[[#This Row],[Norm (m2/uur) weekend]],0)</f>
        <v>0</v>
      </c>
      <c r="AD274" s="88">
        <f>Ruimtestaat[[#This Row],[uren / jaar weekend]]*Tariefsopbouw!$D$40</f>
        <v>0</v>
      </c>
      <c r="AE274" s="89">
        <f>Ruimtestaat[[#This Row],[Prest. (m2 /jaar) weekend]]+Ruimtestaat[[#This Row],[Prest. (m2 /jaar) werkdagen]]</f>
        <v>3642</v>
      </c>
      <c r="AF274" s="89">
        <f>Ruimtestaat[[#This Row],[uren / jaar weekend]]+Ruimtestaat[[#This Row],[uren / jaar werkdagen]]</f>
        <v>0</v>
      </c>
      <c r="AG274" s="90">
        <f>Ruimtestaat[[#This Row],[kosten / jaar weekend]]+Ruimtestaat[[#This Row],[kosten / jaar werkdagen]]</f>
        <v>0</v>
      </c>
    </row>
    <row r="275" spans="1:33" ht="15" customHeight="1">
      <c r="A275" s="53">
        <v>2</v>
      </c>
      <c r="B275" s="53" t="str">
        <f>VLOOKUP(Ruimtestaat[[#This Row],[Code]],Locaties[#All],2,FALSE)</f>
        <v>Open Schoolgemeenschap Bijlmer</v>
      </c>
      <c r="C275" s="53" t="str">
        <f>VLOOKUP(Ruimtestaat[[#This Row],[Code]],Locaties[#All],4,FALSE)</f>
        <v>Gulden Kruis 5</v>
      </c>
      <c r="D275" s="53" t="str">
        <f>VLOOKUP(Ruimtestaat[[#This Row],[Code]],Locaties[#All],5,FALSE)</f>
        <v>1103 BE</v>
      </c>
      <c r="E275" s="53" t="str">
        <f>VLOOKUP(Ruimtestaat[[#This Row],[Code]],Locaties[#All],6,FALSE)</f>
        <v>Amsterdam Zuidoost</v>
      </c>
      <c r="F275" s="78"/>
      <c r="G275" s="53" t="s">
        <v>564</v>
      </c>
      <c r="H275" s="53" t="s">
        <v>660</v>
      </c>
      <c r="I275" s="78" t="s">
        <v>428</v>
      </c>
      <c r="J275" s="53">
        <v>16</v>
      </c>
      <c r="K275" s="78" t="str">
        <f>VLOOKUP(J275,Ruimtegroepen[],2,FALSE)</f>
        <v>Leslokalen theorie</v>
      </c>
      <c r="L275" s="53" t="s">
        <v>288</v>
      </c>
      <c r="M275" s="53" t="s">
        <v>657</v>
      </c>
      <c r="N275" s="92">
        <v>65.52</v>
      </c>
      <c r="O275" s="92"/>
      <c r="P275" s="80" t="str">
        <f>LEFT(VLOOKUP(Ruimtestaat[[#This Row],[Ruimte code]],Ruimtegroepen[#All],4,1),2)</f>
        <v xml:space="preserve">L </v>
      </c>
      <c r="Q275" s="93"/>
      <c r="R275" s="81">
        <v>40</v>
      </c>
      <c r="S275" s="81" t="s">
        <v>298</v>
      </c>
      <c r="T275" s="82">
        <f>IF(R275&gt;0,IF(RIGHT(Ruimtestaat[[#This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5" s="82">
        <f>IF(T275&gt;0,VLOOKUP($J275,Ruimtegroepen[],3,FALSE)*VLOOKUP($L275,Vloersoorten[],3,FALSE)*VLOOKUP($S275,Frequenties[],3,FALSE)*VLOOKUP($A275,Locaties[],3,FALSE),0)</f>
        <v>0</v>
      </c>
      <c r="V275" s="83">
        <f>Ruimtestaat[[#This Row],[Uitvoeringen werkdagen]]*Ruimtestaat[[#This Row],[Oppervlak (netto)]]</f>
        <v>13104</v>
      </c>
      <c r="W275" s="84">
        <f>IF(U275&gt;0,Ruimtestaat[[#This Row],[Prest. (m2 /jaar) werkdagen]]/Ruimtestaat[[#This Row],[Norm (m2/uur) werkdagen]],0)</f>
        <v>0</v>
      </c>
      <c r="X275" s="85">
        <f>Ruimtestaat[[#This Row],[uren / jaar werkdagen]]*Tariefsopbouw!$E$35</f>
        <v>0</v>
      </c>
      <c r="Y275" s="82"/>
      <c r="Z275" s="86">
        <f>IF(Ruimtestaat[[#This Row],[Frequentie weekend]]&gt;0,VALUE(LEFT(Y275,1))*R275,0)</f>
        <v>0</v>
      </c>
      <c r="AA275" s="82">
        <f>IF($Z275&gt;0,VLOOKUP($J275,Ruimtegroepen[],3,FALSE)*VLOOKUP($L275,Vloersoorten[],3,FALSE)*VLOOKUP($Y275,Frequenties[],3,FALSE)*VLOOKUP($A271,Locaties[],3,FALSE),0)</f>
        <v>0</v>
      </c>
      <c r="AB275" s="84">
        <f>Ruimtestaat[[#This Row],[Uitvoeringen weekend]]*Ruimtestaat[[#This Row],[Oppervlak (netto)]]</f>
        <v>0</v>
      </c>
      <c r="AC275" s="87">
        <f>IF(AB275&gt;0,Ruimtestaat[[#This Row],[Prest. (m2 /jaar) weekend]]/Ruimtestaat[[#This Row],[Norm (m2/uur) weekend]],0)</f>
        <v>0</v>
      </c>
      <c r="AD275" s="88">
        <f>Ruimtestaat[[#This Row],[uren / jaar weekend]]*Tariefsopbouw!$D$40</f>
        <v>0</v>
      </c>
      <c r="AE275" s="89">
        <f>Ruimtestaat[[#This Row],[Prest. (m2 /jaar) weekend]]+Ruimtestaat[[#This Row],[Prest. (m2 /jaar) werkdagen]]</f>
        <v>13104</v>
      </c>
      <c r="AF275" s="89">
        <f>Ruimtestaat[[#This Row],[uren / jaar weekend]]+Ruimtestaat[[#This Row],[uren / jaar werkdagen]]</f>
        <v>0</v>
      </c>
      <c r="AG275" s="90">
        <f>Ruimtestaat[[#This Row],[kosten / jaar weekend]]+Ruimtestaat[[#This Row],[kosten / jaar werkdagen]]</f>
        <v>0</v>
      </c>
    </row>
    <row r="276" spans="1:33" ht="15" customHeight="1">
      <c r="A276" s="53">
        <v>2</v>
      </c>
      <c r="B276" s="53" t="str">
        <f>VLOOKUP(Ruimtestaat[[#This Row],[Code]],Locaties[#All],2,FALSE)</f>
        <v>Open Schoolgemeenschap Bijlmer</v>
      </c>
      <c r="C276" s="53" t="str">
        <f>VLOOKUP(Ruimtestaat[[#This Row],[Code]],Locaties[#All],4,FALSE)</f>
        <v>Gulden Kruis 5</v>
      </c>
      <c r="D276" s="53" t="str">
        <f>VLOOKUP(Ruimtestaat[[#This Row],[Code]],Locaties[#All],5,FALSE)</f>
        <v>1103 BE</v>
      </c>
      <c r="E276" s="53" t="str">
        <f>VLOOKUP(Ruimtestaat[[#This Row],[Code]],Locaties[#All],6,FALSE)</f>
        <v>Amsterdam Zuidoost</v>
      </c>
      <c r="F276" s="78"/>
      <c r="G276" s="53" t="s">
        <v>564</v>
      </c>
      <c r="H276" s="53" t="s">
        <v>661</v>
      </c>
      <c r="I276" s="78" t="s">
        <v>428</v>
      </c>
      <c r="J276" s="53">
        <v>16</v>
      </c>
      <c r="K276" s="78" t="str">
        <f>VLOOKUP(J276,Ruimtegroepen[],2,FALSE)</f>
        <v>Leslokalen theorie</v>
      </c>
      <c r="L276" s="53" t="s">
        <v>285</v>
      </c>
      <c r="M276" s="53" t="s">
        <v>580</v>
      </c>
      <c r="N276" s="92">
        <v>68.03</v>
      </c>
      <c r="O276" s="92"/>
      <c r="P276" s="80" t="str">
        <f>LEFT(VLOOKUP(Ruimtestaat[[#This Row],[Ruimte code]],Ruimtegroepen[#All],4,1),2)</f>
        <v xml:space="preserve">L </v>
      </c>
      <c r="Q276" s="93"/>
      <c r="R276" s="81">
        <v>40</v>
      </c>
      <c r="S276" s="81" t="s">
        <v>298</v>
      </c>
      <c r="T276" s="82">
        <f>IF(R276&gt;0,IF(RIGHT(Ruimtestaat[[#This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6" s="82">
        <f>IF(T276&gt;0,VLOOKUP($J276,Ruimtegroepen[],3,FALSE)*VLOOKUP($L276,Vloersoorten[],3,FALSE)*VLOOKUP($S276,Frequenties[],3,FALSE)*VLOOKUP($A276,Locaties[],3,FALSE),0)</f>
        <v>0</v>
      </c>
      <c r="V276" s="83">
        <f>Ruimtestaat[[#This Row],[Uitvoeringen werkdagen]]*Ruimtestaat[[#This Row],[Oppervlak (netto)]]</f>
        <v>13606</v>
      </c>
      <c r="W276" s="84">
        <f>IF(U276&gt;0,Ruimtestaat[[#This Row],[Prest. (m2 /jaar) werkdagen]]/Ruimtestaat[[#This Row],[Norm (m2/uur) werkdagen]],0)</f>
        <v>0</v>
      </c>
      <c r="X276" s="85">
        <f>Ruimtestaat[[#This Row],[uren / jaar werkdagen]]*Tariefsopbouw!$E$35</f>
        <v>0</v>
      </c>
      <c r="Y276" s="82"/>
      <c r="Z276" s="86">
        <f>IF(Ruimtestaat[[#This Row],[Frequentie weekend]]&gt;0,VALUE(LEFT(Y276,1))*R276,0)</f>
        <v>0</v>
      </c>
      <c r="AA276" s="82">
        <f>IF($Z276&gt;0,VLOOKUP($J276,Ruimtegroepen[],3,FALSE)*VLOOKUP($L276,Vloersoorten[],3,FALSE)*VLOOKUP($Y276,Frequenties[],3,FALSE)*VLOOKUP($A272,Locaties[],3,FALSE),0)</f>
        <v>0</v>
      </c>
      <c r="AB276" s="84">
        <f>Ruimtestaat[[#This Row],[Uitvoeringen weekend]]*Ruimtestaat[[#This Row],[Oppervlak (netto)]]</f>
        <v>0</v>
      </c>
      <c r="AC276" s="87">
        <f>IF(AB276&gt;0,Ruimtestaat[[#This Row],[Prest. (m2 /jaar) weekend]]/Ruimtestaat[[#This Row],[Norm (m2/uur) weekend]],0)</f>
        <v>0</v>
      </c>
      <c r="AD276" s="88">
        <f>Ruimtestaat[[#This Row],[uren / jaar weekend]]*Tariefsopbouw!$D$40</f>
        <v>0</v>
      </c>
      <c r="AE276" s="89">
        <f>Ruimtestaat[[#This Row],[Prest. (m2 /jaar) weekend]]+Ruimtestaat[[#This Row],[Prest. (m2 /jaar) werkdagen]]</f>
        <v>13606</v>
      </c>
      <c r="AF276" s="89">
        <f>Ruimtestaat[[#This Row],[uren / jaar weekend]]+Ruimtestaat[[#This Row],[uren / jaar werkdagen]]</f>
        <v>0</v>
      </c>
      <c r="AG276" s="90">
        <f>Ruimtestaat[[#This Row],[kosten / jaar weekend]]+Ruimtestaat[[#This Row],[kosten / jaar werkdagen]]</f>
        <v>0</v>
      </c>
    </row>
    <row r="277" spans="1:33" ht="15" customHeight="1">
      <c r="A277" s="53">
        <v>2</v>
      </c>
      <c r="B277" s="53" t="str">
        <f>VLOOKUP(Ruimtestaat[[#This Row],[Code]],Locaties[#All],2,FALSE)</f>
        <v>Open Schoolgemeenschap Bijlmer</v>
      </c>
      <c r="C277" s="53" t="str">
        <f>VLOOKUP(Ruimtestaat[[#This Row],[Code]],Locaties[#All],4,FALSE)</f>
        <v>Gulden Kruis 5</v>
      </c>
      <c r="D277" s="53" t="str">
        <f>VLOOKUP(Ruimtestaat[[#This Row],[Code]],Locaties[#All],5,FALSE)</f>
        <v>1103 BE</v>
      </c>
      <c r="E277" s="53" t="str">
        <f>VLOOKUP(Ruimtestaat[[#This Row],[Code]],Locaties[#All],6,FALSE)</f>
        <v>Amsterdam Zuidoost</v>
      </c>
      <c r="F277" s="78"/>
      <c r="G277" s="53" t="s">
        <v>564</v>
      </c>
      <c r="H277" s="53" t="s">
        <v>662</v>
      </c>
      <c r="I277" s="78" t="s">
        <v>456</v>
      </c>
      <c r="J277" s="53">
        <v>6</v>
      </c>
      <c r="K277" s="78" t="str">
        <f>VLOOKUP(J277,Ruimtegroepen[],2,FALSE)</f>
        <v>Gangen/hallen</v>
      </c>
      <c r="L277" s="53" t="s">
        <v>285</v>
      </c>
      <c r="M277" s="53" t="s">
        <v>580</v>
      </c>
      <c r="N277" s="92">
        <v>66.989999999999995</v>
      </c>
      <c r="O277" s="92"/>
      <c r="P277" s="80" t="str">
        <f>LEFT(VLOOKUP(Ruimtestaat[[#This Row],[Ruimte code]],Ruimtegroepen[#All],4,1),2)</f>
        <v xml:space="preserve">V </v>
      </c>
      <c r="Q277" s="93"/>
      <c r="R277" s="81">
        <v>40</v>
      </c>
      <c r="S277" s="81" t="s">
        <v>298</v>
      </c>
      <c r="T277" s="82">
        <f>IF(R277&gt;0,IF(RIGHT(Ruimtestaat[[#This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7" s="82">
        <f>IF(T277&gt;0,VLOOKUP($J277,Ruimtegroepen[],3,FALSE)*VLOOKUP($L277,Vloersoorten[],3,FALSE)*VLOOKUP($S277,Frequenties[],3,FALSE)*VLOOKUP($A277,Locaties[],3,FALSE),0)</f>
        <v>0</v>
      </c>
      <c r="V277" s="83">
        <f>Ruimtestaat[[#This Row],[Uitvoeringen werkdagen]]*Ruimtestaat[[#This Row],[Oppervlak (netto)]]</f>
        <v>13397.999999999998</v>
      </c>
      <c r="W277" s="84">
        <f>IF(U277&gt;0,Ruimtestaat[[#This Row],[Prest. (m2 /jaar) werkdagen]]/Ruimtestaat[[#This Row],[Norm (m2/uur) werkdagen]],0)</f>
        <v>0</v>
      </c>
      <c r="X277" s="85">
        <f>Ruimtestaat[[#This Row],[uren / jaar werkdagen]]*Tariefsopbouw!$E$35</f>
        <v>0</v>
      </c>
      <c r="Y277" s="82"/>
      <c r="Z277" s="86">
        <f>IF(Ruimtestaat[[#This Row],[Frequentie weekend]]&gt;0,VALUE(LEFT(Y277,1))*R277,0)</f>
        <v>0</v>
      </c>
      <c r="AA277" s="82">
        <f>IF($Z277&gt;0,VLOOKUP($J277,Ruimtegroepen[],3,FALSE)*VLOOKUP($L277,Vloersoorten[],3,FALSE)*VLOOKUP($Y277,Frequenties[],3,FALSE)*VLOOKUP($A273,Locaties[],3,FALSE),0)</f>
        <v>0</v>
      </c>
      <c r="AB277" s="84">
        <f>Ruimtestaat[[#This Row],[Uitvoeringen weekend]]*Ruimtestaat[[#This Row],[Oppervlak (netto)]]</f>
        <v>0</v>
      </c>
      <c r="AC277" s="87">
        <f>IF(AB277&gt;0,Ruimtestaat[[#This Row],[Prest. (m2 /jaar) weekend]]/Ruimtestaat[[#This Row],[Norm (m2/uur) weekend]],0)</f>
        <v>0</v>
      </c>
      <c r="AD277" s="88">
        <f>Ruimtestaat[[#This Row],[uren / jaar weekend]]*Tariefsopbouw!$D$40</f>
        <v>0</v>
      </c>
      <c r="AE277" s="89">
        <f>Ruimtestaat[[#This Row],[Prest. (m2 /jaar) weekend]]+Ruimtestaat[[#This Row],[Prest. (m2 /jaar) werkdagen]]</f>
        <v>13397.999999999998</v>
      </c>
      <c r="AF277" s="89">
        <f>Ruimtestaat[[#This Row],[uren / jaar weekend]]+Ruimtestaat[[#This Row],[uren / jaar werkdagen]]</f>
        <v>0</v>
      </c>
      <c r="AG277" s="90">
        <f>Ruimtestaat[[#This Row],[kosten / jaar weekend]]+Ruimtestaat[[#This Row],[kosten / jaar werkdagen]]</f>
        <v>0</v>
      </c>
    </row>
    <row r="278" spans="1:33" ht="15" customHeight="1">
      <c r="A278" s="53">
        <v>2</v>
      </c>
      <c r="B278" s="53" t="str">
        <f>VLOOKUP(Ruimtestaat[[#This Row],[Code]],Locaties[#All],2,FALSE)</f>
        <v>Open Schoolgemeenschap Bijlmer</v>
      </c>
      <c r="C278" s="53" t="str">
        <f>VLOOKUP(Ruimtestaat[[#This Row],[Code]],Locaties[#All],4,FALSE)</f>
        <v>Gulden Kruis 5</v>
      </c>
      <c r="D278" s="53" t="str">
        <f>VLOOKUP(Ruimtestaat[[#This Row],[Code]],Locaties[#All],5,FALSE)</f>
        <v>1103 BE</v>
      </c>
      <c r="E278" s="53" t="str">
        <f>VLOOKUP(Ruimtestaat[[#This Row],[Code]],Locaties[#All],6,FALSE)</f>
        <v>Amsterdam Zuidoost</v>
      </c>
      <c r="F278" s="78"/>
      <c r="G278" s="53" t="s">
        <v>564</v>
      </c>
      <c r="H278" s="53" t="s">
        <v>663</v>
      </c>
      <c r="I278" s="78" t="s">
        <v>428</v>
      </c>
      <c r="J278" s="53">
        <v>16</v>
      </c>
      <c r="K278" s="78" t="str">
        <f>VLOOKUP(J278,Ruimtegroepen[],2,FALSE)</f>
        <v>Leslokalen theorie</v>
      </c>
      <c r="L278" s="53" t="s">
        <v>285</v>
      </c>
      <c r="M278" s="53" t="s">
        <v>580</v>
      </c>
      <c r="N278" s="92">
        <v>101.21</v>
      </c>
      <c r="O278" s="92"/>
      <c r="P278" s="80" t="str">
        <f>LEFT(VLOOKUP(Ruimtestaat[[#This Row],[Ruimte code]],Ruimtegroepen[#All],4,1),2)</f>
        <v xml:space="preserve">L </v>
      </c>
      <c r="Q278" s="93"/>
      <c r="R278" s="81">
        <v>40</v>
      </c>
      <c r="S278" s="81" t="s">
        <v>298</v>
      </c>
      <c r="T278" s="82">
        <f>IF(R278&gt;0,IF(RIGHT(Ruimtestaat[[#This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8" s="82">
        <f>IF(T278&gt;0,VLOOKUP($J278,Ruimtegroepen[],3,FALSE)*VLOOKUP($L278,Vloersoorten[],3,FALSE)*VLOOKUP($S278,Frequenties[],3,FALSE)*VLOOKUP($A278,Locaties[],3,FALSE),0)</f>
        <v>0</v>
      </c>
      <c r="V278" s="83">
        <f>Ruimtestaat[[#This Row],[Uitvoeringen werkdagen]]*Ruimtestaat[[#This Row],[Oppervlak (netto)]]</f>
        <v>20242</v>
      </c>
      <c r="W278" s="84">
        <f>IF(U278&gt;0,Ruimtestaat[[#This Row],[Prest. (m2 /jaar) werkdagen]]/Ruimtestaat[[#This Row],[Norm (m2/uur) werkdagen]],0)</f>
        <v>0</v>
      </c>
      <c r="X278" s="85">
        <f>Ruimtestaat[[#This Row],[uren / jaar werkdagen]]*Tariefsopbouw!$E$35</f>
        <v>0</v>
      </c>
      <c r="Y278" s="82"/>
      <c r="Z278" s="86">
        <f>IF(Ruimtestaat[[#This Row],[Frequentie weekend]]&gt;0,VALUE(LEFT(Y278,1))*R278,0)</f>
        <v>0</v>
      </c>
      <c r="AA278" s="82">
        <f>IF($Z278&gt;0,VLOOKUP($J278,Ruimtegroepen[],3,FALSE)*VLOOKUP($L278,Vloersoorten[],3,FALSE)*VLOOKUP($Y278,Frequenties[],3,FALSE)*VLOOKUP($A274,Locaties[],3,FALSE),0)</f>
        <v>0</v>
      </c>
      <c r="AB278" s="84">
        <f>Ruimtestaat[[#This Row],[Uitvoeringen weekend]]*Ruimtestaat[[#This Row],[Oppervlak (netto)]]</f>
        <v>0</v>
      </c>
      <c r="AC278" s="87">
        <f>IF(AB278&gt;0,Ruimtestaat[[#This Row],[Prest. (m2 /jaar) weekend]]/Ruimtestaat[[#This Row],[Norm (m2/uur) weekend]],0)</f>
        <v>0</v>
      </c>
      <c r="AD278" s="88">
        <f>Ruimtestaat[[#This Row],[uren / jaar weekend]]*Tariefsopbouw!$D$40</f>
        <v>0</v>
      </c>
      <c r="AE278" s="89">
        <f>Ruimtestaat[[#This Row],[Prest. (m2 /jaar) weekend]]+Ruimtestaat[[#This Row],[Prest. (m2 /jaar) werkdagen]]</f>
        <v>20242</v>
      </c>
      <c r="AF278" s="89">
        <f>Ruimtestaat[[#This Row],[uren / jaar weekend]]+Ruimtestaat[[#This Row],[uren / jaar werkdagen]]</f>
        <v>0</v>
      </c>
      <c r="AG278" s="90">
        <f>Ruimtestaat[[#This Row],[kosten / jaar weekend]]+Ruimtestaat[[#This Row],[kosten / jaar werkdagen]]</f>
        <v>0</v>
      </c>
    </row>
    <row r="279" spans="1:33" ht="15" customHeight="1">
      <c r="A279" s="53">
        <v>2</v>
      </c>
      <c r="B279" s="53" t="str">
        <f>VLOOKUP(Ruimtestaat[[#This Row],[Code]],Locaties[#All],2,FALSE)</f>
        <v>Open Schoolgemeenschap Bijlmer</v>
      </c>
      <c r="C279" s="53" t="str">
        <f>VLOOKUP(Ruimtestaat[[#This Row],[Code]],Locaties[#All],4,FALSE)</f>
        <v>Gulden Kruis 5</v>
      </c>
      <c r="D279" s="53" t="str">
        <f>VLOOKUP(Ruimtestaat[[#This Row],[Code]],Locaties[#All],5,FALSE)</f>
        <v>1103 BE</v>
      </c>
      <c r="E279" s="53" t="str">
        <f>VLOOKUP(Ruimtestaat[[#This Row],[Code]],Locaties[#All],6,FALSE)</f>
        <v>Amsterdam Zuidoost</v>
      </c>
      <c r="F279" s="78"/>
      <c r="G279" s="53" t="s">
        <v>564</v>
      </c>
      <c r="H279" s="53" t="s">
        <v>664</v>
      </c>
      <c r="I279" s="78" t="s">
        <v>428</v>
      </c>
      <c r="J279" s="53">
        <v>16</v>
      </c>
      <c r="K279" s="78" t="str">
        <f>VLOOKUP(J279,Ruimtegroepen[],2,FALSE)</f>
        <v>Leslokalen theorie</v>
      </c>
      <c r="L279" s="53" t="s">
        <v>285</v>
      </c>
      <c r="M279" s="53" t="s">
        <v>580</v>
      </c>
      <c r="N279" s="92">
        <v>147.57</v>
      </c>
      <c r="O279" s="92"/>
      <c r="P279" s="80" t="str">
        <f>LEFT(VLOOKUP(Ruimtestaat[[#This Row],[Ruimte code]],Ruimtegroepen[#All],4,1),2)</f>
        <v xml:space="preserve">L </v>
      </c>
      <c r="Q279" s="93"/>
      <c r="R279" s="81">
        <v>40</v>
      </c>
      <c r="S279" s="81" t="s">
        <v>298</v>
      </c>
      <c r="T279" s="82">
        <f>IF(R279&gt;0,IF(RIGHT(Ruimtestaat[[#This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79" s="82">
        <f>IF(T279&gt;0,VLOOKUP($J279,Ruimtegroepen[],3,FALSE)*VLOOKUP($L279,Vloersoorten[],3,FALSE)*VLOOKUP($S279,Frequenties[],3,FALSE)*VLOOKUP($A279,Locaties[],3,FALSE),0)</f>
        <v>0</v>
      </c>
      <c r="V279" s="83">
        <f>Ruimtestaat[[#This Row],[Uitvoeringen werkdagen]]*Ruimtestaat[[#This Row],[Oppervlak (netto)]]</f>
        <v>29514</v>
      </c>
      <c r="W279" s="84">
        <f>IF(U279&gt;0,Ruimtestaat[[#This Row],[Prest. (m2 /jaar) werkdagen]]/Ruimtestaat[[#This Row],[Norm (m2/uur) werkdagen]],0)</f>
        <v>0</v>
      </c>
      <c r="X279" s="85">
        <f>Ruimtestaat[[#This Row],[uren / jaar werkdagen]]*Tariefsopbouw!$E$35</f>
        <v>0</v>
      </c>
      <c r="Y279" s="82"/>
      <c r="Z279" s="86">
        <f>IF(Ruimtestaat[[#This Row],[Frequentie weekend]]&gt;0,VALUE(LEFT(Y279,1))*R279,0)</f>
        <v>0</v>
      </c>
      <c r="AA279" s="82">
        <f>IF($Z279&gt;0,VLOOKUP($J279,Ruimtegroepen[],3,FALSE)*VLOOKUP($L279,Vloersoorten[],3,FALSE)*VLOOKUP($Y279,Frequenties[],3,FALSE)*VLOOKUP($A275,Locaties[],3,FALSE),0)</f>
        <v>0</v>
      </c>
      <c r="AB279" s="84">
        <f>Ruimtestaat[[#This Row],[Uitvoeringen weekend]]*Ruimtestaat[[#This Row],[Oppervlak (netto)]]</f>
        <v>0</v>
      </c>
      <c r="AC279" s="87">
        <f>IF(AB279&gt;0,Ruimtestaat[[#This Row],[Prest. (m2 /jaar) weekend]]/Ruimtestaat[[#This Row],[Norm (m2/uur) weekend]],0)</f>
        <v>0</v>
      </c>
      <c r="AD279" s="88">
        <f>Ruimtestaat[[#This Row],[uren / jaar weekend]]*Tariefsopbouw!$D$40</f>
        <v>0</v>
      </c>
      <c r="AE279" s="89">
        <f>Ruimtestaat[[#This Row],[Prest. (m2 /jaar) weekend]]+Ruimtestaat[[#This Row],[Prest. (m2 /jaar) werkdagen]]</f>
        <v>29514</v>
      </c>
      <c r="AF279" s="89">
        <f>Ruimtestaat[[#This Row],[uren / jaar weekend]]+Ruimtestaat[[#This Row],[uren / jaar werkdagen]]</f>
        <v>0</v>
      </c>
      <c r="AG279" s="90">
        <f>Ruimtestaat[[#This Row],[kosten / jaar weekend]]+Ruimtestaat[[#This Row],[kosten / jaar werkdagen]]</f>
        <v>0</v>
      </c>
    </row>
    <row r="280" spans="1:33" ht="15" customHeight="1">
      <c r="A280" s="53">
        <v>2</v>
      </c>
      <c r="B280" s="53" t="str">
        <f>VLOOKUP(Ruimtestaat[[#This Row],[Code]],Locaties[#All],2,FALSE)</f>
        <v>Open Schoolgemeenschap Bijlmer</v>
      </c>
      <c r="C280" s="53" t="str">
        <f>VLOOKUP(Ruimtestaat[[#This Row],[Code]],Locaties[#All],4,FALSE)</f>
        <v>Gulden Kruis 5</v>
      </c>
      <c r="D280" s="53" t="str">
        <f>VLOOKUP(Ruimtestaat[[#This Row],[Code]],Locaties[#All],5,FALSE)</f>
        <v>1103 BE</v>
      </c>
      <c r="E280" s="53" t="str">
        <f>VLOOKUP(Ruimtestaat[[#This Row],[Code]],Locaties[#All],6,FALSE)</f>
        <v>Amsterdam Zuidoost</v>
      </c>
      <c r="F280" s="78"/>
      <c r="G280" s="53" t="s">
        <v>564</v>
      </c>
      <c r="H280" s="53" t="s">
        <v>665</v>
      </c>
      <c r="I280" s="78" t="s">
        <v>428</v>
      </c>
      <c r="J280" s="53">
        <v>16</v>
      </c>
      <c r="K280" s="78" t="str">
        <f>VLOOKUP(J280,Ruimtegroepen[],2,FALSE)</f>
        <v>Leslokalen theorie</v>
      </c>
      <c r="L280" s="53" t="s">
        <v>285</v>
      </c>
      <c r="M280" s="53" t="s">
        <v>580</v>
      </c>
      <c r="N280" s="92">
        <v>64.349999999999994</v>
      </c>
      <c r="O280" s="92"/>
      <c r="P280" s="80" t="str">
        <f>LEFT(VLOOKUP(Ruimtestaat[[#This Row],[Ruimte code]],Ruimtegroepen[#All],4,1),2)</f>
        <v xml:space="preserve">L </v>
      </c>
      <c r="Q280" s="93"/>
      <c r="R280" s="81">
        <v>40</v>
      </c>
      <c r="S280" s="81" t="s">
        <v>298</v>
      </c>
      <c r="T280" s="82">
        <f>IF(R280&gt;0,IF(RIGHT(Ruimtestaat[[#This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0" s="82">
        <f>IF(T280&gt;0,VLOOKUP($J280,Ruimtegroepen[],3,FALSE)*VLOOKUP($L280,Vloersoorten[],3,FALSE)*VLOOKUP($S280,Frequenties[],3,FALSE)*VLOOKUP($A280,Locaties[],3,FALSE),0)</f>
        <v>0</v>
      </c>
      <c r="V280" s="83">
        <f>Ruimtestaat[[#This Row],[Uitvoeringen werkdagen]]*Ruimtestaat[[#This Row],[Oppervlak (netto)]]</f>
        <v>12869.999999999998</v>
      </c>
      <c r="W280" s="84">
        <f>IF(U280&gt;0,Ruimtestaat[[#This Row],[Prest. (m2 /jaar) werkdagen]]/Ruimtestaat[[#This Row],[Norm (m2/uur) werkdagen]],0)</f>
        <v>0</v>
      </c>
      <c r="X280" s="85">
        <f>Ruimtestaat[[#This Row],[uren / jaar werkdagen]]*Tariefsopbouw!$E$35</f>
        <v>0</v>
      </c>
      <c r="Y280" s="82"/>
      <c r="Z280" s="86">
        <f>IF(Ruimtestaat[[#This Row],[Frequentie weekend]]&gt;0,VALUE(LEFT(Y280,1))*R280,0)</f>
        <v>0</v>
      </c>
      <c r="AA280" s="82">
        <f>IF($Z280&gt;0,VLOOKUP($J280,Ruimtegroepen[],3,FALSE)*VLOOKUP($L280,Vloersoorten[],3,FALSE)*VLOOKUP($Y280,Frequenties[],3,FALSE)*VLOOKUP($A276,Locaties[],3,FALSE),0)</f>
        <v>0</v>
      </c>
      <c r="AB280" s="84">
        <f>Ruimtestaat[[#This Row],[Uitvoeringen weekend]]*Ruimtestaat[[#This Row],[Oppervlak (netto)]]</f>
        <v>0</v>
      </c>
      <c r="AC280" s="87">
        <f>IF(AB280&gt;0,Ruimtestaat[[#This Row],[Prest. (m2 /jaar) weekend]]/Ruimtestaat[[#This Row],[Norm (m2/uur) weekend]],0)</f>
        <v>0</v>
      </c>
      <c r="AD280" s="88">
        <f>Ruimtestaat[[#This Row],[uren / jaar weekend]]*Tariefsopbouw!$D$40</f>
        <v>0</v>
      </c>
      <c r="AE280" s="89">
        <f>Ruimtestaat[[#This Row],[Prest. (m2 /jaar) weekend]]+Ruimtestaat[[#This Row],[Prest. (m2 /jaar) werkdagen]]</f>
        <v>12869.999999999998</v>
      </c>
      <c r="AF280" s="89">
        <f>Ruimtestaat[[#This Row],[uren / jaar weekend]]+Ruimtestaat[[#This Row],[uren / jaar werkdagen]]</f>
        <v>0</v>
      </c>
      <c r="AG280" s="90">
        <f>Ruimtestaat[[#This Row],[kosten / jaar weekend]]+Ruimtestaat[[#This Row],[kosten / jaar werkdagen]]</f>
        <v>0</v>
      </c>
    </row>
    <row r="281" spans="1:33" ht="15" customHeight="1">
      <c r="A281" s="53">
        <v>2</v>
      </c>
      <c r="B281" s="53" t="str">
        <f>VLOOKUP(Ruimtestaat[[#This Row],[Code]],Locaties[#All],2,FALSE)</f>
        <v>Open Schoolgemeenschap Bijlmer</v>
      </c>
      <c r="C281" s="53" t="str">
        <f>VLOOKUP(Ruimtestaat[[#This Row],[Code]],Locaties[#All],4,FALSE)</f>
        <v>Gulden Kruis 5</v>
      </c>
      <c r="D281" s="53" t="str">
        <f>VLOOKUP(Ruimtestaat[[#This Row],[Code]],Locaties[#All],5,FALSE)</f>
        <v>1103 BE</v>
      </c>
      <c r="E281" s="53" t="str">
        <f>VLOOKUP(Ruimtestaat[[#This Row],[Code]],Locaties[#All],6,FALSE)</f>
        <v>Amsterdam Zuidoost</v>
      </c>
      <c r="F281" s="78"/>
      <c r="G281" s="53" t="s">
        <v>564</v>
      </c>
      <c r="H281" s="53" t="s">
        <v>666</v>
      </c>
      <c r="I281" s="78" t="s">
        <v>428</v>
      </c>
      <c r="J281" s="53">
        <v>16</v>
      </c>
      <c r="K281" s="78" t="str">
        <f>VLOOKUP(J281,Ruimtegroepen[],2,FALSE)</f>
        <v>Leslokalen theorie</v>
      </c>
      <c r="L281" s="53" t="s">
        <v>285</v>
      </c>
      <c r="M281" s="53" t="s">
        <v>580</v>
      </c>
      <c r="N281" s="92">
        <v>65.069999999999993</v>
      </c>
      <c r="O281" s="92"/>
      <c r="P281" s="80" t="str">
        <f>LEFT(VLOOKUP(Ruimtestaat[[#This Row],[Ruimte code]],Ruimtegroepen[#All],4,1),2)</f>
        <v xml:space="preserve">L </v>
      </c>
      <c r="Q281" s="93"/>
      <c r="R281" s="81">
        <v>40</v>
      </c>
      <c r="S281" s="81" t="s">
        <v>298</v>
      </c>
      <c r="T281" s="82">
        <f>IF(R281&gt;0,IF(RIGHT(Ruimtestaat[[#This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1" s="82">
        <f>IF(T281&gt;0,VLOOKUP($J281,Ruimtegroepen[],3,FALSE)*VLOOKUP($L281,Vloersoorten[],3,FALSE)*VLOOKUP($S281,Frequenties[],3,FALSE)*VLOOKUP($A281,Locaties[],3,FALSE),0)</f>
        <v>0</v>
      </c>
      <c r="V281" s="83">
        <f>Ruimtestaat[[#This Row],[Uitvoeringen werkdagen]]*Ruimtestaat[[#This Row],[Oppervlak (netto)]]</f>
        <v>13013.999999999998</v>
      </c>
      <c r="W281" s="84">
        <f>IF(U281&gt;0,Ruimtestaat[[#This Row],[Prest. (m2 /jaar) werkdagen]]/Ruimtestaat[[#This Row],[Norm (m2/uur) werkdagen]],0)</f>
        <v>0</v>
      </c>
      <c r="X281" s="85">
        <f>Ruimtestaat[[#This Row],[uren / jaar werkdagen]]*Tariefsopbouw!$E$35</f>
        <v>0</v>
      </c>
      <c r="Y281" s="82"/>
      <c r="Z281" s="86">
        <f>IF(Ruimtestaat[[#This Row],[Frequentie weekend]]&gt;0,VALUE(LEFT(Y281,1))*R281,0)</f>
        <v>0</v>
      </c>
      <c r="AA281" s="82">
        <f>IF($Z281&gt;0,VLOOKUP($J281,Ruimtegroepen[],3,FALSE)*VLOOKUP($L281,Vloersoorten[],3,FALSE)*VLOOKUP($Y281,Frequenties[],3,FALSE)*VLOOKUP($A277,Locaties[],3,FALSE),0)</f>
        <v>0</v>
      </c>
      <c r="AB281" s="84">
        <f>Ruimtestaat[[#This Row],[Uitvoeringen weekend]]*Ruimtestaat[[#This Row],[Oppervlak (netto)]]</f>
        <v>0</v>
      </c>
      <c r="AC281" s="87">
        <f>IF(AB281&gt;0,Ruimtestaat[[#This Row],[Prest. (m2 /jaar) weekend]]/Ruimtestaat[[#This Row],[Norm (m2/uur) weekend]],0)</f>
        <v>0</v>
      </c>
      <c r="AD281" s="88">
        <f>Ruimtestaat[[#This Row],[uren / jaar weekend]]*Tariefsopbouw!$D$40</f>
        <v>0</v>
      </c>
      <c r="AE281" s="89">
        <f>Ruimtestaat[[#This Row],[Prest. (m2 /jaar) weekend]]+Ruimtestaat[[#This Row],[Prest. (m2 /jaar) werkdagen]]</f>
        <v>13013.999999999998</v>
      </c>
      <c r="AF281" s="89">
        <f>Ruimtestaat[[#This Row],[uren / jaar weekend]]+Ruimtestaat[[#This Row],[uren / jaar werkdagen]]</f>
        <v>0</v>
      </c>
      <c r="AG281" s="90">
        <f>Ruimtestaat[[#This Row],[kosten / jaar weekend]]+Ruimtestaat[[#This Row],[kosten / jaar werkdagen]]</f>
        <v>0</v>
      </c>
    </row>
    <row r="282" spans="1:33" ht="15" customHeight="1">
      <c r="A282" s="53">
        <v>2</v>
      </c>
      <c r="B282" s="53" t="str">
        <f>VLOOKUP(Ruimtestaat[[#This Row],[Code]],Locaties[#All],2,FALSE)</f>
        <v>Open Schoolgemeenschap Bijlmer</v>
      </c>
      <c r="C282" s="53" t="str">
        <f>VLOOKUP(Ruimtestaat[[#This Row],[Code]],Locaties[#All],4,FALSE)</f>
        <v>Gulden Kruis 5</v>
      </c>
      <c r="D282" s="53" t="str">
        <f>VLOOKUP(Ruimtestaat[[#This Row],[Code]],Locaties[#All],5,FALSE)</f>
        <v>1103 BE</v>
      </c>
      <c r="E282" s="53" t="str">
        <f>VLOOKUP(Ruimtestaat[[#This Row],[Code]],Locaties[#All],6,FALSE)</f>
        <v>Amsterdam Zuidoost</v>
      </c>
      <c r="F282" s="78"/>
      <c r="G282" s="53" t="s">
        <v>564</v>
      </c>
      <c r="H282" s="53" t="s">
        <v>667</v>
      </c>
      <c r="I282" s="78" t="s">
        <v>579</v>
      </c>
      <c r="J282" s="53">
        <v>5</v>
      </c>
      <c r="K282" s="78" t="str">
        <f>VLOOKUP(J282,Ruimtegroepen[],2,FALSE)</f>
        <v>Sanitair</v>
      </c>
      <c r="L282" s="53" t="s">
        <v>285</v>
      </c>
      <c r="M282" s="53" t="s">
        <v>580</v>
      </c>
      <c r="N282" s="92">
        <v>2</v>
      </c>
      <c r="O282" s="92"/>
      <c r="P282" s="80" t="str">
        <f>LEFT(VLOOKUP(Ruimtestaat[[#This Row],[Ruimte code]],Ruimtegroepen[#All],4,1),2)</f>
        <v xml:space="preserve">S </v>
      </c>
      <c r="Q282" s="93"/>
      <c r="R282" s="81">
        <v>40</v>
      </c>
      <c r="S282" s="81" t="s">
        <v>296</v>
      </c>
      <c r="T282" s="82">
        <f>IF(R282&gt;0,IF(RIGHT(Ruimtestaat[[#This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82" s="82">
        <f>IF(T282&gt;0,VLOOKUP($J282,Ruimtegroepen[],3,FALSE)*VLOOKUP($L282,Vloersoorten[],3,FALSE)*VLOOKUP($S282,Frequenties[],3,FALSE)*VLOOKUP($A282,Locaties[],3,FALSE),0)</f>
        <v>0</v>
      </c>
      <c r="V282" s="83">
        <f>Ruimtestaat[[#This Row],[Uitvoeringen werkdagen]]*Ruimtestaat[[#This Row],[Oppervlak (netto)]]</f>
        <v>800</v>
      </c>
      <c r="W282" s="84">
        <f>IF(U282&gt;0,Ruimtestaat[[#This Row],[Prest. (m2 /jaar) werkdagen]]/Ruimtestaat[[#This Row],[Norm (m2/uur) werkdagen]],0)</f>
        <v>0</v>
      </c>
      <c r="X282" s="85">
        <f>Ruimtestaat[[#This Row],[uren / jaar werkdagen]]*Tariefsopbouw!$E$35</f>
        <v>0</v>
      </c>
      <c r="Y282" s="82"/>
      <c r="Z282" s="86">
        <f>IF(Ruimtestaat[[#This Row],[Frequentie weekend]]&gt;0,VALUE(LEFT(Y282,1))*R282,0)</f>
        <v>0</v>
      </c>
      <c r="AA282" s="82">
        <f>IF($Z282&gt;0,VLOOKUP($J282,Ruimtegroepen[],3,FALSE)*VLOOKUP($L282,Vloersoorten[],3,FALSE)*VLOOKUP($Y282,Frequenties[],3,FALSE)*VLOOKUP($A278,Locaties[],3,FALSE),0)</f>
        <v>0</v>
      </c>
      <c r="AB282" s="84">
        <f>Ruimtestaat[[#This Row],[Uitvoeringen weekend]]*Ruimtestaat[[#This Row],[Oppervlak (netto)]]</f>
        <v>0</v>
      </c>
      <c r="AC282" s="87">
        <f>IF(AB282&gt;0,Ruimtestaat[[#This Row],[Prest. (m2 /jaar) weekend]]/Ruimtestaat[[#This Row],[Norm (m2/uur) weekend]],0)</f>
        <v>0</v>
      </c>
      <c r="AD282" s="88">
        <f>Ruimtestaat[[#This Row],[uren / jaar weekend]]*Tariefsopbouw!$D$40</f>
        <v>0</v>
      </c>
      <c r="AE282" s="89">
        <f>Ruimtestaat[[#This Row],[Prest. (m2 /jaar) weekend]]+Ruimtestaat[[#This Row],[Prest. (m2 /jaar) werkdagen]]</f>
        <v>800</v>
      </c>
      <c r="AF282" s="89">
        <f>Ruimtestaat[[#This Row],[uren / jaar weekend]]+Ruimtestaat[[#This Row],[uren / jaar werkdagen]]</f>
        <v>0</v>
      </c>
      <c r="AG282" s="90">
        <f>Ruimtestaat[[#This Row],[kosten / jaar weekend]]+Ruimtestaat[[#This Row],[kosten / jaar werkdagen]]</f>
        <v>0</v>
      </c>
    </row>
    <row r="283" spans="1:33" ht="15" customHeight="1">
      <c r="A283" s="53">
        <v>2</v>
      </c>
      <c r="B283" s="53" t="str">
        <f>VLOOKUP(Ruimtestaat[[#This Row],[Code]],Locaties[#All],2,FALSE)</f>
        <v>Open Schoolgemeenschap Bijlmer</v>
      </c>
      <c r="C283" s="53" t="str">
        <f>VLOOKUP(Ruimtestaat[[#This Row],[Code]],Locaties[#All],4,FALSE)</f>
        <v>Gulden Kruis 5</v>
      </c>
      <c r="D283" s="53" t="str">
        <f>VLOOKUP(Ruimtestaat[[#This Row],[Code]],Locaties[#All],5,FALSE)</f>
        <v>1103 BE</v>
      </c>
      <c r="E283" s="53" t="str">
        <f>VLOOKUP(Ruimtestaat[[#This Row],[Code]],Locaties[#All],6,FALSE)</f>
        <v>Amsterdam Zuidoost</v>
      </c>
      <c r="F283" s="78"/>
      <c r="G283" s="53" t="s">
        <v>564</v>
      </c>
      <c r="H283" s="53" t="s">
        <v>668</v>
      </c>
      <c r="I283" s="78" t="s">
        <v>456</v>
      </c>
      <c r="J283" s="53">
        <v>6</v>
      </c>
      <c r="K283" s="78" t="str">
        <f>VLOOKUP(J283,Ruimtegroepen[],2,FALSE)</f>
        <v>Gangen/hallen</v>
      </c>
      <c r="L283" s="53" t="s">
        <v>285</v>
      </c>
      <c r="M283" s="53" t="s">
        <v>580</v>
      </c>
      <c r="N283" s="92">
        <v>100.04</v>
      </c>
      <c r="O283" s="92"/>
      <c r="P283" s="80" t="str">
        <f>LEFT(VLOOKUP(Ruimtestaat[[#This Row],[Ruimte code]],Ruimtegroepen[#All],4,1),2)</f>
        <v xml:space="preserve">V </v>
      </c>
      <c r="Q283" s="93"/>
      <c r="R283" s="81">
        <v>40</v>
      </c>
      <c r="S283" s="81" t="s">
        <v>298</v>
      </c>
      <c r="T283" s="82">
        <f>IF(R283&gt;0,IF(RIGHT(Ruimtestaat[[#This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3" s="82">
        <f>IF(T283&gt;0,VLOOKUP($J283,Ruimtegroepen[],3,FALSE)*VLOOKUP($L283,Vloersoorten[],3,FALSE)*VLOOKUP($S283,Frequenties[],3,FALSE)*VLOOKUP($A283,Locaties[],3,FALSE),0)</f>
        <v>0</v>
      </c>
      <c r="V283" s="83">
        <f>Ruimtestaat[[#This Row],[Uitvoeringen werkdagen]]*Ruimtestaat[[#This Row],[Oppervlak (netto)]]</f>
        <v>20008</v>
      </c>
      <c r="W283" s="84">
        <f>IF(U283&gt;0,Ruimtestaat[[#This Row],[Prest. (m2 /jaar) werkdagen]]/Ruimtestaat[[#This Row],[Norm (m2/uur) werkdagen]],0)</f>
        <v>0</v>
      </c>
      <c r="X283" s="85">
        <f>Ruimtestaat[[#This Row],[uren / jaar werkdagen]]*Tariefsopbouw!$E$35</f>
        <v>0</v>
      </c>
      <c r="Y283" s="82"/>
      <c r="Z283" s="86">
        <f>IF(Ruimtestaat[[#This Row],[Frequentie weekend]]&gt;0,VALUE(LEFT(Y283,1))*R283,0)</f>
        <v>0</v>
      </c>
      <c r="AA283" s="82">
        <f>IF($Z283&gt;0,VLOOKUP($J283,Ruimtegroepen[],3,FALSE)*VLOOKUP($L283,Vloersoorten[],3,FALSE)*VLOOKUP($Y283,Frequenties[],3,FALSE)*VLOOKUP($A279,Locaties[],3,FALSE),0)</f>
        <v>0</v>
      </c>
      <c r="AB283" s="84">
        <f>Ruimtestaat[[#This Row],[Uitvoeringen weekend]]*Ruimtestaat[[#This Row],[Oppervlak (netto)]]</f>
        <v>0</v>
      </c>
      <c r="AC283" s="87">
        <f>IF(AB283&gt;0,Ruimtestaat[[#This Row],[Prest. (m2 /jaar) weekend]]/Ruimtestaat[[#This Row],[Norm (m2/uur) weekend]],0)</f>
        <v>0</v>
      </c>
      <c r="AD283" s="88">
        <f>Ruimtestaat[[#This Row],[uren / jaar weekend]]*Tariefsopbouw!$D$40</f>
        <v>0</v>
      </c>
      <c r="AE283" s="89">
        <f>Ruimtestaat[[#This Row],[Prest. (m2 /jaar) weekend]]+Ruimtestaat[[#This Row],[Prest. (m2 /jaar) werkdagen]]</f>
        <v>20008</v>
      </c>
      <c r="AF283" s="89">
        <f>Ruimtestaat[[#This Row],[uren / jaar weekend]]+Ruimtestaat[[#This Row],[uren / jaar werkdagen]]</f>
        <v>0</v>
      </c>
      <c r="AG283" s="90">
        <f>Ruimtestaat[[#This Row],[kosten / jaar weekend]]+Ruimtestaat[[#This Row],[kosten / jaar werkdagen]]</f>
        <v>0</v>
      </c>
    </row>
    <row r="284" spans="1:33" ht="15" customHeight="1">
      <c r="A284" s="53">
        <v>2</v>
      </c>
      <c r="B284" s="53" t="str">
        <f>VLOOKUP(Ruimtestaat[[#This Row],[Code]],Locaties[#All],2,FALSE)</f>
        <v>Open Schoolgemeenschap Bijlmer</v>
      </c>
      <c r="C284" s="53" t="str">
        <f>VLOOKUP(Ruimtestaat[[#This Row],[Code]],Locaties[#All],4,FALSE)</f>
        <v>Gulden Kruis 5</v>
      </c>
      <c r="D284" s="53" t="str">
        <f>VLOOKUP(Ruimtestaat[[#This Row],[Code]],Locaties[#All],5,FALSE)</f>
        <v>1103 BE</v>
      </c>
      <c r="E284" s="53" t="str">
        <f>VLOOKUP(Ruimtestaat[[#This Row],[Code]],Locaties[#All],6,FALSE)</f>
        <v>Amsterdam Zuidoost</v>
      </c>
      <c r="F284" s="78"/>
      <c r="G284" s="53" t="s">
        <v>564</v>
      </c>
      <c r="H284" s="53" t="s">
        <v>669</v>
      </c>
      <c r="I284" s="78" t="s">
        <v>579</v>
      </c>
      <c r="J284" s="53">
        <v>5</v>
      </c>
      <c r="K284" s="78" t="str">
        <f>VLOOKUP(J284,Ruimtegroepen[],2,FALSE)</f>
        <v>Sanitair</v>
      </c>
      <c r="L284" s="53" t="s">
        <v>285</v>
      </c>
      <c r="M284" s="53" t="s">
        <v>580</v>
      </c>
      <c r="N284" s="92">
        <v>2</v>
      </c>
      <c r="O284" s="92"/>
      <c r="P284" s="80" t="str">
        <f>LEFT(VLOOKUP(Ruimtestaat[[#This Row],[Ruimte code]],Ruimtegroepen[#All],4,1),2)</f>
        <v xml:space="preserve">S </v>
      </c>
      <c r="Q284" s="93"/>
      <c r="R284" s="81">
        <v>40</v>
      </c>
      <c r="S284" s="81" t="s">
        <v>296</v>
      </c>
      <c r="T284" s="82">
        <f>IF(R284&gt;0,IF(RIGHT(Ruimtestaat[[#This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84" s="82">
        <f>IF(T284&gt;0,VLOOKUP($J284,Ruimtegroepen[],3,FALSE)*VLOOKUP($L284,Vloersoorten[],3,FALSE)*VLOOKUP($S284,Frequenties[],3,FALSE)*VLOOKUP($A284,Locaties[],3,FALSE),0)</f>
        <v>0</v>
      </c>
      <c r="V284" s="83">
        <f>Ruimtestaat[[#This Row],[Uitvoeringen werkdagen]]*Ruimtestaat[[#This Row],[Oppervlak (netto)]]</f>
        <v>800</v>
      </c>
      <c r="W284" s="84">
        <f>IF(U284&gt;0,Ruimtestaat[[#This Row],[Prest. (m2 /jaar) werkdagen]]/Ruimtestaat[[#This Row],[Norm (m2/uur) werkdagen]],0)</f>
        <v>0</v>
      </c>
      <c r="X284" s="85">
        <f>Ruimtestaat[[#This Row],[uren / jaar werkdagen]]*Tariefsopbouw!$E$35</f>
        <v>0</v>
      </c>
      <c r="Y284" s="82"/>
      <c r="Z284" s="86">
        <f>IF(Ruimtestaat[[#This Row],[Frequentie weekend]]&gt;0,VALUE(LEFT(Y284,1))*R284,0)</f>
        <v>0</v>
      </c>
      <c r="AA284" s="82">
        <f>IF($Z284&gt;0,VLOOKUP($J284,Ruimtegroepen[],3,FALSE)*VLOOKUP($L284,Vloersoorten[],3,FALSE)*VLOOKUP($Y284,Frequenties[],3,FALSE)*VLOOKUP($A280,Locaties[],3,FALSE),0)</f>
        <v>0</v>
      </c>
      <c r="AB284" s="84">
        <f>Ruimtestaat[[#This Row],[Uitvoeringen weekend]]*Ruimtestaat[[#This Row],[Oppervlak (netto)]]</f>
        <v>0</v>
      </c>
      <c r="AC284" s="87">
        <f>IF(AB284&gt;0,Ruimtestaat[[#This Row],[Prest. (m2 /jaar) weekend]]/Ruimtestaat[[#This Row],[Norm (m2/uur) weekend]],0)</f>
        <v>0</v>
      </c>
      <c r="AD284" s="88">
        <f>Ruimtestaat[[#This Row],[uren / jaar weekend]]*Tariefsopbouw!$D$40</f>
        <v>0</v>
      </c>
      <c r="AE284" s="89">
        <f>Ruimtestaat[[#This Row],[Prest. (m2 /jaar) weekend]]+Ruimtestaat[[#This Row],[Prest. (m2 /jaar) werkdagen]]</f>
        <v>800</v>
      </c>
      <c r="AF284" s="89">
        <f>Ruimtestaat[[#This Row],[uren / jaar weekend]]+Ruimtestaat[[#This Row],[uren / jaar werkdagen]]</f>
        <v>0</v>
      </c>
      <c r="AG284" s="90">
        <f>Ruimtestaat[[#This Row],[kosten / jaar weekend]]+Ruimtestaat[[#This Row],[kosten / jaar werkdagen]]</f>
        <v>0</v>
      </c>
    </row>
    <row r="285" spans="1:33" ht="15" customHeight="1">
      <c r="A285" s="53">
        <v>2</v>
      </c>
      <c r="B285" s="53" t="str">
        <f>VLOOKUP(Ruimtestaat[[#This Row],[Code]],Locaties[#All],2,FALSE)</f>
        <v>Open Schoolgemeenschap Bijlmer</v>
      </c>
      <c r="C285" s="53" t="str">
        <f>VLOOKUP(Ruimtestaat[[#This Row],[Code]],Locaties[#All],4,FALSE)</f>
        <v>Gulden Kruis 5</v>
      </c>
      <c r="D285" s="53" t="str">
        <f>VLOOKUP(Ruimtestaat[[#This Row],[Code]],Locaties[#All],5,FALSE)</f>
        <v>1103 BE</v>
      </c>
      <c r="E285" s="53" t="str">
        <f>VLOOKUP(Ruimtestaat[[#This Row],[Code]],Locaties[#All],6,FALSE)</f>
        <v>Amsterdam Zuidoost</v>
      </c>
      <c r="F285" s="78"/>
      <c r="G285" s="53" t="s">
        <v>564</v>
      </c>
      <c r="H285" s="53" t="s">
        <v>670</v>
      </c>
      <c r="I285" s="78" t="s">
        <v>579</v>
      </c>
      <c r="J285" s="53">
        <v>5</v>
      </c>
      <c r="K285" s="78" t="str">
        <f>VLOOKUP(J285,Ruimtegroepen[],2,FALSE)</f>
        <v>Sanitair</v>
      </c>
      <c r="L285" s="53" t="s">
        <v>285</v>
      </c>
      <c r="M285" s="53" t="s">
        <v>580</v>
      </c>
      <c r="N285" s="92">
        <v>4</v>
      </c>
      <c r="O285" s="92"/>
      <c r="P285" s="80" t="str">
        <f>LEFT(VLOOKUP(Ruimtestaat[[#This Row],[Ruimte code]],Ruimtegroepen[#All],4,1),2)</f>
        <v xml:space="preserve">S </v>
      </c>
      <c r="Q285" s="93"/>
      <c r="R285" s="81">
        <v>40</v>
      </c>
      <c r="S285" s="81" t="s">
        <v>296</v>
      </c>
      <c r="T285" s="82">
        <f>IF(R285&gt;0,IF(RIGHT(Ruimtestaat[[#This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285" s="82">
        <f>IF(T285&gt;0,VLOOKUP($J285,Ruimtegroepen[],3,FALSE)*VLOOKUP($L285,Vloersoorten[],3,FALSE)*VLOOKUP($S285,Frequenties[],3,FALSE)*VLOOKUP($A285,Locaties[],3,FALSE),0)</f>
        <v>0</v>
      </c>
      <c r="V285" s="83">
        <f>Ruimtestaat[[#This Row],[Uitvoeringen werkdagen]]*Ruimtestaat[[#This Row],[Oppervlak (netto)]]</f>
        <v>1600</v>
      </c>
      <c r="W285" s="84">
        <f>IF(U285&gt;0,Ruimtestaat[[#This Row],[Prest. (m2 /jaar) werkdagen]]/Ruimtestaat[[#This Row],[Norm (m2/uur) werkdagen]],0)</f>
        <v>0</v>
      </c>
      <c r="X285" s="85">
        <f>Ruimtestaat[[#This Row],[uren / jaar werkdagen]]*Tariefsopbouw!$E$35</f>
        <v>0</v>
      </c>
      <c r="Y285" s="82"/>
      <c r="Z285" s="86">
        <f>IF(Ruimtestaat[[#This Row],[Frequentie weekend]]&gt;0,VALUE(LEFT(Y285,1))*R285,0)</f>
        <v>0</v>
      </c>
      <c r="AA285" s="82">
        <f>IF($Z285&gt;0,VLOOKUP($J285,Ruimtegroepen[],3,FALSE)*VLOOKUP($L285,Vloersoorten[],3,FALSE)*VLOOKUP($Y285,Frequenties[],3,FALSE)*VLOOKUP($A281,Locaties[],3,FALSE),0)</f>
        <v>0</v>
      </c>
      <c r="AB285" s="84">
        <f>Ruimtestaat[[#This Row],[Uitvoeringen weekend]]*Ruimtestaat[[#This Row],[Oppervlak (netto)]]</f>
        <v>0</v>
      </c>
      <c r="AC285" s="87">
        <f>IF(AB285&gt;0,Ruimtestaat[[#This Row],[Prest. (m2 /jaar) weekend]]/Ruimtestaat[[#This Row],[Norm (m2/uur) weekend]],0)</f>
        <v>0</v>
      </c>
      <c r="AD285" s="88">
        <f>Ruimtestaat[[#This Row],[uren / jaar weekend]]*Tariefsopbouw!$D$40</f>
        <v>0</v>
      </c>
      <c r="AE285" s="89">
        <f>Ruimtestaat[[#This Row],[Prest. (m2 /jaar) weekend]]+Ruimtestaat[[#This Row],[Prest. (m2 /jaar) werkdagen]]</f>
        <v>1600</v>
      </c>
      <c r="AF285" s="89">
        <f>Ruimtestaat[[#This Row],[uren / jaar weekend]]+Ruimtestaat[[#This Row],[uren / jaar werkdagen]]</f>
        <v>0</v>
      </c>
      <c r="AG285" s="90">
        <f>Ruimtestaat[[#This Row],[kosten / jaar weekend]]+Ruimtestaat[[#This Row],[kosten / jaar werkdagen]]</f>
        <v>0</v>
      </c>
    </row>
    <row r="286" spans="1:33" ht="15" customHeight="1">
      <c r="A286" s="53">
        <v>2</v>
      </c>
      <c r="B286" s="53" t="str">
        <f>VLOOKUP(Ruimtestaat[[#This Row],[Code]],Locaties[#All],2,FALSE)</f>
        <v>Open Schoolgemeenschap Bijlmer</v>
      </c>
      <c r="C286" s="53" t="str">
        <f>VLOOKUP(Ruimtestaat[[#This Row],[Code]],Locaties[#All],4,FALSE)</f>
        <v>Gulden Kruis 5</v>
      </c>
      <c r="D286" s="53" t="str">
        <f>VLOOKUP(Ruimtestaat[[#This Row],[Code]],Locaties[#All],5,FALSE)</f>
        <v>1103 BE</v>
      </c>
      <c r="E286" s="53" t="str">
        <f>VLOOKUP(Ruimtestaat[[#This Row],[Code]],Locaties[#All],6,FALSE)</f>
        <v>Amsterdam Zuidoost</v>
      </c>
      <c r="F286" s="78"/>
      <c r="G286" s="53" t="s">
        <v>564</v>
      </c>
      <c r="H286" s="53" t="s">
        <v>671</v>
      </c>
      <c r="I286" s="78" t="s">
        <v>428</v>
      </c>
      <c r="J286" s="53">
        <v>16</v>
      </c>
      <c r="K286" s="78" t="str">
        <f>VLOOKUP(J286,Ruimtegroepen[],2,FALSE)</f>
        <v>Leslokalen theorie</v>
      </c>
      <c r="L286" s="53" t="s">
        <v>283</v>
      </c>
      <c r="M286" s="53" t="s">
        <v>576</v>
      </c>
      <c r="N286" s="92">
        <v>87.02</v>
      </c>
      <c r="O286" s="92"/>
      <c r="P286" s="80" t="str">
        <f>LEFT(VLOOKUP(Ruimtestaat[[#This Row],[Ruimte code]],Ruimtegroepen[#All],4,1),2)</f>
        <v xml:space="preserve">L </v>
      </c>
      <c r="Q286" s="93"/>
      <c r="R286" s="81">
        <v>40</v>
      </c>
      <c r="S286" s="81" t="s">
        <v>298</v>
      </c>
      <c r="T286" s="82">
        <f>IF(R286&gt;0,IF(RIGHT(Ruimtestaat[[#This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6" s="82">
        <f>IF(T286&gt;0,VLOOKUP($J286,Ruimtegroepen[],3,FALSE)*VLOOKUP($L286,Vloersoorten[],3,FALSE)*VLOOKUP($S286,Frequenties[],3,FALSE)*VLOOKUP($A286,Locaties[],3,FALSE),0)</f>
        <v>0</v>
      </c>
      <c r="V286" s="83">
        <f>Ruimtestaat[[#This Row],[Uitvoeringen werkdagen]]*Ruimtestaat[[#This Row],[Oppervlak (netto)]]</f>
        <v>17404</v>
      </c>
      <c r="W286" s="84">
        <f>IF(U286&gt;0,Ruimtestaat[[#This Row],[Prest. (m2 /jaar) werkdagen]]/Ruimtestaat[[#This Row],[Norm (m2/uur) werkdagen]],0)</f>
        <v>0</v>
      </c>
      <c r="X286" s="85">
        <f>Ruimtestaat[[#This Row],[uren / jaar werkdagen]]*Tariefsopbouw!$E$35</f>
        <v>0</v>
      </c>
      <c r="Y286" s="82"/>
      <c r="Z286" s="86">
        <f>IF(Ruimtestaat[[#This Row],[Frequentie weekend]]&gt;0,VALUE(LEFT(Y286,1))*R286,0)</f>
        <v>0</v>
      </c>
      <c r="AA286" s="82">
        <f>IF($Z286&gt;0,VLOOKUP($J286,Ruimtegroepen[],3,FALSE)*VLOOKUP($L286,Vloersoorten[],3,FALSE)*VLOOKUP($Y286,Frequenties[],3,FALSE)*VLOOKUP($A282,Locaties[],3,FALSE),0)</f>
        <v>0</v>
      </c>
      <c r="AB286" s="84">
        <f>Ruimtestaat[[#This Row],[Uitvoeringen weekend]]*Ruimtestaat[[#This Row],[Oppervlak (netto)]]</f>
        <v>0</v>
      </c>
      <c r="AC286" s="87">
        <f>IF(AB286&gt;0,Ruimtestaat[[#This Row],[Prest. (m2 /jaar) weekend]]/Ruimtestaat[[#This Row],[Norm (m2/uur) weekend]],0)</f>
        <v>0</v>
      </c>
      <c r="AD286" s="88">
        <f>Ruimtestaat[[#This Row],[uren / jaar weekend]]*Tariefsopbouw!$D$40</f>
        <v>0</v>
      </c>
      <c r="AE286" s="89">
        <f>Ruimtestaat[[#This Row],[Prest. (m2 /jaar) weekend]]+Ruimtestaat[[#This Row],[Prest. (m2 /jaar) werkdagen]]</f>
        <v>17404</v>
      </c>
      <c r="AF286" s="89">
        <f>Ruimtestaat[[#This Row],[uren / jaar weekend]]+Ruimtestaat[[#This Row],[uren / jaar werkdagen]]</f>
        <v>0</v>
      </c>
      <c r="AG286" s="90">
        <f>Ruimtestaat[[#This Row],[kosten / jaar weekend]]+Ruimtestaat[[#This Row],[kosten / jaar werkdagen]]</f>
        <v>0</v>
      </c>
    </row>
    <row r="287" spans="1:33" ht="15" customHeight="1">
      <c r="A287" s="53">
        <v>2</v>
      </c>
      <c r="B287" s="53" t="str">
        <f>VLOOKUP(Ruimtestaat[[#This Row],[Code]],Locaties[#All],2,FALSE)</f>
        <v>Open Schoolgemeenschap Bijlmer</v>
      </c>
      <c r="C287" s="53" t="str">
        <f>VLOOKUP(Ruimtestaat[[#This Row],[Code]],Locaties[#All],4,FALSE)</f>
        <v>Gulden Kruis 5</v>
      </c>
      <c r="D287" s="53" t="str">
        <f>VLOOKUP(Ruimtestaat[[#This Row],[Code]],Locaties[#All],5,FALSE)</f>
        <v>1103 BE</v>
      </c>
      <c r="E287" s="53" t="str">
        <f>VLOOKUP(Ruimtestaat[[#This Row],[Code]],Locaties[#All],6,FALSE)</f>
        <v>Amsterdam Zuidoost</v>
      </c>
      <c r="F287" s="78"/>
      <c r="G287" s="53" t="s">
        <v>564</v>
      </c>
      <c r="H287" s="53" t="s">
        <v>672</v>
      </c>
      <c r="I287" s="78" t="s">
        <v>456</v>
      </c>
      <c r="J287" s="53">
        <v>6</v>
      </c>
      <c r="K287" s="78" t="str">
        <f>VLOOKUP(J287,Ruimtegroepen[],2,FALSE)</f>
        <v>Gangen/hallen</v>
      </c>
      <c r="L287" s="53" t="s">
        <v>285</v>
      </c>
      <c r="M287" s="53" t="s">
        <v>580</v>
      </c>
      <c r="N287" s="92">
        <v>26.52</v>
      </c>
      <c r="O287" s="92"/>
      <c r="P287" s="80" t="str">
        <f>LEFT(VLOOKUP(Ruimtestaat[[#This Row],[Ruimte code]],Ruimtegroepen[#All],4,1),2)</f>
        <v xml:space="preserve">V </v>
      </c>
      <c r="Q287" s="93"/>
      <c r="R287" s="81">
        <v>40</v>
      </c>
      <c r="S287" s="81" t="s">
        <v>298</v>
      </c>
      <c r="T287" s="82">
        <f>IF(R287&gt;0,IF(RIGHT(Ruimtestaat[[#This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7" s="82">
        <f>IF(T287&gt;0,VLOOKUP($J287,Ruimtegroepen[],3,FALSE)*VLOOKUP($L287,Vloersoorten[],3,FALSE)*VLOOKUP($S287,Frequenties[],3,FALSE)*VLOOKUP($A287,Locaties[],3,FALSE),0)</f>
        <v>0</v>
      </c>
      <c r="V287" s="83">
        <f>Ruimtestaat[[#This Row],[Uitvoeringen werkdagen]]*Ruimtestaat[[#This Row],[Oppervlak (netto)]]</f>
        <v>5304</v>
      </c>
      <c r="W287" s="84">
        <f>IF(U287&gt;0,Ruimtestaat[[#This Row],[Prest. (m2 /jaar) werkdagen]]/Ruimtestaat[[#This Row],[Norm (m2/uur) werkdagen]],0)</f>
        <v>0</v>
      </c>
      <c r="X287" s="85">
        <f>Ruimtestaat[[#This Row],[uren / jaar werkdagen]]*Tariefsopbouw!$E$35</f>
        <v>0</v>
      </c>
      <c r="Y287" s="82"/>
      <c r="Z287" s="86">
        <f>IF(Ruimtestaat[[#This Row],[Frequentie weekend]]&gt;0,VALUE(LEFT(Y287,1))*R287,0)</f>
        <v>0</v>
      </c>
      <c r="AA287" s="82">
        <f>IF($Z287&gt;0,VLOOKUP($J287,Ruimtegroepen[],3,FALSE)*VLOOKUP($L287,Vloersoorten[],3,FALSE)*VLOOKUP($Y287,Frequenties[],3,FALSE)*VLOOKUP($A283,Locaties[],3,FALSE),0)</f>
        <v>0</v>
      </c>
      <c r="AB287" s="84">
        <f>Ruimtestaat[[#This Row],[Uitvoeringen weekend]]*Ruimtestaat[[#This Row],[Oppervlak (netto)]]</f>
        <v>0</v>
      </c>
      <c r="AC287" s="87">
        <f>IF(AB287&gt;0,Ruimtestaat[[#This Row],[Prest. (m2 /jaar) weekend]]/Ruimtestaat[[#This Row],[Norm (m2/uur) weekend]],0)</f>
        <v>0</v>
      </c>
      <c r="AD287" s="88">
        <f>Ruimtestaat[[#This Row],[uren / jaar weekend]]*Tariefsopbouw!$D$40</f>
        <v>0</v>
      </c>
      <c r="AE287" s="89">
        <f>Ruimtestaat[[#This Row],[Prest. (m2 /jaar) weekend]]+Ruimtestaat[[#This Row],[Prest. (m2 /jaar) werkdagen]]</f>
        <v>5304</v>
      </c>
      <c r="AF287" s="89">
        <f>Ruimtestaat[[#This Row],[uren / jaar weekend]]+Ruimtestaat[[#This Row],[uren / jaar werkdagen]]</f>
        <v>0</v>
      </c>
      <c r="AG287" s="90">
        <f>Ruimtestaat[[#This Row],[kosten / jaar weekend]]+Ruimtestaat[[#This Row],[kosten / jaar werkdagen]]</f>
        <v>0</v>
      </c>
    </row>
    <row r="288" spans="1:33" ht="15" customHeight="1">
      <c r="A288" s="53">
        <v>2</v>
      </c>
      <c r="B288" s="53" t="str">
        <f>VLOOKUP(Ruimtestaat[[#This Row],[Code]],Locaties[#All],2,FALSE)</f>
        <v>Open Schoolgemeenschap Bijlmer</v>
      </c>
      <c r="C288" s="53" t="str">
        <f>VLOOKUP(Ruimtestaat[[#This Row],[Code]],Locaties[#All],4,FALSE)</f>
        <v>Gulden Kruis 5</v>
      </c>
      <c r="D288" s="53" t="str">
        <f>VLOOKUP(Ruimtestaat[[#This Row],[Code]],Locaties[#All],5,FALSE)</f>
        <v>1103 BE</v>
      </c>
      <c r="E288" s="53" t="str">
        <f>VLOOKUP(Ruimtestaat[[#This Row],[Code]],Locaties[#All],6,FALSE)</f>
        <v>Amsterdam Zuidoost</v>
      </c>
      <c r="F288" s="78"/>
      <c r="G288" s="53" t="s">
        <v>564</v>
      </c>
      <c r="H288" s="53" t="s">
        <v>673</v>
      </c>
      <c r="I288" s="78" t="s">
        <v>674</v>
      </c>
      <c r="J288" s="53">
        <v>14</v>
      </c>
      <c r="K288" s="78" t="str">
        <f>VLOOKUP(J288,Ruimtegroepen[],2,FALSE)</f>
        <v>Praktijklokalen binas/zorg</v>
      </c>
      <c r="L288" s="53" t="s">
        <v>288</v>
      </c>
      <c r="M288" s="53" t="s">
        <v>657</v>
      </c>
      <c r="N288" s="92">
        <v>131.02000000000001</v>
      </c>
      <c r="O288" s="92"/>
      <c r="P288" s="80" t="str">
        <f>LEFT(VLOOKUP(Ruimtestaat[[#This Row],[Ruimte code]],Ruimtegroepen[#All],4,1),2)</f>
        <v xml:space="preserve">L </v>
      </c>
      <c r="Q288" s="93"/>
      <c r="R288" s="81">
        <v>40</v>
      </c>
      <c r="S288" s="81" t="s">
        <v>298</v>
      </c>
      <c r="T288" s="82">
        <f>IF(R288&gt;0,IF(RIGHT(Ruimtestaat[[#This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8" s="82">
        <f>IF(T288&gt;0,VLOOKUP($J288,Ruimtegroepen[],3,FALSE)*VLOOKUP($L288,Vloersoorten[],3,FALSE)*VLOOKUP($S288,Frequenties[],3,FALSE)*VLOOKUP($A288,Locaties[],3,FALSE),0)</f>
        <v>0</v>
      </c>
      <c r="V288" s="83">
        <f>Ruimtestaat[[#This Row],[Uitvoeringen werkdagen]]*Ruimtestaat[[#This Row],[Oppervlak (netto)]]</f>
        <v>26204.000000000004</v>
      </c>
      <c r="W288" s="84">
        <f>IF(U288&gt;0,Ruimtestaat[[#This Row],[Prest. (m2 /jaar) werkdagen]]/Ruimtestaat[[#This Row],[Norm (m2/uur) werkdagen]],0)</f>
        <v>0</v>
      </c>
      <c r="X288" s="85">
        <f>Ruimtestaat[[#This Row],[uren / jaar werkdagen]]*Tariefsopbouw!$E$35</f>
        <v>0</v>
      </c>
      <c r="Y288" s="82"/>
      <c r="Z288" s="86">
        <f>IF(Ruimtestaat[[#This Row],[Frequentie weekend]]&gt;0,VALUE(LEFT(Y288,1))*R288,0)</f>
        <v>0</v>
      </c>
      <c r="AA288" s="82">
        <f>IF($Z288&gt;0,VLOOKUP($J288,Ruimtegroepen[],3,FALSE)*VLOOKUP($L288,Vloersoorten[],3,FALSE)*VLOOKUP($Y288,Frequenties[],3,FALSE)*VLOOKUP($A284,Locaties[],3,FALSE),0)</f>
        <v>0</v>
      </c>
      <c r="AB288" s="84">
        <f>Ruimtestaat[[#This Row],[Uitvoeringen weekend]]*Ruimtestaat[[#This Row],[Oppervlak (netto)]]</f>
        <v>0</v>
      </c>
      <c r="AC288" s="87">
        <f>IF(AB288&gt;0,Ruimtestaat[[#This Row],[Prest. (m2 /jaar) weekend]]/Ruimtestaat[[#This Row],[Norm (m2/uur) weekend]],0)</f>
        <v>0</v>
      </c>
      <c r="AD288" s="88">
        <f>Ruimtestaat[[#This Row],[uren / jaar weekend]]*Tariefsopbouw!$D$40</f>
        <v>0</v>
      </c>
      <c r="AE288" s="89">
        <f>Ruimtestaat[[#This Row],[Prest. (m2 /jaar) weekend]]+Ruimtestaat[[#This Row],[Prest. (m2 /jaar) werkdagen]]</f>
        <v>26204.000000000004</v>
      </c>
      <c r="AF288" s="89">
        <f>Ruimtestaat[[#This Row],[uren / jaar weekend]]+Ruimtestaat[[#This Row],[uren / jaar werkdagen]]</f>
        <v>0</v>
      </c>
      <c r="AG288" s="90">
        <f>Ruimtestaat[[#This Row],[kosten / jaar weekend]]+Ruimtestaat[[#This Row],[kosten / jaar werkdagen]]</f>
        <v>0</v>
      </c>
    </row>
    <row r="289" spans="1:33" ht="15" customHeight="1">
      <c r="A289" s="53">
        <v>2</v>
      </c>
      <c r="B289" s="53" t="str">
        <f>VLOOKUP(Ruimtestaat[[#This Row],[Code]],Locaties[#All],2,FALSE)</f>
        <v>Open Schoolgemeenschap Bijlmer</v>
      </c>
      <c r="C289" s="53" t="str">
        <f>VLOOKUP(Ruimtestaat[[#This Row],[Code]],Locaties[#All],4,FALSE)</f>
        <v>Gulden Kruis 5</v>
      </c>
      <c r="D289" s="53" t="str">
        <f>VLOOKUP(Ruimtestaat[[#This Row],[Code]],Locaties[#All],5,FALSE)</f>
        <v>1103 BE</v>
      </c>
      <c r="E289" s="53" t="str">
        <f>VLOOKUP(Ruimtestaat[[#This Row],[Code]],Locaties[#All],6,FALSE)</f>
        <v>Amsterdam Zuidoost</v>
      </c>
      <c r="F289" s="78"/>
      <c r="G289" s="53" t="s">
        <v>564</v>
      </c>
      <c r="H289" s="53" t="s">
        <v>675</v>
      </c>
      <c r="I289" s="78" t="s">
        <v>456</v>
      </c>
      <c r="J289" s="53">
        <v>6</v>
      </c>
      <c r="K289" s="78" t="str">
        <f>VLOOKUP(J289,Ruimtegroepen[],2,FALSE)</f>
        <v>Gangen/hallen</v>
      </c>
      <c r="L289" s="53" t="s">
        <v>285</v>
      </c>
      <c r="M289" s="53" t="s">
        <v>580</v>
      </c>
      <c r="N289" s="92">
        <v>47.52</v>
      </c>
      <c r="O289" s="92"/>
      <c r="P289" s="80" t="str">
        <f>LEFT(VLOOKUP(Ruimtestaat[[#This Row],[Ruimte code]],Ruimtegroepen[#All],4,1),2)</f>
        <v xml:space="preserve">V </v>
      </c>
      <c r="Q289" s="93"/>
      <c r="R289" s="81">
        <v>40</v>
      </c>
      <c r="S289" s="81" t="s">
        <v>298</v>
      </c>
      <c r="T289" s="82">
        <f>IF(R289&gt;0,IF(RIGHT(Ruimtestaat[[#This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89" s="82">
        <f>IF(T289&gt;0,VLOOKUP($J289,Ruimtegroepen[],3,FALSE)*VLOOKUP($L289,Vloersoorten[],3,FALSE)*VLOOKUP($S289,Frequenties[],3,FALSE)*VLOOKUP($A289,Locaties[],3,FALSE),0)</f>
        <v>0</v>
      </c>
      <c r="V289" s="83">
        <f>Ruimtestaat[[#This Row],[Uitvoeringen werkdagen]]*Ruimtestaat[[#This Row],[Oppervlak (netto)]]</f>
        <v>9504</v>
      </c>
      <c r="W289" s="84">
        <f>IF(U289&gt;0,Ruimtestaat[[#This Row],[Prest. (m2 /jaar) werkdagen]]/Ruimtestaat[[#This Row],[Norm (m2/uur) werkdagen]],0)</f>
        <v>0</v>
      </c>
      <c r="X289" s="85">
        <f>Ruimtestaat[[#This Row],[uren / jaar werkdagen]]*Tariefsopbouw!$E$35</f>
        <v>0</v>
      </c>
      <c r="Y289" s="82"/>
      <c r="Z289" s="86">
        <f>IF(Ruimtestaat[[#This Row],[Frequentie weekend]]&gt;0,VALUE(LEFT(Y289,1))*R289,0)</f>
        <v>0</v>
      </c>
      <c r="AA289" s="82">
        <f>IF($Z289&gt;0,VLOOKUP($J289,Ruimtegroepen[],3,FALSE)*VLOOKUP($L289,Vloersoorten[],3,FALSE)*VLOOKUP($Y289,Frequenties[],3,FALSE)*VLOOKUP($A285,Locaties[],3,FALSE),0)</f>
        <v>0</v>
      </c>
      <c r="AB289" s="84">
        <f>Ruimtestaat[[#This Row],[Uitvoeringen weekend]]*Ruimtestaat[[#This Row],[Oppervlak (netto)]]</f>
        <v>0</v>
      </c>
      <c r="AC289" s="87">
        <f>IF(AB289&gt;0,Ruimtestaat[[#This Row],[Prest. (m2 /jaar) weekend]]/Ruimtestaat[[#This Row],[Norm (m2/uur) weekend]],0)</f>
        <v>0</v>
      </c>
      <c r="AD289" s="88">
        <f>Ruimtestaat[[#This Row],[uren / jaar weekend]]*Tariefsopbouw!$D$40</f>
        <v>0</v>
      </c>
      <c r="AE289" s="89">
        <f>Ruimtestaat[[#This Row],[Prest. (m2 /jaar) weekend]]+Ruimtestaat[[#This Row],[Prest. (m2 /jaar) werkdagen]]</f>
        <v>9504</v>
      </c>
      <c r="AF289" s="89">
        <f>Ruimtestaat[[#This Row],[uren / jaar weekend]]+Ruimtestaat[[#This Row],[uren / jaar werkdagen]]</f>
        <v>0</v>
      </c>
      <c r="AG289" s="90">
        <f>Ruimtestaat[[#This Row],[kosten / jaar weekend]]+Ruimtestaat[[#This Row],[kosten / jaar werkdagen]]</f>
        <v>0</v>
      </c>
    </row>
    <row r="290" spans="1:33" ht="15" customHeight="1">
      <c r="A290" s="53">
        <v>2</v>
      </c>
      <c r="B290" s="53" t="str">
        <f>VLOOKUP(Ruimtestaat[[#This Row],[Code]],Locaties[#All],2,FALSE)</f>
        <v>Open Schoolgemeenschap Bijlmer</v>
      </c>
      <c r="C290" s="53" t="str">
        <f>VLOOKUP(Ruimtestaat[[#This Row],[Code]],Locaties[#All],4,FALSE)</f>
        <v>Gulden Kruis 5</v>
      </c>
      <c r="D290" s="53" t="str">
        <f>VLOOKUP(Ruimtestaat[[#This Row],[Code]],Locaties[#All],5,FALSE)</f>
        <v>1103 BE</v>
      </c>
      <c r="E290" s="53" t="str">
        <f>VLOOKUP(Ruimtestaat[[#This Row],[Code]],Locaties[#All],6,FALSE)</f>
        <v>Amsterdam Zuidoost</v>
      </c>
      <c r="F290" s="78"/>
      <c r="G290" s="53" t="s">
        <v>564</v>
      </c>
      <c r="H290" s="53" t="s">
        <v>676</v>
      </c>
      <c r="I290" s="78" t="s">
        <v>456</v>
      </c>
      <c r="J290" s="53">
        <v>6</v>
      </c>
      <c r="K290" s="78" t="str">
        <f>VLOOKUP(J290,Ruimtegroepen[],2,FALSE)</f>
        <v>Gangen/hallen</v>
      </c>
      <c r="L290" s="53" t="s">
        <v>285</v>
      </c>
      <c r="M290" s="53" t="s">
        <v>580</v>
      </c>
      <c r="N290" s="92">
        <v>35.884599999999999</v>
      </c>
      <c r="O290" s="92"/>
      <c r="P290" s="80" t="str">
        <f>LEFT(VLOOKUP(Ruimtestaat[[#This Row],[Ruimte code]],Ruimtegroepen[#All],4,1),2)</f>
        <v xml:space="preserve">V </v>
      </c>
      <c r="Q290" s="93"/>
      <c r="R290" s="81">
        <v>40</v>
      </c>
      <c r="S290" s="81" t="s">
        <v>298</v>
      </c>
      <c r="T290" s="82">
        <f>IF(R290&gt;0,IF(RIGHT(Ruimtestaat[[#This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0" s="82">
        <f>IF(T290&gt;0,VLOOKUP($J290,Ruimtegroepen[],3,FALSE)*VLOOKUP($L290,Vloersoorten[],3,FALSE)*VLOOKUP($S290,Frequenties[],3,FALSE)*VLOOKUP($A290,Locaties[],3,FALSE),0)</f>
        <v>0</v>
      </c>
      <c r="V290" s="83">
        <f>Ruimtestaat[[#This Row],[Uitvoeringen werkdagen]]*Ruimtestaat[[#This Row],[Oppervlak (netto)]]</f>
        <v>7176.92</v>
      </c>
      <c r="W290" s="84">
        <f>IF(U290&gt;0,Ruimtestaat[[#This Row],[Prest. (m2 /jaar) werkdagen]]/Ruimtestaat[[#This Row],[Norm (m2/uur) werkdagen]],0)</f>
        <v>0</v>
      </c>
      <c r="X290" s="85">
        <f>Ruimtestaat[[#This Row],[uren / jaar werkdagen]]*Tariefsopbouw!$E$35</f>
        <v>0</v>
      </c>
      <c r="Y290" s="82"/>
      <c r="Z290" s="86">
        <f>IF(Ruimtestaat[[#This Row],[Frequentie weekend]]&gt;0,VALUE(LEFT(Y290,1))*R290,0)</f>
        <v>0</v>
      </c>
      <c r="AA290" s="82">
        <f>IF($Z290&gt;0,VLOOKUP($J290,Ruimtegroepen[],3,FALSE)*VLOOKUP($L290,Vloersoorten[],3,FALSE)*VLOOKUP($Y290,Frequenties[],3,FALSE)*VLOOKUP($A286,Locaties[],3,FALSE),0)</f>
        <v>0</v>
      </c>
      <c r="AB290" s="84">
        <f>Ruimtestaat[[#This Row],[Uitvoeringen weekend]]*Ruimtestaat[[#This Row],[Oppervlak (netto)]]</f>
        <v>0</v>
      </c>
      <c r="AC290" s="87">
        <f>IF(AB290&gt;0,Ruimtestaat[[#This Row],[Prest. (m2 /jaar) weekend]]/Ruimtestaat[[#This Row],[Norm (m2/uur) weekend]],0)</f>
        <v>0</v>
      </c>
      <c r="AD290" s="88">
        <f>Ruimtestaat[[#This Row],[uren / jaar weekend]]*Tariefsopbouw!$D$40</f>
        <v>0</v>
      </c>
      <c r="AE290" s="89">
        <f>Ruimtestaat[[#This Row],[Prest. (m2 /jaar) weekend]]+Ruimtestaat[[#This Row],[Prest. (m2 /jaar) werkdagen]]</f>
        <v>7176.92</v>
      </c>
      <c r="AF290" s="89">
        <f>Ruimtestaat[[#This Row],[uren / jaar weekend]]+Ruimtestaat[[#This Row],[uren / jaar werkdagen]]</f>
        <v>0</v>
      </c>
      <c r="AG290" s="90">
        <f>Ruimtestaat[[#This Row],[kosten / jaar weekend]]+Ruimtestaat[[#This Row],[kosten / jaar werkdagen]]</f>
        <v>0</v>
      </c>
    </row>
    <row r="291" spans="1:33" ht="15" customHeight="1">
      <c r="A291" s="53">
        <v>2</v>
      </c>
      <c r="B291" s="53" t="str">
        <f>VLOOKUP(Ruimtestaat[[#This Row],[Code]],Locaties[#All],2,FALSE)</f>
        <v>Open Schoolgemeenschap Bijlmer</v>
      </c>
      <c r="C291" s="53" t="str">
        <f>VLOOKUP(Ruimtestaat[[#This Row],[Code]],Locaties[#All],4,FALSE)</f>
        <v>Gulden Kruis 5</v>
      </c>
      <c r="D291" s="53" t="str">
        <f>VLOOKUP(Ruimtestaat[[#This Row],[Code]],Locaties[#All],5,FALSE)</f>
        <v>1103 BE</v>
      </c>
      <c r="E291" s="53" t="str">
        <f>VLOOKUP(Ruimtestaat[[#This Row],[Code]],Locaties[#All],6,FALSE)</f>
        <v>Amsterdam Zuidoost</v>
      </c>
      <c r="F291" s="78"/>
      <c r="G291" s="53" t="s">
        <v>564</v>
      </c>
      <c r="H291" s="53" t="s">
        <v>677</v>
      </c>
      <c r="I291" s="78" t="s">
        <v>428</v>
      </c>
      <c r="J291" s="53">
        <v>16</v>
      </c>
      <c r="K291" s="78" t="str">
        <f>VLOOKUP(J291,Ruimtegroepen[],2,FALSE)</f>
        <v>Leslokalen theorie</v>
      </c>
      <c r="L291" s="53" t="s">
        <v>285</v>
      </c>
      <c r="M291" s="53" t="s">
        <v>580</v>
      </c>
      <c r="N291" s="92">
        <v>55.88</v>
      </c>
      <c r="O291" s="92"/>
      <c r="P291" s="80" t="str">
        <f>LEFT(VLOOKUP(Ruimtestaat[[#This Row],[Ruimte code]],Ruimtegroepen[#All],4,1),2)</f>
        <v xml:space="preserve">L </v>
      </c>
      <c r="Q291" s="93"/>
      <c r="R291" s="81">
        <v>40</v>
      </c>
      <c r="S291" s="81" t="s">
        <v>298</v>
      </c>
      <c r="T291" s="82">
        <f>IF(R291&gt;0,IF(RIGHT(Ruimtestaat[[#This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1" s="82">
        <f>IF(T291&gt;0,VLOOKUP($J291,Ruimtegroepen[],3,FALSE)*VLOOKUP($L291,Vloersoorten[],3,FALSE)*VLOOKUP($S291,Frequenties[],3,FALSE)*VLOOKUP($A291,Locaties[],3,FALSE),0)</f>
        <v>0</v>
      </c>
      <c r="V291" s="83">
        <f>Ruimtestaat[[#This Row],[Uitvoeringen werkdagen]]*Ruimtestaat[[#This Row],[Oppervlak (netto)]]</f>
        <v>11176</v>
      </c>
      <c r="W291" s="84">
        <f>IF(U291&gt;0,Ruimtestaat[[#This Row],[Prest. (m2 /jaar) werkdagen]]/Ruimtestaat[[#This Row],[Norm (m2/uur) werkdagen]],0)</f>
        <v>0</v>
      </c>
      <c r="X291" s="85">
        <f>Ruimtestaat[[#This Row],[uren / jaar werkdagen]]*Tariefsopbouw!$E$35</f>
        <v>0</v>
      </c>
      <c r="Y291" s="82"/>
      <c r="Z291" s="86">
        <f>IF(Ruimtestaat[[#This Row],[Frequentie weekend]]&gt;0,VALUE(LEFT(Y291,1))*R291,0)</f>
        <v>0</v>
      </c>
      <c r="AA291" s="82">
        <f>IF($Z291&gt;0,VLOOKUP($J291,Ruimtegroepen[],3,FALSE)*VLOOKUP($L291,Vloersoorten[],3,FALSE)*VLOOKUP($Y291,Frequenties[],3,FALSE)*VLOOKUP($A287,Locaties[],3,FALSE),0)</f>
        <v>0</v>
      </c>
      <c r="AB291" s="84">
        <f>Ruimtestaat[[#This Row],[Uitvoeringen weekend]]*Ruimtestaat[[#This Row],[Oppervlak (netto)]]</f>
        <v>0</v>
      </c>
      <c r="AC291" s="87">
        <f>IF(AB291&gt;0,Ruimtestaat[[#This Row],[Prest. (m2 /jaar) weekend]]/Ruimtestaat[[#This Row],[Norm (m2/uur) weekend]],0)</f>
        <v>0</v>
      </c>
      <c r="AD291" s="88">
        <f>Ruimtestaat[[#This Row],[uren / jaar weekend]]*Tariefsopbouw!$D$40</f>
        <v>0</v>
      </c>
      <c r="AE291" s="89">
        <f>Ruimtestaat[[#This Row],[Prest. (m2 /jaar) weekend]]+Ruimtestaat[[#This Row],[Prest. (m2 /jaar) werkdagen]]</f>
        <v>11176</v>
      </c>
      <c r="AF291" s="89">
        <f>Ruimtestaat[[#This Row],[uren / jaar weekend]]+Ruimtestaat[[#This Row],[uren / jaar werkdagen]]</f>
        <v>0</v>
      </c>
      <c r="AG291" s="90">
        <f>Ruimtestaat[[#This Row],[kosten / jaar weekend]]+Ruimtestaat[[#This Row],[kosten / jaar werkdagen]]</f>
        <v>0</v>
      </c>
    </row>
    <row r="292" spans="1:33" ht="15" customHeight="1">
      <c r="A292" s="53">
        <v>2</v>
      </c>
      <c r="B292" s="53" t="str">
        <f>VLOOKUP(Ruimtestaat[[#This Row],[Code]],Locaties[#All],2,FALSE)</f>
        <v>Open Schoolgemeenschap Bijlmer</v>
      </c>
      <c r="C292" s="53" t="str">
        <f>VLOOKUP(Ruimtestaat[[#This Row],[Code]],Locaties[#All],4,FALSE)</f>
        <v>Gulden Kruis 5</v>
      </c>
      <c r="D292" s="53" t="str">
        <f>VLOOKUP(Ruimtestaat[[#This Row],[Code]],Locaties[#All],5,FALSE)</f>
        <v>1103 BE</v>
      </c>
      <c r="E292" s="53" t="str">
        <f>VLOOKUP(Ruimtestaat[[#This Row],[Code]],Locaties[#All],6,FALSE)</f>
        <v>Amsterdam Zuidoost</v>
      </c>
      <c r="F292" s="78"/>
      <c r="G292" s="53" t="s">
        <v>564</v>
      </c>
      <c r="H292" s="53" t="s">
        <v>678</v>
      </c>
      <c r="I292" s="78" t="s">
        <v>428</v>
      </c>
      <c r="J292" s="53">
        <v>16</v>
      </c>
      <c r="K292" s="78" t="str">
        <f>VLOOKUP(J292,Ruimtegroepen[],2,FALSE)</f>
        <v>Leslokalen theorie</v>
      </c>
      <c r="L292" s="53" t="s">
        <v>285</v>
      </c>
      <c r="M292" s="53" t="s">
        <v>580</v>
      </c>
      <c r="N292" s="92">
        <v>55.88</v>
      </c>
      <c r="O292" s="92"/>
      <c r="P292" s="80" t="str">
        <f>LEFT(VLOOKUP(Ruimtestaat[[#This Row],[Ruimte code]],Ruimtegroepen[#All],4,1),2)</f>
        <v xml:space="preserve">L </v>
      </c>
      <c r="Q292" s="93"/>
      <c r="R292" s="81">
        <v>40</v>
      </c>
      <c r="S292" s="81" t="s">
        <v>298</v>
      </c>
      <c r="T292" s="82">
        <f>IF(R292&gt;0,IF(RIGHT(Ruimtestaat[[#This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2" s="82">
        <f>IF(T292&gt;0,VLOOKUP($J292,Ruimtegroepen[],3,FALSE)*VLOOKUP($L292,Vloersoorten[],3,FALSE)*VLOOKUP($S292,Frequenties[],3,FALSE)*VLOOKUP($A292,Locaties[],3,FALSE),0)</f>
        <v>0</v>
      </c>
      <c r="V292" s="83">
        <f>Ruimtestaat[[#This Row],[Uitvoeringen werkdagen]]*Ruimtestaat[[#This Row],[Oppervlak (netto)]]</f>
        <v>11176</v>
      </c>
      <c r="W292" s="84">
        <f>IF(U292&gt;0,Ruimtestaat[[#This Row],[Prest. (m2 /jaar) werkdagen]]/Ruimtestaat[[#This Row],[Norm (m2/uur) werkdagen]],0)</f>
        <v>0</v>
      </c>
      <c r="X292" s="85">
        <f>Ruimtestaat[[#This Row],[uren / jaar werkdagen]]*Tariefsopbouw!$E$35</f>
        <v>0</v>
      </c>
      <c r="Y292" s="82"/>
      <c r="Z292" s="86">
        <f>IF(Ruimtestaat[[#This Row],[Frequentie weekend]]&gt;0,VALUE(LEFT(Y292,1))*R292,0)</f>
        <v>0</v>
      </c>
      <c r="AA292" s="82">
        <f>IF($Z292&gt;0,VLOOKUP($J292,Ruimtegroepen[],3,FALSE)*VLOOKUP($L292,Vloersoorten[],3,FALSE)*VLOOKUP($Y292,Frequenties[],3,FALSE)*VLOOKUP($A288,Locaties[],3,FALSE),0)</f>
        <v>0</v>
      </c>
      <c r="AB292" s="84">
        <f>Ruimtestaat[[#This Row],[Uitvoeringen weekend]]*Ruimtestaat[[#This Row],[Oppervlak (netto)]]</f>
        <v>0</v>
      </c>
      <c r="AC292" s="87">
        <f>IF(AB292&gt;0,Ruimtestaat[[#This Row],[Prest. (m2 /jaar) weekend]]/Ruimtestaat[[#This Row],[Norm (m2/uur) weekend]],0)</f>
        <v>0</v>
      </c>
      <c r="AD292" s="88">
        <f>Ruimtestaat[[#This Row],[uren / jaar weekend]]*Tariefsopbouw!$D$40</f>
        <v>0</v>
      </c>
      <c r="AE292" s="89">
        <f>Ruimtestaat[[#This Row],[Prest. (m2 /jaar) weekend]]+Ruimtestaat[[#This Row],[Prest. (m2 /jaar) werkdagen]]</f>
        <v>11176</v>
      </c>
      <c r="AF292" s="89">
        <f>Ruimtestaat[[#This Row],[uren / jaar weekend]]+Ruimtestaat[[#This Row],[uren / jaar werkdagen]]</f>
        <v>0</v>
      </c>
      <c r="AG292" s="90">
        <f>Ruimtestaat[[#This Row],[kosten / jaar weekend]]+Ruimtestaat[[#This Row],[kosten / jaar werkdagen]]</f>
        <v>0</v>
      </c>
    </row>
    <row r="293" spans="1:33" ht="15" customHeight="1">
      <c r="A293" s="53">
        <v>2</v>
      </c>
      <c r="B293" s="53" t="str">
        <f>VLOOKUP(Ruimtestaat[[#This Row],[Code]],Locaties[#All],2,FALSE)</f>
        <v>Open Schoolgemeenschap Bijlmer</v>
      </c>
      <c r="C293" s="53" t="str">
        <f>VLOOKUP(Ruimtestaat[[#This Row],[Code]],Locaties[#All],4,FALSE)</f>
        <v>Gulden Kruis 5</v>
      </c>
      <c r="D293" s="53" t="str">
        <f>VLOOKUP(Ruimtestaat[[#This Row],[Code]],Locaties[#All],5,FALSE)</f>
        <v>1103 BE</v>
      </c>
      <c r="E293" s="53" t="str">
        <f>VLOOKUP(Ruimtestaat[[#This Row],[Code]],Locaties[#All],6,FALSE)</f>
        <v>Amsterdam Zuidoost</v>
      </c>
      <c r="F293" s="78"/>
      <c r="G293" s="53" t="s">
        <v>564</v>
      </c>
      <c r="H293" s="53" t="s">
        <v>679</v>
      </c>
      <c r="I293" s="78" t="s">
        <v>680</v>
      </c>
      <c r="J293" s="53">
        <v>8</v>
      </c>
      <c r="K293" s="78" t="str">
        <f>VLOOKUP(J293,Ruimtegroepen[],2,FALSE)</f>
        <v>Mediatheek / OLC</v>
      </c>
      <c r="L293" s="53" t="s">
        <v>283</v>
      </c>
      <c r="M293" s="53" t="s">
        <v>576</v>
      </c>
      <c r="N293" s="92">
        <v>240</v>
      </c>
      <c r="O293" s="92"/>
      <c r="P293" s="80" t="str">
        <f>LEFT(VLOOKUP(Ruimtestaat[[#This Row],[Ruimte code]],Ruimtegroepen[#All],4,1),2)</f>
        <v xml:space="preserve">L </v>
      </c>
      <c r="Q293" s="93"/>
      <c r="R293" s="81">
        <v>40</v>
      </c>
      <c r="S293" s="81" t="s">
        <v>298</v>
      </c>
      <c r="T293" s="82">
        <f>IF(R293&gt;0,IF(RIGHT(Ruimtestaat[[#This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3" s="82">
        <f>IF(T293&gt;0,VLOOKUP($J293,Ruimtegroepen[],3,FALSE)*VLOOKUP($L293,Vloersoorten[],3,FALSE)*VLOOKUP($S293,Frequenties[],3,FALSE)*VLOOKUP($A293,Locaties[],3,FALSE),0)</f>
        <v>0</v>
      </c>
      <c r="V293" s="83">
        <f>Ruimtestaat[[#This Row],[Uitvoeringen werkdagen]]*Ruimtestaat[[#This Row],[Oppervlak (netto)]]</f>
        <v>48000</v>
      </c>
      <c r="W293" s="84">
        <f>IF(U293&gt;0,Ruimtestaat[[#This Row],[Prest. (m2 /jaar) werkdagen]]/Ruimtestaat[[#This Row],[Norm (m2/uur) werkdagen]],0)</f>
        <v>0</v>
      </c>
      <c r="X293" s="85">
        <f>Ruimtestaat[[#This Row],[uren / jaar werkdagen]]*Tariefsopbouw!$E$35</f>
        <v>0</v>
      </c>
      <c r="Y293" s="82"/>
      <c r="Z293" s="86">
        <f>IF(Ruimtestaat[[#This Row],[Frequentie weekend]]&gt;0,VALUE(LEFT(Y293,1))*R293,0)</f>
        <v>0</v>
      </c>
      <c r="AA293" s="82">
        <f>IF($Z293&gt;0,VLOOKUP($J293,Ruimtegroepen[],3,FALSE)*VLOOKUP($L293,Vloersoorten[],3,FALSE)*VLOOKUP($Y293,Frequenties[],3,FALSE)*VLOOKUP($A289,Locaties[],3,FALSE),0)</f>
        <v>0</v>
      </c>
      <c r="AB293" s="84">
        <f>Ruimtestaat[[#This Row],[Uitvoeringen weekend]]*Ruimtestaat[[#This Row],[Oppervlak (netto)]]</f>
        <v>0</v>
      </c>
      <c r="AC293" s="87">
        <f>IF(AB293&gt;0,Ruimtestaat[[#This Row],[Prest. (m2 /jaar) weekend]]/Ruimtestaat[[#This Row],[Norm (m2/uur) weekend]],0)</f>
        <v>0</v>
      </c>
      <c r="AD293" s="88">
        <f>Ruimtestaat[[#This Row],[uren / jaar weekend]]*Tariefsopbouw!$D$40</f>
        <v>0</v>
      </c>
      <c r="AE293" s="89">
        <f>Ruimtestaat[[#This Row],[Prest. (m2 /jaar) weekend]]+Ruimtestaat[[#This Row],[Prest. (m2 /jaar) werkdagen]]</f>
        <v>48000</v>
      </c>
      <c r="AF293" s="89">
        <f>Ruimtestaat[[#This Row],[uren / jaar weekend]]+Ruimtestaat[[#This Row],[uren / jaar werkdagen]]</f>
        <v>0</v>
      </c>
      <c r="AG293" s="90">
        <f>Ruimtestaat[[#This Row],[kosten / jaar weekend]]+Ruimtestaat[[#This Row],[kosten / jaar werkdagen]]</f>
        <v>0</v>
      </c>
    </row>
    <row r="294" spans="1:33" ht="15" customHeight="1">
      <c r="A294" s="53">
        <v>2</v>
      </c>
      <c r="B294" s="53" t="str">
        <f>VLOOKUP(Ruimtestaat[[#This Row],[Code]],Locaties[#All],2,FALSE)</f>
        <v>Open Schoolgemeenschap Bijlmer</v>
      </c>
      <c r="C294" s="53" t="str">
        <f>VLOOKUP(Ruimtestaat[[#This Row],[Code]],Locaties[#All],4,FALSE)</f>
        <v>Gulden Kruis 5</v>
      </c>
      <c r="D294" s="53" t="str">
        <f>VLOOKUP(Ruimtestaat[[#This Row],[Code]],Locaties[#All],5,FALSE)</f>
        <v>1103 BE</v>
      </c>
      <c r="E294" s="53" t="str">
        <f>VLOOKUP(Ruimtestaat[[#This Row],[Code]],Locaties[#All],6,FALSE)</f>
        <v>Amsterdam Zuidoost</v>
      </c>
      <c r="F294" s="78"/>
      <c r="G294" s="53" t="s">
        <v>564</v>
      </c>
      <c r="H294" s="53" t="s">
        <v>681</v>
      </c>
      <c r="I294" s="78" t="s">
        <v>378</v>
      </c>
      <c r="J294" s="53">
        <v>10</v>
      </c>
      <c r="K294" s="78" t="str">
        <f>VLOOKUP(J294,Ruimtegroepen[],2,FALSE)</f>
        <v>Trappenhuizen/lift</v>
      </c>
      <c r="L294" s="53" t="s">
        <v>285</v>
      </c>
      <c r="M294" s="53" t="s">
        <v>597</v>
      </c>
      <c r="N294" s="92">
        <v>35.4</v>
      </c>
      <c r="O294" s="92"/>
      <c r="P294" s="80" t="str">
        <f>LEFT(VLOOKUP(Ruimtestaat[[#This Row],[Ruimte code]],Ruimtegroepen[#All],4,1),2)</f>
        <v xml:space="preserve">V </v>
      </c>
      <c r="Q294" s="93"/>
      <c r="R294" s="81">
        <v>40</v>
      </c>
      <c r="S294" s="81" t="s">
        <v>298</v>
      </c>
      <c r="T294" s="82">
        <f>IF(R294&gt;0,IF(RIGHT(Ruimtestaat[[#This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4" s="82">
        <f>IF(T294&gt;0,VLOOKUP($J294,Ruimtegroepen[],3,FALSE)*VLOOKUP($L294,Vloersoorten[],3,FALSE)*VLOOKUP($S294,Frequenties[],3,FALSE)*VLOOKUP($A294,Locaties[],3,FALSE),0)</f>
        <v>0</v>
      </c>
      <c r="V294" s="83">
        <f>Ruimtestaat[[#This Row],[Uitvoeringen werkdagen]]*Ruimtestaat[[#This Row],[Oppervlak (netto)]]</f>
        <v>7080</v>
      </c>
      <c r="W294" s="84">
        <f>IF(U294&gt;0,Ruimtestaat[[#This Row],[Prest. (m2 /jaar) werkdagen]]/Ruimtestaat[[#This Row],[Norm (m2/uur) werkdagen]],0)</f>
        <v>0</v>
      </c>
      <c r="X294" s="85">
        <f>Ruimtestaat[[#This Row],[uren / jaar werkdagen]]*Tariefsopbouw!$E$35</f>
        <v>0</v>
      </c>
      <c r="Y294" s="82"/>
      <c r="Z294" s="86">
        <f>IF(Ruimtestaat[[#This Row],[Frequentie weekend]]&gt;0,VALUE(LEFT(Y294,1))*R294,0)</f>
        <v>0</v>
      </c>
      <c r="AA294" s="82">
        <f>IF($Z294&gt;0,VLOOKUP($J294,Ruimtegroepen[],3,FALSE)*VLOOKUP($L294,Vloersoorten[],3,FALSE)*VLOOKUP($Y294,Frequenties[],3,FALSE)*VLOOKUP($A290,Locaties[],3,FALSE),0)</f>
        <v>0</v>
      </c>
      <c r="AB294" s="84">
        <f>Ruimtestaat[[#This Row],[Uitvoeringen weekend]]*Ruimtestaat[[#This Row],[Oppervlak (netto)]]</f>
        <v>0</v>
      </c>
      <c r="AC294" s="87">
        <f>IF(AB294&gt;0,Ruimtestaat[[#This Row],[Prest. (m2 /jaar) weekend]]/Ruimtestaat[[#This Row],[Norm (m2/uur) weekend]],0)</f>
        <v>0</v>
      </c>
      <c r="AD294" s="88">
        <f>Ruimtestaat[[#This Row],[uren / jaar weekend]]*Tariefsopbouw!$D$40</f>
        <v>0</v>
      </c>
      <c r="AE294" s="89">
        <f>Ruimtestaat[[#This Row],[Prest. (m2 /jaar) weekend]]+Ruimtestaat[[#This Row],[Prest. (m2 /jaar) werkdagen]]</f>
        <v>7080</v>
      </c>
      <c r="AF294" s="89">
        <f>Ruimtestaat[[#This Row],[uren / jaar weekend]]+Ruimtestaat[[#This Row],[uren / jaar werkdagen]]</f>
        <v>0</v>
      </c>
      <c r="AG294" s="90">
        <f>Ruimtestaat[[#This Row],[kosten / jaar weekend]]+Ruimtestaat[[#This Row],[kosten / jaar werkdagen]]</f>
        <v>0</v>
      </c>
    </row>
    <row r="295" spans="1:33" ht="15" customHeight="1">
      <c r="A295" s="53">
        <v>2</v>
      </c>
      <c r="B295" s="53" t="str">
        <f>VLOOKUP(Ruimtestaat[[#This Row],[Code]],Locaties[#All],2,FALSE)</f>
        <v>Open Schoolgemeenschap Bijlmer</v>
      </c>
      <c r="C295" s="53" t="str">
        <f>VLOOKUP(Ruimtestaat[[#This Row],[Code]],Locaties[#All],4,FALSE)</f>
        <v>Gulden Kruis 5</v>
      </c>
      <c r="D295" s="53" t="str">
        <f>VLOOKUP(Ruimtestaat[[#This Row],[Code]],Locaties[#All],5,FALSE)</f>
        <v>1103 BE</v>
      </c>
      <c r="E295" s="53" t="str">
        <f>VLOOKUP(Ruimtestaat[[#This Row],[Code]],Locaties[#All],6,FALSE)</f>
        <v>Amsterdam Zuidoost</v>
      </c>
      <c r="F295" s="78"/>
      <c r="G295" s="53" t="s">
        <v>564</v>
      </c>
      <c r="H295" s="53" t="s">
        <v>682</v>
      </c>
      <c r="I295" s="78" t="s">
        <v>456</v>
      </c>
      <c r="J295" s="53">
        <v>6</v>
      </c>
      <c r="K295" s="78" t="str">
        <f>VLOOKUP(J295,Ruimtegroepen[],2,FALSE)</f>
        <v>Gangen/hallen</v>
      </c>
      <c r="L295" s="53" t="s">
        <v>285</v>
      </c>
      <c r="M295" s="53" t="s">
        <v>580</v>
      </c>
      <c r="N295" s="92">
        <v>59.78</v>
      </c>
      <c r="O295" s="92"/>
      <c r="P295" s="80" t="str">
        <f>LEFT(VLOOKUP(Ruimtestaat[[#This Row],[Ruimte code]],Ruimtegroepen[#All],4,1),2)</f>
        <v xml:space="preserve">V </v>
      </c>
      <c r="Q295" s="93"/>
      <c r="R295" s="81">
        <v>40</v>
      </c>
      <c r="S295" s="81" t="s">
        <v>298</v>
      </c>
      <c r="T295" s="82">
        <f>IF(R295&gt;0,IF(RIGHT(Ruimtestaat[[#This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5" s="82">
        <f>IF(T295&gt;0,VLOOKUP($J295,Ruimtegroepen[],3,FALSE)*VLOOKUP($L295,Vloersoorten[],3,FALSE)*VLOOKUP($S295,Frequenties[],3,FALSE)*VLOOKUP($A295,Locaties[],3,FALSE),0)</f>
        <v>0</v>
      </c>
      <c r="V295" s="83">
        <f>Ruimtestaat[[#This Row],[Uitvoeringen werkdagen]]*Ruimtestaat[[#This Row],[Oppervlak (netto)]]</f>
        <v>11956</v>
      </c>
      <c r="W295" s="84">
        <f>IF(U295&gt;0,Ruimtestaat[[#This Row],[Prest. (m2 /jaar) werkdagen]]/Ruimtestaat[[#This Row],[Norm (m2/uur) werkdagen]],0)</f>
        <v>0</v>
      </c>
      <c r="X295" s="85">
        <f>Ruimtestaat[[#This Row],[uren / jaar werkdagen]]*Tariefsopbouw!$E$35</f>
        <v>0</v>
      </c>
      <c r="Y295" s="82"/>
      <c r="Z295" s="86">
        <f>IF(Ruimtestaat[[#This Row],[Frequentie weekend]]&gt;0,VALUE(LEFT(Y295,1))*R295,0)</f>
        <v>0</v>
      </c>
      <c r="AA295" s="82">
        <f>IF($Z295&gt;0,VLOOKUP($J295,Ruimtegroepen[],3,FALSE)*VLOOKUP($L295,Vloersoorten[],3,FALSE)*VLOOKUP($Y295,Frequenties[],3,FALSE)*VLOOKUP($A291,Locaties[],3,FALSE),0)</f>
        <v>0</v>
      </c>
      <c r="AB295" s="84">
        <f>Ruimtestaat[[#This Row],[Uitvoeringen weekend]]*Ruimtestaat[[#This Row],[Oppervlak (netto)]]</f>
        <v>0</v>
      </c>
      <c r="AC295" s="87">
        <f>IF(AB295&gt;0,Ruimtestaat[[#This Row],[Prest. (m2 /jaar) weekend]]/Ruimtestaat[[#This Row],[Norm (m2/uur) weekend]],0)</f>
        <v>0</v>
      </c>
      <c r="AD295" s="88">
        <f>Ruimtestaat[[#This Row],[uren / jaar weekend]]*Tariefsopbouw!$D$40</f>
        <v>0</v>
      </c>
      <c r="AE295" s="89">
        <f>Ruimtestaat[[#This Row],[Prest. (m2 /jaar) weekend]]+Ruimtestaat[[#This Row],[Prest. (m2 /jaar) werkdagen]]</f>
        <v>11956</v>
      </c>
      <c r="AF295" s="89">
        <f>Ruimtestaat[[#This Row],[uren / jaar weekend]]+Ruimtestaat[[#This Row],[uren / jaar werkdagen]]</f>
        <v>0</v>
      </c>
      <c r="AG295" s="90">
        <f>Ruimtestaat[[#This Row],[kosten / jaar weekend]]+Ruimtestaat[[#This Row],[kosten / jaar werkdagen]]</f>
        <v>0</v>
      </c>
    </row>
    <row r="296" spans="1:33" ht="15" customHeight="1">
      <c r="A296" s="53">
        <v>2</v>
      </c>
      <c r="B296" s="53" t="str">
        <f>VLOOKUP(Ruimtestaat[[#This Row],[Code]],Locaties[#All],2,FALSE)</f>
        <v>Open Schoolgemeenschap Bijlmer</v>
      </c>
      <c r="C296" s="53" t="str">
        <f>VLOOKUP(Ruimtestaat[[#This Row],[Code]],Locaties[#All],4,FALSE)</f>
        <v>Gulden Kruis 5</v>
      </c>
      <c r="D296" s="53" t="str">
        <f>VLOOKUP(Ruimtestaat[[#This Row],[Code]],Locaties[#All],5,FALSE)</f>
        <v>1103 BE</v>
      </c>
      <c r="E296" s="53" t="str">
        <f>VLOOKUP(Ruimtestaat[[#This Row],[Code]],Locaties[#All],6,FALSE)</f>
        <v>Amsterdam Zuidoost</v>
      </c>
      <c r="F296" s="78"/>
      <c r="G296" s="53" t="s">
        <v>564</v>
      </c>
      <c r="H296" s="53" t="s">
        <v>683</v>
      </c>
      <c r="I296" s="78" t="s">
        <v>428</v>
      </c>
      <c r="J296" s="53">
        <v>16</v>
      </c>
      <c r="K296" s="78" t="str">
        <f>VLOOKUP(J296,Ruimtegroepen[],2,FALSE)</f>
        <v>Leslokalen theorie</v>
      </c>
      <c r="L296" s="53" t="s">
        <v>288</v>
      </c>
      <c r="M296" s="53" t="s">
        <v>648</v>
      </c>
      <c r="N296" s="92">
        <v>90.51</v>
      </c>
      <c r="O296" s="92"/>
      <c r="P296" s="80" t="str">
        <f>LEFT(VLOOKUP(Ruimtestaat[[#This Row],[Ruimte code]],Ruimtegroepen[#All],4,1),2)</f>
        <v xml:space="preserve">L </v>
      </c>
      <c r="Q296" s="93"/>
      <c r="R296" s="81">
        <v>40</v>
      </c>
      <c r="S296" s="81" t="s">
        <v>298</v>
      </c>
      <c r="T296" s="82">
        <f>IF(R296&gt;0,IF(RIGHT(Ruimtestaat[[#This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6" s="82">
        <f>IF(T296&gt;0,VLOOKUP($J296,Ruimtegroepen[],3,FALSE)*VLOOKUP($L296,Vloersoorten[],3,FALSE)*VLOOKUP($S296,Frequenties[],3,FALSE)*VLOOKUP($A296,Locaties[],3,FALSE),0)</f>
        <v>0</v>
      </c>
      <c r="V296" s="83">
        <f>Ruimtestaat[[#This Row],[Uitvoeringen werkdagen]]*Ruimtestaat[[#This Row],[Oppervlak (netto)]]</f>
        <v>18102</v>
      </c>
      <c r="W296" s="84">
        <f>IF(U296&gt;0,Ruimtestaat[[#This Row],[Prest. (m2 /jaar) werkdagen]]/Ruimtestaat[[#This Row],[Norm (m2/uur) werkdagen]],0)</f>
        <v>0</v>
      </c>
      <c r="X296" s="85">
        <f>Ruimtestaat[[#This Row],[uren / jaar werkdagen]]*Tariefsopbouw!$E$35</f>
        <v>0</v>
      </c>
      <c r="Y296" s="82"/>
      <c r="Z296" s="86">
        <f>IF(Ruimtestaat[[#This Row],[Frequentie weekend]]&gt;0,VALUE(LEFT(Y296,1))*R296,0)</f>
        <v>0</v>
      </c>
      <c r="AA296" s="82">
        <f>IF($Z296&gt;0,VLOOKUP($J296,Ruimtegroepen[],3,FALSE)*VLOOKUP($L296,Vloersoorten[],3,FALSE)*VLOOKUP($Y296,Frequenties[],3,FALSE)*VLOOKUP($A292,Locaties[],3,FALSE),0)</f>
        <v>0</v>
      </c>
      <c r="AB296" s="84">
        <f>Ruimtestaat[[#This Row],[Uitvoeringen weekend]]*Ruimtestaat[[#This Row],[Oppervlak (netto)]]</f>
        <v>0</v>
      </c>
      <c r="AC296" s="87">
        <f>IF(AB296&gt;0,Ruimtestaat[[#This Row],[Prest. (m2 /jaar) weekend]]/Ruimtestaat[[#This Row],[Norm (m2/uur) weekend]],0)</f>
        <v>0</v>
      </c>
      <c r="AD296" s="88">
        <f>Ruimtestaat[[#This Row],[uren / jaar weekend]]*Tariefsopbouw!$D$40</f>
        <v>0</v>
      </c>
      <c r="AE296" s="89">
        <f>Ruimtestaat[[#This Row],[Prest. (m2 /jaar) weekend]]+Ruimtestaat[[#This Row],[Prest. (m2 /jaar) werkdagen]]</f>
        <v>18102</v>
      </c>
      <c r="AF296" s="89">
        <f>Ruimtestaat[[#This Row],[uren / jaar weekend]]+Ruimtestaat[[#This Row],[uren / jaar werkdagen]]</f>
        <v>0</v>
      </c>
      <c r="AG296" s="90">
        <f>Ruimtestaat[[#This Row],[kosten / jaar weekend]]+Ruimtestaat[[#This Row],[kosten / jaar werkdagen]]</f>
        <v>0</v>
      </c>
    </row>
    <row r="297" spans="1:33" ht="15" customHeight="1">
      <c r="A297" s="53">
        <v>2</v>
      </c>
      <c r="B297" s="53" t="str">
        <f>VLOOKUP(Ruimtestaat[[#This Row],[Code]],Locaties[#All],2,FALSE)</f>
        <v>Open Schoolgemeenschap Bijlmer</v>
      </c>
      <c r="C297" s="53" t="str">
        <f>VLOOKUP(Ruimtestaat[[#This Row],[Code]],Locaties[#All],4,FALSE)</f>
        <v>Gulden Kruis 5</v>
      </c>
      <c r="D297" s="53" t="str">
        <f>VLOOKUP(Ruimtestaat[[#This Row],[Code]],Locaties[#All],5,FALSE)</f>
        <v>1103 BE</v>
      </c>
      <c r="E297" s="53" t="str">
        <f>VLOOKUP(Ruimtestaat[[#This Row],[Code]],Locaties[#All],6,FALSE)</f>
        <v>Amsterdam Zuidoost</v>
      </c>
      <c r="F297" s="78"/>
      <c r="G297" s="53" t="s">
        <v>564</v>
      </c>
      <c r="H297" s="53" t="s">
        <v>684</v>
      </c>
      <c r="I297" s="78" t="s">
        <v>428</v>
      </c>
      <c r="J297" s="53">
        <v>16</v>
      </c>
      <c r="K297" s="78" t="str">
        <f>VLOOKUP(J297,Ruimtegroepen[],2,FALSE)</f>
        <v>Leslokalen theorie</v>
      </c>
      <c r="L297" s="53" t="s">
        <v>291</v>
      </c>
      <c r="M297" s="53" t="s">
        <v>655</v>
      </c>
      <c r="N297" s="92">
        <v>84.32</v>
      </c>
      <c r="O297" s="92"/>
      <c r="P297" s="80" t="str">
        <f>LEFT(VLOOKUP(Ruimtestaat[[#This Row],[Ruimte code]],Ruimtegroepen[#All],4,1),2)</f>
        <v xml:space="preserve">L </v>
      </c>
      <c r="Q297" s="93"/>
      <c r="R297" s="81">
        <v>40</v>
      </c>
      <c r="S297" s="81" t="s">
        <v>298</v>
      </c>
      <c r="T297" s="82">
        <f>IF(R297&gt;0,IF(RIGHT(Ruimtestaat[[#This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7" s="82">
        <f>IF(T297&gt;0,VLOOKUP($J297,Ruimtegroepen[],3,FALSE)*VLOOKUP($L297,Vloersoorten[],3,FALSE)*VLOOKUP($S297,Frequenties[],3,FALSE)*VLOOKUP($A297,Locaties[],3,FALSE),0)</f>
        <v>0</v>
      </c>
      <c r="V297" s="83">
        <f>Ruimtestaat[[#This Row],[Uitvoeringen werkdagen]]*Ruimtestaat[[#This Row],[Oppervlak (netto)]]</f>
        <v>16864</v>
      </c>
      <c r="W297" s="84">
        <f>IF(U297&gt;0,Ruimtestaat[[#This Row],[Prest. (m2 /jaar) werkdagen]]/Ruimtestaat[[#This Row],[Norm (m2/uur) werkdagen]],0)</f>
        <v>0</v>
      </c>
      <c r="X297" s="85">
        <f>Ruimtestaat[[#This Row],[uren / jaar werkdagen]]*Tariefsopbouw!$E$35</f>
        <v>0</v>
      </c>
      <c r="Y297" s="82"/>
      <c r="Z297" s="86">
        <f>IF(Ruimtestaat[[#This Row],[Frequentie weekend]]&gt;0,VALUE(LEFT(Y297,1))*R297,0)</f>
        <v>0</v>
      </c>
      <c r="AA297" s="82">
        <f>IF($Z297&gt;0,VLOOKUP($J297,Ruimtegroepen[],3,FALSE)*VLOOKUP($L297,Vloersoorten[],3,FALSE)*VLOOKUP($Y297,Frequenties[],3,FALSE)*VLOOKUP($A293,Locaties[],3,FALSE),0)</f>
        <v>0</v>
      </c>
      <c r="AB297" s="84">
        <f>Ruimtestaat[[#This Row],[Uitvoeringen weekend]]*Ruimtestaat[[#This Row],[Oppervlak (netto)]]</f>
        <v>0</v>
      </c>
      <c r="AC297" s="87">
        <f>IF(AB297&gt;0,Ruimtestaat[[#This Row],[Prest. (m2 /jaar) weekend]]/Ruimtestaat[[#This Row],[Norm (m2/uur) weekend]],0)</f>
        <v>0</v>
      </c>
      <c r="AD297" s="88">
        <f>Ruimtestaat[[#This Row],[uren / jaar weekend]]*Tariefsopbouw!$D$40</f>
        <v>0</v>
      </c>
      <c r="AE297" s="89">
        <f>Ruimtestaat[[#This Row],[Prest. (m2 /jaar) weekend]]+Ruimtestaat[[#This Row],[Prest. (m2 /jaar) werkdagen]]</f>
        <v>16864</v>
      </c>
      <c r="AF297" s="89">
        <f>Ruimtestaat[[#This Row],[uren / jaar weekend]]+Ruimtestaat[[#This Row],[uren / jaar werkdagen]]</f>
        <v>0</v>
      </c>
      <c r="AG297" s="90">
        <f>Ruimtestaat[[#This Row],[kosten / jaar weekend]]+Ruimtestaat[[#This Row],[kosten / jaar werkdagen]]</f>
        <v>0</v>
      </c>
    </row>
    <row r="298" spans="1:33" ht="15" customHeight="1">
      <c r="A298" s="53">
        <v>2</v>
      </c>
      <c r="B298" s="53" t="str">
        <f>VLOOKUP(Ruimtestaat[[#This Row],[Code]],Locaties[#All],2,FALSE)</f>
        <v>Open Schoolgemeenschap Bijlmer</v>
      </c>
      <c r="C298" s="53" t="str">
        <f>VLOOKUP(Ruimtestaat[[#This Row],[Code]],Locaties[#All],4,FALSE)</f>
        <v>Gulden Kruis 5</v>
      </c>
      <c r="D298" s="53" t="str">
        <f>VLOOKUP(Ruimtestaat[[#This Row],[Code]],Locaties[#All],5,FALSE)</f>
        <v>1103 BE</v>
      </c>
      <c r="E298" s="53" t="str">
        <f>VLOOKUP(Ruimtestaat[[#This Row],[Code]],Locaties[#All],6,FALSE)</f>
        <v>Amsterdam Zuidoost</v>
      </c>
      <c r="F298" s="78"/>
      <c r="G298" s="53" t="s">
        <v>564</v>
      </c>
      <c r="H298" s="53" t="s">
        <v>685</v>
      </c>
      <c r="I298" s="78" t="s">
        <v>428</v>
      </c>
      <c r="J298" s="53">
        <v>16</v>
      </c>
      <c r="K298" s="78" t="str">
        <f>VLOOKUP(J298,Ruimtegroepen[],2,FALSE)</f>
        <v>Leslokalen theorie</v>
      </c>
      <c r="L298" s="53" t="s">
        <v>291</v>
      </c>
      <c r="M298" s="53" t="s">
        <v>655</v>
      </c>
      <c r="N298" s="92">
        <v>83.92</v>
      </c>
      <c r="O298" s="92"/>
      <c r="P298" s="80" t="str">
        <f>LEFT(VLOOKUP(Ruimtestaat[[#This Row],[Ruimte code]],Ruimtegroepen[#All],4,1),2)</f>
        <v xml:space="preserve">L </v>
      </c>
      <c r="Q298" s="93"/>
      <c r="R298" s="81">
        <v>40</v>
      </c>
      <c r="S298" s="81" t="s">
        <v>298</v>
      </c>
      <c r="T298" s="82">
        <f>IF(R298&gt;0,IF(RIGHT(Ruimtestaat[[#This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8" s="82">
        <f>IF(T298&gt;0,VLOOKUP($J298,Ruimtegroepen[],3,FALSE)*VLOOKUP($L298,Vloersoorten[],3,FALSE)*VLOOKUP($S298,Frequenties[],3,FALSE)*VLOOKUP($A298,Locaties[],3,FALSE),0)</f>
        <v>0</v>
      </c>
      <c r="V298" s="83">
        <f>Ruimtestaat[[#This Row],[Uitvoeringen werkdagen]]*Ruimtestaat[[#This Row],[Oppervlak (netto)]]</f>
        <v>16784</v>
      </c>
      <c r="W298" s="84">
        <f>IF(U298&gt;0,Ruimtestaat[[#This Row],[Prest. (m2 /jaar) werkdagen]]/Ruimtestaat[[#This Row],[Norm (m2/uur) werkdagen]],0)</f>
        <v>0</v>
      </c>
      <c r="X298" s="85">
        <f>Ruimtestaat[[#This Row],[uren / jaar werkdagen]]*Tariefsopbouw!$E$35</f>
        <v>0</v>
      </c>
      <c r="Y298" s="82"/>
      <c r="Z298" s="86">
        <f>IF(Ruimtestaat[[#This Row],[Frequentie weekend]]&gt;0,VALUE(LEFT(Y298,1))*R298,0)</f>
        <v>0</v>
      </c>
      <c r="AA298" s="82">
        <f>IF($Z298&gt;0,VLOOKUP($J298,Ruimtegroepen[],3,FALSE)*VLOOKUP($L298,Vloersoorten[],3,FALSE)*VLOOKUP($Y298,Frequenties[],3,FALSE)*VLOOKUP($A294,Locaties[],3,FALSE),0)</f>
        <v>0</v>
      </c>
      <c r="AB298" s="84">
        <f>Ruimtestaat[[#This Row],[Uitvoeringen weekend]]*Ruimtestaat[[#This Row],[Oppervlak (netto)]]</f>
        <v>0</v>
      </c>
      <c r="AC298" s="87">
        <f>IF(AB298&gt;0,Ruimtestaat[[#This Row],[Prest. (m2 /jaar) weekend]]/Ruimtestaat[[#This Row],[Norm (m2/uur) weekend]],0)</f>
        <v>0</v>
      </c>
      <c r="AD298" s="88">
        <f>Ruimtestaat[[#This Row],[uren / jaar weekend]]*Tariefsopbouw!$D$40</f>
        <v>0</v>
      </c>
      <c r="AE298" s="89">
        <f>Ruimtestaat[[#This Row],[Prest. (m2 /jaar) weekend]]+Ruimtestaat[[#This Row],[Prest. (m2 /jaar) werkdagen]]</f>
        <v>16784</v>
      </c>
      <c r="AF298" s="89">
        <f>Ruimtestaat[[#This Row],[uren / jaar weekend]]+Ruimtestaat[[#This Row],[uren / jaar werkdagen]]</f>
        <v>0</v>
      </c>
      <c r="AG298" s="90">
        <f>Ruimtestaat[[#This Row],[kosten / jaar weekend]]+Ruimtestaat[[#This Row],[kosten / jaar werkdagen]]</f>
        <v>0</v>
      </c>
    </row>
    <row r="299" spans="1:33" ht="15" customHeight="1">
      <c r="A299" s="53">
        <v>2</v>
      </c>
      <c r="B299" s="53" t="str">
        <f>VLOOKUP(Ruimtestaat[[#This Row],[Code]],Locaties[#All],2,FALSE)</f>
        <v>Open Schoolgemeenschap Bijlmer</v>
      </c>
      <c r="C299" s="53" t="str">
        <f>VLOOKUP(Ruimtestaat[[#This Row],[Code]],Locaties[#All],4,FALSE)</f>
        <v>Gulden Kruis 5</v>
      </c>
      <c r="D299" s="53" t="str">
        <f>VLOOKUP(Ruimtestaat[[#This Row],[Code]],Locaties[#All],5,FALSE)</f>
        <v>1103 BE</v>
      </c>
      <c r="E299" s="53" t="str">
        <f>VLOOKUP(Ruimtestaat[[#This Row],[Code]],Locaties[#All],6,FALSE)</f>
        <v>Amsterdam Zuidoost</v>
      </c>
      <c r="F299" s="78"/>
      <c r="G299" s="53" t="s">
        <v>564</v>
      </c>
      <c r="H299" s="53" t="s">
        <v>686</v>
      </c>
      <c r="I299" s="78" t="s">
        <v>456</v>
      </c>
      <c r="J299" s="53">
        <v>6</v>
      </c>
      <c r="K299" s="78" t="str">
        <f>VLOOKUP(J299,Ruimtegroepen[],2,FALSE)</f>
        <v>Gangen/hallen</v>
      </c>
      <c r="L299" s="53" t="s">
        <v>285</v>
      </c>
      <c r="M299" s="53" t="s">
        <v>580</v>
      </c>
      <c r="N299" s="92">
        <v>27.16</v>
      </c>
      <c r="O299" s="92"/>
      <c r="P299" s="80" t="str">
        <f>LEFT(VLOOKUP(Ruimtestaat[[#This Row],[Ruimte code]],Ruimtegroepen[#All],4,1),2)</f>
        <v xml:space="preserve">V </v>
      </c>
      <c r="Q299" s="93"/>
      <c r="R299" s="81">
        <v>40</v>
      </c>
      <c r="S299" s="81" t="s">
        <v>298</v>
      </c>
      <c r="T299" s="82">
        <f>IF(R299&gt;0,IF(RIGHT(Ruimtestaat[[#This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299" s="82">
        <f>IF(T299&gt;0,VLOOKUP($J299,Ruimtegroepen[],3,FALSE)*VLOOKUP($L299,Vloersoorten[],3,FALSE)*VLOOKUP($S299,Frequenties[],3,FALSE)*VLOOKUP($A299,Locaties[],3,FALSE),0)</f>
        <v>0</v>
      </c>
      <c r="V299" s="83">
        <f>Ruimtestaat[[#This Row],[Uitvoeringen werkdagen]]*Ruimtestaat[[#This Row],[Oppervlak (netto)]]</f>
        <v>5432</v>
      </c>
      <c r="W299" s="84">
        <f>IF(U299&gt;0,Ruimtestaat[[#This Row],[Prest. (m2 /jaar) werkdagen]]/Ruimtestaat[[#This Row],[Norm (m2/uur) werkdagen]],0)</f>
        <v>0</v>
      </c>
      <c r="X299" s="85">
        <f>Ruimtestaat[[#This Row],[uren / jaar werkdagen]]*Tariefsopbouw!$E$35</f>
        <v>0</v>
      </c>
      <c r="Y299" s="82"/>
      <c r="Z299" s="86">
        <f>IF(Ruimtestaat[[#This Row],[Frequentie weekend]]&gt;0,VALUE(LEFT(Y299,1))*R299,0)</f>
        <v>0</v>
      </c>
      <c r="AA299" s="82">
        <f>IF($Z299&gt;0,VLOOKUP($J299,Ruimtegroepen[],3,FALSE)*VLOOKUP($L299,Vloersoorten[],3,FALSE)*VLOOKUP($Y299,Frequenties[],3,FALSE)*VLOOKUP($A295,Locaties[],3,FALSE),0)</f>
        <v>0</v>
      </c>
      <c r="AB299" s="84">
        <f>Ruimtestaat[[#This Row],[Uitvoeringen weekend]]*Ruimtestaat[[#This Row],[Oppervlak (netto)]]</f>
        <v>0</v>
      </c>
      <c r="AC299" s="87">
        <f>IF(AB299&gt;0,Ruimtestaat[[#This Row],[Prest. (m2 /jaar) weekend]]/Ruimtestaat[[#This Row],[Norm (m2/uur) weekend]],0)</f>
        <v>0</v>
      </c>
      <c r="AD299" s="88">
        <f>Ruimtestaat[[#This Row],[uren / jaar weekend]]*Tariefsopbouw!$D$40</f>
        <v>0</v>
      </c>
      <c r="AE299" s="89">
        <f>Ruimtestaat[[#This Row],[Prest. (m2 /jaar) weekend]]+Ruimtestaat[[#This Row],[Prest. (m2 /jaar) werkdagen]]</f>
        <v>5432</v>
      </c>
      <c r="AF299" s="89">
        <f>Ruimtestaat[[#This Row],[uren / jaar weekend]]+Ruimtestaat[[#This Row],[uren / jaar werkdagen]]</f>
        <v>0</v>
      </c>
      <c r="AG299" s="90">
        <f>Ruimtestaat[[#This Row],[kosten / jaar weekend]]+Ruimtestaat[[#This Row],[kosten / jaar werkdagen]]</f>
        <v>0</v>
      </c>
    </row>
    <row r="300" spans="1:33" ht="15" customHeight="1">
      <c r="A300" s="53">
        <v>2</v>
      </c>
      <c r="B300" s="53" t="str">
        <f>VLOOKUP(Ruimtestaat[[#This Row],[Code]],Locaties[#All],2,FALSE)</f>
        <v>Open Schoolgemeenschap Bijlmer</v>
      </c>
      <c r="C300" s="53" t="str">
        <f>VLOOKUP(Ruimtestaat[[#This Row],[Code]],Locaties[#All],4,FALSE)</f>
        <v>Gulden Kruis 5</v>
      </c>
      <c r="D300" s="53" t="str">
        <f>VLOOKUP(Ruimtestaat[[#This Row],[Code]],Locaties[#All],5,FALSE)</f>
        <v>1103 BE</v>
      </c>
      <c r="E300" s="53" t="str">
        <f>VLOOKUP(Ruimtestaat[[#This Row],[Code]],Locaties[#All],6,FALSE)</f>
        <v>Amsterdam Zuidoost</v>
      </c>
      <c r="F300" s="78"/>
      <c r="G300" s="53" t="s">
        <v>564</v>
      </c>
      <c r="H300" s="53" t="s">
        <v>687</v>
      </c>
      <c r="I300" s="78" t="s">
        <v>579</v>
      </c>
      <c r="J300" s="53">
        <v>5</v>
      </c>
      <c r="K300" s="78" t="str">
        <f>VLOOKUP(J300,Ruimtegroepen[],2,FALSE)</f>
        <v>Sanitair</v>
      </c>
      <c r="L300" s="53" t="s">
        <v>285</v>
      </c>
      <c r="M300" s="53" t="s">
        <v>580</v>
      </c>
      <c r="N300" s="92">
        <v>3.6</v>
      </c>
      <c r="O300" s="92"/>
      <c r="P300" s="80" t="str">
        <f>LEFT(VLOOKUP(Ruimtestaat[[#This Row],[Ruimte code]],Ruimtegroepen[#All],4,1),2)</f>
        <v xml:space="preserve">S </v>
      </c>
      <c r="Q300" s="93"/>
      <c r="R300" s="81">
        <v>40</v>
      </c>
      <c r="S300" s="81" t="s">
        <v>296</v>
      </c>
      <c r="T300" s="82">
        <f>IF(R300&gt;0,IF(RIGHT(Ruimtestaat[[#This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00" s="82">
        <f>IF(T300&gt;0,VLOOKUP($J300,Ruimtegroepen[],3,FALSE)*VLOOKUP($L300,Vloersoorten[],3,FALSE)*VLOOKUP($S300,Frequenties[],3,FALSE)*VLOOKUP($A300,Locaties[],3,FALSE),0)</f>
        <v>0</v>
      </c>
      <c r="V300" s="83">
        <f>Ruimtestaat[[#This Row],[Uitvoeringen werkdagen]]*Ruimtestaat[[#This Row],[Oppervlak (netto)]]</f>
        <v>1440</v>
      </c>
      <c r="W300" s="84">
        <f>IF(U300&gt;0,Ruimtestaat[[#This Row],[Prest. (m2 /jaar) werkdagen]]/Ruimtestaat[[#This Row],[Norm (m2/uur) werkdagen]],0)</f>
        <v>0</v>
      </c>
      <c r="X300" s="85">
        <f>Ruimtestaat[[#This Row],[uren / jaar werkdagen]]*Tariefsopbouw!$E$35</f>
        <v>0</v>
      </c>
      <c r="Y300" s="82"/>
      <c r="Z300" s="86">
        <f>IF(Ruimtestaat[[#This Row],[Frequentie weekend]]&gt;0,VALUE(LEFT(Y300,1))*R300,0)</f>
        <v>0</v>
      </c>
      <c r="AA300" s="82">
        <f>IF($Z300&gt;0,VLOOKUP($J300,Ruimtegroepen[],3,FALSE)*VLOOKUP($L300,Vloersoorten[],3,FALSE)*VLOOKUP($Y300,Frequenties[],3,FALSE)*VLOOKUP($A296,Locaties[],3,FALSE),0)</f>
        <v>0</v>
      </c>
      <c r="AB300" s="84">
        <f>Ruimtestaat[[#This Row],[Uitvoeringen weekend]]*Ruimtestaat[[#This Row],[Oppervlak (netto)]]</f>
        <v>0</v>
      </c>
      <c r="AC300" s="87">
        <f>IF(AB300&gt;0,Ruimtestaat[[#This Row],[Prest. (m2 /jaar) weekend]]/Ruimtestaat[[#This Row],[Norm (m2/uur) weekend]],0)</f>
        <v>0</v>
      </c>
      <c r="AD300" s="88">
        <f>Ruimtestaat[[#This Row],[uren / jaar weekend]]*Tariefsopbouw!$D$40</f>
        <v>0</v>
      </c>
      <c r="AE300" s="89">
        <f>Ruimtestaat[[#This Row],[Prest. (m2 /jaar) weekend]]+Ruimtestaat[[#This Row],[Prest. (m2 /jaar) werkdagen]]</f>
        <v>1440</v>
      </c>
      <c r="AF300" s="89">
        <f>Ruimtestaat[[#This Row],[uren / jaar weekend]]+Ruimtestaat[[#This Row],[uren / jaar werkdagen]]</f>
        <v>0</v>
      </c>
      <c r="AG300" s="90">
        <f>Ruimtestaat[[#This Row],[kosten / jaar weekend]]+Ruimtestaat[[#This Row],[kosten / jaar werkdagen]]</f>
        <v>0</v>
      </c>
    </row>
    <row r="301" spans="1:33" ht="15" customHeight="1">
      <c r="A301" s="53">
        <v>2</v>
      </c>
      <c r="B301" s="53" t="str">
        <f>VLOOKUP(Ruimtestaat[[#This Row],[Code]],Locaties[#All],2,FALSE)</f>
        <v>Open Schoolgemeenschap Bijlmer</v>
      </c>
      <c r="C301" s="53" t="str">
        <f>VLOOKUP(Ruimtestaat[[#This Row],[Code]],Locaties[#All],4,FALSE)</f>
        <v>Gulden Kruis 5</v>
      </c>
      <c r="D301" s="53" t="str">
        <f>VLOOKUP(Ruimtestaat[[#This Row],[Code]],Locaties[#All],5,FALSE)</f>
        <v>1103 BE</v>
      </c>
      <c r="E301" s="53" t="str">
        <f>VLOOKUP(Ruimtestaat[[#This Row],[Code]],Locaties[#All],6,FALSE)</f>
        <v>Amsterdam Zuidoost</v>
      </c>
      <c r="F301" s="78"/>
      <c r="G301" s="53" t="s">
        <v>564</v>
      </c>
      <c r="H301" s="53" t="s">
        <v>688</v>
      </c>
      <c r="I301" s="78" t="s">
        <v>579</v>
      </c>
      <c r="J301" s="53">
        <v>5</v>
      </c>
      <c r="K301" s="78" t="str">
        <f>VLOOKUP(J301,Ruimtegroepen[],2,FALSE)</f>
        <v>Sanitair</v>
      </c>
      <c r="L301" s="53" t="s">
        <v>285</v>
      </c>
      <c r="M301" s="53" t="s">
        <v>580</v>
      </c>
      <c r="N301" s="92">
        <v>3.6</v>
      </c>
      <c r="O301" s="92"/>
      <c r="P301" s="80" t="str">
        <f>LEFT(VLOOKUP(Ruimtestaat[[#This Row],[Ruimte code]],Ruimtegroepen[#All],4,1),2)</f>
        <v xml:space="preserve">S </v>
      </c>
      <c r="Q301" s="93"/>
      <c r="R301" s="81">
        <v>40</v>
      </c>
      <c r="S301" s="81" t="s">
        <v>296</v>
      </c>
      <c r="T301" s="82">
        <f>IF(R301&gt;0,IF(RIGHT(Ruimtestaat[[#This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01" s="82">
        <f>IF(T301&gt;0,VLOOKUP($J301,Ruimtegroepen[],3,FALSE)*VLOOKUP($L301,Vloersoorten[],3,FALSE)*VLOOKUP($S301,Frequenties[],3,FALSE)*VLOOKUP($A301,Locaties[],3,FALSE),0)</f>
        <v>0</v>
      </c>
      <c r="V301" s="83">
        <f>Ruimtestaat[[#This Row],[Uitvoeringen werkdagen]]*Ruimtestaat[[#This Row],[Oppervlak (netto)]]</f>
        <v>1440</v>
      </c>
      <c r="W301" s="84">
        <f>IF(U301&gt;0,Ruimtestaat[[#This Row],[Prest. (m2 /jaar) werkdagen]]/Ruimtestaat[[#This Row],[Norm (m2/uur) werkdagen]],0)</f>
        <v>0</v>
      </c>
      <c r="X301" s="85">
        <f>Ruimtestaat[[#This Row],[uren / jaar werkdagen]]*Tariefsopbouw!$E$35</f>
        <v>0</v>
      </c>
      <c r="Y301" s="82"/>
      <c r="Z301" s="86">
        <f>IF(Ruimtestaat[[#This Row],[Frequentie weekend]]&gt;0,VALUE(LEFT(Y301,1))*R301,0)</f>
        <v>0</v>
      </c>
      <c r="AA301" s="82">
        <f>IF($Z301&gt;0,VLOOKUP($J301,Ruimtegroepen[],3,FALSE)*VLOOKUP($L301,Vloersoorten[],3,FALSE)*VLOOKUP($Y301,Frequenties[],3,FALSE)*VLOOKUP($A297,Locaties[],3,FALSE),0)</f>
        <v>0</v>
      </c>
      <c r="AB301" s="84">
        <f>Ruimtestaat[[#This Row],[Uitvoeringen weekend]]*Ruimtestaat[[#This Row],[Oppervlak (netto)]]</f>
        <v>0</v>
      </c>
      <c r="AC301" s="87">
        <f>IF(AB301&gt;0,Ruimtestaat[[#This Row],[Prest. (m2 /jaar) weekend]]/Ruimtestaat[[#This Row],[Norm (m2/uur) weekend]],0)</f>
        <v>0</v>
      </c>
      <c r="AD301" s="88">
        <f>Ruimtestaat[[#This Row],[uren / jaar weekend]]*Tariefsopbouw!$D$40</f>
        <v>0</v>
      </c>
      <c r="AE301" s="89">
        <f>Ruimtestaat[[#This Row],[Prest. (m2 /jaar) weekend]]+Ruimtestaat[[#This Row],[Prest. (m2 /jaar) werkdagen]]</f>
        <v>1440</v>
      </c>
      <c r="AF301" s="89">
        <f>Ruimtestaat[[#This Row],[uren / jaar weekend]]+Ruimtestaat[[#This Row],[uren / jaar werkdagen]]</f>
        <v>0</v>
      </c>
      <c r="AG301" s="90">
        <f>Ruimtestaat[[#This Row],[kosten / jaar weekend]]+Ruimtestaat[[#This Row],[kosten / jaar werkdagen]]</f>
        <v>0</v>
      </c>
    </row>
    <row r="302" spans="1:33" ht="15" customHeight="1">
      <c r="A302" s="53">
        <v>2</v>
      </c>
      <c r="B302" s="53" t="str">
        <f>VLOOKUP(Ruimtestaat[[#This Row],[Code]],Locaties[#All],2,FALSE)</f>
        <v>Open Schoolgemeenschap Bijlmer</v>
      </c>
      <c r="C302" s="53" t="str">
        <f>VLOOKUP(Ruimtestaat[[#This Row],[Code]],Locaties[#All],4,FALSE)</f>
        <v>Gulden Kruis 5</v>
      </c>
      <c r="D302" s="53" t="str">
        <f>VLOOKUP(Ruimtestaat[[#This Row],[Code]],Locaties[#All],5,FALSE)</f>
        <v>1103 BE</v>
      </c>
      <c r="E302" s="53" t="str">
        <f>VLOOKUP(Ruimtestaat[[#This Row],[Code]],Locaties[#All],6,FALSE)</f>
        <v>Amsterdam Zuidoost</v>
      </c>
      <c r="F302" s="78"/>
      <c r="G302" s="53" t="s">
        <v>564</v>
      </c>
      <c r="H302" s="53" t="s">
        <v>689</v>
      </c>
      <c r="I302" s="78" t="s">
        <v>579</v>
      </c>
      <c r="J302" s="53">
        <v>5</v>
      </c>
      <c r="K302" s="78" t="str">
        <f>VLOOKUP(J302,Ruimtegroepen[],2,FALSE)</f>
        <v>Sanitair</v>
      </c>
      <c r="L302" s="53" t="s">
        <v>285</v>
      </c>
      <c r="M302" s="53" t="s">
        <v>580</v>
      </c>
      <c r="N302" s="92">
        <v>3.6</v>
      </c>
      <c r="O302" s="92"/>
      <c r="P302" s="80" t="str">
        <f>LEFT(VLOOKUP(Ruimtestaat[[#This Row],[Ruimte code]],Ruimtegroepen[#All],4,1),2)</f>
        <v xml:space="preserve">S </v>
      </c>
      <c r="Q302" s="93"/>
      <c r="R302" s="81">
        <v>40</v>
      </c>
      <c r="S302" s="81" t="s">
        <v>296</v>
      </c>
      <c r="T302" s="82">
        <f>IF(R302&gt;0,IF(RIGHT(Ruimtestaat[[#This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02" s="82">
        <f>IF(T302&gt;0,VLOOKUP($J302,Ruimtegroepen[],3,FALSE)*VLOOKUP($L302,Vloersoorten[],3,FALSE)*VLOOKUP($S302,Frequenties[],3,FALSE)*VLOOKUP($A302,Locaties[],3,FALSE),0)</f>
        <v>0</v>
      </c>
      <c r="V302" s="83">
        <f>Ruimtestaat[[#This Row],[Uitvoeringen werkdagen]]*Ruimtestaat[[#This Row],[Oppervlak (netto)]]</f>
        <v>1440</v>
      </c>
      <c r="W302" s="84">
        <f>IF(U302&gt;0,Ruimtestaat[[#This Row],[Prest. (m2 /jaar) werkdagen]]/Ruimtestaat[[#This Row],[Norm (m2/uur) werkdagen]],0)</f>
        <v>0</v>
      </c>
      <c r="X302" s="85">
        <f>Ruimtestaat[[#This Row],[uren / jaar werkdagen]]*Tariefsopbouw!$E$35</f>
        <v>0</v>
      </c>
      <c r="Y302" s="82"/>
      <c r="Z302" s="86">
        <f>IF(Ruimtestaat[[#This Row],[Frequentie weekend]]&gt;0,VALUE(LEFT(Y302,1))*R302,0)</f>
        <v>0</v>
      </c>
      <c r="AA302" s="82">
        <f>IF($Z302&gt;0,VLOOKUP($J302,Ruimtegroepen[],3,FALSE)*VLOOKUP($L302,Vloersoorten[],3,FALSE)*VLOOKUP($Y302,Frequenties[],3,FALSE)*VLOOKUP($A298,Locaties[],3,FALSE),0)</f>
        <v>0</v>
      </c>
      <c r="AB302" s="84">
        <f>Ruimtestaat[[#This Row],[Uitvoeringen weekend]]*Ruimtestaat[[#This Row],[Oppervlak (netto)]]</f>
        <v>0</v>
      </c>
      <c r="AC302" s="87">
        <f>IF(AB302&gt;0,Ruimtestaat[[#This Row],[Prest. (m2 /jaar) weekend]]/Ruimtestaat[[#This Row],[Norm (m2/uur) weekend]],0)</f>
        <v>0</v>
      </c>
      <c r="AD302" s="88">
        <f>Ruimtestaat[[#This Row],[uren / jaar weekend]]*Tariefsopbouw!$D$40</f>
        <v>0</v>
      </c>
      <c r="AE302" s="89">
        <f>Ruimtestaat[[#This Row],[Prest. (m2 /jaar) weekend]]+Ruimtestaat[[#This Row],[Prest. (m2 /jaar) werkdagen]]</f>
        <v>1440</v>
      </c>
      <c r="AF302" s="89">
        <f>Ruimtestaat[[#This Row],[uren / jaar weekend]]+Ruimtestaat[[#This Row],[uren / jaar werkdagen]]</f>
        <v>0</v>
      </c>
      <c r="AG302" s="90">
        <f>Ruimtestaat[[#This Row],[kosten / jaar weekend]]+Ruimtestaat[[#This Row],[kosten / jaar werkdagen]]</f>
        <v>0</v>
      </c>
    </row>
    <row r="303" spans="1:33" ht="15" customHeight="1">
      <c r="A303" s="53">
        <v>2</v>
      </c>
      <c r="B303" s="53" t="str">
        <f>VLOOKUP(Ruimtestaat[[#This Row],[Code]],Locaties[#All],2,FALSE)</f>
        <v>Open Schoolgemeenschap Bijlmer</v>
      </c>
      <c r="C303" s="53" t="str">
        <f>VLOOKUP(Ruimtestaat[[#This Row],[Code]],Locaties[#All],4,FALSE)</f>
        <v>Gulden Kruis 5</v>
      </c>
      <c r="D303" s="53" t="str">
        <f>VLOOKUP(Ruimtestaat[[#This Row],[Code]],Locaties[#All],5,FALSE)</f>
        <v>1103 BE</v>
      </c>
      <c r="E303" s="53" t="str">
        <f>VLOOKUP(Ruimtestaat[[#This Row],[Code]],Locaties[#All],6,FALSE)</f>
        <v>Amsterdam Zuidoost</v>
      </c>
      <c r="F303" s="78"/>
      <c r="G303" s="53" t="s">
        <v>564</v>
      </c>
      <c r="H303" s="53" t="s">
        <v>690</v>
      </c>
      <c r="I303" s="78" t="s">
        <v>579</v>
      </c>
      <c r="J303" s="53">
        <v>5</v>
      </c>
      <c r="K303" s="78" t="str">
        <f>VLOOKUP(J303,Ruimtegroepen[],2,FALSE)</f>
        <v>Sanitair</v>
      </c>
      <c r="L303" s="53" t="s">
        <v>285</v>
      </c>
      <c r="M303" s="53" t="s">
        <v>580</v>
      </c>
      <c r="N303" s="92">
        <v>3.6</v>
      </c>
      <c r="O303" s="92"/>
      <c r="P303" s="80" t="str">
        <f>LEFT(VLOOKUP(Ruimtestaat[[#This Row],[Ruimte code]],Ruimtegroepen[#All],4,1),2)</f>
        <v xml:space="preserve">S </v>
      </c>
      <c r="Q303" s="93"/>
      <c r="R303" s="81">
        <v>40</v>
      </c>
      <c r="S303" s="81" t="s">
        <v>296</v>
      </c>
      <c r="T303" s="82">
        <f>IF(R303&gt;0,IF(RIGHT(Ruimtestaat[[#This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03" s="82">
        <f>IF(T303&gt;0,VLOOKUP($J303,Ruimtegroepen[],3,FALSE)*VLOOKUP($L303,Vloersoorten[],3,FALSE)*VLOOKUP($S303,Frequenties[],3,FALSE)*VLOOKUP($A303,Locaties[],3,FALSE),0)</f>
        <v>0</v>
      </c>
      <c r="V303" s="83">
        <f>Ruimtestaat[[#This Row],[Uitvoeringen werkdagen]]*Ruimtestaat[[#This Row],[Oppervlak (netto)]]</f>
        <v>1440</v>
      </c>
      <c r="W303" s="84">
        <f>IF(U303&gt;0,Ruimtestaat[[#This Row],[Prest. (m2 /jaar) werkdagen]]/Ruimtestaat[[#This Row],[Norm (m2/uur) werkdagen]],0)</f>
        <v>0</v>
      </c>
      <c r="X303" s="85">
        <f>Ruimtestaat[[#This Row],[uren / jaar werkdagen]]*Tariefsopbouw!$E$35</f>
        <v>0</v>
      </c>
      <c r="Y303" s="82"/>
      <c r="Z303" s="86">
        <f>IF(Ruimtestaat[[#This Row],[Frequentie weekend]]&gt;0,VALUE(LEFT(Y303,1))*R303,0)</f>
        <v>0</v>
      </c>
      <c r="AA303" s="82">
        <f>IF($Z303&gt;0,VLOOKUP($J303,Ruimtegroepen[],3,FALSE)*VLOOKUP($L303,Vloersoorten[],3,FALSE)*VLOOKUP($Y303,Frequenties[],3,FALSE)*VLOOKUP($A299,Locaties[],3,FALSE),0)</f>
        <v>0</v>
      </c>
      <c r="AB303" s="84">
        <f>Ruimtestaat[[#This Row],[Uitvoeringen weekend]]*Ruimtestaat[[#This Row],[Oppervlak (netto)]]</f>
        <v>0</v>
      </c>
      <c r="AC303" s="87">
        <f>IF(AB303&gt;0,Ruimtestaat[[#This Row],[Prest. (m2 /jaar) weekend]]/Ruimtestaat[[#This Row],[Norm (m2/uur) weekend]],0)</f>
        <v>0</v>
      </c>
      <c r="AD303" s="88">
        <f>Ruimtestaat[[#This Row],[uren / jaar weekend]]*Tariefsopbouw!$D$40</f>
        <v>0</v>
      </c>
      <c r="AE303" s="89">
        <f>Ruimtestaat[[#This Row],[Prest. (m2 /jaar) weekend]]+Ruimtestaat[[#This Row],[Prest. (m2 /jaar) werkdagen]]</f>
        <v>1440</v>
      </c>
      <c r="AF303" s="89">
        <f>Ruimtestaat[[#This Row],[uren / jaar weekend]]+Ruimtestaat[[#This Row],[uren / jaar werkdagen]]</f>
        <v>0</v>
      </c>
      <c r="AG303" s="90">
        <f>Ruimtestaat[[#This Row],[kosten / jaar weekend]]+Ruimtestaat[[#This Row],[kosten / jaar werkdagen]]</f>
        <v>0</v>
      </c>
    </row>
    <row r="304" spans="1:33" ht="15" customHeight="1">
      <c r="A304" s="53">
        <v>2</v>
      </c>
      <c r="B304" s="53" t="str">
        <f>VLOOKUP(Ruimtestaat[[#This Row],[Code]],Locaties[#All],2,FALSE)</f>
        <v>Open Schoolgemeenschap Bijlmer</v>
      </c>
      <c r="C304" s="53" t="str">
        <f>VLOOKUP(Ruimtestaat[[#This Row],[Code]],Locaties[#All],4,FALSE)</f>
        <v>Gulden Kruis 5</v>
      </c>
      <c r="D304" s="53" t="str">
        <f>VLOOKUP(Ruimtestaat[[#This Row],[Code]],Locaties[#All],5,FALSE)</f>
        <v>1103 BE</v>
      </c>
      <c r="E304" s="53" t="str">
        <f>VLOOKUP(Ruimtestaat[[#This Row],[Code]],Locaties[#All],6,FALSE)</f>
        <v>Amsterdam Zuidoost</v>
      </c>
      <c r="F304" s="78"/>
      <c r="G304" s="53" t="s">
        <v>564</v>
      </c>
      <c r="H304" s="53" t="s">
        <v>691</v>
      </c>
      <c r="I304" s="78" t="s">
        <v>378</v>
      </c>
      <c r="J304" s="53">
        <v>10</v>
      </c>
      <c r="K304" s="78" t="str">
        <f>VLOOKUP(J304,Ruimtegroepen[],2,FALSE)</f>
        <v>Trappenhuizen/lift</v>
      </c>
      <c r="L304" s="53" t="s">
        <v>285</v>
      </c>
      <c r="M304" s="53" t="s">
        <v>597</v>
      </c>
      <c r="N304" s="92">
        <v>12.01</v>
      </c>
      <c r="O304" s="92"/>
      <c r="P304" s="80" t="str">
        <f>LEFT(VLOOKUP(Ruimtestaat[[#This Row],[Ruimte code]],Ruimtegroepen[#All],4,1),2)</f>
        <v xml:space="preserve">V </v>
      </c>
      <c r="Q304" s="93"/>
      <c r="R304" s="81">
        <v>40</v>
      </c>
      <c r="S304" s="81" t="s">
        <v>298</v>
      </c>
      <c r="T304" s="82">
        <f>IF(R304&gt;0,IF(RIGHT(Ruimtestaat[[#This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4" s="82">
        <f>IF(T304&gt;0,VLOOKUP($J304,Ruimtegroepen[],3,FALSE)*VLOOKUP($L304,Vloersoorten[],3,FALSE)*VLOOKUP($S304,Frequenties[],3,FALSE)*VLOOKUP($A304,Locaties[],3,FALSE),0)</f>
        <v>0</v>
      </c>
      <c r="V304" s="83">
        <f>Ruimtestaat[[#This Row],[Uitvoeringen werkdagen]]*Ruimtestaat[[#This Row],[Oppervlak (netto)]]</f>
        <v>2402</v>
      </c>
      <c r="W304" s="84">
        <f>IF(U304&gt;0,Ruimtestaat[[#This Row],[Prest. (m2 /jaar) werkdagen]]/Ruimtestaat[[#This Row],[Norm (m2/uur) werkdagen]],0)</f>
        <v>0</v>
      </c>
      <c r="X304" s="85">
        <f>Ruimtestaat[[#This Row],[uren / jaar werkdagen]]*Tariefsopbouw!$E$35</f>
        <v>0</v>
      </c>
      <c r="Y304" s="82"/>
      <c r="Z304" s="86">
        <f>IF(Ruimtestaat[[#This Row],[Frequentie weekend]]&gt;0,VALUE(LEFT(Y304,1))*R304,0)</f>
        <v>0</v>
      </c>
      <c r="AA304" s="82">
        <f>IF($Z304&gt;0,VLOOKUP($J304,Ruimtegroepen[],3,FALSE)*VLOOKUP($L304,Vloersoorten[],3,FALSE)*VLOOKUP($Y304,Frequenties[],3,FALSE)*VLOOKUP($A300,Locaties[],3,FALSE),0)</f>
        <v>0</v>
      </c>
      <c r="AB304" s="84">
        <f>Ruimtestaat[[#This Row],[Uitvoeringen weekend]]*Ruimtestaat[[#This Row],[Oppervlak (netto)]]</f>
        <v>0</v>
      </c>
      <c r="AC304" s="87">
        <f>IF(AB304&gt;0,Ruimtestaat[[#This Row],[Prest. (m2 /jaar) weekend]]/Ruimtestaat[[#This Row],[Norm (m2/uur) weekend]],0)</f>
        <v>0</v>
      </c>
      <c r="AD304" s="88">
        <f>Ruimtestaat[[#This Row],[uren / jaar weekend]]*Tariefsopbouw!$D$40</f>
        <v>0</v>
      </c>
      <c r="AE304" s="89">
        <f>Ruimtestaat[[#This Row],[Prest. (m2 /jaar) weekend]]+Ruimtestaat[[#This Row],[Prest. (m2 /jaar) werkdagen]]</f>
        <v>2402</v>
      </c>
      <c r="AF304" s="89">
        <f>Ruimtestaat[[#This Row],[uren / jaar weekend]]+Ruimtestaat[[#This Row],[uren / jaar werkdagen]]</f>
        <v>0</v>
      </c>
      <c r="AG304" s="90">
        <f>Ruimtestaat[[#This Row],[kosten / jaar weekend]]+Ruimtestaat[[#This Row],[kosten / jaar werkdagen]]</f>
        <v>0</v>
      </c>
    </row>
    <row r="305" spans="1:33" ht="15" customHeight="1">
      <c r="A305" s="53">
        <v>2</v>
      </c>
      <c r="B305" s="53" t="str">
        <f>VLOOKUP(Ruimtestaat[[#This Row],[Code]],Locaties[#All],2,FALSE)</f>
        <v>Open Schoolgemeenschap Bijlmer</v>
      </c>
      <c r="C305" s="53" t="str">
        <f>VLOOKUP(Ruimtestaat[[#This Row],[Code]],Locaties[#All],4,FALSE)</f>
        <v>Gulden Kruis 5</v>
      </c>
      <c r="D305" s="53" t="str">
        <f>VLOOKUP(Ruimtestaat[[#This Row],[Code]],Locaties[#All],5,FALSE)</f>
        <v>1103 BE</v>
      </c>
      <c r="E305" s="53" t="str">
        <f>VLOOKUP(Ruimtestaat[[#This Row],[Code]],Locaties[#All],6,FALSE)</f>
        <v>Amsterdam Zuidoost</v>
      </c>
      <c r="F305" s="78"/>
      <c r="G305" s="53" t="s">
        <v>564</v>
      </c>
      <c r="H305" s="53" t="s">
        <v>692</v>
      </c>
      <c r="I305" s="78" t="s">
        <v>378</v>
      </c>
      <c r="J305" s="53">
        <v>10</v>
      </c>
      <c r="K305" s="78" t="str">
        <f>VLOOKUP(J305,Ruimtegroepen[],2,FALSE)</f>
        <v>Trappenhuizen/lift</v>
      </c>
      <c r="L305" s="53" t="s">
        <v>285</v>
      </c>
      <c r="M305" s="53" t="s">
        <v>597</v>
      </c>
      <c r="N305" s="92">
        <v>12.01</v>
      </c>
      <c r="O305" s="92"/>
      <c r="P305" s="80" t="str">
        <f>LEFT(VLOOKUP(Ruimtestaat[[#This Row],[Ruimte code]],Ruimtegroepen[#All],4,1),2)</f>
        <v xml:space="preserve">V </v>
      </c>
      <c r="Q305" s="93"/>
      <c r="R305" s="81">
        <v>40</v>
      </c>
      <c r="S305" s="81" t="s">
        <v>298</v>
      </c>
      <c r="T305" s="82">
        <f>IF(R305&gt;0,IF(RIGHT(Ruimtestaat[[#This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5" s="82">
        <f>IF(T305&gt;0,VLOOKUP($J305,Ruimtegroepen[],3,FALSE)*VLOOKUP($L305,Vloersoorten[],3,FALSE)*VLOOKUP($S305,Frequenties[],3,FALSE)*VLOOKUP($A305,Locaties[],3,FALSE),0)</f>
        <v>0</v>
      </c>
      <c r="V305" s="83">
        <f>Ruimtestaat[[#This Row],[Uitvoeringen werkdagen]]*Ruimtestaat[[#This Row],[Oppervlak (netto)]]</f>
        <v>2402</v>
      </c>
      <c r="W305" s="84">
        <f>IF(U305&gt;0,Ruimtestaat[[#This Row],[Prest. (m2 /jaar) werkdagen]]/Ruimtestaat[[#This Row],[Norm (m2/uur) werkdagen]],0)</f>
        <v>0</v>
      </c>
      <c r="X305" s="85">
        <f>Ruimtestaat[[#This Row],[uren / jaar werkdagen]]*Tariefsopbouw!$E$35</f>
        <v>0</v>
      </c>
      <c r="Y305" s="82"/>
      <c r="Z305" s="86">
        <f>IF(Ruimtestaat[[#This Row],[Frequentie weekend]]&gt;0,VALUE(LEFT(Y305,1))*R305,0)</f>
        <v>0</v>
      </c>
      <c r="AA305" s="82">
        <f>IF($Z305&gt;0,VLOOKUP($J305,Ruimtegroepen[],3,FALSE)*VLOOKUP($L305,Vloersoorten[],3,FALSE)*VLOOKUP($Y305,Frequenties[],3,FALSE)*VLOOKUP($A301,Locaties[],3,FALSE),0)</f>
        <v>0</v>
      </c>
      <c r="AB305" s="84">
        <f>Ruimtestaat[[#This Row],[Uitvoeringen weekend]]*Ruimtestaat[[#This Row],[Oppervlak (netto)]]</f>
        <v>0</v>
      </c>
      <c r="AC305" s="87">
        <f>IF(AB305&gt;0,Ruimtestaat[[#This Row],[Prest. (m2 /jaar) weekend]]/Ruimtestaat[[#This Row],[Norm (m2/uur) weekend]],0)</f>
        <v>0</v>
      </c>
      <c r="AD305" s="88">
        <f>Ruimtestaat[[#This Row],[uren / jaar weekend]]*Tariefsopbouw!$D$40</f>
        <v>0</v>
      </c>
      <c r="AE305" s="89">
        <f>Ruimtestaat[[#This Row],[Prest. (m2 /jaar) weekend]]+Ruimtestaat[[#This Row],[Prest. (m2 /jaar) werkdagen]]</f>
        <v>2402</v>
      </c>
      <c r="AF305" s="89">
        <f>Ruimtestaat[[#This Row],[uren / jaar weekend]]+Ruimtestaat[[#This Row],[uren / jaar werkdagen]]</f>
        <v>0</v>
      </c>
      <c r="AG305" s="90">
        <f>Ruimtestaat[[#This Row],[kosten / jaar weekend]]+Ruimtestaat[[#This Row],[kosten / jaar werkdagen]]</f>
        <v>0</v>
      </c>
    </row>
    <row r="306" spans="1:33" ht="15" customHeight="1">
      <c r="A306" s="53">
        <v>2</v>
      </c>
      <c r="B306" s="53" t="str">
        <f>VLOOKUP(Ruimtestaat[[#This Row],[Code]],Locaties[#All],2,FALSE)</f>
        <v>Open Schoolgemeenschap Bijlmer</v>
      </c>
      <c r="C306" s="53" t="str">
        <f>VLOOKUP(Ruimtestaat[[#This Row],[Code]],Locaties[#All],4,FALSE)</f>
        <v>Gulden Kruis 5</v>
      </c>
      <c r="D306" s="53" t="str">
        <f>VLOOKUP(Ruimtestaat[[#This Row],[Code]],Locaties[#All],5,FALSE)</f>
        <v>1103 BE</v>
      </c>
      <c r="E306" s="53" t="str">
        <f>VLOOKUP(Ruimtestaat[[#This Row],[Code]],Locaties[#All],6,FALSE)</f>
        <v>Amsterdam Zuidoost</v>
      </c>
      <c r="F306" s="78"/>
      <c r="G306" s="53" t="s">
        <v>564</v>
      </c>
      <c r="H306" s="53" t="s">
        <v>693</v>
      </c>
      <c r="I306" s="78" t="s">
        <v>456</v>
      </c>
      <c r="J306" s="53">
        <v>6</v>
      </c>
      <c r="K306" s="78" t="str">
        <f>VLOOKUP(J306,Ruimtegroepen[],2,FALSE)</f>
        <v>Gangen/hallen</v>
      </c>
      <c r="L306" s="53" t="s">
        <v>285</v>
      </c>
      <c r="M306" s="53" t="s">
        <v>580</v>
      </c>
      <c r="N306" s="92">
        <v>27.16</v>
      </c>
      <c r="O306" s="92"/>
      <c r="P306" s="80" t="str">
        <f>LEFT(VLOOKUP(Ruimtestaat[[#This Row],[Ruimte code]],Ruimtegroepen[#All],4,1),2)</f>
        <v xml:space="preserve">V </v>
      </c>
      <c r="Q306" s="93"/>
      <c r="R306" s="81">
        <v>40</v>
      </c>
      <c r="S306" s="81" t="s">
        <v>298</v>
      </c>
      <c r="T306" s="82">
        <f>IF(R306&gt;0,IF(RIGHT(Ruimtestaat[[#This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6" s="82">
        <f>IF(T306&gt;0,VLOOKUP($J306,Ruimtegroepen[],3,FALSE)*VLOOKUP($L306,Vloersoorten[],3,FALSE)*VLOOKUP($S306,Frequenties[],3,FALSE)*VLOOKUP($A306,Locaties[],3,FALSE),0)</f>
        <v>0</v>
      </c>
      <c r="V306" s="83">
        <f>Ruimtestaat[[#This Row],[Uitvoeringen werkdagen]]*Ruimtestaat[[#This Row],[Oppervlak (netto)]]</f>
        <v>5432</v>
      </c>
      <c r="W306" s="84">
        <f>IF(U306&gt;0,Ruimtestaat[[#This Row],[Prest. (m2 /jaar) werkdagen]]/Ruimtestaat[[#This Row],[Norm (m2/uur) werkdagen]],0)</f>
        <v>0</v>
      </c>
      <c r="X306" s="85">
        <f>Ruimtestaat[[#This Row],[uren / jaar werkdagen]]*Tariefsopbouw!$E$35</f>
        <v>0</v>
      </c>
      <c r="Y306" s="82"/>
      <c r="Z306" s="86">
        <f>IF(Ruimtestaat[[#This Row],[Frequentie weekend]]&gt;0,VALUE(LEFT(Y306,1))*R306,0)</f>
        <v>0</v>
      </c>
      <c r="AA306" s="82">
        <f>IF($Z306&gt;0,VLOOKUP($J306,Ruimtegroepen[],3,FALSE)*VLOOKUP($L306,Vloersoorten[],3,FALSE)*VLOOKUP($Y306,Frequenties[],3,FALSE)*VLOOKUP($A302,Locaties[],3,FALSE),0)</f>
        <v>0</v>
      </c>
      <c r="AB306" s="84">
        <f>Ruimtestaat[[#This Row],[Uitvoeringen weekend]]*Ruimtestaat[[#This Row],[Oppervlak (netto)]]</f>
        <v>0</v>
      </c>
      <c r="AC306" s="87">
        <f>IF(AB306&gt;0,Ruimtestaat[[#This Row],[Prest. (m2 /jaar) weekend]]/Ruimtestaat[[#This Row],[Norm (m2/uur) weekend]],0)</f>
        <v>0</v>
      </c>
      <c r="AD306" s="88">
        <f>Ruimtestaat[[#This Row],[uren / jaar weekend]]*Tariefsopbouw!$D$40</f>
        <v>0</v>
      </c>
      <c r="AE306" s="89">
        <f>Ruimtestaat[[#This Row],[Prest. (m2 /jaar) weekend]]+Ruimtestaat[[#This Row],[Prest. (m2 /jaar) werkdagen]]</f>
        <v>5432</v>
      </c>
      <c r="AF306" s="89">
        <f>Ruimtestaat[[#This Row],[uren / jaar weekend]]+Ruimtestaat[[#This Row],[uren / jaar werkdagen]]</f>
        <v>0</v>
      </c>
      <c r="AG306" s="90">
        <f>Ruimtestaat[[#This Row],[kosten / jaar weekend]]+Ruimtestaat[[#This Row],[kosten / jaar werkdagen]]</f>
        <v>0</v>
      </c>
    </row>
    <row r="307" spans="1:33" ht="15" customHeight="1">
      <c r="A307" s="53">
        <v>2</v>
      </c>
      <c r="B307" s="53" t="str">
        <f>VLOOKUP(Ruimtestaat[[#This Row],[Code]],Locaties[#All],2,FALSE)</f>
        <v>Open Schoolgemeenschap Bijlmer</v>
      </c>
      <c r="C307" s="53" t="str">
        <f>VLOOKUP(Ruimtestaat[[#This Row],[Code]],Locaties[#All],4,FALSE)</f>
        <v>Gulden Kruis 5</v>
      </c>
      <c r="D307" s="53" t="str">
        <f>VLOOKUP(Ruimtestaat[[#This Row],[Code]],Locaties[#All],5,FALSE)</f>
        <v>1103 BE</v>
      </c>
      <c r="E307" s="53" t="str">
        <f>VLOOKUP(Ruimtestaat[[#This Row],[Code]],Locaties[#All],6,FALSE)</f>
        <v>Amsterdam Zuidoost</v>
      </c>
      <c r="F307" s="78"/>
      <c r="G307" s="53" t="s">
        <v>564</v>
      </c>
      <c r="H307" s="53" t="s">
        <v>694</v>
      </c>
      <c r="I307" s="78" t="s">
        <v>428</v>
      </c>
      <c r="J307" s="53">
        <v>16</v>
      </c>
      <c r="K307" s="78" t="str">
        <f>VLOOKUP(J307,Ruimtegroepen[],2,FALSE)</f>
        <v>Leslokalen theorie</v>
      </c>
      <c r="L307" s="53" t="s">
        <v>291</v>
      </c>
      <c r="M307" s="53" t="s">
        <v>655</v>
      </c>
      <c r="N307" s="92">
        <v>76.599999999999994</v>
      </c>
      <c r="O307" s="92"/>
      <c r="P307" s="80" t="str">
        <f>LEFT(VLOOKUP(Ruimtestaat[[#This Row],[Ruimte code]],Ruimtegroepen[#All],4,1),2)</f>
        <v xml:space="preserve">L </v>
      </c>
      <c r="Q307" s="93"/>
      <c r="R307" s="81">
        <v>40</v>
      </c>
      <c r="S307" s="81" t="s">
        <v>298</v>
      </c>
      <c r="T307" s="82">
        <f>IF(R307&gt;0,IF(RIGHT(Ruimtestaat[[#This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7" s="82">
        <f>IF(T307&gt;0,VLOOKUP($J307,Ruimtegroepen[],3,FALSE)*VLOOKUP($L307,Vloersoorten[],3,FALSE)*VLOOKUP($S307,Frequenties[],3,FALSE)*VLOOKUP($A307,Locaties[],3,FALSE),0)</f>
        <v>0</v>
      </c>
      <c r="V307" s="83">
        <f>Ruimtestaat[[#This Row],[Uitvoeringen werkdagen]]*Ruimtestaat[[#This Row],[Oppervlak (netto)]]</f>
        <v>15319.999999999998</v>
      </c>
      <c r="W307" s="84">
        <f>IF(U307&gt;0,Ruimtestaat[[#This Row],[Prest. (m2 /jaar) werkdagen]]/Ruimtestaat[[#This Row],[Norm (m2/uur) werkdagen]],0)</f>
        <v>0</v>
      </c>
      <c r="X307" s="85">
        <f>Ruimtestaat[[#This Row],[uren / jaar werkdagen]]*Tariefsopbouw!$E$35</f>
        <v>0</v>
      </c>
      <c r="Y307" s="82"/>
      <c r="Z307" s="86">
        <f>IF(Ruimtestaat[[#This Row],[Frequentie weekend]]&gt;0,VALUE(LEFT(Y307,1))*R307,0)</f>
        <v>0</v>
      </c>
      <c r="AA307" s="82">
        <f>IF($Z307&gt;0,VLOOKUP($J307,Ruimtegroepen[],3,FALSE)*VLOOKUP($L307,Vloersoorten[],3,FALSE)*VLOOKUP($Y307,Frequenties[],3,FALSE)*VLOOKUP($A303,Locaties[],3,FALSE),0)</f>
        <v>0</v>
      </c>
      <c r="AB307" s="84">
        <f>Ruimtestaat[[#This Row],[Uitvoeringen weekend]]*Ruimtestaat[[#This Row],[Oppervlak (netto)]]</f>
        <v>0</v>
      </c>
      <c r="AC307" s="87">
        <f>IF(AB307&gt;0,Ruimtestaat[[#This Row],[Prest. (m2 /jaar) weekend]]/Ruimtestaat[[#This Row],[Norm (m2/uur) weekend]],0)</f>
        <v>0</v>
      </c>
      <c r="AD307" s="88">
        <f>Ruimtestaat[[#This Row],[uren / jaar weekend]]*Tariefsopbouw!$D$40</f>
        <v>0</v>
      </c>
      <c r="AE307" s="89">
        <f>Ruimtestaat[[#This Row],[Prest. (m2 /jaar) weekend]]+Ruimtestaat[[#This Row],[Prest. (m2 /jaar) werkdagen]]</f>
        <v>15319.999999999998</v>
      </c>
      <c r="AF307" s="89">
        <f>Ruimtestaat[[#This Row],[uren / jaar weekend]]+Ruimtestaat[[#This Row],[uren / jaar werkdagen]]</f>
        <v>0</v>
      </c>
      <c r="AG307" s="90">
        <f>Ruimtestaat[[#This Row],[kosten / jaar weekend]]+Ruimtestaat[[#This Row],[kosten / jaar werkdagen]]</f>
        <v>0</v>
      </c>
    </row>
    <row r="308" spans="1:33" ht="15" customHeight="1">
      <c r="A308" s="53">
        <v>2</v>
      </c>
      <c r="B308" s="53" t="str">
        <f>VLOOKUP(Ruimtestaat[[#This Row],[Code]],Locaties[#All],2,FALSE)</f>
        <v>Open Schoolgemeenschap Bijlmer</v>
      </c>
      <c r="C308" s="53" t="str">
        <f>VLOOKUP(Ruimtestaat[[#This Row],[Code]],Locaties[#All],4,FALSE)</f>
        <v>Gulden Kruis 5</v>
      </c>
      <c r="D308" s="53" t="str">
        <f>VLOOKUP(Ruimtestaat[[#This Row],[Code]],Locaties[#All],5,FALSE)</f>
        <v>1103 BE</v>
      </c>
      <c r="E308" s="53" t="str">
        <f>VLOOKUP(Ruimtestaat[[#This Row],[Code]],Locaties[#All],6,FALSE)</f>
        <v>Amsterdam Zuidoost</v>
      </c>
      <c r="F308" s="78"/>
      <c r="G308" s="53" t="s">
        <v>564</v>
      </c>
      <c r="H308" s="53" t="s">
        <v>695</v>
      </c>
      <c r="I308" s="78" t="s">
        <v>428</v>
      </c>
      <c r="J308" s="53">
        <v>16</v>
      </c>
      <c r="K308" s="78" t="str">
        <f>VLOOKUP(J308,Ruimtegroepen[],2,FALSE)</f>
        <v>Leslokalen theorie</v>
      </c>
      <c r="L308" s="53" t="s">
        <v>291</v>
      </c>
      <c r="M308" s="53" t="s">
        <v>655</v>
      </c>
      <c r="N308" s="92">
        <v>86.81</v>
      </c>
      <c r="O308" s="92"/>
      <c r="P308" s="80" t="str">
        <f>LEFT(VLOOKUP(Ruimtestaat[[#This Row],[Ruimte code]],Ruimtegroepen[#All],4,1),2)</f>
        <v xml:space="preserve">L </v>
      </c>
      <c r="Q308" s="93"/>
      <c r="R308" s="81">
        <v>40</v>
      </c>
      <c r="S308" s="81" t="s">
        <v>298</v>
      </c>
      <c r="T308" s="82">
        <f>IF(R308&gt;0,IF(RIGHT(Ruimtestaat[[#This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8" s="82">
        <f>IF(T308&gt;0,VLOOKUP($J308,Ruimtegroepen[],3,FALSE)*VLOOKUP($L308,Vloersoorten[],3,FALSE)*VLOOKUP($S308,Frequenties[],3,FALSE)*VLOOKUP($A308,Locaties[],3,FALSE),0)</f>
        <v>0</v>
      </c>
      <c r="V308" s="83">
        <f>Ruimtestaat[[#This Row],[Uitvoeringen werkdagen]]*Ruimtestaat[[#This Row],[Oppervlak (netto)]]</f>
        <v>17362</v>
      </c>
      <c r="W308" s="84">
        <f>IF(U308&gt;0,Ruimtestaat[[#This Row],[Prest. (m2 /jaar) werkdagen]]/Ruimtestaat[[#This Row],[Norm (m2/uur) werkdagen]],0)</f>
        <v>0</v>
      </c>
      <c r="X308" s="85">
        <f>Ruimtestaat[[#This Row],[uren / jaar werkdagen]]*Tariefsopbouw!$E$35</f>
        <v>0</v>
      </c>
      <c r="Y308" s="82"/>
      <c r="Z308" s="86">
        <f>IF(Ruimtestaat[[#This Row],[Frequentie weekend]]&gt;0,VALUE(LEFT(Y308,1))*R308,0)</f>
        <v>0</v>
      </c>
      <c r="AA308" s="82">
        <f>IF($Z308&gt;0,VLOOKUP($J308,Ruimtegroepen[],3,FALSE)*VLOOKUP($L308,Vloersoorten[],3,FALSE)*VLOOKUP($Y308,Frequenties[],3,FALSE)*VLOOKUP($A304,Locaties[],3,FALSE),0)</f>
        <v>0</v>
      </c>
      <c r="AB308" s="84">
        <f>Ruimtestaat[[#This Row],[Uitvoeringen weekend]]*Ruimtestaat[[#This Row],[Oppervlak (netto)]]</f>
        <v>0</v>
      </c>
      <c r="AC308" s="87">
        <f>IF(AB308&gt;0,Ruimtestaat[[#This Row],[Prest. (m2 /jaar) weekend]]/Ruimtestaat[[#This Row],[Norm (m2/uur) weekend]],0)</f>
        <v>0</v>
      </c>
      <c r="AD308" s="88">
        <f>Ruimtestaat[[#This Row],[uren / jaar weekend]]*Tariefsopbouw!$D$40</f>
        <v>0</v>
      </c>
      <c r="AE308" s="89">
        <f>Ruimtestaat[[#This Row],[Prest. (m2 /jaar) weekend]]+Ruimtestaat[[#This Row],[Prest. (m2 /jaar) werkdagen]]</f>
        <v>17362</v>
      </c>
      <c r="AF308" s="89">
        <f>Ruimtestaat[[#This Row],[uren / jaar weekend]]+Ruimtestaat[[#This Row],[uren / jaar werkdagen]]</f>
        <v>0</v>
      </c>
      <c r="AG308" s="90">
        <f>Ruimtestaat[[#This Row],[kosten / jaar weekend]]+Ruimtestaat[[#This Row],[kosten / jaar werkdagen]]</f>
        <v>0</v>
      </c>
    </row>
    <row r="309" spans="1:33" ht="15" customHeight="1">
      <c r="A309" s="53">
        <v>2</v>
      </c>
      <c r="B309" s="53" t="str">
        <f>VLOOKUP(Ruimtestaat[[#This Row],[Code]],Locaties[#All],2,FALSE)</f>
        <v>Open Schoolgemeenschap Bijlmer</v>
      </c>
      <c r="C309" s="53" t="str">
        <f>VLOOKUP(Ruimtestaat[[#This Row],[Code]],Locaties[#All],4,FALSE)</f>
        <v>Gulden Kruis 5</v>
      </c>
      <c r="D309" s="53" t="str">
        <f>VLOOKUP(Ruimtestaat[[#This Row],[Code]],Locaties[#All],5,FALSE)</f>
        <v>1103 BE</v>
      </c>
      <c r="E309" s="53" t="str">
        <f>VLOOKUP(Ruimtestaat[[#This Row],[Code]],Locaties[#All],6,FALSE)</f>
        <v>Amsterdam Zuidoost</v>
      </c>
      <c r="F309" s="78"/>
      <c r="G309" s="53" t="s">
        <v>564</v>
      </c>
      <c r="H309" s="53" t="s">
        <v>696</v>
      </c>
      <c r="I309" s="78" t="s">
        <v>428</v>
      </c>
      <c r="J309" s="53">
        <v>16</v>
      </c>
      <c r="K309" s="78" t="str">
        <f>VLOOKUP(J309,Ruimtegroepen[],2,FALSE)</f>
        <v>Leslokalen theorie</v>
      </c>
      <c r="L309" s="53" t="s">
        <v>280</v>
      </c>
      <c r="M309" s="53" t="s">
        <v>576</v>
      </c>
      <c r="N309" s="92">
        <v>87.26</v>
      </c>
      <c r="O309" s="92"/>
      <c r="P309" s="80" t="str">
        <f>LEFT(VLOOKUP(Ruimtestaat[[#This Row],[Ruimte code]],Ruimtegroepen[#All],4,1),2)</f>
        <v xml:space="preserve">L </v>
      </c>
      <c r="Q309" s="93"/>
      <c r="R309" s="81">
        <v>40</v>
      </c>
      <c r="S309" s="81" t="s">
        <v>298</v>
      </c>
      <c r="T309" s="82">
        <f>IF(R309&gt;0,IF(RIGHT(Ruimtestaat[[#This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09" s="82">
        <f>IF(T309&gt;0,VLOOKUP($J309,Ruimtegroepen[],3,FALSE)*VLOOKUP($L309,Vloersoorten[],3,FALSE)*VLOOKUP($S309,Frequenties[],3,FALSE)*VLOOKUP($A309,Locaties[],3,FALSE),0)</f>
        <v>0</v>
      </c>
      <c r="V309" s="83">
        <f>Ruimtestaat[[#This Row],[Uitvoeringen werkdagen]]*Ruimtestaat[[#This Row],[Oppervlak (netto)]]</f>
        <v>17452</v>
      </c>
      <c r="W309" s="84">
        <f>IF(U309&gt;0,Ruimtestaat[[#This Row],[Prest. (m2 /jaar) werkdagen]]/Ruimtestaat[[#This Row],[Norm (m2/uur) werkdagen]],0)</f>
        <v>0</v>
      </c>
      <c r="X309" s="85">
        <f>Ruimtestaat[[#This Row],[uren / jaar werkdagen]]*Tariefsopbouw!$E$35</f>
        <v>0</v>
      </c>
      <c r="Y309" s="82"/>
      <c r="Z309" s="86">
        <f>IF(Ruimtestaat[[#This Row],[Frequentie weekend]]&gt;0,VALUE(LEFT(Y309,1))*R309,0)</f>
        <v>0</v>
      </c>
      <c r="AA309" s="82">
        <f>IF($Z309&gt;0,VLOOKUP($J309,Ruimtegroepen[],3,FALSE)*VLOOKUP($L309,Vloersoorten[],3,FALSE)*VLOOKUP($Y309,Frequenties[],3,FALSE)*VLOOKUP($A305,Locaties[],3,FALSE),0)</f>
        <v>0</v>
      </c>
      <c r="AB309" s="84">
        <f>Ruimtestaat[[#This Row],[Uitvoeringen weekend]]*Ruimtestaat[[#This Row],[Oppervlak (netto)]]</f>
        <v>0</v>
      </c>
      <c r="AC309" s="87">
        <f>IF(AB309&gt;0,Ruimtestaat[[#This Row],[Prest. (m2 /jaar) weekend]]/Ruimtestaat[[#This Row],[Norm (m2/uur) weekend]],0)</f>
        <v>0</v>
      </c>
      <c r="AD309" s="88">
        <f>Ruimtestaat[[#This Row],[uren / jaar weekend]]*Tariefsopbouw!$D$40</f>
        <v>0</v>
      </c>
      <c r="AE309" s="89">
        <f>Ruimtestaat[[#This Row],[Prest. (m2 /jaar) weekend]]+Ruimtestaat[[#This Row],[Prest. (m2 /jaar) werkdagen]]</f>
        <v>17452</v>
      </c>
      <c r="AF309" s="89">
        <f>Ruimtestaat[[#This Row],[uren / jaar weekend]]+Ruimtestaat[[#This Row],[uren / jaar werkdagen]]</f>
        <v>0</v>
      </c>
      <c r="AG309" s="90">
        <f>Ruimtestaat[[#This Row],[kosten / jaar weekend]]+Ruimtestaat[[#This Row],[kosten / jaar werkdagen]]</f>
        <v>0</v>
      </c>
    </row>
    <row r="310" spans="1:33" ht="15" customHeight="1">
      <c r="A310" s="53">
        <v>2</v>
      </c>
      <c r="B310" s="53" t="str">
        <f>VLOOKUP(Ruimtestaat[[#This Row],[Code]],Locaties[#All],2,FALSE)</f>
        <v>Open Schoolgemeenschap Bijlmer</v>
      </c>
      <c r="C310" s="53" t="str">
        <f>VLOOKUP(Ruimtestaat[[#This Row],[Code]],Locaties[#All],4,FALSE)</f>
        <v>Gulden Kruis 5</v>
      </c>
      <c r="D310" s="53" t="str">
        <f>VLOOKUP(Ruimtestaat[[#This Row],[Code]],Locaties[#All],5,FALSE)</f>
        <v>1103 BE</v>
      </c>
      <c r="E310" s="53" t="str">
        <f>VLOOKUP(Ruimtestaat[[#This Row],[Code]],Locaties[#All],6,FALSE)</f>
        <v>Amsterdam Zuidoost</v>
      </c>
      <c r="F310" s="78"/>
      <c r="G310" s="53" t="s">
        <v>564</v>
      </c>
      <c r="H310" s="53" t="s">
        <v>697</v>
      </c>
      <c r="I310" s="78" t="s">
        <v>698</v>
      </c>
      <c r="J310" s="53">
        <v>20</v>
      </c>
      <c r="K310" s="78" t="str">
        <f>VLOOKUP(J310,Ruimtegroepen[],2,FALSE)</f>
        <v>Niet in onderhoud</v>
      </c>
      <c r="L310" s="53" t="s">
        <v>285</v>
      </c>
      <c r="M310" s="53" t="s">
        <v>1021</v>
      </c>
      <c r="O310" s="92">
        <v>35.409999999999997</v>
      </c>
      <c r="P310" s="80" t="str">
        <f>LEFT(VLOOKUP(Ruimtestaat[[#This Row],[Ruimte code]],Ruimtegroepen[#All],4,1),2)</f>
        <v/>
      </c>
      <c r="Q310" s="93"/>
      <c r="R310" s="81"/>
      <c r="S310" s="81"/>
      <c r="T310" s="82">
        <f>IF(R310&gt;0,IF(RIGHT(Ruimtestaat[[#This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0" s="82">
        <f>IF(T310&gt;0,VLOOKUP($J310,Ruimtegroepen[],3,FALSE)*VLOOKUP($L310,Vloersoorten[],3,FALSE)*VLOOKUP($S310,Frequenties[],3,FALSE)*VLOOKUP($A310,Locaties[],3,FALSE),0)</f>
        <v>0</v>
      </c>
      <c r="V310" s="83">
        <f>Ruimtestaat[[#This Row],[Uitvoeringen werkdagen]]*Ruimtestaat[[#This Row],[Oppervlak (netto)]]</f>
        <v>0</v>
      </c>
      <c r="W310" s="84">
        <f>IF(U310&gt;0,Ruimtestaat[[#This Row],[Prest. (m2 /jaar) werkdagen]]/Ruimtestaat[[#This Row],[Norm (m2/uur) werkdagen]],0)</f>
        <v>0</v>
      </c>
      <c r="X310" s="85">
        <f>Ruimtestaat[[#This Row],[uren / jaar werkdagen]]*Tariefsopbouw!$E$35</f>
        <v>0</v>
      </c>
      <c r="Y310" s="82"/>
      <c r="Z310" s="86">
        <f>IF(Ruimtestaat[[#This Row],[Frequentie weekend]]&gt;0,VALUE(LEFT(Y310,1))*R310,0)</f>
        <v>0</v>
      </c>
      <c r="AA310" s="82">
        <f>IF($Z310&gt;0,VLOOKUP($J310,Ruimtegroepen[],3,FALSE)*VLOOKUP($L310,Vloersoorten[],3,FALSE)*VLOOKUP($Y310,Frequenties[],3,FALSE)*VLOOKUP($A306,Locaties[],3,FALSE),0)</f>
        <v>0</v>
      </c>
      <c r="AB310" s="84">
        <f>Ruimtestaat[[#This Row],[Uitvoeringen weekend]]*Ruimtestaat[[#This Row],[Oppervlak (netto)]]</f>
        <v>0</v>
      </c>
      <c r="AC310" s="87">
        <f>IF(AB310&gt;0,Ruimtestaat[[#This Row],[Prest. (m2 /jaar) weekend]]/Ruimtestaat[[#This Row],[Norm (m2/uur) weekend]],0)</f>
        <v>0</v>
      </c>
      <c r="AD310" s="88">
        <f>Ruimtestaat[[#This Row],[uren / jaar weekend]]*Tariefsopbouw!$D$40</f>
        <v>0</v>
      </c>
      <c r="AE310" s="89">
        <f>Ruimtestaat[[#This Row],[Prest. (m2 /jaar) weekend]]+Ruimtestaat[[#This Row],[Prest. (m2 /jaar) werkdagen]]</f>
        <v>0</v>
      </c>
      <c r="AF310" s="89">
        <f>Ruimtestaat[[#This Row],[uren / jaar weekend]]+Ruimtestaat[[#This Row],[uren / jaar werkdagen]]</f>
        <v>0</v>
      </c>
      <c r="AG310" s="90">
        <f>Ruimtestaat[[#This Row],[kosten / jaar weekend]]+Ruimtestaat[[#This Row],[kosten / jaar werkdagen]]</f>
        <v>0</v>
      </c>
    </row>
    <row r="311" spans="1:33" ht="15" customHeight="1">
      <c r="A311" s="53">
        <v>2</v>
      </c>
      <c r="B311" s="53" t="str">
        <f>VLOOKUP(Ruimtestaat[[#This Row],[Code]],Locaties[#All],2,FALSE)</f>
        <v>Open Schoolgemeenschap Bijlmer</v>
      </c>
      <c r="C311" s="53" t="str">
        <f>VLOOKUP(Ruimtestaat[[#This Row],[Code]],Locaties[#All],4,FALSE)</f>
        <v>Gulden Kruis 5</v>
      </c>
      <c r="D311" s="53" t="str">
        <f>VLOOKUP(Ruimtestaat[[#This Row],[Code]],Locaties[#All],5,FALSE)</f>
        <v>1103 BE</v>
      </c>
      <c r="E311" s="53" t="str">
        <f>VLOOKUP(Ruimtestaat[[#This Row],[Code]],Locaties[#All],6,FALSE)</f>
        <v>Amsterdam Zuidoost</v>
      </c>
      <c r="F311" s="78"/>
      <c r="G311" s="53" t="s">
        <v>564</v>
      </c>
      <c r="H311" s="53" t="s">
        <v>699</v>
      </c>
      <c r="I311" s="78" t="s">
        <v>700</v>
      </c>
      <c r="J311" s="53">
        <v>20</v>
      </c>
      <c r="K311" s="78" t="str">
        <f>VLOOKUP(J311,Ruimtegroepen[],2,FALSE)</f>
        <v>Niet in onderhoud</v>
      </c>
      <c r="L311" s="53" t="s">
        <v>280</v>
      </c>
      <c r="M311" s="53" t="s">
        <v>566</v>
      </c>
      <c r="O311" s="92">
        <v>46.2</v>
      </c>
      <c r="P311" s="80" t="str">
        <f>LEFT(VLOOKUP(Ruimtestaat[[#This Row],[Ruimte code]],Ruimtegroepen[#All],4,1),2)</f>
        <v/>
      </c>
      <c r="Q311" s="93"/>
      <c r="R311" s="81"/>
      <c r="S311" s="81"/>
      <c r="T311" s="82">
        <f>IF(R311&gt;0,IF(RIGHT(Ruimtestaat[[#This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1" s="82">
        <f>IF(T311&gt;0,VLOOKUP($J311,Ruimtegroepen[],3,FALSE)*VLOOKUP($L311,Vloersoorten[],3,FALSE)*VLOOKUP($S311,Frequenties[],3,FALSE)*VLOOKUP($A311,Locaties[],3,FALSE),0)</f>
        <v>0</v>
      </c>
      <c r="V311" s="83">
        <f>Ruimtestaat[[#This Row],[Uitvoeringen werkdagen]]*Ruimtestaat[[#This Row],[Oppervlak (netto)]]</f>
        <v>0</v>
      </c>
      <c r="W311" s="84">
        <f>IF(U311&gt;0,Ruimtestaat[[#This Row],[Prest. (m2 /jaar) werkdagen]]/Ruimtestaat[[#This Row],[Norm (m2/uur) werkdagen]],0)</f>
        <v>0</v>
      </c>
      <c r="X311" s="85">
        <f>Ruimtestaat[[#This Row],[uren / jaar werkdagen]]*Tariefsopbouw!$E$35</f>
        <v>0</v>
      </c>
      <c r="Y311" s="82"/>
      <c r="Z311" s="86">
        <f>IF(Ruimtestaat[[#This Row],[Frequentie weekend]]&gt;0,VALUE(LEFT(Y311,1))*R311,0)</f>
        <v>0</v>
      </c>
      <c r="AA311" s="82">
        <f>IF($Z311&gt;0,VLOOKUP($J311,Ruimtegroepen[],3,FALSE)*VLOOKUP($L311,Vloersoorten[],3,FALSE)*VLOOKUP($Y311,Frequenties[],3,FALSE)*VLOOKUP($A307,Locaties[],3,FALSE),0)</f>
        <v>0</v>
      </c>
      <c r="AB311" s="84">
        <f>Ruimtestaat[[#This Row],[Uitvoeringen weekend]]*Ruimtestaat[[#This Row],[Oppervlak (netto)]]</f>
        <v>0</v>
      </c>
      <c r="AC311" s="87">
        <f>IF(AB311&gt;0,Ruimtestaat[[#This Row],[Prest. (m2 /jaar) weekend]]/Ruimtestaat[[#This Row],[Norm (m2/uur) weekend]],0)</f>
        <v>0</v>
      </c>
      <c r="AD311" s="88">
        <f>Ruimtestaat[[#This Row],[uren / jaar weekend]]*Tariefsopbouw!$D$40</f>
        <v>0</v>
      </c>
      <c r="AE311" s="89">
        <f>Ruimtestaat[[#This Row],[Prest. (m2 /jaar) weekend]]+Ruimtestaat[[#This Row],[Prest. (m2 /jaar) werkdagen]]</f>
        <v>0</v>
      </c>
      <c r="AF311" s="89">
        <f>Ruimtestaat[[#This Row],[uren / jaar weekend]]+Ruimtestaat[[#This Row],[uren / jaar werkdagen]]</f>
        <v>0</v>
      </c>
      <c r="AG311" s="90">
        <f>Ruimtestaat[[#This Row],[kosten / jaar weekend]]+Ruimtestaat[[#This Row],[kosten / jaar werkdagen]]</f>
        <v>0</v>
      </c>
    </row>
    <row r="312" spans="1:33" ht="15" customHeight="1">
      <c r="A312" s="53">
        <v>2</v>
      </c>
      <c r="B312" s="53" t="str">
        <f>VLOOKUP(Ruimtestaat[[#This Row],[Code]],Locaties[#All],2,FALSE)</f>
        <v>Open Schoolgemeenschap Bijlmer</v>
      </c>
      <c r="C312" s="53" t="str">
        <f>VLOOKUP(Ruimtestaat[[#This Row],[Code]],Locaties[#All],4,FALSE)</f>
        <v>Gulden Kruis 5</v>
      </c>
      <c r="D312" s="53" t="str">
        <f>VLOOKUP(Ruimtestaat[[#This Row],[Code]],Locaties[#All],5,FALSE)</f>
        <v>1103 BE</v>
      </c>
      <c r="E312" s="53" t="str">
        <f>VLOOKUP(Ruimtestaat[[#This Row],[Code]],Locaties[#All],6,FALSE)</f>
        <v>Amsterdam Zuidoost</v>
      </c>
      <c r="F312" s="78"/>
      <c r="G312" s="53" t="s">
        <v>564</v>
      </c>
      <c r="H312" s="53" t="s">
        <v>701</v>
      </c>
      <c r="I312" s="78" t="s">
        <v>428</v>
      </c>
      <c r="J312" s="53">
        <v>16</v>
      </c>
      <c r="K312" s="78" t="str">
        <f>VLOOKUP(J312,Ruimtegroepen[],2,FALSE)</f>
        <v>Leslokalen theorie</v>
      </c>
      <c r="L312" s="53" t="s">
        <v>280</v>
      </c>
      <c r="M312" s="53" t="s">
        <v>566</v>
      </c>
      <c r="N312" s="92">
        <v>256.91700000000003</v>
      </c>
      <c r="O312" s="92"/>
      <c r="P312" s="80" t="str">
        <f>LEFT(VLOOKUP(Ruimtestaat[[#This Row],[Ruimte code]],Ruimtegroepen[#All],4,1),2)</f>
        <v xml:space="preserve">L </v>
      </c>
      <c r="Q312" s="93"/>
      <c r="R312" s="81">
        <v>40</v>
      </c>
      <c r="S312" s="81" t="s">
        <v>298</v>
      </c>
      <c r="T312" s="82">
        <f>IF(R312&gt;0,IF(RIGHT(Ruimtestaat[[#This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2" s="82">
        <f>IF(T312&gt;0,VLOOKUP($J312,Ruimtegroepen[],3,FALSE)*VLOOKUP($L312,Vloersoorten[],3,FALSE)*VLOOKUP($S312,Frequenties[],3,FALSE)*VLOOKUP($A312,Locaties[],3,FALSE),0)</f>
        <v>0</v>
      </c>
      <c r="V312" s="83">
        <f>Ruimtestaat[[#This Row],[Uitvoeringen werkdagen]]*Ruimtestaat[[#This Row],[Oppervlak (netto)]]</f>
        <v>51383.400000000009</v>
      </c>
      <c r="W312" s="84">
        <f>IF(U312&gt;0,Ruimtestaat[[#This Row],[Prest. (m2 /jaar) werkdagen]]/Ruimtestaat[[#This Row],[Norm (m2/uur) werkdagen]],0)</f>
        <v>0</v>
      </c>
      <c r="X312" s="85">
        <f>Ruimtestaat[[#This Row],[uren / jaar werkdagen]]*Tariefsopbouw!$E$35</f>
        <v>0</v>
      </c>
      <c r="Y312" s="82"/>
      <c r="Z312" s="86">
        <f>IF(Ruimtestaat[[#This Row],[Frequentie weekend]]&gt;0,VALUE(LEFT(Y312,1))*R312,0)</f>
        <v>0</v>
      </c>
      <c r="AA312" s="82">
        <f>IF($Z312&gt;0,VLOOKUP($J312,Ruimtegroepen[],3,FALSE)*VLOOKUP($L312,Vloersoorten[],3,FALSE)*VLOOKUP($Y312,Frequenties[],3,FALSE)*VLOOKUP($A308,Locaties[],3,FALSE),0)</f>
        <v>0</v>
      </c>
      <c r="AB312" s="84">
        <f>Ruimtestaat[[#This Row],[Uitvoeringen weekend]]*Ruimtestaat[[#This Row],[Oppervlak (netto)]]</f>
        <v>0</v>
      </c>
      <c r="AC312" s="87">
        <f>IF(AB312&gt;0,Ruimtestaat[[#This Row],[Prest. (m2 /jaar) weekend]]/Ruimtestaat[[#This Row],[Norm (m2/uur) weekend]],0)</f>
        <v>0</v>
      </c>
      <c r="AD312" s="88">
        <f>Ruimtestaat[[#This Row],[uren / jaar weekend]]*Tariefsopbouw!$D$40</f>
        <v>0</v>
      </c>
      <c r="AE312" s="89">
        <f>Ruimtestaat[[#This Row],[Prest. (m2 /jaar) weekend]]+Ruimtestaat[[#This Row],[Prest. (m2 /jaar) werkdagen]]</f>
        <v>51383.400000000009</v>
      </c>
      <c r="AF312" s="89">
        <f>Ruimtestaat[[#This Row],[uren / jaar weekend]]+Ruimtestaat[[#This Row],[uren / jaar werkdagen]]</f>
        <v>0</v>
      </c>
      <c r="AG312" s="90">
        <f>Ruimtestaat[[#This Row],[kosten / jaar weekend]]+Ruimtestaat[[#This Row],[kosten / jaar werkdagen]]</f>
        <v>0</v>
      </c>
    </row>
    <row r="313" spans="1:33" ht="15" customHeight="1">
      <c r="A313" s="53">
        <v>2</v>
      </c>
      <c r="B313" s="53" t="str">
        <f>VLOOKUP(Ruimtestaat[[#This Row],[Code]],Locaties[#All],2,FALSE)</f>
        <v>Open Schoolgemeenschap Bijlmer</v>
      </c>
      <c r="C313" s="53" t="str">
        <f>VLOOKUP(Ruimtestaat[[#This Row],[Code]],Locaties[#All],4,FALSE)</f>
        <v>Gulden Kruis 5</v>
      </c>
      <c r="D313" s="53" t="str">
        <f>VLOOKUP(Ruimtestaat[[#This Row],[Code]],Locaties[#All],5,FALSE)</f>
        <v>1103 BE</v>
      </c>
      <c r="E313" s="53" t="str">
        <f>VLOOKUP(Ruimtestaat[[#This Row],[Code]],Locaties[#All],6,FALSE)</f>
        <v>Amsterdam Zuidoost</v>
      </c>
      <c r="F313" s="78"/>
      <c r="G313" s="53" t="s">
        <v>564</v>
      </c>
      <c r="H313" s="53" t="s">
        <v>702</v>
      </c>
      <c r="I313" s="78" t="s">
        <v>428</v>
      </c>
      <c r="J313" s="53">
        <v>16</v>
      </c>
      <c r="K313" s="78" t="str">
        <f>VLOOKUP(J313,Ruimtegroepen[],2,FALSE)</f>
        <v>Leslokalen theorie</v>
      </c>
      <c r="L313" s="53" t="s">
        <v>288</v>
      </c>
      <c r="M313" s="53" t="s">
        <v>657</v>
      </c>
      <c r="N313" s="92">
        <v>70.825699999999998</v>
      </c>
      <c r="O313" s="92"/>
      <c r="P313" s="80" t="str">
        <f>LEFT(VLOOKUP(Ruimtestaat[[#This Row],[Ruimte code]],Ruimtegroepen[#All],4,1),2)</f>
        <v xml:space="preserve">L </v>
      </c>
      <c r="Q313" s="93"/>
      <c r="R313" s="81">
        <v>40</v>
      </c>
      <c r="S313" s="81" t="s">
        <v>298</v>
      </c>
      <c r="T313" s="82">
        <f>IF(R313&gt;0,IF(RIGHT(Ruimtestaat[[#This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3" s="82">
        <f>IF(T313&gt;0,VLOOKUP($J313,Ruimtegroepen[],3,FALSE)*VLOOKUP($L313,Vloersoorten[],3,FALSE)*VLOOKUP($S313,Frequenties[],3,FALSE)*VLOOKUP($A313,Locaties[],3,FALSE),0)</f>
        <v>0</v>
      </c>
      <c r="V313" s="83">
        <f>Ruimtestaat[[#This Row],[Uitvoeringen werkdagen]]*Ruimtestaat[[#This Row],[Oppervlak (netto)]]</f>
        <v>14165.14</v>
      </c>
      <c r="W313" s="84">
        <f>IF(U313&gt;0,Ruimtestaat[[#This Row],[Prest. (m2 /jaar) werkdagen]]/Ruimtestaat[[#This Row],[Norm (m2/uur) werkdagen]],0)</f>
        <v>0</v>
      </c>
      <c r="X313" s="85">
        <f>Ruimtestaat[[#This Row],[uren / jaar werkdagen]]*Tariefsopbouw!$E$35</f>
        <v>0</v>
      </c>
      <c r="Y313" s="82"/>
      <c r="Z313" s="86">
        <f>IF(Ruimtestaat[[#This Row],[Frequentie weekend]]&gt;0,VALUE(LEFT(Y313,1))*R313,0)</f>
        <v>0</v>
      </c>
      <c r="AA313" s="82">
        <f>IF($Z313&gt;0,VLOOKUP($J313,Ruimtegroepen[],3,FALSE)*VLOOKUP($L313,Vloersoorten[],3,FALSE)*VLOOKUP($Y313,Frequenties[],3,FALSE)*VLOOKUP($A309,Locaties[],3,FALSE),0)</f>
        <v>0</v>
      </c>
      <c r="AB313" s="84">
        <f>Ruimtestaat[[#This Row],[Uitvoeringen weekend]]*Ruimtestaat[[#This Row],[Oppervlak (netto)]]</f>
        <v>0</v>
      </c>
      <c r="AC313" s="87">
        <f>IF(AB313&gt;0,Ruimtestaat[[#This Row],[Prest. (m2 /jaar) weekend]]/Ruimtestaat[[#This Row],[Norm (m2/uur) weekend]],0)</f>
        <v>0</v>
      </c>
      <c r="AD313" s="88">
        <f>Ruimtestaat[[#This Row],[uren / jaar weekend]]*Tariefsopbouw!$D$40</f>
        <v>0</v>
      </c>
      <c r="AE313" s="89">
        <f>Ruimtestaat[[#This Row],[Prest. (m2 /jaar) weekend]]+Ruimtestaat[[#This Row],[Prest. (m2 /jaar) werkdagen]]</f>
        <v>14165.14</v>
      </c>
      <c r="AF313" s="89">
        <f>Ruimtestaat[[#This Row],[uren / jaar weekend]]+Ruimtestaat[[#This Row],[uren / jaar werkdagen]]</f>
        <v>0</v>
      </c>
      <c r="AG313" s="90">
        <f>Ruimtestaat[[#This Row],[kosten / jaar weekend]]+Ruimtestaat[[#This Row],[kosten / jaar werkdagen]]</f>
        <v>0</v>
      </c>
    </row>
    <row r="314" spans="1:33" ht="15" customHeight="1">
      <c r="A314" s="53">
        <v>2</v>
      </c>
      <c r="B314" s="53" t="str">
        <f>VLOOKUP(Ruimtestaat[[#This Row],[Code]],Locaties[#All],2,FALSE)</f>
        <v>Open Schoolgemeenschap Bijlmer</v>
      </c>
      <c r="C314" s="53" t="str">
        <f>VLOOKUP(Ruimtestaat[[#This Row],[Code]],Locaties[#All],4,FALSE)</f>
        <v>Gulden Kruis 5</v>
      </c>
      <c r="D314" s="53" t="str">
        <f>VLOOKUP(Ruimtestaat[[#This Row],[Code]],Locaties[#All],5,FALSE)</f>
        <v>1103 BE</v>
      </c>
      <c r="E314" s="53" t="str">
        <f>VLOOKUP(Ruimtestaat[[#This Row],[Code]],Locaties[#All],6,FALSE)</f>
        <v>Amsterdam Zuidoost</v>
      </c>
      <c r="F314" s="78"/>
      <c r="G314" s="53" t="s">
        <v>564</v>
      </c>
      <c r="H314" s="53" t="s">
        <v>703</v>
      </c>
      <c r="I314" s="78" t="s">
        <v>401</v>
      </c>
      <c r="J314" s="53">
        <v>20</v>
      </c>
      <c r="K314" s="78" t="str">
        <f>VLOOKUP(J314,Ruimtegroepen[],2,FALSE)</f>
        <v>Niet in onderhoud</v>
      </c>
      <c r="L314" s="53" t="s">
        <v>280</v>
      </c>
      <c r="M314" s="53" t="s">
        <v>566</v>
      </c>
      <c r="O314" s="92">
        <v>51.07</v>
      </c>
      <c r="P314" s="80" t="str">
        <f>LEFT(VLOOKUP(Ruimtestaat[[#This Row],[Ruimte code]],Ruimtegroepen[#All],4,1),2)</f>
        <v/>
      </c>
      <c r="Q314" s="93"/>
      <c r="R314" s="81"/>
      <c r="S314" s="81"/>
      <c r="T314" s="82">
        <f>IF(R314&gt;0,IF(RIGHT(Ruimtestaat[[#This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4" s="82">
        <f>IF(T314&gt;0,VLOOKUP($J314,Ruimtegroepen[],3,FALSE)*VLOOKUP($L314,Vloersoorten[],3,FALSE)*VLOOKUP($S314,Frequenties[],3,FALSE)*VLOOKUP($A314,Locaties[],3,FALSE),0)</f>
        <v>0</v>
      </c>
      <c r="V314" s="83">
        <f>Ruimtestaat[[#This Row],[Uitvoeringen werkdagen]]*Ruimtestaat[[#This Row],[Oppervlak (netto)]]</f>
        <v>0</v>
      </c>
      <c r="W314" s="84">
        <f>IF(U314&gt;0,Ruimtestaat[[#This Row],[Prest. (m2 /jaar) werkdagen]]/Ruimtestaat[[#This Row],[Norm (m2/uur) werkdagen]],0)</f>
        <v>0</v>
      </c>
      <c r="X314" s="85">
        <f>Ruimtestaat[[#This Row],[uren / jaar werkdagen]]*Tariefsopbouw!$E$35</f>
        <v>0</v>
      </c>
      <c r="Y314" s="82"/>
      <c r="Z314" s="86">
        <f>IF(Ruimtestaat[[#This Row],[Frequentie weekend]]&gt;0,VALUE(LEFT(Y314,1))*R314,0)</f>
        <v>0</v>
      </c>
      <c r="AA314" s="82">
        <f>IF($Z314&gt;0,VLOOKUP($J314,Ruimtegroepen[],3,FALSE)*VLOOKUP($L314,Vloersoorten[],3,FALSE)*VLOOKUP($Y314,Frequenties[],3,FALSE)*VLOOKUP($A310,Locaties[],3,FALSE),0)</f>
        <v>0</v>
      </c>
      <c r="AB314" s="84">
        <f>Ruimtestaat[[#This Row],[Uitvoeringen weekend]]*Ruimtestaat[[#This Row],[Oppervlak (netto)]]</f>
        <v>0</v>
      </c>
      <c r="AC314" s="87">
        <f>IF(AB314&gt;0,Ruimtestaat[[#This Row],[Prest. (m2 /jaar) weekend]]/Ruimtestaat[[#This Row],[Norm (m2/uur) weekend]],0)</f>
        <v>0</v>
      </c>
      <c r="AD314" s="88">
        <f>Ruimtestaat[[#This Row],[uren / jaar weekend]]*Tariefsopbouw!$D$40</f>
        <v>0</v>
      </c>
      <c r="AE314" s="89">
        <f>Ruimtestaat[[#This Row],[Prest. (m2 /jaar) weekend]]+Ruimtestaat[[#This Row],[Prest. (m2 /jaar) werkdagen]]</f>
        <v>0</v>
      </c>
      <c r="AF314" s="89">
        <f>Ruimtestaat[[#This Row],[uren / jaar weekend]]+Ruimtestaat[[#This Row],[uren / jaar werkdagen]]</f>
        <v>0</v>
      </c>
      <c r="AG314" s="90">
        <f>Ruimtestaat[[#This Row],[kosten / jaar weekend]]+Ruimtestaat[[#This Row],[kosten / jaar werkdagen]]</f>
        <v>0</v>
      </c>
    </row>
    <row r="315" spans="1:33" ht="15" customHeight="1">
      <c r="A315" s="53">
        <v>2</v>
      </c>
      <c r="B315" s="53" t="str">
        <f>VLOOKUP(Ruimtestaat[[#This Row],[Code]],Locaties[#All],2,FALSE)</f>
        <v>Open Schoolgemeenschap Bijlmer</v>
      </c>
      <c r="C315" s="53" t="str">
        <f>VLOOKUP(Ruimtestaat[[#This Row],[Code]],Locaties[#All],4,FALSE)</f>
        <v>Gulden Kruis 5</v>
      </c>
      <c r="D315" s="53" t="str">
        <f>VLOOKUP(Ruimtestaat[[#This Row],[Code]],Locaties[#All],5,FALSE)</f>
        <v>1103 BE</v>
      </c>
      <c r="E315" s="53" t="str">
        <f>VLOOKUP(Ruimtestaat[[#This Row],[Code]],Locaties[#All],6,FALSE)</f>
        <v>Amsterdam Zuidoost</v>
      </c>
      <c r="F315" s="78"/>
      <c r="G315" s="53" t="s">
        <v>564</v>
      </c>
      <c r="H315" s="53" t="s">
        <v>704</v>
      </c>
      <c r="I315" s="78" t="s">
        <v>428</v>
      </c>
      <c r="J315" s="53">
        <v>20</v>
      </c>
      <c r="K315" s="78" t="str">
        <f>VLOOKUP(J315,Ruimtegroepen[],2,FALSE)</f>
        <v>Niet in onderhoud</v>
      </c>
      <c r="L315" s="53" t="s">
        <v>288</v>
      </c>
      <c r="M315" s="53" t="s">
        <v>648</v>
      </c>
      <c r="O315" s="92">
        <v>17.97</v>
      </c>
      <c r="P315" s="80" t="str">
        <f>LEFT(VLOOKUP(Ruimtestaat[[#This Row],[Ruimte code]],Ruimtegroepen[#All],4,1),2)</f>
        <v/>
      </c>
      <c r="Q315" s="93"/>
      <c r="R315" s="81"/>
      <c r="S315" s="81"/>
      <c r="T315" s="82">
        <f>IF(R315&gt;0,IF(RIGHT(Ruimtestaat[[#This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5" s="82">
        <f>IF(T315&gt;0,VLOOKUP($J315,Ruimtegroepen[],3,FALSE)*VLOOKUP($L315,Vloersoorten[],3,FALSE)*VLOOKUP($S315,Frequenties[],3,FALSE)*VLOOKUP($A315,Locaties[],3,FALSE),0)</f>
        <v>0</v>
      </c>
      <c r="V315" s="83">
        <f>Ruimtestaat[[#This Row],[Uitvoeringen werkdagen]]*Ruimtestaat[[#This Row],[Oppervlak (netto)]]</f>
        <v>0</v>
      </c>
      <c r="W315" s="84">
        <f>IF(U315&gt;0,Ruimtestaat[[#This Row],[Prest. (m2 /jaar) werkdagen]]/Ruimtestaat[[#This Row],[Norm (m2/uur) werkdagen]],0)</f>
        <v>0</v>
      </c>
      <c r="X315" s="85">
        <f>Ruimtestaat[[#This Row],[uren / jaar werkdagen]]*Tariefsopbouw!$E$35</f>
        <v>0</v>
      </c>
      <c r="Y315" s="82"/>
      <c r="Z315" s="86">
        <f>IF(Ruimtestaat[[#This Row],[Frequentie weekend]]&gt;0,VALUE(LEFT(Y315,1))*R315,0)</f>
        <v>0</v>
      </c>
      <c r="AA315" s="82">
        <f>IF($Z315&gt;0,VLOOKUP($J315,Ruimtegroepen[],3,FALSE)*VLOOKUP($L315,Vloersoorten[],3,FALSE)*VLOOKUP($Y315,Frequenties[],3,FALSE)*VLOOKUP($A311,Locaties[],3,FALSE),0)</f>
        <v>0</v>
      </c>
      <c r="AB315" s="84">
        <f>Ruimtestaat[[#This Row],[Uitvoeringen weekend]]*Ruimtestaat[[#This Row],[Oppervlak (netto)]]</f>
        <v>0</v>
      </c>
      <c r="AC315" s="87">
        <f>IF(AB315&gt;0,Ruimtestaat[[#This Row],[Prest. (m2 /jaar) weekend]]/Ruimtestaat[[#This Row],[Norm (m2/uur) weekend]],0)</f>
        <v>0</v>
      </c>
      <c r="AD315" s="88">
        <f>Ruimtestaat[[#This Row],[uren / jaar weekend]]*Tariefsopbouw!$D$40</f>
        <v>0</v>
      </c>
      <c r="AE315" s="89">
        <f>Ruimtestaat[[#This Row],[Prest. (m2 /jaar) weekend]]+Ruimtestaat[[#This Row],[Prest. (m2 /jaar) werkdagen]]</f>
        <v>0</v>
      </c>
      <c r="AF315" s="89">
        <f>Ruimtestaat[[#This Row],[uren / jaar weekend]]+Ruimtestaat[[#This Row],[uren / jaar werkdagen]]</f>
        <v>0</v>
      </c>
      <c r="AG315" s="90">
        <f>Ruimtestaat[[#This Row],[kosten / jaar weekend]]+Ruimtestaat[[#This Row],[kosten / jaar werkdagen]]</f>
        <v>0</v>
      </c>
    </row>
    <row r="316" spans="1:33" ht="15" customHeight="1">
      <c r="A316" s="53">
        <v>2</v>
      </c>
      <c r="B316" s="53" t="str">
        <f>VLOOKUP(Ruimtestaat[[#This Row],[Code]],Locaties[#All],2,FALSE)</f>
        <v>Open Schoolgemeenschap Bijlmer</v>
      </c>
      <c r="C316" s="53" t="str">
        <f>VLOOKUP(Ruimtestaat[[#This Row],[Code]],Locaties[#All],4,FALSE)</f>
        <v>Gulden Kruis 5</v>
      </c>
      <c r="D316" s="53" t="str">
        <f>VLOOKUP(Ruimtestaat[[#This Row],[Code]],Locaties[#All],5,FALSE)</f>
        <v>1103 BE</v>
      </c>
      <c r="E316" s="53" t="str">
        <f>VLOOKUP(Ruimtestaat[[#This Row],[Code]],Locaties[#All],6,FALSE)</f>
        <v>Amsterdam Zuidoost</v>
      </c>
      <c r="F316" s="78"/>
      <c r="G316" s="53" t="s">
        <v>564</v>
      </c>
      <c r="H316" s="53" t="s">
        <v>705</v>
      </c>
      <c r="I316" s="78" t="s">
        <v>706</v>
      </c>
      <c r="J316" s="53">
        <v>20</v>
      </c>
      <c r="K316" s="78" t="str">
        <f>VLOOKUP(J316,Ruimtegroepen[],2,FALSE)</f>
        <v>Niet in onderhoud</v>
      </c>
      <c r="L316" s="53" t="s">
        <v>280</v>
      </c>
      <c r="M316" s="53" t="s">
        <v>566</v>
      </c>
      <c r="O316" s="92">
        <v>20.149999999999999</v>
      </c>
      <c r="P316" s="80" t="str">
        <f>LEFT(VLOOKUP(Ruimtestaat[[#This Row],[Ruimte code]],Ruimtegroepen[#All],4,1),2)</f>
        <v/>
      </c>
      <c r="Q316" s="93"/>
      <c r="R316" s="81"/>
      <c r="S316" s="81"/>
      <c r="T316" s="82">
        <f>IF(R316&gt;0,IF(RIGHT(Ruimtestaat[[#This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6" s="82">
        <f>IF(T316&gt;0,VLOOKUP($J316,Ruimtegroepen[],3,FALSE)*VLOOKUP($L316,Vloersoorten[],3,FALSE)*VLOOKUP($S316,Frequenties[],3,FALSE)*VLOOKUP($A316,Locaties[],3,FALSE),0)</f>
        <v>0</v>
      </c>
      <c r="V316" s="83">
        <f>Ruimtestaat[[#This Row],[Uitvoeringen werkdagen]]*Ruimtestaat[[#This Row],[Oppervlak (netto)]]</f>
        <v>0</v>
      </c>
      <c r="W316" s="84">
        <f>IF(U316&gt;0,Ruimtestaat[[#This Row],[Prest. (m2 /jaar) werkdagen]]/Ruimtestaat[[#This Row],[Norm (m2/uur) werkdagen]],0)</f>
        <v>0</v>
      </c>
      <c r="X316" s="85">
        <f>Ruimtestaat[[#This Row],[uren / jaar werkdagen]]*Tariefsopbouw!$E$35</f>
        <v>0</v>
      </c>
      <c r="Y316" s="82"/>
      <c r="Z316" s="86">
        <f>IF(Ruimtestaat[[#This Row],[Frequentie weekend]]&gt;0,VALUE(LEFT(Y316,1))*R316,0)</f>
        <v>0</v>
      </c>
      <c r="AA316" s="82">
        <f>IF($Z316&gt;0,VLOOKUP($J316,Ruimtegroepen[],3,FALSE)*VLOOKUP($L316,Vloersoorten[],3,FALSE)*VLOOKUP($Y316,Frequenties[],3,FALSE)*VLOOKUP($A312,Locaties[],3,FALSE),0)</f>
        <v>0</v>
      </c>
      <c r="AB316" s="84">
        <f>Ruimtestaat[[#This Row],[Uitvoeringen weekend]]*Ruimtestaat[[#This Row],[Oppervlak (netto)]]</f>
        <v>0</v>
      </c>
      <c r="AC316" s="87">
        <f>IF(AB316&gt;0,Ruimtestaat[[#This Row],[Prest. (m2 /jaar) weekend]]/Ruimtestaat[[#This Row],[Norm (m2/uur) weekend]],0)</f>
        <v>0</v>
      </c>
      <c r="AD316" s="88">
        <f>Ruimtestaat[[#This Row],[uren / jaar weekend]]*Tariefsopbouw!$D$40</f>
        <v>0</v>
      </c>
      <c r="AE316" s="89">
        <f>Ruimtestaat[[#This Row],[Prest. (m2 /jaar) weekend]]+Ruimtestaat[[#This Row],[Prest. (m2 /jaar) werkdagen]]</f>
        <v>0</v>
      </c>
      <c r="AF316" s="89">
        <f>Ruimtestaat[[#This Row],[uren / jaar weekend]]+Ruimtestaat[[#This Row],[uren / jaar werkdagen]]</f>
        <v>0</v>
      </c>
      <c r="AG316" s="90">
        <f>Ruimtestaat[[#This Row],[kosten / jaar weekend]]+Ruimtestaat[[#This Row],[kosten / jaar werkdagen]]</f>
        <v>0</v>
      </c>
    </row>
    <row r="317" spans="1:33" ht="15" customHeight="1">
      <c r="A317" s="53">
        <v>2</v>
      </c>
      <c r="B317" s="53" t="str">
        <f>VLOOKUP(Ruimtestaat[[#This Row],[Code]],Locaties[#All],2,FALSE)</f>
        <v>Open Schoolgemeenschap Bijlmer</v>
      </c>
      <c r="C317" s="53" t="str">
        <f>VLOOKUP(Ruimtestaat[[#This Row],[Code]],Locaties[#All],4,FALSE)</f>
        <v>Gulden Kruis 5</v>
      </c>
      <c r="D317" s="53" t="str">
        <f>VLOOKUP(Ruimtestaat[[#This Row],[Code]],Locaties[#All],5,FALSE)</f>
        <v>1103 BE</v>
      </c>
      <c r="E317" s="53" t="str">
        <f>VLOOKUP(Ruimtestaat[[#This Row],[Code]],Locaties[#All],6,FALSE)</f>
        <v>Amsterdam Zuidoost</v>
      </c>
      <c r="F317" s="78"/>
      <c r="G317" s="53" t="s">
        <v>564</v>
      </c>
      <c r="H317" s="53" t="s">
        <v>707</v>
      </c>
      <c r="I317" s="78" t="s">
        <v>706</v>
      </c>
      <c r="J317" s="53">
        <v>20</v>
      </c>
      <c r="K317" s="78" t="str">
        <f>VLOOKUP(J317,Ruimtegroepen[],2,FALSE)</f>
        <v>Niet in onderhoud</v>
      </c>
      <c r="L317" s="53" t="s">
        <v>280</v>
      </c>
      <c r="M317" s="53" t="s">
        <v>566</v>
      </c>
      <c r="O317" s="92">
        <v>13.62</v>
      </c>
      <c r="P317" s="80" t="str">
        <f>LEFT(VLOOKUP(Ruimtestaat[[#This Row],[Ruimte code]],Ruimtegroepen[#All],4,1),2)</f>
        <v/>
      </c>
      <c r="Q317" s="93"/>
      <c r="R317" s="81"/>
      <c r="S317" s="81"/>
      <c r="T317" s="82">
        <f>IF(R317&gt;0,IF(RIGHT(Ruimtestaat[[#This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7" s="82">
        <f>IF(T317&gt;0,VLOOKUP($J317,Ruimtegroepen[],3,FALSE)*VLOOKUP($L317,Vloersoorten[],3,FALSE)*VLOOKUP($S317,Frequenties[],3,FALSE)*VLOOKUP($A317,Locaties[],3,FALSE),0)</f>
        <v>0</v>
      </c>
      <c r="V317" s="83">
        <f>Ruimtestaat[[#This Row],[Uitvoeringen werkdagen]]*Ruimtestaat[[#This Row],[Oppervlak (netto)]]</f>
        <v>0</v>
      </c>
      <c r="W317" s="84">
        <f>IF(U317&gt;0,Ruimtestaat[[#This Row],[Prest. (m2 /jaar) werkdagen]]/Ruimtestaat[[#This Row],[Norm (m2/uur) werkdagen]],0)</f>
        <v>0</v>
      </c>
      <c r="X317" s="85">
        <f>Ruimtestaat[[#This Row],[uren / jaar werkdagen]]*Tariefsopbouw!$E$35</f>
        <v>0</v>
      </c>
      <c r="Y317" s="82"/>
      <c r="Z317" s="86">
        <f>IF(Ruimtestaat[[#This Row],[Frequentie weekend]]&gt;0,VALUE(LEFT(Y317,1))*R317,0)</f>
        <v>0</v>
      </c>
      <c r="AA317" s="82">
        <f>IF($Z317&gt;0,VLOOKUP($J317,Ruimtegroepen[],3,FALSE)*VLOOKUP($L317,Vloersoorten[],3,FALSE)*VLOOKUP($Y317,Frequenties[],3,FALSE)*VLOOKUP($A313,Locaties[],3,FALSE),0)</f>
        <v>0</v>
      </c>
      <c r="AB317" s="84">
        <f>Ruimtestaat[[#This Row],[Uitvoeringen weekend]]*Ruimtestaat[[#This Row],[Oppervlak (netto)]]</f>
        <v>0</v>
      </c>
      <c r="AC317" s="87">
        <f>IF(AB317&gt;0,Ruimtestaat[[#This Row],[Prest. (m2 /jaar) weekend]]/Ruimtestaat[[#This Row],[Norm (m2/uur) weekend]],0)</f>
        <v>0</v>
      </c>
      <c r="AD317" s="88">
        <f>Ruimtestaat[[#This Row],[uren / jaar weekend]]*Tariefsopbouw!$D$40</f>
        <v>0</v>
      </c>
      <c r="AE317" s="89">
        <f>Ruimtestaat[[#This Row],[Prest. (m2 /jaar) weekend]]+Ruimtestaat[[#This Row],[Prest. (m2 /jaar) werkdagen]]</f>
        <v>0</v>
      </c>
      <c r="AF317" s="89">
        <f>Ruimtestaat[[#This Row],[uren / jaar weekend]]+Ruimtestaat[[#This Row],[uren / jaar werkdagen]]</f>
        <v>0</v>
      </c>
      <c r="AG317" s="90">
        <f>Ruimtestaat[[#This Row],[kosten / jaar weekend]]+Ruimtestaat[[#This Row],[kosten / jaar werkdagen]]</f>
        <v>0</v>
      </c>
    </row>
    <row r="318" spans="1:33" ht="15" customHeight="1">
      <c r="A318" s="53">
        <v>2</v>
      </c>
      <c r="B318" s="53" t="str">
        <f>VLOOKUP(Ruimtestaat[[#This Row],[Code]],Locaties[#All],2,FALSE)</f>
        <v>Open Schoolgemeenschap Bijlmer</v>
      </c>
      <c r="C318" s="53" t="str">
        <f>VLOOKUP(Ruimtestaat[[#This Row],[Code]],Locaties[#All],4,FALSE)</f>
        <v>Gulden Kruis 5</v>
      </c>
      <c r="D318" s="53" t="str">
        <f>VLOOKUP(Ruimtestaat[[#This Row],[Code]],Locaties[#All],5,FALSE)</f>
        <v>1103 BE</v>
      </c>
      <c r="E318" s="53" t="str">
        <f>VLOOKUP(Ruimtestaat[[#This Row],[Code]],Locaties[#All],6,FALSE)</f>
        <v>Amsterdam Zuidoost</v>
      </c>
      <c r="F318" s="78"/>
      <c r="G318" s="53" t="s">
        <v>564</v>
      </c>
      <c r="H318" s="53" t="s">
        <v>708</v>
      </c>
      <c r="I318" s="78" t="s">
        <v>571</v>
      </c>
      <c r="J318" s="53">
        <v>20</v>
      </c>
      <c r="K318" s="78" t="str">
        <f>VLOOKUP(J318,Ruimtegroepen[],2,FALSE)</f>
        <v>Niet in onderhoud</v>
      </c>
      <c r="L318" s="53" t="s">
        <v>280</v>
      </c>
      <c r="M318" s="53" t="s">
        <v>566</v>
      </c>
      <c r="O318" s="92">
        <v>27.86</v>
      </c>
      <c r="P318" s="80" t="str">
        <f>LEFT(VLOOKUP(Ruimtestaat[[#This Row],[Ruimte code]],Ruimtegroepen[#All],4,1),2)</f>
        <v/>
      </c>
      <c r="Q318" s="93"/>
      <c r="R318" s="81"/>
      <c r="S318" s="81"/>
      <c r="T318" s="82">
        <f>IF(R318&gt;0,IF(RIGHT(Ruimtestaat[[#This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18" s="82">
        <f>IF(T318&gt;0,VLOOKUP($J318,Ruimtegroepen[],3,FALSE)*VLOOKUP($L318,Vloersoorten[],3,FALSE)*VLOOKUP($S318,Frequenties[],3,FALSE)*VLOOKUP($A318,Locaties[],3,FALSE),0)</f>
        <v>0</v>
      </c>
      <c r="V318" s="83">
        <f>Ruimtestaat[[#This Row],[Uitvoeringen werkdagen]]*Ruimtestaat[[#This Row],[Oppervlak (netto)]]</f>
        <v>0</v>
      </c>
      <c r="W318" s="84">
        <f>IF(U318&gt;0,Ruimtestaat[[#This Row],[Prest. (m2 /jaar) werkdagen]]/Ruimtestaat[[#This Row],[Norm (m2/uur) werkdagen]],0)</f>
        <v>0</v>
      </c>
      <c r="X318" s="85">
        <f>Ruimtestaat[[#This Row],[uren / jaar werkdagen]]*Tariefsopbouw!$E$35</f>
        <v>0</v>
      </c>
      <c r="Y318" s="82"/>
      <c r="Z318" s="86">
        <f>IF(Ruimtestaat[[#This Row],[Frequentie weekend]]&gt;0,VALUE(LEFT(Y318,1))*R318,0)</f>
        <v>0</v>
      </c>
      <c r="AA318" s="82">
        <f>IF($Z318&gt;0,VLOOKUP($J318,Ruimtegroepen[],3,FALSE)*VLOOKUP($L318,Vloersoorten[],3,FALSE)*VLOOKUP($Y318,Frequenties[],3,FALSE)*VLOOKUP($A314,Locaties[],3,FALSE),0)</f>
        <v>0</v>
      </c>
      <c r="AB318" s="84">
        <f>Ruimtestaat[[#This Row],[Uitvoeringen weekend]]*Ruimtestaat[[#This Row],[Oppervlak (netto)]]</f>
        <v>0</v>
      </c>
      <c r="AC318" s="87">
        <f>IF(AB318&gt;0,Ruimtestaat[[#This Row],[Prest. (m2 /jaar) weekend]]/Ruimtestaat[[#This Row],[Norm (m2/uur) weekend]],0)</f>
        <v>0</v>
      </c>
      <c r="AD318" s="88">
        <f>Ruimtestaat[[#This Row],[uren / jaar weekend]]*Tariefsopbouw!$D$40</f>
        <v>0</v>
      </c>
      <c r="AE318" s="89">
        <f>Ruimtestaat[[#This Row],[Prest. (m2 /jaar) weekend]]+Ruimtestaat[[#This Row],[Prest. (m2 /jaar) werkdagen]]</f>
        <v>0</v>
      </c>
      <c r="AF318" s="89">
        <f>Ruimtestaat[[#This Row],[uren / jaar weekend]]+Ruimtestaat[[#This Row],[uren / jaar werkdagen]]</f>
        <v>0</v>
      </c>
      <c r="AG318" s="90">
        <f>Ruimtestaat[[#This Row],[kosten / jaar weekend]]+Ruimtestaat[[#This Row],[kosten / jaar werkdagen]]</f>
        <v>0</v>
      </c>
    </row>
    <row r="319" spans="1:33" ht="15" customHeight="1">
      <c r="A319" s="53">
        <v>2</v>
      </c>
      <c r="B319" s="53" t="str">
        <f>VLOOKUP(Ruimtestaat[[#This Row],[Code]],Locaties[#All],2,FALSE)</f>
        <v>Open Schoolgemeenschap Bijlmer</v>
      </c>
      <c r="C319" s="53" t="str">
        <f>VLOOKUP(Ruimtestaat[[#This Row],[Code]],Locaties[#All],4,FALSE)</f>
        <v>Gulden Kruis 5</v>
      </c>
      <c r="D319" s="53" t="str">
        <f>VLOOKUP(Ruimtestaat[[#This Row],[Code]],Locaties[#All],5,FALSE)</f>
        <v>1103 BE</v>
      </c>
      <c r="E319" s="53" t="str">
        <f>VLOOKUP(Ruimtestaat[[#This Row],[Code]],Locaties[#All],6,FALSE)</f>
        <v>Amsterdam Zuidoost</v>
      </c>
      <c r="F319" s="78"/>
      <c r="G319" s="53" t="s">
        <v>564</v>
      </c>
      <c r="H319" s="53" t="s">
        <v>709</v>
      </c>
      <c r="I319" s="78" t="s">
        <v>81</v>
      </c>
      <c r="J319" s="53">
        <v>10</v>
      </c>
      <c r="K319" s="78" t="str">
        <f>VLOOKUP(J319,Ruimtegroepen[],2,FALSE)</f>
        <v>Trappenhuizen/lift</v>
      </c>
      <c r="L319" s="53" t="s">
        <v>280</v>
      </c>
      <c r="M319" s="53" t="s">
        <v>566</v>
      </c>
      <c r="N319" s="92">
        <v>3</v>
      </c>
      <c r="O319" s="92"/>
      <c r="P319" s="80" t="str">
        <f>LEFT(VLOOKUP(Ruimtestaat[[#This Row],[Ruimte code]],Ruimtegroepen[#All],4,1),2)</f>
        <v xml:space="preserve">V </v>
      </c>
      <c r="Q319" s="93"/>
      <c r="R319" s="81">
        <v>40</v>
      </c>
      <c r="S319" s="81" t="s">
        <v>298</v>
      </c>
      <c r="T319" s="82">
        <f>IF(R319&gt;0,IF(RIGHT(Ruimtestaat[[#This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19" s="82">
        <f>IF(T319&gt;0,VLOOKUP($J319,Ruimtegroepen[],3,FALSE)*VLOOKUP($L319,Vloersoorten[],3,FALSE)*VLOOKUP($S319,Frequenties[],3,FALSE)*VLOOKUP($A319,Locaties[],3,FALSE),0)</f>
        <v>0</v>
      </c>
      <c r="V319" s="83">
        <f>Ruimtestaat[[#This Row],[Uitvoeringen werkdagen]]*Ruimtestaat[[#This Row],[Oppervlak (netto)]]</f>
        <v>600</v>
      </c>
      <c r="W319" s="84">
        <f>IF(U319&gt;0,Ruimtestaat[[#This Row],[Prest. (m2 /jaar) werkdagen]]/Ruimtestaat[[#This Row],[Norm (m2/uur) werkdagen]],0)</f>
        <v>0</v>
      </c>
      <c r="X319" s="85">
        <f>Ruimtestaat[[#This Row],[uren / jaar werkdagen]]*Tariefsopbouw!$E$35</f>
        <v>0</v>
      </c>
      <c r="Y319" s="82"/>
      <c r="Z319" s="86">
        <f>IF(Ruimtestaat[[#This Row],[Frequentie weekend]]&gt;0,VALUE(LEFT(Y319,1))*R319,0)</f>
        <v>0</v>
      </c>
      <c r="AA319" s="82">
        <f>IF($Z319&gt;0,VLOOKUP($J319,Ruimtegroepen[],3,FALSE)*VLOOKUP($L319,Vloersoorten[],3,FALSE)*VLOOKUP($Y319,Frequenties[],3,FALSE)*VLOOKUP($A315,Locaties[],3,FALSE),0)</f>
        <v>0</v>
      </c>
      <c r="AB319" s="84">
        <f>Ruimtestaat[[#This Row],[Uitvoeringen weekend]]*Ruimtestaat[[#This Row],[Oppervlak (netto)]]</f>
        <v>0</v>
      </c>
      <c r="AC319" s="87">
        <f>IF(AB319&gt;0,Ruimtestaat[[#This Row],[Prest. (m2 /jaar) weekend]]/Ruimtestaat[[#This Row],[Norm (m2/uur) weekend]],0)</f>
        <v>0</v>
      </c>
      <c r="AD319" s="88">
        <f>Ruimtestaat[[#This Row],[uren / jaar weekend]]*Tariefsopbouw!$D$40</f>
        <v>0</v>
      </c>
      <c r="AE319" s="89">
        <f>Ruimtestaat[[#This Row],[Prest. (m2 /jaar) weekend]]+Ruimtestaat[[#This Row],[Prest. (m2 /jaar) werkdagen]]</f>
        <v>600</v>
      </c>
      <c r="AF319" s="89">
        <f>Ruimtestaat[[#This Row],[uren / jaar weekend]]+Ruimtestaat[[#This Row],[uren / jaar werkdagen]]</f>
        <v>0</v>
      </c>
      <c r="AG319" s="90">
        <f>Ruimtestaat[[#This Row],[kosten / jaar weekend]]+Ruimtestaat[[#This Row],[kosten / jaar werkdagen]]</f>
        <v>0</v>
      </c>
    </row>
    <row r="320" spans="1:33" ht="15" customHeight="1">
      <c r="A320" s="53">
        <v>2</v>
      </c>
      <c r="B320" s="53" t="str">
        <f>VLOOKUP(Ruimtestaat[[#This Row],[Code]],Locaties[#All],2,FALSE)</f>
        <v>Open Schoolgemeenschap Bijlmer</v>
      </c>
      <c r="C320" s="53" t="str">
        <f>VLOOKUP(Ruimtestaat[[#This Row],[Code]],Locaties[#All],4,FALSE)</f>
        <v>Gulden Kruis 5</v>
      </c>
      <c r="D320" s="53" t="str">
        <f>VLOOKUP(Ruimtestaat[[#This Row],[Code]],Locaties[#All],5,FALSE)</f>
        <v>1103 BE</v>
      </c>
      <c r="E320" s="53" t="str">
        <f>VLOOKUP(Ruimtestaat[[#This Row],[Code]],Locaties[#All],6,FALSE)</f>
        <v>Amsterdam Zuidoost</v>
      </c>
      <c r="F320" s="78"/>
      <c r="G320" s="53" t="s">
        <v>450</v>
      </c>
      <c r="H320" s="53" t="s">
        <v>710</v>
      </c>
      <c r="I320" s="78" t="s">
        <v>428</v>
      </c>
      <c r="J320" s="53">
        <v>16</v>
      </c>
      <c r="K320" s="78" t="str">
        <f>VLOOKUP(J320,Ruimtegroepen[],2,FALSE)</f>
        <v>Leslokalen theorie</v>
      </c>
      <c r="L320" s="53" t="s">
        <v>285</v>
      </c>
      <c r="M320" s="53" t="s">
        <v>580</v>
      </c>
      <c r="N320" s="92">
        <v>65.319999999999993</v>
      </c>
      <c r="O320" s="92"/>
      <c r="P320" s="80" t="str">
        <f>LEFT(VLOOKUP(Ruimtestaat[[#This Row],[Ruimte code]],Ruimtegroepen[#All],4,1),2)</f>
        <v xml:space="preserve">L </v>
      </c>
      <c r="Q320" s="93"/>
      <c r="R320" s="81">
        <v>40</v>
      </c>
      <c r="S320" s="81" t="s">
        <v>298</v>
      </c>
      <c r="T320" s="82">
        <f>IF(R320&gt;0,IF(RIGHT(Ruimtestaat[[#This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0" s="82">
        <f>IF(T320&gt;0,VLOOKUP($J320,Ruimtegroepen[],3,FALSE)*VLOOKUP($L320,Vloersoorten[],3,FALSE)*VLOOKUP($S320,Frequenties[],3,FALSE)*VLOOKUP($A320,Locaties[],3,FALSE),0)</f>
        <v>0</v>
      </c>
      <c r="V320" s="83">
        <f>Ruimtestaat[[#This Row],[Uitvoeringen werkdagen]]*Ruimtestaat[[#This Row],[Oppervlak (netto)]]</f>
        <v>13063.999999999998</v>
      </c>
      <c r="W320" s="84">
        <f>IF(U320&gt;0,Ruimtestaat[[#This Row],[Prest. (m2 /jaar) werkdagen]]/Ruimtestaat[[#This Row],[Norm (m2/uur) werkdagen]],0)</f>
        <v>0</v>
      </c>
      <c r="X320" s="85">
        <f>Ruimtestaat[[#This Row],[uren / jaar werkdagen]]*Tariefsopbouw!$E$35</f>
        <v>0</v>
      </c>
      <c r="Y320" s="82"/>
      <c r="Z320" s="86">
        <f>IF(Ruimtestaat[[#This Row],[Frequentie weekend]]&gt;0,VALUE(LEFT(Y320,1))*R320,0)</f>
        <v>0</v>
      </c>
      <c r="AA320" s="82">
        <f>IF($Z320&gt;0,VLOOKUP($J320,Ruimtegroepen[],3,FALSE)*VLOOKUP($L320,Vloersoorten[],3,FALSE)*VLOOKUP($Y320,Frequenties[],3,FALSE)*VLOOKUP($A316,Locaties[],3,FALSE),0)</f>
        <v>0</v>
      </c>
      <c r="AB320" s="84">
        <f>Ruimtestaat[[#This Row],[Uitvoeringen weekend]]*Ruimtestaat[[#This Row],[Oppervlak (netto)]]</f>
        <v>0</v>
      </c>
      <c r="AC320" s="87">
        <f>IF(AB320&gt;0,Ruimtestaat[[#This Row],[Prest. (m2 /jaar) weekend]]/Ruimtestaat[[#This Row],[Norm (m2/uur) weekend]],0)</f>
        <v>0</v>
      </c>
      <c r="AD320" s="88">
        <f>Ruimtestaat[[#This Row],[uren / jaar weekend]]*Tariefsopbouw!$D$40</f>
        <v>0</v>
      </c>
      <c r="AE320" s="89">
        <f>Ruimtestaat[[#This Row],[Prest. (m2 /jaar) weekend]]+Ruimtestaat[[#This Row],[Prest. (m2 /jaar) werkdagen]]</f>
        <v>13063.999999999998</v>
      </c>
      <c r="AF320" s="89">
        <f>Ruimtestaat[[#This Row],[uren / jaar weekend]]+Ruimtestaat[[#This Row],[uren / jaar werkdagen]]</f>
        <v>0</v>
      </c>
      <c r="AG320" s="90">
        <f>Ruimtestaat[[#This Row],[kosten / jaar weekend]]+Ruimtestaat[[#This Row],[kosten / jaar werkdagen]]</f>
        <v>0</v>
      </c>
    </row>
    <row r="321" spans="1:33" ht="15" customHeight="1">
      <c r="A321" s="53">
        <v>2</v>
      </c>
      <c r="B321" s="53" t="str">
        <f>VLOOKUP(Ruimtestaat[[#This Row],[Code]],Locaties[#All],2,FALSE)</f>
        <v>Open Schoolgemeenschap Bijlmer</v>
      </c>
      <c r="C321" s="53" t="str">
        <f>VLOOKUP(Ruimtestaat[[#This Row],[Code]],Locaties[#All],4,FALSE)</f>
        <v>Gulden Kruis 5</v>
      </c>
      <c r="D321" s="53" t="str">
        <f>VLOOKUP(Ruimtestaat[[#This Row],[Code]],Locaties[#All],5,FALSE)</f>
        <v>1103 BE</v>
      </c>
      <c r="E321" s="53" t="str">
        <f>VLOOKUP(Ruimtestaat[[#This Row],[Code]],Locaties[#All],6,FALSE)</f>
        <v>Amsterdam Zuidoost</v>
      </c>
      <c r="F321" s="78"/>
      <c r="G321" s="53" t="s">
        <v>450</v>
      </c>
      <c r="H321" s="53" t="s">
        <v>711</v>
      </c>
      <c r="I321" s="78" t="s">
        <v>428</v>
      </c>
      <c r="J321" s="53">
        <v>16</v>
      </c>
      <c r="K321" s="78" t="str">
        <f>VLOOKUP(J321,Ruimtegroepen[],2,FALSE)</f>
        <v>Leslokalen theorie</v>
      </c>
      <c r="L321" s="53" t="s">
        <v>285</v>
      </c>
      <c r="M321" s="53" t="s">
        <v>580</v>
      </c>
      <c r="N321" s="92">
        <v>65.319999999999993</v>
      </c>
      <c r="O321" s="92"/>
      <c r="P321" s="80" t="str">
        <f>LEFT(VLOOKUP(Ruimtestaat[[#This Row],[Ruimte code]],Ruimtegroepen[#All],4,1),2)</f>
        <v xml:space="preserve">L </v>
      </c>
      <c r="Q321" s="93"/>
      <c r="R321" s="81">
        <v>40</v>
      </c>
      <c r="S321" s="81" t="s">
        <v>298</v>
      </c>
      <c r="T321" s="82">
        <f>IF(R321&gt;0,IF(RIGHT(Ruimtestaat[[#This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1" s="82">
        <f>IF(T321&gt;0,VLOOKUP($J321,Ruimtegroepen[],3,FALSE)*VLOOKUP($L321,Vloersoorten[],3,FALSE)*VLOOKUP($S321,Frequenties[],3,FALSE)*VLOOKUP($A321,Locaties[],3,FALSE),0)</f>
        <v>0</v>
      </c>
      <c r="V321" s="83">
        <f>Ruimtestaat[[#This Row],[Uitvoeringen werkdagen]]*Ruimtestaat[[#This Row],[Oppervlak (netto)]]</f>
        <v>13063.999999999998</v>
      </c>
      <c r="W321" s="84">
        <f>IF(U321&gt;0,Ruimtestaat[[#This Row],[Prest. (m2 /jaar) werkdagen]]/Ruimtestaat[[#This Row],[Norm (m2/uur) werkdagen]],0)</f>
        <v>0</v>
      </c>
      <c r="X321" s="85">
        <f>Ruimtestaat[[#This Row],[uren / jaar werkdagen]]*Tariefsopbouw!$E$35</f>
        <v>0</v>
      </c>
      <c r="Y321" s="82"/>
      <c r="Z321" s="86">
        <f>IF(Ruimtestaat[[#This Row],[Frequentie weekend]]&gt;0,VALUE(LEFT(Y321,1))*R321,0)</f>
        <v>0</v>
      </c>
      <c r="AA321" s="82">
        <f>IF($Z321&gt;0,VLOOKUP($J321,Ruimtegroepen[],3,FALSE)*VLOOKUP($L321,Vloersoorten[],3,FALSE)*VLOOKUP($Y321,Frequenties[],3,FALSE)*VLOOKUP($A317,Locaties[],3,FALSE),0)</f>
        <v>0</v>
      </c>
      <c r="AB321" s="84">
        <f>Ruimtestaat[[#This Row],[Uitvoeringen weekend]]*Ruimtestaat[[#This Row],[Oppervlak (netto)]]</f>
        <v>0</v>
      </c>
      <c r="AC321" s="87">
        <f>IF(AB321&gt;0,Ruimtestaat[[#This Row],[Prest. (m2 /jaar) weekend]]/Ruimtestaat[[#This Row],[Norm (m2/uur) weekend]],0)</f>
        <v>0</v>
      </c>
      <c r="AD321" s="88">
        <f>Ruimtestaat[[#This Row],[uren / jaar weekend]]*Tariefsopbouw!$D$40</f>
        <v>0</v>
      </c>
      <c r="AE321" s="89">
        <f>Ruimtestaat[[#This Row],[Prest. (m2 /jaar) weekend]]+Ruimtestaat[[#This Row],[Prest. (m2 /jaar) werkdagen]]</f>
        <v>13063.999999999998</v>
      </c>
      <c r="AF321" s="89">
        <f>Ruimtestaat[[#This Row],[uren / jaar weekend]]+Ruimtestaat[[#This Row],[uren / jaar werkdagen]]</f>
        <v>0</v>
      </c>
      <c r="AG321" s="90">
        <f>Ruimtestaat[[#This Row],[kosten / jaar weekend]]+Ruimtestaat[[#This Row],[kosten / jaar werkdagen]]</f>
        <v>0</v>
      </c>
    </row>
    <row r="322" spans="1:33" ht="15" customHeight="1">
      <c r="A322" s="53">
        <v>2</v>
      </c>
      <c r="B322" s="53" t="str">
        <f>VLOOKUP(Ruimtestaat[[#This Row],[Code]],Locaties[#All],2,FALSE)</f>
        <v>Open Schoolgemeenschap Bijlmer</v>
      </c>
      <c r="C322" s="53" t="str">
        <f>VLOOKUP(Ruimtestaat[[#This Row],[Code]],Locaties[#All],4,FALSE)</f>
        <v>Gulden Kruis 5</v>
      </c>
      <c r="D322" s="53" t="str">
        <f>VLOOKUP(Ruimtestaat[[#This Row],[Code]],Locaties[#All],5,FALSE)</f>
        <v>1103 BE</v>
      </c>
      <c r="E322" s="53" t="str">
        <f>VLOOKUP(Ruimtestaat[[#This Row],[Code]],Locaties[#All],6,FALSE)</f>
        <v>Amsterdam Zuidoost</v>
      </c>
      <c r="F322" s="78"/>
      <c r="G322" s="53" t="s">
        <v>450</v>
      </c>
      <c r="H322" s="53" t="s">
        <v>712</v>
      </c>
      <c r="I322" s="78" t="s">
        <v>428</v>
      </c>
      <c r="J322" s="53">
        <v>16</v>
      </c>
      <c r="K322" s="78" t="str">
        <f>VLOOKUP(J322,Ruimtegroepen[],2,FALSE)</f>
        <v>Leslokalen theorie</v>
      </c>
      <c r="L322" s="53" t="s">
        <v>285</v>
      </c>
      <c r="M322" s="53" t="s">
        <v>580</v>
      </c>
      <c r="N322" s="92">
        <v>65.319999999999993</v>
      </c>
      <c r="O322" s="92"/>
      <c r="P322" s="80" t="str">
        <f>LEFT(VLOOKUP(Ruimtestaat[[#This Row],[Ruimte code]],Ruimtegroepen[#All],4,1),2)</f>
        <v xml:space="preserve">L </v>
      </c>
      <c r="Q322" s="93"/>
      <c r="R322" s="81">
        <v>40</v>
      </c>
      <c r="S322" s="81" t="s">
        <v>298</v>
      </c>
      <c r="T322" s="82">
        <f>IF(R322&gt;0,IF(RIGHT(Ruimtestaat[[#This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2" s="82">
        <f>IF(T322&gt;0,VLOOKUP($J322,Ruimtegroepen[],3,FALSE)*VLOOKUP($L322,Vloersoorten[],3,FALSE)*VLOOKUP($S322,Frequenties[],3,FALSE)*VLOOKUP($A322,Locaties[],3,FALSE),0)</f>
        <v>0</v>
      </c>
      <c r="V322" s="83">
        <f>Ruimtestaat[[#This Row],[Uitvoeringen werkdagen]]*Ruimtestaat[[#This Row],[Oppervlak (netto)]]</f>
        <v>13063.999999999998</v>
      </c>
      <c r="W322" s="84">
        <f>IF(U322&gt;0,Ruimtestaat[[#This Row],[Prest. (m2 /jaar) werkdagen]]/Ruimtestaat[[#This Row],[Norm (m2/uur) werkdagen]],0)</f>
        <v>0</v>
      </c>
      <c r="X322" s="85">
        <f>Ruimtestaat[[#This Row],[uren / jaar werkdagen]]*Tariefsopbouw!$E$35</f>
        <v>0</v>
      </c>
      <c r="Y322" s="82"/>
      <c r="Z322" s="86">
        <f>IF(Ruimtestaat[[#This Row],[Frequentie weekend]]&gt;0,VALUE(LEFT(Y322,1))*R322,0)</f>
        <v>0</v>
      </c>
      <c r="AA322" s="82">
        <f>IF($Z322&gt;0,VLOOKUP($J322,Ruimtegroepen[],3,FALSE)*VLOOKUP($L322,Vloersoorten[],3,FALSE)*VLOOKUP($Y322,Frequenties[],3,FALSE)*VLOOKUP($A318,Locaties[],3,FALSE),0)</f>
        <v>0</v>
      </c>
      <c r="AB322" s="84">
        <f>Ruimtestaat[[#This Row],[Uitvoeringen weekend]]*Ruimtestaat[[#This Row],[Oppervlak (netto)]]</f>
        <v>0</v>
      </c>
      <c r="AC322" s="87">
        <f>IF(AB322&gt;0,Ruimtestaat[[#This Row],[Prest. (m2 /jaar) weekend]]/Ruimtestaat[[#This Row],[Norm (m2/uur) weekend]],0)</f>
        <v>0</v>
      </c>
      <c r="AD322" s="88">
        <f>Ruimtestaat[[#This Row],[uren / jaar weekend]]*Tariefsopbouw!$D$40</f>
        <v>0</v>
      </c>
      <c r="AE322" s="89">
        <f>Ruimtestaat[[#This Row],[Prest. (m2 /jaar) weekend]]+Ruimtestaat[[#This Row],[Prest. (m2 /jaar) werkdagen]]</f>
        <v>13063.999999999998</v>
      </c>
      <c r="AF322" s="89">
        <f>Ruimtestaat[[#This Row],[uren / jaar weekend]]+Ruimtestaat[[#This Row],[uren / jaar werkdagen]]</f>
        <v>0</v>
      </c>
      <c r="AG322" s="90">
        <f>Ruimtestaat[[#This Row],[kosten / jaar weekend]]+Ruimtestaat[[#This Row],[kosten / jaar werkdagen]]</f>
        <v>0</v>
      </c>
    </row>
    <row r="323" spans="1:33" ht="15" customHeight="1">
      <c r="A323" s="53">
        <v>2</v>
      </c>
      <c r="B323" s="53" t="str">
        <f>VLOOKUP(Ruimtestaat[[#This Row],[Code]],Locaties[#All],2,FALSE)</f>
        <v>Open Schoolgemeenschap Bijlmer</v>
      </c>
      <c r="C323" s="53" t="str">
        <f>VLOOKUP(Ruimtestaat[[#This Row],[Code]],Locaties[#All],4,FALSE)</f>
        <v>Gulden Kruis 5</v>
      </c>
      <c r="D323" s="53" t="str">
        <f>VLOOKUP(Ruimtestaat[[#This Row],[Code]],Locaties[#All],5,FALSE)</f>
        <v>1103 BE</v>
      </c>
      <c r="E323" s="53" t="str">
        <f>VLOOKUP(Ruimtestaat[[#This Row],[Code]],Locaties[#All],6,FALSE)</f>
        <v>Amsterdam Zuidoost</v>
      </c>
      <c r="F323" s="78"/>
      <c r="G323" s="53" t="s">
        <v>450</v>
      </c>
      <c r="H323" s="53" t="s">
        <v>713</v>
      </c>
      <c r="I323" s="78" t="s">
        <v>428</v>
      </c>
      <c r="J323" s="53">
        <v>16</v>
      </c>
      <c r="K323" s="78" t="str">
        <f>VLOOKUP(J323,Ruimtegroepen[],2,FALSE)</f>
        <v>Leslokalen theorie</v>
      </c>
      <c r="L323" s="53" t="s">
        <v>285</v>
      </c>
      <c r="M323" s="53" t="s">
        <v>580</v>
      </c>
      <c r="N323" s="92">
        <v>65.319999999999993</v>
      </c>
      <c r="O323" s="92"/>
      <c r="P323" s="80" t="str">
        <f>LEFT(VLOOKUP(Ruimtestaat[[#This Row],[Ruimte code]],Ruimtegroepen[#All],4,1),2)</f>
        <v xml:space="preserve">L </v>
      </c>
      <c r="Q323" s="93"/>
      <c r="R323" s="81">
        <v>40</v>
      </c>
      <c r="S323" s="81" t="s">
        <v>298</v>
      </c>
      <c r="T323" s="82">
        <f>IF(R323&gt;0,IF(RIGHT(Ruimtestaat[[#This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3" s="82">
        <f>IF(T323&gt;0,VLOOKUP($J323,Ruimtegroepen[],3,FALSE)*VLOOKUP($L323,Vloersoorten[],3,FALSE)*VLOOKUP($S323,Frequenties[],3,FALSE)*VLOOKUP($A323,Locaties[],3,FALSE),0)</f>
        <v>0</v>
      </c>
      <c r="V323" s="83">
        <f>Ruimtestaat[[#This Row],[Uitvoeringen werkdagen]]*Ruimtestaat[[#This Row],[Oppervlak (netto)]]</f>
        <v>13063.999999999998</v>
      </c>
      <c r="W323" s="84">
        <f>IF(U323&gt;0,Ruimtestaat[[#This Row],[Prest. (m2 /jaar) werkdagen]]/Ruimtestaat[[#This Row],[Norm (m2/uur) werkdagen]],0)</f>
        <v>0</v>
      </c>
      <c r="X323" s="85">
        <f>Ruimtestaat[[#This Row],[uren / jaar werkdagen]]*Tariefsopbouw!$E$35</f>
        <v>0</v>
      </c>
      <c r="Y323" s="82"/>
      <c r="Z323" s="86">
        <f>IF(Ruimtestaat[[#This Row],[Frequentie weekend]]&gt;0,VALUE(LEFT(Y323,1))*R323,0)</f>
        <v>0</v>
      </c>
      <c r="AA323" s="82">
        <f>IF($Z323&gt;0,VLOOKUP($J323,Ruimtegroepen[],3,FALSE)*VLOOKUP($L323,Vloersoorten[],3,FALSE)*VLOOKUP($Y323,Frequenties[],3,FALSE)*VLOOKUP($A319,Locaties[],3,FALSE),0)</f>
        <v>0</v>
      </c>
      <c r="AB323" s="84">
        <f>Ruimtestaat[[#This Row],[Uitvoeringen weekend]]*Ruimtestaat[[#This Row],[Oppervlak (netto)]]</f>
        <v>0</v>
      </c>
      <c r="AC323" s="87">
        <f>IF(AB323&gt;0,Ruimtestaat[[#This Row],[Prest. (m2 /jaar) weekend]]/Ruimtestaat[[#This Row],[Norm (m2/uur) weekend]],0)</f>
        <v>0</v>
      </c>
      <c r="AD323" s="88">
        <f>Ruimtestaat[[#This Row],[uren / jaar weekend]]*Tariefsopbouw!$D$40</f>
        <v>0</v>
      </c>
      <c r="AE323" s="89">
        <f>Ruimtestaat[[#This Row],[Prest. (m2 /jaar) weekend]]+Ruimtestaat[[#This Row],[Prest. (m2 /jaar) werkdagen]]</f>
        <v>13063.999999999998</v>
      </c>
      <c r="AF323" s="89">
        <f>Ruimtestaat[[#This Row],[uren / jaar weekend]]+Ruimtestaat[[#This Row],[uren / jaar werkdagen]]</f>
        <v>0</v>
      </c>
      <c r="AG323" s="90">
        <f>Ruimtestaat[[#This Row],[kosten / jaar weekend]]+Ruimtestaat[[#This Row],[kosten / jaar werkdagen]]</f>
        <v>0</v>
      </c>
    </row>
    <row r="324" spans="1:33" ht="15" customHeight="1">
      <c r="A324" s="53">
        <v>2</v>
      </c>
      <c r="B324" s="53" t="str">
        <f>VLOOKUP(Ruimtestaat[[#This Row],[Code]],Locaties[#All],2,FALSE)</f>
        <v>Open Schoolgemeenschap Bijlmer</v>
      </c>
      <c r="C324" s="53" t="str">
        <f>VLOOKUP(Ruimtestaat[[#This Row],[Code]],Locaties[#All],4,FALSE)</f>
        <v>Gulden Kruis 5</v>
      </c>
      <c r="D324" s="53" t="str">
        <f>VLOOKUP(Ruimtestaat[[#This Row],[Code]],Locaties[#All],5,FALSE)</f>
        <v>1103 BE</v>
      </c>
      <c r="E324" s="53" t="str">
        <f>VLOOKUP(Ruimtestaat[[#This Row],[Code]],Locaties[#All],6,FALSE)</f>
        <v>Amsterdam Zuidoost</v>
      </c>
      <c r="F324" s="78"/>
      <c r="G324" s="53" t="s">
        <v>450</v>
      </c>
      <c r="H324" s="53" t="s">
        <v>714</v>
      </c>
      <c r="I324" s="78" t="s">
        <v>359</v>
      </c>
      <c r="J324" s="53">
        <v>2</v>
      </c>
      <c r="K324" s="78" t="str">
        <f>VLOOKUP(J324,Ruimtegroepen[],2,FALSE)</f>
        <v>Kantoren</v>
      </c>
      <c r="L324" s="53" t="s">
        <v>283</v>
      </c>
      <c r="M324" s="53" t="s">
        <v>576</v>
      </c>
      <c r="N324" s="92">
        <v>10</v>
      </c>
      <c r="O324" s="92"/>
      <c r="P324" s="80" t="str">
        <f>LEFT(VLOOKUP(Ruimtestaat[[#This Row],[Ruimte code]],Ruimtegroepen[#All],4,1),2)</f>
        <v xml:space="preserve">B </v>
      </c>
      <c r="Q324" s="93"/>
      <c r="R324" s="81">
        <v>40</v>
      </c>
      <c r="S324" s="81" t="s">
        <v>298</v>
      </c>
      <c r="T324" s="82">
        <f>IF(R324&gt;0,IF(RIGHT(Ruimtestaat[[#This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4" s="82">
        <f>IF(T324&gt;0,VLOOKUP($J324,Ruimtegroepen[],3,FALSE)*VLOOKUP($L324,Vloersoorten[],3,FALSE)*VLOOKUP($S324,Frequenties[],3,FALSE)*VLOOKUP($A324,Locaties[],3,FALSE),0)</f>
        <v>0</v>
      </c>
      <c r="V324" s="83">
        <f>Ruimtestaat[[#This Row],[Uitvoeringen werkdagen]]*Ruimtestaat[[#This Row],[Oppervlak (netto)]]</f>
        <v>2000</v>
      </c>
      <c r="W324" s="84">
        <f>IF(U324&gt;0,Ruimtestaat[[#This Row],[Prest. (m2 /jaar) werkdagen]]/Ruimtestaat[[#This Row],[Norm (m2/uur) werkdagen]],0)</f>
        <v>0</v>
      </c>
      <c r="X324" s="85">
        <f>Ruimtestaat[[#This Row],[uren / jaar werkdagen]]*Tariefsopbouw!$E$35</f>
        <v>0</v>
      </c>
      <c r="Y324" s="82"/>
      <c r="Z324" s="86">
        <f>IF(Ruimtestaat[[#This Row],[Frequentie weekend]]&gt;0,VALUE(LEFT(Y324,1))*R324,0)</f>
        <v>0</v>
      </c>
      <c r="AA324" s="82">
        <f>IF($Z324&gt;0,VLOOKUP($J324,Ruimtegroepen[],3,FALSE)*VLOOKUP($L324,Vloersoorten[],3,FALSE)*VLOOKUP($Y324,Frequenties[],3,FALSE)*VLOOKUP($A320,Locaties[],3,FALSE),0)</f>
        <v>0</v>
      </c>
      <c r="AB324" s="84">
        <f>Ruimtestaat[[#This Row],[Uitvoeringen weekend]]*Ruimtestaat[[#This Row],[Oppervlak (netto)]]</f>
        <v>0</v>
      </c>
      <c r="AC324" s="87">
        <f>IF(AB324&gt;0,Ruimtestaat[[#This Row],[Prest. (m2 /jaar) weekend]]/Ruimtestaat[[#This Row],[Norm (m2/uur) weekend]],0)</f>
        <v>0</v>
      </c>
      <c r="AD324" s="88">
        <f>Ruimtestaat[[#This Row],[uren / jaar weekend]]*Tariefsopbouw!$D$40</f>
        <v>0</v>
      </c>
      <c r="AE324" s="89">
        <f>Ruimtestaat[[#This Row],[Prest. (m2 /jaar) weekend]]+Ruimtestaat[[#This Row],[Prest. (m2 /jaar) werkdagen]]</f>
        <v>2000</v>
      </c>
      <c r="AF324" s="89">
        <f>Ruimtestaat[[#This Row],[uren / jaar weekend]]+Ruimtestaat[[#This Row],[uren / jaar werkdagen]]</f>
        <v>0</v>
      </c>
      <c r="AG324" s="90">
        <f>Ruimtestaat[[#This Row],[kosten / jaar weekend]]+Ruimtestaat[[#This Row],[kosten / jaar werkdagen]]</f>
        <v>0</v>
      </c>
    </row>
    <row r="325" spans="1:33" ht="15" customHeight="1">
      <c r="A325" s="53">
        <v>2</v>
      </c>
      <c r="B325" s="53" t="str">
        <f>VLOOKUP(Ruimtestaat[[#This Row],[Code]],Locaties[#All],2,FALSE)</f>
        <v>Open Schoolgemeenschap Bijlmer</v>
      </c>
      <c r="C325" s="53" t="str">
        <f>VLOOKUP(Ruimtestaat[[#This Row],[Code]],Locaties[#All],4,FALSE)</f>
        <v>Gulden Kruis 5</v>
      </c>
      <c r="D325" s="53" t="str">
        <f>VLOOKUP(Ruimtestaat[[#This Row],[Code]],Locaties[#All],5,FALSE)</f>
        <v>1103 BE</v>
      </c>
      <c r="E325" s="53" t="str">
        <f>VLOOKUP(Ruimtestaat[[#This Row],[Code]],Locaties[#All],6,FALSE)</f>
        <v>Amsterdam Zuidoost</v>
      </c>
      <c r="F325" s="78"/>
      <c r="G325" s="53" t="s">
        <v>450</v>
      </c>
      <c r="H325" s="53" t="s">
        <v>715</v>
      </c>
      <c r="I325" s="78" t="s">
        <v>359</v>
      </c>
      <c r="J325" s="53">
        <v>2</v>
      </c>
      <c r="K325" s="78" t="str">
        <f>VLOOKUP(J325,Ruimtegroepen[],2,FALSE)</f>
        <v>Kantoren</v>
      </c>
      <c r="L325" s="53" t="s">
        <v>283</v>
      </c>
      <c r="M325" s="53" t="s">
        <v>576</v>
      </c>
      <c r="N325" s="92">
        <v>10</v>
      </c>
      <c r="O325" s="92"/>
      <c r="P325" s="80" t="str">
        <f>LEFT(VLOOKUP(Ruimtestaat[[#This Row],[Ruimte code]],Ruimtegroepen[#All],4,1),2)</f>
        <v xml:space="preserve">B </v>
      </c>
      <c r="Q325" s="93"/>
      <c r="R325" s="81">
        <v>40</v>
      </c>
      <c r="S325" s="81" t="s">
        <v>298</v>
      </c>
      <c r="T325" s="82">
        <f>IF(R325&gt;0,IF(RIGHT(Ruimtestaat[[#This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5" s="82">
        <f>IF(T325&gt;0,VLOOKUP($J325,Ruimtegroepen[],3,FALSE)*VLOOKUP($L325,Vloersoorten[],3,FALSE)*VLOOKUP($S325,Frequenties[],3,FALSE)*VLOOKUP($A325,Locaties[],3,FALSE),0)</f>
        <v>0</v>
      </c>
      <c r="V325" s="83">
        <f>Ruimtestaat[[#This Row],[Uitvoeringen werkdagen]]*Ruimtestaat[[#This Row],[Oppervlak (netto)]]</f>
        <v>2000</v>
      </c>
      <c r="W325" s="84">
        <f>IF(U325&gt;0,Ruimtestaat[[#This Row],[Prest. (m2 /jaar) werkdagen]]/Ruimtestaat[[#This Row],[Norm (m2/uur) werkdagen]],0)</f>
        <v>0</v>
      </c>
      <c r="X325" s="85">
        <f>Ruimtestaat[[#This Row],[uren / jaar werkdagen]]*Tariefsopbouw!$E$35</f>
        <v>0</v>
      </c>
      <c r="Y325" s="82"/>
      <c r="Z325" s="86">
        <f>IF(Ruimtestaat[[#This Row],[Frequentie weekend]]&gt;0,VALUE(LEFT(Y325,1))*R325,0)</f>
        <v>0</v>
      </c>
      <c r="AA325" s="82">
        <f>IF($Z325&gt;0,VLOOKUP($J325,Ruimtegroepen[],3,FALSE)*VLOOKUP($L325,Vloersoorten[],3,FALSE)*VLOOKUP($Y325,Frequenties[],3,FALSE)*VLOOKUP($A321,Locaties[],3,FALSE),0)</f>
        <v>0</v>
      </c>
      <c r="AB325" s="84">
        <f>Ruimtestaat[[#This Row],[Uitvoeringen weekend]]*Ruimtestaat[[#This Row],[Oppervlak (netto)]]</f>
        <v>0</v>
      </c>
      <c r="AC325" s="87">
        <f>IF(AB325&gt;0,Ruimtestaat[[#This Row],[Prest. (m2 /jaar) weekend]]/Ruimtestaat[[#This Row],[Norm (m2/uur) weekend]],0)</f>
        <v>0</v>
      </c>
      <c r="AD325" s="88">
        <f>Ruimtestaat[[#This Row],[uren / jaar weekend]]*Tariefsopbouw!$D$40</f>
        <v>0</v>
      </c>
      <c r="AE325" s="89">
        <f>Ruimtestaat[[#This Row],[Prest. (m2 /jaar) weekend]]+Ruimtestaat[[#This Row],[Prest. (m2 /jaar) werkdagen]]</f>
        <v>2000</v>
      </c>
      <c r="AF325" s="89">
        <f>Ruimtestaat[[#This Row],[uren / jaar weekend]]+Ruimtestaat[[#This Row],[uren / jaar werkdagen]]</f>
        <v>0</v>
      </c>
      <c r="AG325" s="90">
        <f>Ruimtestaat[[#This Row],[kosten / jaar weekend]]+Ruimtestaat[[#This Row],[kosten / jaar werkdagen]]</f>
        <v>0</v>
      </c>
    </row>
    <row r="326" spans="1:33" ht="15" customHeight="1">
      <c r="A326" s="53">
        <v>2</v>
      </c>
      <c r="B326" s="53" t="str">
        <f>VLOOKUP(Ruimtestaat[[#This Row],[Code]],Locaties[#All],2,FALSE)</f>
        <v>Open Schoolgemeenschap Bijlmer</v>
      </c>
      <c r="C326" s="53" t="str">
        <f>VLOOKUP(Ruimtestaat[[#This Row],[Code]],Locaties[#All],4,FALSE)</f>
        <v>Gulden Kruis 5</v>
      </c>
      <c r="D326" s="53" t="str">
        <f>VLOOKUP(Ruimtestaat[[#This Row],[Code]],Locaties[#All],5,FALSE)</f>
        <v>1103 BE</v>
      </c>
      <c r="E326" s="53" t="str">
        <f>VLOOKUP(Ruimtestaat[[#This Row],[Code]],Locaties[#All],6,FALSE)</f>
        <v>Amsterdam Zuidoost</v>
      </c>
      <c r="F326" s="78"/>
      <c r="G326" s="53" t="s">
        <v>450</v>
      </c>
      <c r="H326" s="53" t="s">
        <v>716</v>
      </c>
      <c r="I326" s="78" t="s">
        <v>456</v>
      </c>
      <c r="J326" s="53">
        <v>6</v>
      </c>
      <c r="K326" s="78" t="str">
        <f>VLOOKUP(J326,Ruimtegroepen[],2,FALSE)</f>
        <v>Gangen/hallen</v>
      </c>
      <c r="L326" s="53" t="s">
        <v>285</v>
      </c>
      <c r="M326" s="53" t="s">
        <v>580</v>
      </c>
      <c r="N326" s="92">
        <v>168.28</v>
      </c>
      <c r="O326" s="92"/>
      <c r="P326" s="80" t="str">
        <f>LEFT(VLOOKUP(Ruimtestaat[[#This Row],[Ruimte code]],Ruimtegroepen[#All],4,1),2)</f>
        <v xml:space="preserve">V </v>
      </c>
      <c r="Q326" s="93"/>
      <c r="R326" s="81">
        <v>40</v>
      </c>
      <c r="S326" s="81" t="s">
        <v>298</v>
      </c>
      <c r="T326" s="82">
        <f>IF(R326&gt;0,IF(RIGHT(Ruimtestaat[[#This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6" s="82">
        <f>IF(T326&gt;0,VLOOKUP($J326,Ruimtegroepen[],3,FALSE)*VLOOKUP($L326,Vloersoorten[],3,FALSE)*VLOOKUP($S326,Frequenties[],3,FALSE)*VLOOKUP($A326,Locaties[],3,FALSE),0)</f>
        <v>0</v>
      </c>
      <c r="V326" s="83">
        <f>Ruimtestaat[[#This Row],[Uitvoeringen werkdagen]]*Ruimtestaat[[#This Row],[Oppervlak (netto)]]</f>
        <v>33656</v>
      </c>
      <c r="W326" s="84">
        <f>IF(U326&gt;0,Ruimtestaat[[#This Row],[Prest. (m2 /jaar) werkdagen]]/Ruimtestaat[[#This Row],[Norm (m2/uur) werkdagen]],0)</f>
        <v>0</v>
      </c>
      <c r="X326" s="85">
        <f>Ruimtestaat[[#This Row],[uren / jaar werkdagen]]*Tariefsopbouw!$E$35</f>
        <v>0</v>
      </c>
      <c r="Y326" s="82"/>
      <c r="Z326" s="86">
        <f>IF(Ruimtestaat[[#This Row],[Frequentie weekend]]&gt;0,VALUE(LEFT(Y326,1))*R326,0)</f>
        <v>0</v>
      </c>
      <c r="AA326" s="82">
        <f>IF($Z326&gt;0,VLOOKUP($J326,Ruimtegroepen[],3,FALSE)*VLOOKUP($L326,Vloersoorten[],3,FALSE)*VLOOKUP($Y326,Frequenties[],3,FALSE)*VLOOKUP($A322,Locaties[],3,FALSE),0)</f>
        <v>0</v>
      </c>
      <c r="AB326" s="84">
        <f>Ruimtestaat[[#This Row],[Uitvoeringen weekend]]*Ruimtestaat[[#This Row],[Oppervlak (netto)]]</f>
        <v>0</v>
      </c>
      <c r="AC326" s="87">
        <f>IF(AB326&gt;0,Ruimtestaat[[#This Row],[Prest. (m2 /jaar) weekend]]/Ruimtestaat[[#This Row],[Norm (m2/uur) weekend]],0)</f>
        <v>0</v>
      </c>
      <c r="AD326" s="88">
        <f>Ruimtestaat[[#This Row],[uren / jaar weekend]]*Tariefsopbouw!$D$40</f>
        <v>0</v>
      </c>
      <c r="AE326" s="89">
        <f>Ruimtestaat[[#This Row],[Prest. (m2 /jaar) weekend]]+Ruimtestaat[[#This Row],[Prest. (m2 /jaar) werkdagen]]</f>
        <v>33656</v>
      </c>
      <c r="AF326" s="89">
        <f>Ruimtestaat[[#This Row],[uren / jaar weekend]]+Ruimtestaat[[#This Row],[uren / jaar werkdagen]]</f>
        <v>0</v>
      </c>
      <c r="AG326" s="90">
        <f>Ruimtestaat[[#This Row],[kosten / jaar weekend]]+Ruimtestaat[[#This Row],[kosten / jaar werkdagen]]</f>
        <v>0</v>
      </c>
    </row>
    <row r="327" spans="1:33" ht="15" customHeight="1">
      <c r="A327" s="53">
        <v>2</v>
      </c>
      <c r="B327" s="53" t="str">
        <f>VLOOKUP(Ruimtestaat[[#This Row],[Code]],Locaties[#All],2,FALSE)</f>
        <v>Open Schoolgemeenschap Bijlmer</v>
      </c>
      <c r="C327" s="53" t="str">
        <f>VLOOKUP(Ruimtestaat[[#This Row],[Code]],Locaties[#All],4,FALSE)</f>
        <v>Gulden Kruis 5</v>
      </c>
      <c r="D327" s="53" t="str">
        <f>VLOOKUP(Ruimtestaat[[#This Row],[Code]],Locaties[#All],5,FALSE)</f>
        <v>1103 BE</v>
      </c>
      <c r="E327" s="53" t="str">
        <f>VLOOKUP(Ruimtestaat[[#This Row],[Code]],Locaties[#All],6,FALSE)</f>
        <v>Amsterdam Zuidoost</v>
      </c>
      <c r="F327" s="78"/>
      <c r="G327" s="53" t="s">
        <v>450</v>
      </c>
      <c r="H327" s="53" t="s">
        <v>717</v>
      </c>
      <c r="I327" s="78" t="s">
        <v>359</v>
      </c>
      <c r="J327" s="53">
        <v>2</v>
      </c>
      <c r="K327" s="78" t="str">
        <f>VLOOKUP(J327,Ruimtegroepen[],2,FALSE)</f>
        <v>Kantoren</v>
      </c>
      <c r="L327" s="53" t="s">
        <v>283</v>
      </c>
      <c r="M327" s="53" t="s">
        <v>576</v>
      </c>
      <c r="N327" s="92">
        <v>20.41</v>
      </c>
      <c r="O327" s="92"/>
      <c r="P327" s="80" t="str">
        <f>LEFT(VLOOKUP(Ruimtestaat[[#This Row],[Ruimte code]],Ruimtegroepen[#All],4,1),2)</f>
        <v xml:space="preserve">B </v>
      </c>
      <c r="Q327" s="93"/>
      <c r="R327" s="81">
        <v>40</v>
      </c>
      <c r="S327" s="81" t="s">
        <v>298</v>
      </c>
      <c r="T327" s="82">
        <f>IF(R327&gt;0,IF(RIGHT(Ruimtestaat[[#This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7" s="82">
        <f>IF(T327&gt;0,VLOOKUP($J327,Ruimtegroepen[],3,FALSE)*VLOOKUP($L327,Vloersoorten[],3,FALSE)*VLOOKUP($S327,Frequenties[],3,FALSE)*VLOOKUP($A327,Locaties[],3,FALSE),0)</f>
        <v>0</v>
      </c>
      <c r="V327" s="83">
        <f>Ruimtestaat[[#This Row],[Uitvoeringen werkdagen]]*Ruimtestaat[[#This Row],[Oppervlak (netto)]]</f>
        <v>4082</v>
      </c>
      <c r="W327" s="84">
        <f>IF(U327&gt;0,Ruimtestaat[[#This Row],[Prest. (m2 /jaar) werkdagen]]/Ruimtestaat[[#This Row],[Norm (m2/uur) werkdagen]],0)</f>
        <v>0</v>
      </c>
      <c r="X327" s="85">
        <f>Ruimtestaat[[#This Row],[uren / jaar werkdagen]]*Tariefsopbouw!$E$35</f>
        <v>0</v>
      </c>
      <c r="Y327" s="82"/>
      <c r="Z327" s="86">
        <f>IF(Ruimtestaat[[#This Row],[Frequentie weekend]]&gt;0,VALUE(LEFT(Y327,1))*R327,0)</f>
        <v>0</v>
      </c>
      <c r="AA327" s="82">
        <f>IF($Z327&gt;0,VLOOKUP($J327,Ruimtegroepen[],3,FALSE)*VLOOKUP($L327,Vloersoorten[],3,FALSE)*VLOOKUP($Y327,Frequenties[],3,FALSE)*VLOOKUP($A323,Locaties[],3,FALSE),0)</f>
        <v>0</v>
      </c>
      <c r="AB327" s="84">
        <f>Ruimtestaat[[#This Row],[Uitvoeringen weekend]]*Ruimtestaat[[#This Row],[Oppervlak (netto)]]</f>
        <v>0</v>
      </c>
      <c r="AC327" s="87">
        <f>IF(AB327&gt;0,Ruimtestaat[[#This Row],[Prest. (m2 /jaar) weekend]]/Ruimtestaat[[#This Row],[Norm (m2/uur) weekend]],0)</f>
        <v>0</v>
      </c>
      <c r="AD327" s="88">
        <f>Ruimtestaat[[#This Row],[uren / jaar weekend]]*Tariefsopbouw!$D$40</f>
        <v>0</v>
      </c>
      <c r="AE327" s="89">
        <f>Ruimtestaat[[#This Row],[Prest. (m2 /jaar) weekend]]+Ruimtestaat[[#This Row],[Prest. (m2 /jaar) werkdagen]]</f>
        <v>4082</v>
      </c>
      <c r="AF327" s="89">
        <f>Ruimtestaat[[#This Row],[uren / jaar weekend]]+Ruimtestaat[[#This Row],[uren / jaar werkdagen]]</f>
        <v>0</v>
      </c>
      <c r="AG327" s="90">
        <f>Ruimtestaat[[#This Row],[kosten / jaar weekend]]+Ruimtestaat[[#This Row],[kosten / jaar werkdagen]]</f>
        <v>0</v>
      </c>
    </row>
    <row r="328" spans="1:33" ht="15" customHeight="1">
      <c r="A328" s="53">
        <v>2</v>
      </c>
      <c r="B328" s="53" t="str">
        <f>VLOOKUP(Ruimtestaat[[#This Row],[Code]],Locaties[#All],2,FALSE)</f>
        <v>Open Schoolgemeenschap Bijlmer</v>
      </c>
      <c r="C328" s="53" t="str">
        <f>VLOOKUP(Ruimtestaat[[#This Row],[Code]],Locaties[#All],4,FALSE)</f>
        <v>Gulden Kruis 5</v>
      </c>
      <c r="D328" s="53" t="str">
        <f>VLOOKUP(Ruimtestaat[[#This Row],[Code]],Locaties[#All],5,FALSE)</f>
        <v>1103 BE</v>
      </c>
      <c r="E328" s="53" t="str">
        <f>VLOOKUP(Ruimtestaat[[#This Row],[Code]],Locaties[#All],6,FALSE)</f>
        <v>Amsterdam Zuidoost</v>
      </c>
      <c r="F328" s="78"/>
      <c r="G328" s="53" t="s">
        <v>450</v>
      </c>
      <c r="H328" s="53" t="s">
        <v>718</v>
      </c>
      <c r="I328" s="78" t="s">
        <v>456</v>
      </c>
      <c r="J328" s="53">
        <v>6</v>
      </c>
      <c r="K328" s="78" t="str">
        <f>VLOOKUP(J328,Ruimtegroepen[],2,FALSE)</f>
        <v>Gangen/hallen</v>
      </c>
      <c r="L328" s="53" t="s">
        <v>285</v>
      </c>
      <c r="M328" s="53" t="s">
        <v>580</v>
      </c>
      <c r="N328" s="92">
        <v>45</v>
      </c>
      <c r="O328" s="92"/>
      <c r="P328" s="80" t="str">
        <f>LEFT(VLOOKUP(Ruimtestaat[[#This Row],[Ruimte code]],Ruimtegroepen[#All],4,1),2)</f>
        <v xml:space="preserve">V </v>
      </c>
      <c r="Q328" s="93"/>
      <c r="R328" s="81">
        <v>40</v>
      </c>
      <c r="S328" s="81" t="s">
        <v>298</v>
      </c>
      <c r="T328" s="82">
        <f>IF(R328&gt;0,IF(RIGHT(Ruimtestaat[[#This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8" s="82">
        <f>IF(T328&gt;0,VLOOKUP($J328,Ruimtegroepen[],3,FALSE)*VLOOKUP($L328,Vloersoorten[],3,FALSE)*VLOOKUP($S328,Frequenties[],3,FALSE)*VLOOKUP($A328,Locaties[],3,FALSE),0)</f>
        <v>0</v>
      </c>
      <c r="V328" s="83">
        <f>Ruimtestaat[[#This Row],[Uitvoeringen werkdagen]]*Ruimtestaat[[#This Row],[Oppervlak (netto)]]</f>
        <v>9000</v>
      </c>
      <c r="W328" s="84">
        <f>IF(U328&gt;0,Ruimtestaat[[#This Row],[Prest. (m2 /jaar) werkdagen]]/Ruimtestaat[[#This Row],[Norm (m2/uur) werkdagen]],0)</f>
        <v>0</v>
      </c>
      <c r="X328" s="85">
        <f>Ruimtestaat[[#This Row],[uren / jaar werkdagen]]*Tariefsopbouw!$E$35</f>
        <v>0</v>
      </c>
      <c r="Y328" s="82"/>
      <c r="Z328" s="86">
        <f>IF(Ruimtestaat[[#This Row],[Frequentie weekend]]&gt;0,VALUE(LEFT(Y328,1))*R328,0)</f>
        <v>0</v>
      </c>
      <c r="AA328" s="82">
        <f>IF($Z328&gt;0,VLOOKUP($J328,Ruimtegroepen[],3,FALSE)*VLOOKUP($L328,Vloersoorten[],3,FALSE)*VLOOKUP($Y328,Frequenties[],3,FALSE)*VLOOKUP($A324,Locaties[],3,FALSE),0)</f>
        <v>0</v>
      </c>
      <c r="AB328" s="84">
        <f>Ruimtestaat[[#This Row],[Uitvoeringen weekend]]*Ruimtestaat[[#This Row],[Oppervlak (netto)]]</f>
        <v>0</v>
      </c>
      <c r="AC328" s="87">
        <f>IF(AB328&gt;0,Ruimtestaat[[#This Row],[Prest. (m2 /jaar) weekend]]/Ruimtestaat[[#This Row],[Norm (m2/uur) weekend]],0)</f>
        <v>0</v>
      </c>
      <c r="AD328" s="88">
        <f>Ruimtestaat[[#This Row],[uren / jaar weekend]]*Tariefsopbouw!$D$40</f>
        <v>0</v>
      </c>
      <c r="AE328" s="89">
        <f>Ruimtestaat[[#This Row],[Prest. (m2 /jaar) weekend]]+Ruimtestaat[[#This Row],[Prest. (m2 /jaar) werkdagen]]</f>
        <v>9000</v>
      </c>
      <c r="AF328" s="89">
        <f>Ruimtestaat[[#This Row],[uren / jaar weekend]]+Ruimtestaat[[#This Row],[uren / jaar werkdagen]]</f>
        <v>0</v>
      </c>
      <c r="AG328" s="90">
        <f>Ruimtestaat[[#This Row],[kosten / jaar weekend]]+Ruimtestaat[[#This Row],[kosten / jaar werkdagen]]</f>
        <v>0</v>
      </c>
    </row>
    <row r="329" spans="1:33" ht="15" customHeight="1">
      <c r="A329" s="53">
        <v>2</v>
      </c>
      <c r="B329" s="53" t="str">
        <f>VLOOKUP(Ruimtestaat[[#This Row],[Code]],Locaties[#All],2,FALSE)</f>
        <v>Open Schoolgemeenschap Bijlmer</v>
      </c>
      <c r="C329" s="53" t="str">
        <f>VLOOKUP(Ruimtestaat[[#This Row],[Code]],Locaties[#All],4,FALSE)</f>
        <v>Gulden Kruis 5</v>
      </c>
      <c r="D329" s="53" t="str">
        <f>VLOOKUP(Ruimtestaat[[#This Row],[Code]],Locaties[#All],5,FALSE)</f>
        <v>1103 BE</v>
      </c>
      <c r="E329" s="53" t="str">
        <f>VLOOKUP(Ruimtestaat[[#This Row],[Code]],Locaties[#All],6,FALSE)</f>
        <v>Amsterdam Zuidoost</v>
      </c>
      <c r="F329" s="78"/>
      <c r="G329" s="53" t="s">
        <v>450</v>
      </c>
      <c r="H329" s="53" t="s">
        <v>719</v>
      </c>
      <c r="I329" s="78" t="s">
        <v>720</v>
      </c>
      <c r="J329" s="53">
        <v>6</v>
      </c>
      <c r="K329" s="78" t="str">
        <f>VLOOKUP(J329,Ruimtegroepen[],2,FALSE)</f>
        <v>Gangen/hallen</v>
      </c>
      <c r="L329" s="53" t="s">
        <v>285</v>
      </c>
      <c r="M329" s="53" t="s">
        <v>580</v>
      </c>
      <c r="N329" s="92">
        <v>8</v>
      </c>
      <c r="O329" s="92"/>
      <c r="P329" s="80" t="str">
        <f>LEFT(VLOOKUP(Ruimtestaat[[#This Row],[Ruimte code]],Ruimtegroepen[#All],4,1),2)</f>
        <v xml:space="preserve">V </v>
      </c>
      <c r="Q329" s="93"/>
      <c r="R329" s="81">
        <v>40</v>
      </c>
      <c r="S329" s="81" t="s">
        <v>298</v>
      </c>
      <c r="T329" s="82">
        <f>IF(R329&gt;0,IF(RIGHT(Ruimtestaat[[#This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29" s="82">
        <f>IF(T329&gt;0,VLOOKUP($J329,Ruimtegroepen[],3,FALSE)*VLOOKUP($L329,Vloersoorten[],3,FALSE)*VLOOKUP($S329,Frequenties[],3,FALSE)*VLOOKUP($A329,Locaties[],3,FALSE),0)</f>
        <v>0</v>
      </c>
      <c r="V329" s="83">
        <f>Ruimtestaat[[#This Row],[Uitvoeringen werkdagen]]*Ruimtestaat[[#This Row],[Oppervlak (netto)]]</f>
        <v>1600</v>
      </c>
      <c r="W329" s="84">
        <f>IF(U329&gt;0,Ruimtestaat[[#This Row],[Prest. (m2 /jaar) werkdagen]]/Ruimtestaat[[#This Row],[Norm (m2/uur) werkdagen]],0)</f>
        <v>0</v>
      </c>
      <c r="X329" s="85">
        <f>Ruimtestaat[[#This Row],[uren / jaar werkdagen]]*Tariefsopbouw!$E$35</f>
        <v>0</v>
      </c>
      <c r="Y329" s="82"/>
      <c r="Z329" s="86">
        <f>IF(Ruimtestaat[[#This Row],[Frequentie weekend]]&gt;0,VALUE(LEFT(Y329,1))*R329,0)</f>
        <v>0</v>
      </c>
      <c r="AA329" s="82">
        <f>IF($Z329&gt;0,VLOOKUP($J329,Ruimtegroepen[],3,FALSE)*VLOOKUP($L329,Vloersoorten[],3,FALSE)*VLOOKUP($Y329,Frequenties[],3,FALSE)*VLOOKUP($A325,Locaties[],3,FALSE),0)</f>
        <v>0</v>
      </c>
      <c r="AB329" s="84">
        <f>Ruimtestaat[[#This Row],[Uitvoeringen weekend]]*Ruimtestaat[[#This Row],[Oppervlak (netto)]]</f>
        <v>0</v>
      </c>
      <c r="AC329" s="87">
        <f>IF(AB329&gt;0,Ruimtestaat[[#This Row],[Prest. (m2 /jaar) weekend]]/Ruimtestaat[[#This Row],[Norm (m2/uur) weekend]],0)</f>
        <v>0</v>
      </c>
      <c r="AD329" s="88">
        <f>Ruimtestaat[[#This Row],[uren / jaar weekend]]*Tariefsopbouw!$D$40</f>
        <v>0</v>
      </c>
      <c r="AE329" s="89">
        <f>Ruimtestaat[[#This Row],[Prest. (m2 /jaar) weekend]]+Ruimtestaat[[#This Row],[Prest. (m2 /jaar) werkdagen]]</f>
        <v>1600</v>
      </c>
      <c r="AF329" s="89">
        <f>Ruimtestaat[[#This Row],[uren / jaar weekend]]+Ruimtestaat[[#This Row],[uren / jaar werkdagen]]</f>
        <v>0</v>
      </c>
      <c r="AG329" s="90">
        <f>Ruimtestaat[[#This Row],[kosten / jaar weekend]]+Ruimtestaat[[#This Row],[kosten / jaar werkdagen]]</f>
        <v>0</v>
      </c>
    </row>
    <row r="330" spans="1:33" ht="15" customHeight="1">
      <c r="A330" s="53">
        <v>2</v>
      </c>
      <c r="B330" s="53" t="str">
        <f>VLOOKUP(Ruimtestaat[[#This Row],[Code]],Locaties[#All],2,FALSE)</f>
        <v>Open Schoolgemeenschap Bijlmer</v>
      </c>
      <c r="C330" s="53" t="str">
        <f>VLOOKUP(Ruimtestaat[[#This Row],[Code]],Locaties[#All],4,FALSE)</f>
        <v>Gulden Kruis 5</v>
      </c>
      <c r="D330" s="53" t="str">
        <f>VLOOKUP(Ruimtestaat[[#This Row],[Code]],Locaties[#All],5,FALSE)</f>
        <v>1103 BE</v>
      </c>
      <c r="E330" s="53" t="str">
        <f>VLOOKUP(Ruimtestaat[[#This Row],[Code]],Locaties[#All],6,FALSE)</f>
        <v>Amsterdam Zuidoost</v>
      </c>
      <c r="F330" s="78"/>
      <c r="G330" s="53" t="s">
        <v>450</v>
      </c>
      <c r="H330" s="53" t="s">
        <v>721</v>
      </c>
      <c r="I330" s="78" t="s">
        <v>720</v>
      </c>
      <c r="J330" s="53">
        <v>6</v>
      </c>
      <c r="K330" s="78" t="str">
        <f>VLOOKUP(J330,Ruimtegroepen[],2,FALSE)</f>
        <v>Gangen/hallen</v>
      </c>
      <c r="L330" s="53" t="s">
        <v>285</v>
      </c>
      <c r="M330" s="53" t="s">
        <v>580</v>
      </c>
      <c r="N330" s="92">
        <v>6</v>
      </c>
      <c r="O330" s="92"/>
      <c r="P330" s="80" t="str">
        <f>LEFT(VLOOKUP(Ruimtestaat[[#This Row],[Ruimte code]],Ruimtegroepen[#All],4,1),2)</f>
        <v xml:space="preserve">V </v>
      </c>
      <c r="Q330" s="93"/>
      <c r="R330" s="81">
        <v>40</v>
      </c>
      <c r="S330" s="81" t="s">
        <v>298</v>
      </c>
      <c r="T330" s="82">
        <f>IF(R330&gt;0,IF(RIGHT(Ruimtestaat[[#This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0" s="82">
        <f>IF(T330&gt;0,VLOOKUP($J330,Ruimtegroepen[],3,FALSE)*VLOOKUP($L330,Vloersoorten[],3,FALSE)*VLOOKUP($S330,Frequenties[],3,FALSE)*VLOOKUP($A330,Locaties[],3,FALSE),0)</f>
        <v>0</v>
      </c>
      <c r="V330" s="83">
        <f>Ruimtestaat[[#This Row],[Uitvoeringen werkdagen]]*Ruimtestaat[[#This Row],[Oppervlak (netto)]]</f>
        <v>1200</v>
      </c>
      <c r="W330" s="84">
        <f>IF(U330&gt;0,Ruimtestaat[[#This Row],[Prest. (m2 /jaar) werkdagen]]/Ruimtestaat[[#This Row],[Norm (m2/uur) werkdagen]],0)</f>
        <v>0</v>
      </c>
      <c r="X330" s="85">
        <f>Ruimtestaat[[#This Row],[uren / jaar werkdagen]]*Tariefsopbouw!$E$35</f>
        <v>0</v>
      </c>
      <c r="Y330" s="82"/>
      <c r="Z330" s="86">
        <f>IF(Ruimtestaat[[#This Row],[Frequentie weekend]]&gt;0,VALUE(LEFT(Y330,1))*R330,0)</f>
        <v>0</v>
      </c>
      <c r="AA330" s="82">
        <f>IF($Z330&gt;0,VLOOKUP($J330,Ruimtegroepen[],3,FALSE)*VLOOKUP($L330,Vloersoorten[],3,FALSE)*VLOOKUP($Y330,Frequenties[],3,FALSE)*VLOOKUP($A326,Locaties[],3,FALSE),0)</f>
        <v>0</v>
      </c>
      <c r="AB330" s="84">
        <f>Ruimtestaat[[#This Row],[Uitvoeringen weekend]]*Ruimtestaat[[#This Row],[Oppervlak (netto)]]</f>
        <v>0</v>
      </c>
      <c r="AC330" s="87">
        <f>IF(AB330&gt;0,Ruimtestaat[[#This Row],[Prest. (m2 /jaar) weekend]]/Ruimtestaat[[#This Row],[Norm (m2/uur) weekend]],0)</f>
        <v>0</v>
      </c>
      <c r="AD330" s="88">
        <f>Ruimtestaat[[#This Row],[uren / jaar weekend]]*Tariefsopbouw!$D$40</f>
        <v>0</v>
      </c>
      <c r="AE330" s="89">
        <f>Ruimtestaat[[#This Row],[Prest. (m2 /jaar) weekend]]+Ruimtestaat[[#This Row],[Prest. (m2 /jaar) werkdagen]]</f>
        <v>1200</v>
      </c>
      <c r="AF330" s="89">
        <f>Ruimtestaat[[#This Row],[uren / jaar weekend]]+Ruimtestaat[[#This Row],[uren / jaar werkdagen]]</f>
        <v>0</v>
      </c>
      <c r="AG330" s="90">
        <f>Ruimtestaat[[#This Row],[kosten / jaar weekend]]+Ruimtestaat[[#This Row],[kosten / jaar werkdagen]]</f>
        <v>0</v>
      </c>
    </row>
    <row r="331" spans="1:33" ht="15" customHeight="1">
      <c r="A331" s="53">
        <v>2</v>
      </c>
      <c r="B331" s="53" t="str">
        <f>VLOOKUP(Ruimtestaat[[#This Row],[Code]],Locaties[#All],2,FALSE)</f>
        <v>Open Schoolgemeenschap Bijlmer</v>
      </c>
      <c r="C331" s="53" t="str">
        <f>VLOOKUP(Ruimtestaat[[#This Row],[Code]],Locaties[#All],4,FALSE)</f>
        <v>Gulden Kruis 5</v>
      </c>
      <c r="D331" s="53" t="str">
        <f>VLOOKUP(Ruimtestaat[[#This Row],[Code]],Locaties[#All],5,FALSE)</f>
        <v>1103 BE</v>
      </c>
      <c r="E331" s="53" t="str">
        <f>VLOOKUP(Ruimtestaat[[#This Row],[Code]],Locaties[#All],6,FALSE)</f>
        <v>Amsterdam Zuidoost</v>
      </c>
      <c r="F331" s="78"/>
      <c r="G331" s="53" t="s">
        <v>450</v>
      </c>
      <c r="H331" s="53" t="s">
        <v>722</v>
      </c>
      <c r="I331" s="78" t="s">
        <v>723</v>
      </c>
      <c r="J331" s="53">
        <v>12</v>
      </c>
      <c r="K331" s="78" t="str">
        <f>VLOOKUP(J331,Ruimtegroepen[],2,FALSE)</f>
        <v>Kantine</v>
      </c>
      <c r="L331" s="53" t="s">
        <v>285</v>
      </c>
      <c r="M331" s="53" t="s">
        <v>580</v>
      </c>
      <c r="N331" s="92">
        <v>101.69999999999999</v>
      </c>
      <c r="O331" s="92"/>
      <c r="P331" s="80" t="str">
        <f>LEFT(VLOOKUP(Ruimtestaat[[#This Row],[Ruimte code]],Ruimtegroepen[#All],4,1),2)</f>
        <v xml:space="preserve">V </v>
      </c>
      <c r="Q331" s="93"/>
      <c r="R331" s="81">
        <v>40</v>
      </c>
      <c r="S331" s="81" t="s">
        <v>298</v>
      </c>
      <c r="T331" s="82">
        <f>IF(R331&gt;0,IF(RIGHT(Ruimtestaat[[#This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1" s="82">
        <f>IF(T331&gt;0,VLOOKUP($J331,Ruimtegroepen[],3,FALSE)*VLOOKUP($L331,Vloersoorten[],3,FALSE)*VLOOKUP($S331,Frequenties[],3,FALSE)*VLOOKUP($A331,Locaties[],3,FALSE),0)</f>
        <v>0</v>
      </c>
      <c r="V331" s="83">
        <f>Ruimtestaat[[#This Row],[Uitvoeringen werkdagen]]*Ruimtestaat[[#This Row],[Oppervlak (netto)]]</f>
        <v>20339.999999999996</v>
      </c>
      <c r="W331" s="84">
        <f>IF(U331&gt;0,Ruimtestaat[[#This Row],[Prest. (m2 /jaar) werkdagen]]/Ruimtestaat[[#This Row],[Norm (m2/uur) werkdagen]],0)</f>
        <v>0</v>
      </c>
      <c r="X331" s="85">
        <f>Ruimtestaat[[#This Row],[uren / jaar werkdagen]]*Tariefsopbouw!$E$35</f>
        <v>0</v>
      </c>
      <c r="Y331" s="82"/>
      <c r="Z331" s="86">
        <f>IF(Ruimtestaat[[#This Row],[Frequentie weekend]]&gt;0,VALUE(LEFT(Y331,1))*R331,0)</f>
        <v>0</v>
      </c>
      <c r="AA331" s="82">
        <f>IF($Z331&gt;0,VLOOKUP($J331,Ruimtegroepen[],3,FALSE)*VLOOKUP($L331,Vloersoorten[],3,FALSE)*VLOOKUP($Y331,Frequenties[],3,FALSE)*VLOOKUP($A327,Locaties[],3,FALSE),0)</f>
        <v>0</v>
      </c>
      <c r="AB331" s="84">
        <f>Ruimtestaat[[#This Row],[Uitvoeringen weekend]]*Ruimtestaat[[#This Row],[Oppervlak (netto)]]</f>
        <v>0</v>
      </c>
      <c r="AC331" s="87">
        <f>IF(AB331&gt;0,Ruimtestaat[[#This Row],[Prest. (m2 /jaar) weekend]]/Ruimtestaat[[#This Row],[Norm (m2/uur) weekend]],0)</f>
        <v>0</v>
      </c>
      <c r="AD331" s="88">
        <f>Ruimtestaat[[#This Row],[uren / jaar weekend]]*Tariefsopbouw!$D$40</f>
        <v>0</v>
      </c>
      <c r="AE331" s="89">
        <f>Ruimtestaat[[#This Row],[Prest. (m2 /jaar) weekend]]+Ruimtestaat[[#This Row],[Prest. (m2 /jaar) werkdagen]]</f>
        <v>20339.999999999996</v>
      </c>
      <c r="AF331" s="89">
        <f>Ruimtestaat[[#This Row],[uren / jaar weekend]]+Ruimtestaat[[#This Row],[uren / jaar werkdagen]]</f>
        <v>0</v>
      </c>
      <c r="AG331" s="90">
        <f>Ruimtestaat[[#This Row],[kosten / jaar weekend]]+Ruimtestaat[[#This Row],[kosten / jaar werkdagen]]</f>
        <v>0</v>
      </c>
    </row>
    <row r="332" spans="1:33" ht="15" customHeight="1">
      <c r="A332" s="53">
        <v>2</v>
      </c>
      <c r="B332" s="53" t="str">
        <f>VLOOKUP(Ruimtestaat[[#This Row],[Code]],Locaties[#All],2,FALSE)</f>
        <v>Open Schoolgemeenschap Bijlmer</v>
      </c>
      <c r="C332" s="53" t="str">
        <f>VLOOKUP(Ruimtestaat[[#This Row],[Code]],Locaties[#All],4,FALSE)</f>
        <v>Gulden Kruis 5</v>
      </c>
      <c r="D332" s="53" t="str">
        <f>VLOOKUP(Ruimtestaat[[#This Row],[Code]],Locaties[#All],5,FALSE)</f>
        <v>1103 BE</v>
      </c>
      <c r="E332" s="53" t="str">
        <f>VLOOKUP(Ruimtestaat[[#This Row],[Code]],Locaties[#All],6,FALSE)</f>
        <v>Amsterdam Zuidoost</v>
      </c>
      <c r="F332" s="78"/>
      <c r="G332" s="53" t="s">
        <v>450</v>
      </c>
      <c r="H332" s="53" t="s">
        <v>724</v>
      </c>
      <c r="I332" s="78" t="s">
        <v>527</v>
      </c>
      <c r="J332" s="53">
        <v>20</v>
      </c>
      <c r="K332" s="78" t="str">
        <f>VLOOKUP(J332,Ruimtegroepen[],2,FALSE)</f>
        <v>Niet in onderhoud</v>
      </c>
      <c r="L332" s="53" t="s">
        <v>280</v>
      </c>
      <c r="M332" s="53" t="s">
        <v>566</v>
      </c>
      <c r="O332" s="92">
        <v>9</v>
      </c>
      <c r="P332" s="80" t="str">
        <f>LEFT(VLOOKUP(Ruimtestaat[[#This Row],[Ruimte code]],Ruimtegroepen[#All],4,1),2)</f>
        <v/>
      </c>
      <c r="Q332" s="93"/>
      <c r="R332" s="81"/>
      <c r="S332" s="81"/>
      <c r="T332" s="82">
        <f>IF(R332&gt;0,IF(RIGHT(Ruimtestaat[[#This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32" s="82">
        <f>IF(T332&gt;0,VLOOKUP($J332,Ruimtegroepen[],3,FALSE)*VLOOKUP($L332,Vloersoorten[],3,FALSE)*VLOOKUP($S332,Frequenties[],3,FALSE)*VLOOKUP($A332,Locaties[],3,FALSE),0)</f>
        <v>0</v>
      </c>
      <c r="V332" s="83">
        <f>Ruimtestaat[[#This Row],[Uitvoeringen werkdagen]]*Ruimtestaat[[#This Row],[Oppervlak (netto)]]</f>
        <v>0</v>
      </c>
      <c r="W332" s="84">
        <f>IF(U332&gt;0,Ruimtestaat[[#This Row],[Prest. (m2 /jaar) werkdagen]]/Ruimtestaat[[#This Row],[Norm (m2/uur) werkdagen]],0)</f>
        <v>0</v>
      </c>
      <c r="X332" s="85">
        <f>Ruimtestaat[[#This Row],[uren / jaar werkdagen]]*Tariefsopbouw!$E$35</f>
        <v>0</v>
      </c>
      <c r="Y332" s="82"/>
      <c r="Z332" s="86">
        <f>IF(Ruimtestaat[[#This Row],[Frequentie weekend]]&gt;0,VALUE(LEFT(Y332,1))*R332,0)</f>
        <v>0</v>
      </c>
      <c r="AA332" s="82">
        <f>IF($Z332&gt;0,VLOOKUP($J332,Ruimtegroepen[],3,FALSE)*VLOOKUP($L332,Vloersoorten[],3,FALSE)*VLOOKUP($Y332,Frequenties[],3,FALSE)*VLOOKUP($A328,Locaties[],3,FALSE),0)</f>
        <v>0</v>
      </c>
      <c r="AB332" s="84">
        <f>Ruimtestaat[[#This Row],[Uitvoeringen weekend]]*Ruimtestaat[[#This Row],[Oppervlak (netto)]]</f>
        <v>0</v>
      </c>
      <c r="AC332" s="87">
        <f>IF(AB332&gt;0,Ruimtestaat[[#This Row],[Prest. (m2 /jaar) weekend]]/Ruimtestaat[[#This Row],[Norm (m2/uur) weekend]],0)</f>
        <v>0</v>
      </c>
      <c r="AD332" s="88">
        <f>Ruimtestaat[[#This Row],[uren / jaar weekend]]*Tariefsopbouw!$D$40</f>
        <v>0</v>
      </c>
      <c r="AE332" s="89">
        <f>Ruimtestaat[[#This Row],[Prest. (m2 /jaar) weekend]]+Ruimtestaat[[#This Row],[Prest. (m2 /jaar) werkdagen]]</f>
        <v>0</v>
      </c>
      <c r="AF332" s="89">
        <f>Ruimtestaat[[#This Row],[uren / jaar weekend]]+Ruimtestaat[[#This Row],[uren / jaar werkdagen]]</f>
        <v>0</v>
      </c>
      <c r="AG332" s="90">
        <f>Ruimtestaat[[#This Row],[kosten / jaar weekend]]+Ruimtestaat[[#This Row],[kosten / jaar werkdagen]]</f>
        <v>0</v>
      </c>
    </row>
    <row r="333" spans="1:33" ht="15" customHeight="1">
      <c r="A333" s="53">
        <v>2</v>
      </c>
      <c r="B333" s="53" t="str">
        <f>VLOOKUP(Ruimtestaat[[#This Row],[Code]],Locaties[#All],2,FALSE)</f>
        <v>Open Schoolgemeenschap Bijlmer</v>
      </c>
      <c r="C333" s="53" t="str">
        <f>VLOOKUP(Ruimtestaat[[#This Row],[Code]],Locaties[#All],4,FALSE)</f>
        <v>Gulden Kruis 5</v>
      </c>
      <c r="D333" s="53" t="str">
        <f>VLOOKUP(Ruimtestaat[[#This Row],[Code]],Locaties[#All],5,FALSE)</f>
        <v>1103 BE</v>
      </c>
      <c r="E333" s="53" t="str">
        <f>VLOOKUP(Ruimtestaat[[#This Row],[Code]],Locaties[#All],6,FALSE)</f>
        <v>Amsterdam Zuidoost</v>
      </c>
      <c r="F333" s="78"/>
      <c r="G333" s="53" t="s">
        <v>450</v>
      </c>
      <c r="H333" s="53" t="s">
        <v>725</v>
      </c>
      <c r="I333" s="78" t="s">
        <v>579</v>
      </c>
      <c r="J333" s="53">
        <v>5</v>
      </c>
      <c r="K333" s="78" t="str">
        <f>VLOOKUP(J333,Ruimtegroepen[],2,FALSE)</f>
        <v>Sanitair</v>
      </c>
      <c r="L333" s="53" t="s">
        <v>285</v>
      </c>
      <c r="M333" s="53" t="s">
        <v>580</v>
      </c>
      <c r="N333" s="92">
        <v>13.84</v>
      </c>
      <c r="O333" s="92"/>
      <c r="P333" s="80" t="str">
        <f>LEFT(VLOOKUP(Ruimtestaat[[#This Row],[Ruimte code]],Ruimtegroepen[#All],4,1),2)</f>
        <v xml:space="preserve">S </v>
      </c>
      <c r="Q333" s="93"/>
      <c r="R333" s="81">
        <v>40</v>
      </c>
      <c r="S333" s="81" t="s">
        <v>296</v>
      </c>
      <c r="T333" s="82">
        <f>IF(R333&gt;0,IF(RIGHT(Ruimtestaat[[#This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33" s="82">
        <f>IF(T333&gt;0,VLOOKUP($J333,Ruimtegroepen[],3,FALSE)*VLOOKUP($L333,Vloersoorten[],3,FALSE)*VLOOKUP($S333,Frequenties[],3,FALSE)*VLOOKUP($A333,Locaties[],3,FALSE),0)</f>
        <v>0</v>
      </c>
      <c r="V333" s="83">
        <f>Ruimtestaat[[#This Row],[Uitvoeringen werkdagen]]*Ruimtestaat[[#This Row],[Oppervlak (netto)]]</f>
        <v>5536</v>
      </c>
      <c r="W333" s="84">
        <f>IF(U333&gt;0,Ruimtestaat[[#This Row],[Prest. (m2 /jaar) werkdagen]]/Ruimtestaat[[#This Row],[Norm (m2/uur) werkdagen]],0)</f>
        <v>0</v>
      </c>
      <c r="X333" s="85">
        <f>Ruimtestaat[[#This Row],[uren / jaar werkdagen]]*Tariefsopbouw!$E$35</f>
        <v>0</v>
      </c>
      <c r="Y333" s="82"/>
      <c r="Z333" s="86">
        <f>IF(Ruimtestaat[[#This Row],[Frequentie weekend]]&gt;0,VALUE(LEFT(Y333,1))*R333,0)</f>
        <v>0</v>
      </c>
      <c r="AA333" s="82">
        <f>IF($Z333&gt;0,VLOOKUP($J333,Ruimtegroepen[],3,FALSE)*VLOOKUP($L333,Vloersoorten[],3,FALSE)*VLOOKUP($Y333,Frequenties[],3,FALSE)*VLOOKUP($A329,Locaties[],3,FALSE),0)</f>
        <v>0</v>
      </c>
      <c r="AB333" s="84">
        <f>Ruimtestaat[[#This Row],[Uitvoeringen weekend]]*Ruimtestaat[[#This Row],[Oppervlak (netto)]]</f>
        <v>0</v>
      </c>
      <c r="AC333" s="87">
        <f>IF(AB333&gt;0,Ruimtestaat[[#This Row],[Prest. (m2 /jaar) weekend]]/Ruimtestaat[[#This Row],[Norm (m2/uur) weekend]],0)</f>
        <v>0</v>
      </c>
      <c r="AD333" s="88">
        <f>Ruimtestaat[[#This Row],[uren / jaar weekend]]*Tariefsopbouw!$D$40</f>
        <v>0</v>
      </c>
      <c r="AE333" s="89">
        <f>Ruimtestaat[[#This Row],[Prest. (m2 /jaar) weekend]]+Ruimtestaat[[#This Row],[Prest. (m2 /jaar) werkdagen]]</f>
        <v>5536</v>
      </c>
      <c r="AF333" s="89">
        <f>Ruimtestaat[[#This Row],[uren / jaar weekend]]+Ruimtestaat[[#This Row],[uren / jaar werkdagen]]</f>
        <v>0</v>
      </c>
      <c r="AG333" s="90">
        <f>Ruimtestaat[[#This Row],[kosten / jaar weekend]]+Ruimtestaat[[#This Row],[kosten / jaar werkdagen]]</f>
        <v>0</v>
      </c>
    </row>
    <row r="334" spans="1:33" ht="15" customHeight="1">
      <c r="A334" s="53">
        <v>2</v>
      </c>
      <c r="B334" s="53" t="str">
        <f>VLOOKUP(Ruimtestaat[[#This Row],[Code]],Locaties[#All],2,FALSE)</f>
        <v>Open Schoolgemeenschap Bijlmer</v>
      </c>
      <c r="C334" s="53" t="str">
        <f>VLOOKUP(Ruimtestaat[[#This Row],[Code]],Locaties[#All],4,FALSE)</f>
        <v>Gulden Kruis 5</v>
      </c>
      <c r="D334" s="53" t="str">
        <f>VLOOKUP(Ruimtestaat[[#This Row],[Code]],Locaties[#All],5,FALSE)</f>
        <v>1103 BE</v>
      </c>
      <c r="E334" s="53" t="str">
        <f>VLOOKUP(Ruimtestaat[[#This Row],[Code]],Locaties[#All],6,FALSE)</f>
        <v>Amsterdam Zuidoost</v>
      </c>
      <c r="F334" s="78"/>
      <c r="G334" s="53" t="s">
        <v>450</v>
      </c>
      <c r="H334" s="53" t="s">
        <v>726</v>
      </c>
      <c r="I334" s="78" t="s">
        <v>456</v>
      </c>
      <c r="J334" s="53">
        <v>6</v>
      </c>
      <c r="K334" s="78" t="str">
        <f>VLOOKUP(J334,Ruimtegroepen[],2,FALSE)</f>
        <v>Gangen/hallen</v>
      </c>
      <c r="L334" s="53" t="s">
        <v>285</v>
      </c>
      <c r="M334" s="53" t="s">
        <v>580</v>
      </c>
      <c r="N334" s="92">
        <v>47.680000000000007</v>
      </c>
      <c r="O334" s="92"/>
      <c r="P334" s="80" t="str">
        <f>LEFT(VLOOKUP(Ruimtestaat[[#This Row],[Ruimte code]],Ruimtegroepen[#All],4,1),2)</f>
        <v xml:space="preserve">V </v>
      </c>
      <c r="Q334" s="93"/>
      <c r="R334" s="81">
        <v>40</v>
      </c>
      <c r="S334" s="81" t="s">
        <v>298</v>
      </c>
      <c r="T334" s="82">
        <f>IF(R334&gt;0,IF(RIGHT(Ruimtestaat[[#This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4" s="82">
        <f>IF(T334&gt;0,VLOOKUP($J334,Ruimtegroepen[],3,FALSE)*VLOOKUP($L334,Vloersoorten[],3,FALSE)*VLOOKUP($S334,Frequenties[],3,FALSE)*VLOOKUP($A334,Locaties[],3,FALSE),0)</f>
        <v>0</v>
      </c>
      <c r="V334" s="83">
        <f>Ruimtestaat[[#This Row],[Uitvoeringen werkdagen]]*Ruimtestaat[[#This Row],[Oppervlak (netto)]]</f>
        <v>9536.0000000000018</v>
      </c>
      <c r="W334" s="84">
        <f>IF(U334&gt;0,Ruimtestaat[[#This Row],[Prest. (m2 /jaar) werkdagen]]/Ruimtestaat[[#This Row],[Norm (m2/uur) werkdagen]],0)</f>
        <v>0</v>
      </c>
      <c r="X334" s="85">
        <f>Ruimtestaat[[#This Row],[uren / jaar werkdagen]]*Tariefsopbouw!$E$35</f>
        <v>0</v>
      </c>
      <c r="Y334" s="82"/>
      <c r="Z334" s="86">
        <f>IF(Ruimtestaat[[#This Row],[Frequentie weekend]]&gt;0,VALUE(LEFT(Y334,1))*R334,0)</f>
        <v>0</v>
      </c>
      <c r="AA334" s="82">
        <f>IF($Z334&gt;0,VLOOKUP($J334,Ruimtegroepen[],3,FALSE)*VLOOKUP($L334,Vloersoorten[],3,FALSE)*VLOOKUP($Y334,Frequenties[],3,FALSE)*VLOOKUP($A330,Locaties[],3,FALSE),0)</f>
        <v>0</v>
      </c>
      <c r="AB334" s="84">
        <f>Ruimtestaat[[#This Row],[Uitvoeringen weekend]]*Ruimtestaat[[#This Row],[Oppervlak (netto)]]</f>
        <v>0</v>
      </c>
      <c r="AC334" s="87">
        <f>IF(AB334&gt;0,Ruimtestaat[[#This Row],[Prest. (m2 /jaar) weekend]]/Ruimtestaat[[#This Row],[Norm (m2/uur) weekend]],0)</f>
        <v>0</v>
      </c>
      <c r="AD334" s="88">
        <f>Ruimtestaat[[#This Row],[uren / jaar weekend]]*Tariefsopbouw!$D$40</f>
        <v>0</v>
      </c>
      <c r="AE334" s="89">
        <f>Ruimtestaat[[#This Row],[Prest. (m2 /jaar) weekend]]+Ruimtestaat[[#This Row],[Prest. (m2 /jaar) werkdagen]]</f>
        <v>9536.0000000000018</v>
      </c>
      <c r="AF334" s="89">
        <f>Ruimtestaat[[#This Row],[uren / jaar weekend]]+Ruimtestaat[[#This Row],[uren / jaar werkdagen]]</f>
        <v>0</v>
      </c>
      <c r="AG334" s="90">
        <f>Ruimtestaat[[#This Row],[kosten / jaar weekend]]+Ruimtestaat[[#This Row],[kosten / jaar werkdagen]]</f>
        <v>0</v>
      </c>
    </row>
    <row r="335" spans="1:33" ht="15" customHeight="1">
      <c r="A335" s="53">
        <v>2</v>
      </c>
      <c r="B335" s="53" t="str">
        <f>VLOOKUP(Ruimtestaat[[#This Row],[Code]],Locaties[#All],2,FALSE)</f>
        <v>Open Schoolgemeenschap Bijlmer</v>
      </c>
      <c r="C335" s="53" t="str">
        <f>VLOOKUP(Ruimtestaat[[#This Row],[Code]],Locaties[#All],4,FALSE)</f>
        <v>Gulden Kruis 5</v>
      </c>
      <c r="D335" s="53" t="str">
        <f>VLOOKUP(Ruimtestaat[[#This Row],[Code]],Locaties[#All],5,FALSE)</f>
        <v>1103 BE</v>
      </c>
      <c r="E335" s="53" t="str">
        <f>VLOOKUP(Ruimtestaat[[#This Row],[Code]],Locaties[#All],6,FALSE)</f>
        <v>Amsterdam Zuidoost</v>
      </c>
      <c r="F335" s="78"/>
      <c r="G335" s="53" t="s">
        <v>450</v>
      </c>
      <c r="H335" s="53" t="s">
        <v>727</v>
      </c>
      <c r="I335" s="78" t="s">
        <v>720</v>
      </c>
      <c r="J335" s="53">
        <v>6</v>
      </c>
      <c r="K335" s="78" t="str">
        <f>VLOOKUP(J335,Ruimtegroepen[],2,FALSE)</f>
        <v>Gangen/hallen</v>
      </c>
      <c r="L335" s="53" t="s">
        <v>285</v>
      </c>
      <c r="M335" s="53" t="s">
        <v>580</v>
      </c>
      <c r="N335" s="92">
        <v>9</v>
      </c>
      <c r="O335" s="92"/>
      <c r="P335" s="80" t="str">
        <f>LEFT(VLOOKUP(Ruimtestaat[[#This Row],[Ruimte code]],Ruimtegroepen[#All],4,1),2)</f>
        <v xml:space="preserve">V </v>
      </c>
      <c r="Q335" s="93"/>
      <c r="R335" s="81">
        <v>40</v>
      </c>
      <c r="S335" s="81" t="s">
        <v>298</v>
      </c>
      <c r="T335" s="82">
        <f>IF(R335&gt;0,IF(RIGHT(Ruimtestaat[[#This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5" s="82">
        <f>IF(T335&gt;0,VLOOKUP($J335,Ruimtegroepen[],3,FALSE)*VLOOKUP($L335,Vloersoorten[],3,FALSE)*VLOOKUP($S335,Frequenties[],3,FALSE)*VLOOKUP($A335,Locaties[],3,FALSE),0)</f>
        <v>0</v>
      </c>
      <c r="V335" s="83">
        <f>Ruimtestaat[[#This Row],[Uitvoeringen werkdagen]]*Ruimtestaat[[#This Row],[Oppervlak (netto)]]</f>
        <v>1800</v>
      </c>
      <c r="W335" s="84">
        <f>IF(U335&gt;0,Ruimtestaat[[#This Row],[Prest. (m2 /jaar) werkdagen]]/Ruimtestaat[[#This Row],[Norm (m2/uur) werkdagen]],0)</f>
        <v>0</v>
      </c>
      <c r="X335" s="85">
        <f>Ruimtestaat[[#This Row],[uren / jaar werkdagen]]*Tariefsopbouw!$E$35</f>
        <v>0</v>
      </c>
      <c r="Y335" s="82"/>
      <c r="Z335" s="86">
        <f>IF(Ruimtestaat[[#This Row],[Frequentie weekend]]&gt;0,VALUE(LEFT(Y335,1))*R335,0)</f>
        <v>0</v>
      </c>
      <c r="AA335" s="82">
        <f>IF($Z335&gt;0,VLOOKUP($J335,Ruimtegroepen[],3,FALSE)*VLOOKUP($L335,Vloersoorten[],3,FALSE)*VLOOKUP($Y335,Frequenties[],3,FALSE)*VLOOKUP($A331,Locaties[],3,FALSE),0)</f>
        <v>0</v>
      </c>
      <c r="AB335" s="84">
        <f>Ruimtestaat[[#This Row],[Uitvoeringen weekend]]*Ruimtestaat[[#This Row],[Oppervlak (netto)]]</f>
        <v>0</v>
      </c>
      <c r="AC335" s="87">
        <f>IF(AB335&gt;0,Ruimtestaat[[#This Row],[Prest. (m2 /jaar) weekend]]/Ruimtestaat[[#This Row],[Norm (m2/uur) weekend]],0)</f>
        <v>0</v>
      </c>
      <c r="AD335" s="88">
        <f>Ruimtestaat[[#This Row],[uren / jaar weekend]]*Tariefsopbouw!$D$40</f>
        <v>0</v>
      </c>
      <c r="AE335" s="89">
        <f>Ruimtestaat[[#This Row],[Prest. (m2 /jaar) weekend]]+Ruimtestaat[[#This Row],[Prest. (m2 /jaar) werkdagen]]</f>
        <v>1800</v>
      </c>
      <c r="AF335" s="89">
        <f>Ruimtestaat[[#This Row],[uren / jaar weekend]]+Ruimtestaat[[#This Row],[uren / jaar werkdagen]]</f>
        <v>0</v>
      </c>
      <c r="AG335" s="90">
        <f>Ruimtestaat[[#This Row],[kosten / jaar weekend]]+Ruimtestaat[[#This Row],[kosten / jaar werkdagen]]</f>
        <v>0</v>
      </c>
    </row>
    <row r="336" spans="1:33" ht="15" customHeight="1">
      <c r="A336" s="53">
        <v>2</v>
      </c>
      <c r="B336" s="53" t="str">
        <f>VLOOKUP(Ruimtestaat[[#This Row],[Code]],Locaties[#All],2,FALSE)</f>
        <v>Open Schoolgemeenschap Bijlmer</v>
      </c>
      <c r="C336" s="53" t="str">
        <f>VLOOKUP(Ruimtestaat[[#This Row],[Code]],Locaties[#All],4,FALSE)</f>
        <v>Gulden Kruis 5</v>
      </c>
      <c r="D336" s="53" t="str">
        <f>VLOOKUP(Ruimtestaat[[#This Row],[Code]],Locaties[#All],5,FALSE)</f>
        <v>1103 BE</v>
      </c>
      <c r="E336" s="53" t="str">
        <f>VLOOKUP(Ruimtestaat[[#This Row],[Code]],Locaties[#All],6,FALSE)</f>
        <v>Amsterdam Zuidoost</v>
      </c>
      <c r="F336" s="78"/>
      <c r="G336" s="53" t="s">
        <v>450</v>
      </c>
      <c r="H336" s="53" t="s">
        <v>728</v>
      </c>
      <c r="I336" s="78" t="s">
        <v>720</v>
      </c>
      <c r="J336" s="53">
        <v>6</v>
      </c>
      <c r="K336" s="78" t="str">
        <f>VLOOKUP(J336,Ruimtegroepen[],2,FALSE)</f>
        <v>Gangen/hallen</v>
      </c>
      <c r="L336" s="53" t="s">
        <v>285</v>
      </c>
      <c r="M336" s="53" t="s">
        <v>580</v>
      </c>
      <c r="N336" s="92">
        <v>6</v>
      </c>
      <c r="O336" s="92"/>
      <c r="P336" s="80" t="str">
        <f>LEFT(VLOOKUP(Ruimtestaat[[#This Row],[Ruimte code]],Ruimtegroepen[#All],4,1),2)</f>
        <v xml:space="preserve">V </v>
      </c>
      <c r="Q336" s="93"/>
      <c r="R336" s="81">
        <v>40</v>
      </c>
      <c r="S336" s="81" t="s">
        <v>298</v>
      </c>
      <c r="T336" s="82">
        <f>IF(R336&gt;0,IF(RIGHT(Ruimtestaat[[#This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6" s="82">
        <f>IF(T336&gt;0,VLOOKUP($J336,Ruimtegroepen[],3,FALSE)*VLOOKUP($L336,Vloersoorten[],3,FALSE)*VLOOKUP($S336,Frequenties[],3,FALSE)*VLOOKUP($A336,Locaties[],3,FALSE),0)</f>
        <v>0</v>
      </c>
      <c r="V336" s="83">
        <f>Ruimtestaat[[#This Row],[Uitvoeringen werkdagen]]*Ruimtestaat[[#This Row],[Oppervlak (netto)]]</f>
        <v>1200</v>
      </c>
      <c r="W336" s="84">
        <f>IF(U336&gt;0,Ruimtestaat[[#This Row],[Prest. (m2 /jaar) werkdagen]]/Ruimtestaat[[#This Row],[Norm (m2/uur) werkdagen]],0)</f>
        <v>0</v>
      </c>
      <c r="X336" s="85">
        <f>Ruimtestaat[[#This Row],[uren / jaar werkdagen]]*Tariefsopbouw!$E$35</f>
        <v>0</v>
      </c>
      <c r="Y336" s="82"/>
      <c r="Z336" s="86">
        <f>IF(Ruimtestaat[[#This Row],[Frequentie weekend]]&gt;0,VALUE(LEFT(Y336,1))*R336,0)</f>
        <v>0</v>
      </c>
      <c r="AA336" s="82">
        <f>IF($Z336&gt;0,VLOOKUP($J336,Ruimtegroepen[],3,FALSE)*VLOOKUP($L336,Vloersoorten[],3,FALSE)*VLOOKUP($Y336,Frequenties[],3,FALSE)*VLOOKUP($A332,Locaties[],3,FALSE),0)</f>
        <v>0</v>
      </c>
      <c r="AB336" s="84">
        <f>Ruimtestaat[[#This Row],[Uitvoeringen weekend]]*Ruimtestaat[[#This Row],[Oppervlak (netto)]]</f>
        <v>0</v>
      </c>
      <c r="AC336" s="87">
        <f>IF(AB336&gt;0,Ruimtestaat[[#This Row],[Prest. (m2 /jaar) weekend]]/Ruimtestaat[[#This Row],[Norm (m2/uur) weekend]],0)</f>
        <v>0</v>
      </c>
      <c r="AD336" s="88">
        <f>Ruimtestaat[[#This Row],[uren / jaar weekend]]*Tariefsopbouw!$D$40</f>
        <v>0</v>
      </c>
      <c r="AE336" s="89">
        <f>Ruimtestaat[[#This Row],[Prest. (m2 /jaar) weekend]]+Ruimtestaat[[#This Row],[Prest. (m2 /jaar) werkdagen]]</f>
        <v>1200</v>
      </c>
      <c r="AF336" s="89">
        <f>Ruimtestaat[[#This Row],[uren / jaar weekend]]+Ruimtestaat[[#This Row],[uren / jaar werkdagen]]</f>
        <v>0</v>
      </c>
      <c r="AG336" s="90">
        <f>Ruimtestaat[[#This Row],[kosten / jaar weekend]]+Ruimtestaat[[#This Row],[kosten / jaar werkdagen]]</f>
        <v>0</v>
      </c>
    </row>
    <row r="337" spans="1:33" ht="15" customHeight="1">
      <c r="A337" s="53">
        <v>2</v>
      </c>
      <c r="B337" s="53" t="str">
        <f>VLOOKUP(Ruimtestaat[[#This Row],[Code]],Locaties[#All],2,FALSE)</f>
        <v>Open Schoolgemeenschap Bijlmer</v>
      </c>
      <c r="C337" s="53" t="str">
        <f>VLOOKUP(Ruimtestaat[[#This Row],[Code]],Locaties[#All],4,FALSE)</f>
        <v>Gulden Kruis 5</v>
      </c>
      <c r="D337" s="53" t="str">
        <f>VLOOKUP(Ruimtestaat[[#This Row],[Code]],Locaties[#All],5,FALSE)</f>
        <v>1103 BE</v>
      </c>
      <c r="E337" s="53" t="str">
        <f>VLOOKUP(Ruimtestaat[[#This Row],[Code]],Locaties[#All],6,FALSE)</f>
        <v>Amsterdam Zuidoost</v>
      </c>
      <c r="F337" s="78"/>
      <c r="G337" s="53" t="s">
        <v>450</v>
      </c>
      <c r="H337" s="53" t="s">
        <v>729</v>
      </c>
      <c r="I337" s="78" t="s">
        <v>428</v>
      </c>
      <c r="J337" s="53">
        <v>16</v>
      </c>
      <c r="K337" s="78" t="str">
        <f>VLOOKUP(J337,Ruimtegroepen[],2,FALSE)</f>
        <v>Leslokalen theorie</v>
      </c>
      <c r="L337" s="53" t="s">
        <v>285</v>
      </c>
      <c r="M337" s="53" t="s">
        <v>580</v>
      </c>
      <c r="N337" s="92">
        <v>61.49</v>
      </c>
      <c r="O337" s="92"/>
      <c r="P337" s="80" t="str">
        <f>LEFT(VLOOKUP(Ruimtestaat[[#This Row],[Ruimte code]],Ruimtegroepen[#All],4,1),2)</f>
        <v xml:space="preserve">L </v>
      </c>
      <c r="Q337" s="93"/>
      <c r="R337" s="81">
        <v>40</v>
      </c>
      <c r="S337" s="81" t="s">
        <v>298</v>
      </c>
      <c r="T337" s="82">
        <f>IF(R337&gt;0,IF(RIGHT(Ruimtestaat[[#This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7" s="82">
        <f>IF(T337&gt;0,VLOOKUP($J337,Ruimtegroepen[],3,FALSE)*VLOOKUP($L337,Vloersoorten[],3,FALSE)*VLOOKUP($S337,Frequenties[],3,FALSE)*VLOOKUP($A337,Locaties[],3,FALSE),0)</f>
        <v>0</v>
      </c>
      <c r="V337" s="83">
        <f>Ruimtestaat[[#This Row],[Uitvoeringen werkdagen]]*Ruimtestaat[[#This Row],[Oppervlak (netto)]]</f>
        <v>12298</v>
      </c>
      <c r="W337" s="84">
        <f>IF(U337&gt;0,Ruimtestaat[[#This Row],[Prest. (m2 /jaar) werkdagen]]/Ruimtestaat[[#This Row],[Norm (m2/uur) werkdagen]],0)</f>
        <v>0</v>
      </c>
      <c r="X337" s="85">
        <f>Ruimtestaat[[#This Row],[uren / jaar werkdagen]]*Tariefsopbouw!$E$35</f>
        <v>0</v>
      </c>
      <c r="Y337" s="82"/>
      <c r="Z337" s="86">
        <f>IF(Ruimtestaat[[#This Row],[Frequentie weekend]]&gt;0,VALUE(LEFT(Y337,1))*R337,0)</f>
        <v>0</v>
      </c>
      <c r="AA337" s="82">
        <f>IF($Z337&gt;0,VLOOKUP($J337,Ruimtegroepen[],3,FALSE)*VLOOKUP($L337,Vloersoorten[],3,FALSE)*VLOOKUP($Y337,Frequenties[],3,FALSE)*VLOOKUP($A333,Locaties[],3,FALSE),0)</f>
        <v>0</v>
      </c>
      <c r="AB337" s="84">
        <f>Ruimtestaat[[#This Row],[Uitvoeringen weekend]]*Ruimtestaat[[#This Row],[Oppervlak (netto)]]</f>
        <v>0</v>
      </c>
      <c r="AC337" s="87">
        <f>IF(AB337&gt;0,Ruimtestaat[[#This Row],[Prest. (m2 /jaar) weekend]]/Ruimtestaat[[#This Row],[Norm (m2/uur) weekend]],0)</f>
        <v>0</v>
      </c>
      <c r="AD337" s="88">
        <f>Ruimtestaat[[#This Row],[uren / jaar weekend]]*Tariefsopbouw!$D$40</f>
        <v>0</v>
      </c>
      <c r="AE337" s="89">
        <f>Ruimtestaat[[#This Row],[Prest. (m2 /jaar) weekend]]+Ruimtestaat[[#This Row],[Prest. (m2 /jaar) werkdagen]]</f>
        <v>12298</v>
      </c>
      <c r="AF337" s="89">
        <f>Ruimtestaat[[#This Row],[uren / jaar weekend]]+Ruimtestaat[[#This Row],[uren / jaar werkdagen]]</f>
        <v>0</v>
      </c>
      <c r="AG337" s="90">
        <f>Ruimtestaat[[#This Row],[kosten / jaar weekend]]+Ruimtestaat[[#This Row],[kosten / jaar werkdagen]]</f>
        <v>0</v>
      </c>
    </row>
    <row r="338" spans="1:33" ht="15" customHeight="1">
      <c r="A338" s="53">
        <v>2</v>
      </c>
      <c r="B338" s="53" t="str">
        <f>VLOOKUP(Ruimtestaat[[#This Row],[Code]],Locaties[#All],2,FALSE)</f>
        <v>Open Schoolgemeenschap Bijlmer</v>
      </c>
      <c r="C338" s="53" t="str">
        <f>VLOOKUP(Ruimtestaat[[#This Row],[Code]],Locaties[#All],4,FALSE)</f>
        <v>Gulden Kruis 5</v>
      </c>
      <c r="D338" s="53" t="str">
        <f>VLOOKUP(Ruimtestaat[[#This Row],[Code]],Locaties[#All],5,FALSE)</f>
        <v>1103 BE</v>
      </c>
      <c r="E338" s="53" t="str">
        <f>VLOOKUP(Ruimtestaat[[#This Row],[Code]],Locaties[#All],6,FALSE)</f>
        <v>Amsterdam Zuidoost</v>
      </c>
      <c r="F338" s="78"/>
      <c r="G338" s="53" t="s">
        <v>450</v>
      </c>
      <c r="H338" s="53" t="s">
        <v>730</v>
      </c>
      <c r="I338" s="78" t="s">
        <v>428</v>
      </c>
      <c r="J338" s="53">
        <v>16</v>
      </c>
      <c r="K338" s="78" t="str">
        <f>VLOOKUP(J338,Ruimtegroepen[],2,FALSE)</f>
        <v>Leslokalen theorie</v>
      </c>
      <c r="L338" s="53" t="s">
        <v>285</v>
      </c>
      <c r="M338" s="53" t="s">
        <v>580</v>
      </c>
      <c r="N338" s="92">
        <v>61.1</v>
      </c>
      <c r="O338" s="92"/>
      <c r="P338" s="80" t="str">
        <f>LEFT(VLOOKUP(Ruimtestaat[[#This Row],[Ruimte code]],Ruimtegroepen[#All],4,1),2)</f>
        <v xml:space="preserve">L </v>
      </c>
      <c r="Q338" s="93"/>
      <c r="R338" s="81">
        <v>40</v>
      </c>
      <c r="S338" s="81" t="s">
        <v>298</v>
      </c>
      <c r="T338" s="82">
        <f>IF(R338&gt;0,IF(RIGHT(Ruimtestaat[[#This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8" s="82">
        <f>IF(T338&gt;0,VLOOKUP($J338,Ruimtegroepen[],3,FALSE)*VLOOKUP($L338,Vloersoorten[],3,FALSE)*VLOOKUP($S338,Frequenties[],3,FALSE)*VLOOKUP($A338,Locaties[],3,FALSE),0)</f>
        <v>0</v>
      </c>
      <c r="V338" s="83">
        <f>Ruimtestaat[[#This Row],[Uitvoeringen werkdagen]]*Ruimtestaat[[#This Row],[Oppervlak (netto)]]</f>
        <v>12220</v>
      </c>
      <c r="W338" s="84">
        <f>IF(U338&gt;0,Ruimtestaat[[#This Row],[Prest. (m2 /jaar) werkdagen]]/Ruimtestaat[[#This Row],[Norm (m2/uur) werkdagen]],0)</f>
        <v>0</v>
      </c>
      <c r="X338" s="85">
        <f>Ruimtestaat[[#This Row],[uren / jaar werkdagen]]*Tariefsopbouw!$E$35</f>
        <v>0</v>
      </c>
      <c r="Y338" s="82"/>
      <c r="Z338" s="86">
        <f>IF(Ruimtestaat[[#This Row],[Frequentie weekend]]&gt;0,VALUE(LEFT(Y338,1))*R338,0)</f>
        <v>0</v>
      </c>
      <c r="AA338" s="82">
        <f>IF($Z338&gt;0,VLOOKUP($J338,Ruimtegroepen[],3,FALSE)*VLOOKUP($L338,Vloersoorten[],3,FALSE)*VLOOKUP($Y338,Frequenties[],3,FALSE)*VLOOKUP($A334,Locaties[],3,FALSE),0)</f>
        <v>0</v>
      </c>
      <c r="AB338" s="84">
        <f>Ruimtestaat[[#This Row],[Uitvoeringen weekend]]*Ruimtestaat[[#This Row],[Oppervlak (netto)]]</f>
        <v>0</v>
      </c>
      <c r="AC338" s="87">
        <f>IF(AB338&gt;0,Ruimtestaat[[#This Row],[Prest. (m2 /jaar) weekend]]/Ruimtestaat[[#This Row],[Norm (m2/uur) weekend]],0)</f>
        <v>0</v>
      </c>
      <c r="AD338" s="88">
        <f>Ruimtestaat[[#This Row],[uren / jaar weekend]]*Tariefsopbouw!$D$40</f>
        <v>0</v>
      </c>
      <c r="AE338" s="89">
        <f>Ruimtestaat[[#This Row],[Prest. (m2 /jaar) weekend]]+Ruimtestaat[[#This Row],[Prest. (m2 /jaar) werkdagen]]</f>
        <v>12220</v>
      </c>
      <c r="AF338" s="89">
        <f>Ruimtestaat[[#This Row],[uren / jaar weekend]]+Ruimtestaat[[#This Row],[uren / jaar werkdagen]]</f>
        <v>0</v>
      </c>
      <c r="AG338" s="90">
        <f>Ruimtestaat[[#This Row],[kosten / jaar weekend]]+Ruimtestaat[[#This Row],[kosten / jaar werkdagen]]</f>
        <v>0</v>
      </c>
    </row>
    <row r="339" spans="1:33" ht="15" customHeight="1">
      <c r="A339" s="53">
        <v>2</v>
      </c>
      <c r="B339" s="53" t="str">
        <f>VLOOKUP(Ruimtestaat[[#This Row],[Code]],Locaties[#All],2,FALSE)</f>
        <v>Open Schoolgemeenschap Bijlmer</v>
      </c>
      <c r="C339" s="53" t="str">
        <f>VLOOKUP(Ruimtestaat[[#This Row],[Code]],Locaties[#All],4,FALSE)</f>
        <v>Gulden Kruis 5</v>
      </c>
      <c r="D339" s="53" t="str">
        <f>VLOOKUP(Ruimtestaat[[#This Row],[Code]],Locaties[#All],5,FALSE)</f>
        <v>1103 BE</v>
      </c>
      <c r="E339" s="53" t="str">
        <f>VLOOKUP(Ruimtestaat[[#This Row],[Code]],Locaties[#All],6,FALSE)</f>
        <v>Amsterdam Zuidoost</v>
      </c>
      <c r="F339" s="78"/>
      <c r="G339" s="53" t="s">
        <v>450</v>
      </c>
      <c r="H339" s="53" t="s">
        <v>731</v>
      </c>
      <c r="I339" s="78" t="s">
        <v>428</v>
      </c>
      <c r="J339" s="53">
        <v>16</v>
      </c>
      <c r="K339" s="78" t="str">
        <f>VLOOKUP(J339,Ruimtegroepen[],2,FALSE)</f>
        <v>Leslokalen theorie</v>
      </c>
      <c r="L339" s="53" t="s">
        <v>285</v>
      </c>
      <c r="M339" s="53" t="s">
        <v>580</v>
      </c>
      <c r="N339" s="92">
        <v>65.319999999999993</v>
      </c>
      <c r="O339" s="92"/>
      <c r="P339" s="80" t="str">
        <f>LEFT(VLOOKUP(Ruimtestaat[[#This Row],[Ruimte code]],Ruimtegroepen[#All],4,1),2)</f>
        <v xml:space="preserve">L </v>
      </c>
      <c r="Q339" s="93"/>
      <c r="R339" s="81">
        <v>40</v>
      </c>
      <c r="S339" s="81" t="s">
        <v>298</v>
      </c>
      <c r="T339" s="82">
        <f>IF(R339&gt;0,IF(RIGHT(Ruimtestaat[[#This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39" s="82">
        <f>IF(T339&gt;0,VLOOKUP($J339,Ruimtegroepen[],3,FALSE)*VLOOKUP($L339,Vloersoorten[],3,FALSE)*VLOOKUP($S339,Frequenties[],3,FALSE)*VLOOKUP($A339,Locaties[],3,FALSE),0)</f>
        <v>0</v>
      </c>
      <c r="V339" s="83">
        <f>Ruimtestaat[[#This Row],[Uitvoeringen werkdagen]]*Ruimtestaat[[#This Row],[Oppervlak (netto)]]</f>
        <v>13063.999999999998</v>
      </c>
      <c r="W339" s="84">
        <f>IF(U339&gt;0,Ruimtestaat[[#This Row],[Prest. (m2 /jaar) werkdagen]]/Ruimtestaat[[#This Row],[Norm (m2/uur) werkdagen]],0)</f>
        <v>0</v>
      </c>
      <c r="X339" s="85">
        <f>Ruimtestaat[[#This Row],[uren / jaar werkdagen]]*Tariefsopbouw!$E$35</f>
        <v>0</v>
      </c>
      <c r="Y339" s="82"/>
      <c r="Z339" s="86">
        <f>IF(Ruimtestaat[[#This Row],[Frequentie weekend]]&gt;0,VALUE(LEFT(Y339,1))*R339,0)</f>
        <v>0</v>
      </c>
      <c r="AA339" s="82">
        <f>IF($Z339&gt;0,VLOOKUP($J339,Ruimtegroepen[],3,FALSE)*VLOOKUP($L339,Vloersoorten[],3,FALSE)*VLOOKUP($Y339,Frequenties[],3,FALSE)*VLOOKUP($A335,Locaties[],3,FALSE),0)</f>
        <v>0</v>
      </c>
      <c r="AB339" s="84">
        <f>Ruimtestaat[[#This Row],[Uitvoeringen weekend]]*Ruimtestaat[[#This Row],[Oppervlak (netto)]]</f>
        <v>0</v>
      </c>
      <c r="AC339" s="87">
        <f>IF(AB339&gt;0,Ruimtestaat[[#This Row],[Prest. (m2 /jaar) weekend]]/Ruimtestaat[[#This Row],[Norm (m2/uur) weekend]],0)</f>
        <v>0</v>
      </c>
      <c r="AD339" s="88">
        <f>Ruimtestaat[[#This Row],[uren / jaar weekend]]*Tariefsopbouw!$D$40</f>
        <v>0</v>
      </c>
      <c r="AE339" s="89">
        <f>Ruimtestaat[[#This Row],[Prest. (m2 /jaar) weekend]]+Ruimtestaat[[#This Row],[Prest. (m2 /jaar) werkdagen]]</f>
        <v>13063.999999999998</v>
      </c>
      <c r="AF339" s="89">
        <f>Ruimtestaat[[#This Row],[uren / jaar weekend]]+Ruimtestaat[[#This Row],[uren / jaar werkdagen]]</f>
        <v>0</v>
      </c>
      <c r="AG339" s="90">
        <f>Ruimtestaat[[#This Row],[kosten / jaar weekend]]+Ruimtestaat[[#This Row],[kosten / jaar werkdagen]]</f>
        <v>0</v>
      </c>
    </row>
    <row r="340" spans="1:33" ht="15" customHeight="1">
      <c r="A340" s="53">
        <v>2</v>
      </c>
      <c r="B340" s="53" t="str">
        <f>VLOOKUP(Ruimtestaat[[#This Row],[Code]],Locaties[#All],2,FALSE)</f>
        <v>Open Schoolgemeenschap Bijlmer</v>
      </c>
      <c r="C340" s="53" t="str">
        <f>VLOOKUP(Ruimtestaat[[#This Row],[Code]],Locaties[#All],4,FALSE)</f>
        <v>Gulden Kruis 5</v>
      </c>
      <c r="D340" s="53" t="str">
        <f>VLOOKUP(Ruimtestaat[[#This Row],[Code]],Locaties[#All],5,FALSE)</f>
        <v>1103 BE</v>
      </c>
      <c r="E340" s="53" t="str">
        <f>VLOOKUP(Ruimtestaat[[#This Row],[Code]],Locaties[#All],6,FALSE)</f>
        <v>Amsterdam Zuidoost</v>
      </c>
      <c r="F340" s="78"/>
      <c r="G340" s="53" t="s">
        <v>450</v>
      </c>
      <c r="H340" s="53" t="s">
        <v>732</v>
      </c>
      <c r="I340" s="78" t="s">
        <v>428</v>
      </c>
      <c r="J340" s="53">
        <v>16</v>
      </c>
      <c r="K340" s="78" t="str">
        <f>VLOOKUP(J340,Ruimtegroepen[],2,FALSE)</f>
        <v>Leslokalen theorie</v>
      </c>
      <c r="L340" s="53" t="s">
        <v>285</v>
      </c>
      <c r="M340" s="53" t="s">
        <v>580</v>
      </c>
      <c r="N340" s="92">
        <v>65.33</v>
      </c>
      <c r="O340" s="92"/>
      <c r="P340" s="80" t="str">
        <f>LEFT(VLOOKUP(Ruimtestaat[[#This Row],[Ruimte code]],Ruimtegroepen[#All],4,1),2)</f>
        <v xml:space="preserve">L </v>
      </c>
      <c r="Q340" s="93"/>
      <c r="R340" s="81">
        <v>40</v>
      </c>
      <c r="S340" s="81" t="s">
        <v>298</v>
      </c>
      <c r="T340" s="82">
        <f>IF(R340&gt;0,IF(RIGHT(Ruimtestaat[[#This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0" s="82">
        <f>IF(T340&gt;0,VLOOKUP($J340,Ruimtegroepen[],3,FALSE)*VLOOKUP($L340,Vloersoorten[],3,FALSE)*VLOOKUP($S340,Frequenties[],3,FALSE)*VLOOKUP($A340,Locaties[],3,FALSE),0)</f>
        <v>0</v>
      </c>
      <c r="V340" s="83">
        <f>Ruimtestaat[[#This Row],[Uitvoeringen werkdagen]]*Ruimtestaat[[#This Row],[Oppervlak (netto)]]</f>
        <v>13066</v>
      </c>
      <c r="W340" s="84">
        <f>IF(U340&gt;0,Ruimtestaat[[#This Row],[Prest. (m2 /jaar) werkdagen]]/Ruimtestaat[[#This Row],[Norm (m2/uur) werkdagen]],0)</f>
        <v>0</v>
      </c>
      <c r="X340" s="85">
        <f>Ruimtestaat[[#This Row],[uren / jaar werkdagen]]*Tariefsopbouw!$E$35</f>
        <v>0</v>
      </c>
      <c r="Y340" s="82"/>
      <c r="Z340" s="86">
        <f>IF(Ruimtestaat[[#This Row],[Frequentie weekend]]&gt;0,VALUE(LEFT(Y340,1))*R340,0)</f>
        <v>0</v>
      </c>
      <c r="AA340" s="82">
        <f>IF($Z340&gt;0,VLOOKUP($J340,Ruimtegroepen[],3,FALSE)*VLOOKUP($L340,Vloersoorten[],3,FALSE)*VLOOKUP($Y340,Frequenties[],3,FALSE)*VLOOKUP($A336,Locaties[],3,FALSE),0)</f>
        <v>0</v>
      </c>
      <c r="AB340" s="84">
        <f>Ruimtestaat[[#This Row],[Uitvoeringen weekend]]*Ruimtestaat[[#This Row],[Oppervlak (netto)]]</f>
        <v>0</v>
      </c>
      <c r="AC340" s="87">
        <f>IF(AB340&gt;0,Ruimtestaat[[#This Row],[Prest. (m2 /jaar) weekend]]/Ruimtestaat[[#This Row],[Norm (m2/uur) weekend]],0)</f>
        <v>0</v>
      </c>
      <c r="AD340" s="88">
        <f>Ruimtestaat[[#This Row],[uren / jaar weekend]]*Tariefsopbouw!$D$40</f>
        <v>0</v>
      </c>
      <c r="AE340" s="89">
        <f>Ruimtestaat[[#This Row],[Prest. (m2 /jaar) weekend]]+Ruimtestaat[[#This Row],[Prest. (m2 /jaar) werkdagen]]</f>
        <v>13066</v>
      </c>
      <c r="AF340" s="89">
        <f>Ruimtestaat[[#This Row],[uren / jaar weekend]]+Ruimtestaat[[#This Row],[uren / jaar werkdagen]]</f>
        <v>0</v>
      </c>
      <c r="AG340" s="90">
        <f>Ruimtestaat[[#This Row],[kosten / jaar weekend]]+Ruimtestaat[[#This Row],[kosten / jaar werkdagen]]</f>
        <v>0</v>
      </c>
    </row>
    <row r="341" spans="1:33" ht="15" customHeight="1">
      <c r="A341" s="53">
        <v>2</v>
      </c>
      <c r="B341" s="53" t="str">
        <f>VLOOKUP(Ruimtestaat[[#This Row],[Code]],Locaties[#All],2,FALSE)</f>
        <v>Open Schoolgemeenschap Bijlmer</v>
      </c>
      <c r="C341" s="53" t="str">
        <f>VLOOKUP(Ruimtestaat[[#This Row],[Code]],Locaties[#All],4,FALSE)</f>
        <v>Gulden Kruis 5</v>
      </c>
      <c r="D341" s="53" t="str">
        <f>VLOOKUP(Ruimtestaat[[#This Row],[Code]],Locaties[#All],5,FALSE)</f>
        <v>1103 BE</v>
      </c>
      <c r="E341" s="53" t="str">
        <f>VLOOKUP(Ruimtestaat[[#This Row],[Code]],Locaties[#All],6,FALSE)</f>
        <v>Amsterdam Zuidoost</v>
      </c>
      <c r="F341" s="78"/>
      <c r="G341" s="53" t="s">
        <v>450</v>
      </c>
      <c r="H341" s="53" t="s">
        <v>733</v>
      </c>
      <c r="I341" s="78" t="s">
        <v>428</v>
      </c>
      <c r="J341" s="53">
        <v>16</v>
      </c>
      <c r="K341" s="78" t="str">
        <f>VLOOKUP(J341,Ruimtegroepen[],2,FALSE)</f>
        <v>Leslokalen theorie</v>
      </c>
      <c r="L341" s="53" t="s">
        <v>285</v>
      </c>
      <c r="M341" s="53" t="s">
        <v>580</v>
      </c>
      <c r="N341" s="92">
        <v>65.56</v>
      </c>
      <c r="O341" s="92"/>
      <c r="P341" s="80" t="str">
        <f>LEFT(VLOOKUP(Ruimtestaat[[#This Row],[Ruimte code]],Ruimtegroepen[#All],4,1),2)</f>
        <v xml:space="preserve">L </v>
      </c>
      <c r="Q341" s="93"/>
      <c r="R341" s="81">
        <v>40</v>
      </c>
      <c r="S341" s="81" t="s">
        <v>298</v>
      </c>
      <c r="T341" s="82">
        <f>IF(R341&gt;0,IF(RIGHT(Ruimtestaat[[#This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1" s="82">
        <f>IF(T341&gt;0,VLOOKUP($J341,Ruimtegroepen[],3,FALSE)*VLOOKUP($L341,Vloersoorten[],3,FALSE)*VLOOKUP($S341,Frequenties[],3,FALSE)*VLOOKUP($A341,Locaties[],3,FALSE),0)</f>
        <v>0</v>
      </c>
      <c r="V341" s="83">
        <f>Ruimtestaat[[#This Row],[Uitvoeringen werkdagen]]*Ruimtestaat[[#This Row],[Oppervlak (netto)]]</f>
        <v>13112</v>
      </c>
      <c r="W341" s="84">
        <f>IF(U341&gt;0,Ruimtestaat[[#This Row],[Prest. (m2 /jaar) werkdagen]]/Ruimtestaat[[#This Row],[Norm (m2/uur) werkdagen]],0)</f>
        <v>0</v>
      </c>
      <c r="X341" s="85">
        <f>Ruimtestaat[[#This Row],[uren / jaar werkdagen]]*Tariefsopbouw!$E$35</f>
        <v>0</v>
      </c>
      <c r="Y341" s="82"/>
      <c r="Z341" s="86">
        <f>IF(Ruimtestaat[[#This Row],[Frequentie weekend]]&gt;0,VALUE(LEFT(Y341,1))*R341,0)</f>
        <v>0</v>
      </c>
      <c r="AA341" s="82">
        <f>IF($Z341&gt;0,VLOOKUP($J341,Ruimtegroepen[],3,FALSE)*VLOOKUP($L341,Vloersoorten[],3,FALSE)*VLOOKUP($Y341,Frequenties[],3,FALSE)*VLOOKUP($A337,Locaties[],3,FALSE),0)</f>
        <v>0</v>
      </c>
      <c r="AB341" s="84">
        <f>Ruimtestaat[[#This Row],[Uitvoeringen weekend]]*Ruimtestaat[[#This Row],[Oppervlak (netto)]]</f>
        <v>0</v>
      </c>
      <c r="AC341" s="87">
        <f>IF(AB341&gt;0,Ruimtestaat[[#This Row],[Prest. (m2 /jaar) weekend]]/Ruimtestaat[[#This Row],[Norm (m2/uur) weekend]],0)</f>
        <v>0</v>
      </c>
      <c r="AD341" s="88">
        <f>Ruimtestaat[[#This Row],[uren / jaar weekend]]*Tariefsopbouw!$D$40</f>
        <v>0</v>
      </c>
      <c r="AE341" s="89">
        <f>Ruimtestaat[[#This Row],[Prest. (m2 /jaar) weekend]]+Ruimtestaat[[#This Row],[Prest. (m2 /jaar) werkdagen]]</f>
        <v>13112</v>
      </c>
      <c r="AF341" s="89">
        <f>Ruimtestaat[[#This Row],[uren / jaar weekend]]+Ruimtestaat[[#This Row],[uren / jaar werkdagen]]</f>
        <v>0</v>
      </c>
      <c r="AG341" s="90">
        <f>Ruimtestaat[[#This Row],[kosten / jaar weekend]]+Ruimtestaat[[#This Row],[kosten / jaar werkdagen]]</f>
        <v>0</v>
      </c>
    </row>
    <row r="342" spans="1:33" ht="15" customHeight="1">
      <c r="A342" s="53">
        <v>2</v>
      </c>
      <c r="B342" s="53" t="str">
        <f>VLOOKUP(Ruimtestaat[[#This Row],[Code]],Locaties[#All],2,FALSE)</f>
        <v>Open Schoolgemeenschap Bijlmer</v>
      </c>
      <c r="C342" s="53" t="str">
        <f>VLOOKUP(Ruimtestaat[[#This Row],[Code]],Locaties[#All],4,FALSE)</f>
        <v>Gulden Kruis 5</v>
      </c>
      <c r="D342" s="53" t="str">
        <f>VLOOKUP(Ruimtestaat[[#This Row],[Code]],Locaties[#All],5,FALSE)</f>
        <v>1103 BE</v>
      </c>
      <c r="E342" s="53" t="str">
        <f>VLOOKUP(Ruimtestaat[[#This Row],[Code]],Locaties[#All],6,FALSE)</f>
        <v>Amsterdam Zuidoost</v>
      </c>
      <c r="F342" s="78"/>
      <c r="G342" s="53" t="s">
        <v>450</v>
      </c>
      <c r="H342" s="53" t="s">
        <v>734</v>
      </c>
      <c r="I342" s="78" t="s">
        <v>428</v>
      </c>
      <c r="J342" s="53">
        <v>16</v>
      </c>
      <c r="K342" s="78" t="str">
        <f>VLOOKUP(J342,Ruimtegroepen[],2,FALSE)</f>
        <v>Leslokalen theorie</v>
      </c>
      <c r="L342" s="53" t="s">
        <v>285</v>
      </c>
      <c r="M342" s="53" t="s">
        <v>580</v>
      </c>
      <c r="N342" s="92">
        <v>67.83</v>
      </c>
      <c r="O342" s="92"/>
      <c r="P342" s="80" t="str">
        <f>LEFT(VLOOKUP(Ruimtestaat[[#This Row],[Ruimte code]],Ruimtegroepen[#All],4,1),2)</f>
        <v xml:space="preserve">L </v>
      </c>
      <c r="Q342" s="93"/>
      <c r="R342" s="81">
        <v>40</v>
      </c>
      <c r="S342" s="81" t="s">
        <v>298</v>
      </c>
      <c r="T342" s="82">
        <f>IF(R342&gt;0,IF(RIGHT(Ruimtestaat[[#This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2" s="82">
        <f>IF(T342&gt;0,VLOOKUP($J342,Ruimtegroepen[],3,FALSE)*VLOOKUP($L342,Vloersoorten[],3,FALSE)*VLOOKUP($S342,Frequenties[],3,FALSE)*VLOOKUP($A342,Locaties[],3,FALSE),0)</f>
        <v>0</v>
      </c>
      <c r="V342" s="83">
        <f>Ruimtestaat[[#This Row],[Uitvoeringen werkdagen]]*Ruimtestaat[[#This Row],[Oppervlak (netto)]]</f>
        <v>13566</v>
      </c>
      <c r="W342" s="84">
        <f>IF(U342&gt;0,Ruimtestaat[[#This Row],[Prest. (m2 /jaar) werkdagen]]/Ruimtestaat[[#This Row],[Norm (m2/uur) werkdagen]],0)</f>
        <v>0</v>
      </c>
      <c r="X342" s="85">
        <f>Ruimtestaat[[#This Row],[uren / jaar werkdagen]]*Tariefsopbouw!$E$35</f>
        <v>0</v>
      </c>
      <c r="Y342" s="82"/>
      <c r="Z342" s="86">
        <f>IF(Ruimtestaat[[#This Row],[Frequentie weekend]]&gt;0,VALUE(LEFT(Y342,1))*R342,0)</f>
        <v>0</v>
      </c>
      <c r="AA342" s="82">
        <f>IF($Z342&gt;0,VLOOKUP($J342,Ruimtegroepen[],3,FALSE)*VLOOKUP($L342,Vloersoorten[],3,FALSE)*VLOOKUP($Y342,Frequenties[],3,FALSE)*VLOOKUP($A338,Locaties[],3,FALSE),0)</f>
        <v>0</v>
      </c>
      <c r="AB342" s="84">
        <f>Ruimtestaat[[#This Row],[Uitvoeringen weekend]]*Ruimtestaat[[#This Row],[Oppervlak (netto)]]</f>
        <v>0</v>
      </c>
      <c r="AC342" s="87">
        <f>IF(AB342&gt;0,Ruimtestaat[[#This Row],[Prest. (m2 /jaar) weekend]]/Ruimtestaat[[#This Row],[Norm (m2/uur) weekend]],0)</f>
        <v>0</v>
      </c>
      <c r="AD342" s="88">
        <f>Ruimtestaat[[#This Row],[uren / jaar weekend]]*Tariefsopbouw!$D$40</f>
        <v>0</v>
      </c>
      <c r="AE342" s="89">
        <f>Ruimtestaat[[#This Row],[Prest. (m2 /jaar) weekend]]+Ruimtestaat[[#This Row],[Prest. (m2 /jaar) werkdagen]]</f>
        <v>13566</v>
      </c>
      <c r="AF342" s="89">
        <f>Ruimtestaat[[#This Row],[uren / jaar weekend]]+Ruimtestaat[[#This Row],[uren / jaar werkdagen]]</f>
        <v>0</v>
      </c>
      <c r="AG342" s="90">
        <f>Ruimtestaat[[#This Row],[kosten / jaar weekend]]+Ruimtestaat[[#This Row],[kosten / jaar werkdagen]]</f>
        <v>0</v>
      </c>
    </row>
    <row r="343" spans="1:33" ht="15" customHeight="1">
      <c r="A343" s="53">
        <v>2</v>
      </c>
      <c r="B343" s="53" t="str">
        <f>VLOOKUP(Ruimtestaat[[#This Row],[Code]],Locaties[#All],2,FALSE)</f>
        <v>Open Schoolgemeenschap Bijlmer</v>
      </c>
      <c r="C343" s="53" t="str">
        <f>VLOOKUP(Ruimtestaat[[#This Row],[Code]],Locaties[#All],4,FALSE)</f>
        <v>Gulden Kruis 5</v>
      </c>
      <c r="D343" s="53" t="str">
        <f>VLOOKUP(Ruimtestaat[[#This Row],[Code]],Locaties[#All],5,FALSE)</f>
        <v>1103 BE</v>
      </c>
      <c r="E343" s="53" t="str">
        <f>VLOOKUP(Ruimtestaat[[#This Row],[Code]],Locaties[#All],6,FALSE)</f>
        <v>Amsterdam Zuidoost</v>
      </c>
      <c r="F343" s="78"/>
      <c r="G343" s="53" t="s">
        <v>450</v>
      </c>
      <c r="H343" s="53" t="s">
        <v>735</v>
      </c>
      <c r="I343" s="78" t="s">
        <v>428</v>
      </c>
      <c r="J343" s="53">
        <v>16</v>
      </c>
      <c r="K343" s="78" t="str">
        <f>VLOOKUP(J343,Ruimtegroepen[],2,FALSE)</f>
        <v>Leslokalen theorie</v>
      </c>
      <c r="L343" s="53" t="s">
        <v>285</v>
      </c>
      <c r="M343" s="53" t="s">
        <v>580</v>
      </c>
      <c r="N343" s="92">
        <v>56.23</v>
      </c>
      <c r="O343" s="92"/>
      <c r="P343" s="80" t="str">
        <f>LEFT(VLOOKUP(Ruimtestaat[[#This Row],[Ruimte code]],Ruimtegroepen[#All],4,1),2)</f>
        <v xml:space="preserve">L </v>
      </c>
      <c r="Q343" s="93"/>
      <c r="R343" s="81">
        <v>40</v>
      </c>
      <c r="S343" s="81" t="s">
        <v>298</v>
      </c>
      <c r="T343" s="82">
        <f>IF(R343&gt;0,IF(RIGHT(Ruimtestaat[[#This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3" s="82">
        <f>IF(T343&gt;0,VLOOKUP($J343,Ruimtegroepen[],3,FALSE)*VLOOKUP($L343,Vloersoorten[],3,FALSE)*VLOOKUP($S343,Frequenties[],3,FALSE)*VLOOKUP($A343,Locaties[],3,FALSE),0)</f>
        <v>0</v>
      </c>
      <c r="V343" s="83">
        <f>Ruimtestaat[[#This Row],[Uitvoeringen werkdagen]]*Ruimtestaat[[#This Row],[Oppervlak (netto)]]</f>
        <v>11246</v>
      </c>
      <c r="W343" s="84">
        <f>IF(U343&gt;0,Ruimtestaat[[#This Row],[Prest. (m2 /jaar) werkdagen]]/Ruimtestaat[[#This Row],[Norm (m2/uur) werkdagen]],0)</f>
        <v>0</v>
      </c>
      <c r="X343" s="85">
        <f>Ruimtestaat[[#This Row],[uren / jaar werkdagen]]*Tariefsopbouw!$E$35</f>
        <v>0</v>
      </c>
      <c r="Y343" s="82"/>
      <c r="Z343" s="86">
        <f>IF(Ruimtestaat[[#This Row],[Frequentie weekend]]&gt;0,VALUE(LEFT(Y343,1))*R343,0)</f>
        <v>0</v>
      </c>
      <c r="AA343" s="82">
        <f>IF($Z343&gt;0,VLOOKUP($J343,Ruimtegroepen[],3,FALSE)*VLOOKUP($L343,Vloersoorten[],3,FALSE)*VLOOKUP($Y343,Frequenties[],3,FALSE)*VLOOKUP($A339,Locaties[],3,FALSE),0)</f>
        <v>0</v>
      </c>
      <c r="AB343" s="84">
        <f>Ruimtestaat[[#This Row],[Uitvoeringen weekend]]*Ruimtestaat[[#This Row],[Oppervlak (netto)]]</f>
        <v>0</v>
      </c>
      <c r="AC343" s="87">
        <f>IF(AB343&gt;0,Ruimtestaat[[#This Row],[Prest. (m2 /jaar) weekend]]/Ruimtestaat[[#This Row],[Norm (m2/uur) weekend]],0)</f>
        <v>0</v>
      </c>
      <c r="AD343" s="88">
        <f>Ruimtestaat[[#This Row],[uren / jaar weekend]]*Tariefsopbouw!$D$40</f>
        <v>0</v>
      </c>
      <c r="AE343" s="89">
        <f>Ruimtestaat[[#This Row],[Prest. (m2 /jaar) weekend]]+Ruimtestaat[[#This Row],[Prest. (m2 /jaar) werkdagen]]</f>
        <v>11246</v>
      </c>
      <c r="AF343" s="89">
        <f>Ruimtestaat[[#This Row],[uren / jaar weekend]]+Ruimtestaat[[#This Row],[uren / jaar werkdagen]]</f>
        <v>0</v>
      </c>
      <c r="AG343" s="90">
        <f>Ruimtestaat[[#This Row],[kosten / jaar weekend]]+Ruimtestaat[[#This Row],[kosten / jaar werkdagen]]</f>
        <v>0</v>
      </c>
    </row>
    <row r="344" spans="1:33" ht="15" customHeight="1">
      <c r="A344" s="53">
        <v>2</v>
      </c>
      <c r="B344" s="53" t="str">
        <f>VLOOKUP(Ruimtestaat[[#This Row],[Code]],Locaties[#All],2,FALSE)</f>
        <v>Open Schoolgemeenschap Bijlmer</v>
      </c>
      <c r="C344" s="53" t="str">
        <f>VLOOKUP(Ruimtestaat[[#This Row],[Code]],Locaties[#All],4,FALSE)</f>
        <v>Gulden Kruis 5</v>
      </c>
      <c r="D344" s="53" t="str">
        <f>VLOOKUP(Ruimtestaat[[#This Row],[Code]],Locaties[#All],5,FALSE)</f>
        <v>1103 BE</v>
      </c>
      <c r="E344" s="53" t="str">
        <f>VLOOKUP(Ruimtestaat[[#This Row],[Code]],Locaties[#All],6,FALSE)</f>
        <v>Amsterdam Zuidoost</v>
      </c>
      <c r="F344" s="78"/>
      <c r="G344" s="53" t="s">
        <v>450</v>
      </c>
      <c r="H344" s="53" t="s">
        <v>736</v>
      </c>
      <c r="I344" s="78" t="s">
        <v>428</v>
      </c>
      <c r="J344" s="53">
        <v>16</v>
      </c>
      <c r="K344" s="78" t="str">
        <f>VLOOKUP(J344,Ruimtegroepen[],2,FALSE)</f>
        <v>Leslokalen theorie</v>
      </c>
      <c r="L344" s="53" t="s">
        <v>285</v>
      </c>
      <c r="M344" s="53" t="s">
        <v>580</v>
      </c>
      <c r="N344" s="92">
        <v>56.23</v>
      </c>
      <c r="O344" s="92"/>
      <c r="P344" s="80" t="str">
        <f>LEFT(VLOOKUP(Ruimtestaat[[#This Row],[Ruimte code]],Ruimtegroepen[#All],4,1),2)</f>
        <v xml:space="preserve">L </v>
      </c>
      <c r="Q344" s="93"/>
      <c r="R344" s="81">
        <v>40</v>
      </c>
      <c r="S344" s="81" t="s">
        <v>298</v>
      </c>
      <c r="T344" s="82">
        <f>IF(R344&gt;0,IF(RIGHT(Ruimtestaat[[#This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4" s="82">
        <f>IF(T344&gt;0,VLOOKUP($J344,Ruimtegroepen[],3,FALSE)*VLOOKUP($L344,Vloersoorten[],3,FALSE)*VLOOKUP($S344,Frequenties[],3,FALSE)*VLOOKUP($A344,Locaties[],3,FALSE),0)</f>
        <v>0</v>
      </c>
      <c r="V344" s="83">
        <f>Ruimtestaat[[#This Row],[Uitvoeringen werkdagen]]*Ruimtestaat[[#This Row],[Oppervlak (netto)]]</f>
        <v>11246</v>
      </c>
      <c r="W344" s="84">
        <f>IF(U344&gt;0,Ruimtestaat[[#This Row],[Prest. (m2 /jaar) werkdagen]]/Ruimtestaat[[#This Row],[Norm (m2/uur) werkdagen]],0)</f>
        <v>0</v>
      </c>
      <c r="X344" s="85">
        <f>Ruimtestaat[[#This Row],[uren / jaar werkdagen]]*Tariefsopbouw!$E$35</f>
        <v>0</v>
      </c>
      <c r="Y344" s="82"/>
      <c r="Z344" s="86">
        <f>IF(Ruimtestaat[[#This Row],[Frequentie weekend]]&gt;0,VALUE(LEFT(Y344,1))*R344,0)</f>
        <v>0</v>
      </c>
      <c r="AA344" s="82">
        <f>IF($Z344&gt;0,VLOOKUP($J344,Ruimtegroepen[],3,FALSE)*VLOOKUP($L344,Vloersoorten[],3,FALSE)*VLOOKUP($Y344,Frequenties[],3,FALSE)*VLOOKUP($A340,Locaties[],3,FALSE),0)</f>
        <v>0</v>
      </c>
      <c r="AB344" s="84">
        <f>Ruimtestaat[[#This Row],[Uitvoeringen weekend]]*Ruimtestaat[[#This Row],[Oppervlak (netto)]]</f>
        <v>0</v>
      </c>
      <c r="AC344" s="87">
        <f>IF(AB344&gt;0,Ruimtestaat[[#This Row],[Prest. (m2 /jaar) weekend]]/Ruimtestaat[[#This Row],[Norm (m2/uur) weekend]],0)</f>
        <v>0</v>
      </c>
      <c r="AD344" s="88">
        <f>Ruimtestaat[[#This Row],[uren / jaar weekend]]*Tariefsopbouw!$D$40</f>
        <v>0</v>
      </c>
      <c r="AE344" s="89">
        <f>Ruimtestaat[[#This Row],[Prest. (m2 /jaar) weekend]]+Ruimtestaat[[#This Row],[Prest. (m2 /jaar) werkdagen]]</f>
        <v>11246</v>
      </c>
      <c r="AF344" s="89">
        <f>Ruimtestaat[[#This Row],[uren / jaar weekend]]+Ruimtestaat[[#This Row],[uren / jaar werkdagen]]</f>
        <v>0</v>
      </c>
      <c r="AG344" s="90">
        <f>Ruimtestaat[[#This Row],[kosten / jaar weekend]]+Ruimtestaat[[#This Row],[kosten / jaar werkdagen]]</f>
        <v>0</v>
      </c>
    </row>
    <row r="345" spans="1:33" ht="15" customHeight="1">
      <c r="A345" s="53">
        <v>2</v>
      </c>
      <c r="B345" s="53" t="str">
        <f>VLOOKUP(Ruimtestaat[[#This Row],[Code]],Locaties[#All],2,FALSE)</f>
        <v>Open Schoolgemeenschap Bijlmer</v>
      </c>
      <c r="C345" s="53" t="str">
        <f>VLOOKUP(Ruimtestaat[[#This Row],[Code]],Locaties[#All],4,FALSE)</f>
        <v>Gulden Kruis 5</v>
      </c>
      <c r="D345" s="53" t="str">
        <f>VLOOKUP(Ruimtestaat[[#This Row],[Code]],Locaties[#All],5,FALSE)</f>
        <v>1103 BE</v>
      </c>
      <c r="E345" s="53" t="str">
        <f>VLOOKUP(Ruimtestaat[[#This Row],[Code]],Locaties[#All],6,FALSE)</f>
        <v>Amsterdam Zuidoost</v>
      </c>
      <c r="F345" s="78"/>
      <c r="G345" s="53" t="s">
        <v>450</v>
      </c>
      <c r="H345" s="53" t="s">
        <v>737</v>
      </c>
      <c r="I345" s="78" t="s">
        <v>579</v>
      </c>
      <c r="J345" s="53">
        <v>5</v>
      </c>
      <c r="K345" s="78" t="str">
        <f>VLOOKUP(J345,Ruimtegroepen[],2,FALSE)</f>
        <v>Sanitair</v>
      </c>
      <c r="L345" s="53" t="s">
        <v>285</v>
      </c>
      <c r="M345" s="53" t="s">
        <v>580</v>
      </c>
      <c r="N345" s="92">
        <v>8.4700000000000006</v>
      </c>
      <c r="O345" s="92"/>
      <c r="P345" s="80" t="str">
        <f>LEFT(VLOOKUP(Ruimtestaat[[#This Row],[Ruimte code]],Ruimtegroepen[#All],4,1),2)</f>
        <v xml:space="preserve">S </v>
      </c>
      <c r="Q345" s="93"/>
      <c r="R345" s="81">
        <v>40</v>
      </c>
      <c r="S345" s="81" t="s">
        <v>296</v>
      </c>
      <c r="T345" s="82">
        <f>IF(R345&gt;0,IF(RIGHT(Ruimtestaat[[#This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45" s="82">
        <f>IF(T345&gt;0,VLOOKUP($J345,Ruimtegroepen[],3,FALSE)*VLOOKUP($L345,Vloersoorten[],3,FALSE)*VLOOKUP($S345,Frequenties[],3,FALSE)*VLOOKUP($A345,Locaties[],3,FALSE),0)</f>
        <v>0</v>
      </c>
      <c r="V345" s="83">
        <f>Ruimtestaat[[#This Row],[Uitvoeringen werkdagen]]*Ruimtestaat[[#This Row],[Oppervlak (netto)]]</f>
        <v>3388.0000000000005</v>
      </c>
      <c r="W345" s="84">
        <f>IF(U345&gt;0,Ruimtestaat[[#This Row],[Prest. (m2 /jaar) werkdagen]]/Ruimtestaat[[#This Row],[Norm (m2/uur) werkdagen]],0)</f>
        <v>0</v>
      </c>
      <c r="X345" s="85">
        <f>Ruimtestaat[[#This Row],[uren / jaar werkdagen]]*Tariefsopbouw!$E$35</f>
        <v>0</v>
      </c>
      <c r="Y345" s="82"/>
      <c r="Z345" s="86">
        <f>IF(Ruimtestaat[[#This Row],[Frequentie weekend]]&gt;0,VALUE(LEFT(Y345,1))*R345,0)</f>
        <v>0</v>
      </c>
      <c r="AA345" s="82">
        <f>IF($Z345&gt;0,VLOOKUP($J345,Ruimtegroepen[],3,FALSE)*VLOOKUP($L345,Vloersoorten[],3,FALSE)*VLOOKUP($Y345,Frequenties[],3,FALSE)*VLOOKUP($A341,Locaties[],3,FALSE),0)</f>
        <v>0</v>
      </c>
      <c r="AB345" s="84">
        <f>Ruimtestaat[[#This Row],[Uitvoeringen weekend]]*Ruimtestaat[[#This Row],[Oppervlak (netto)]]</f>
        <v>0</v>
      </c>
      <c r="AC345" s="87">
        <f>IF(AB345&gt;0,Ruimtestaat[[#This Row],[Prest. (m2 /jaar) weekend]]/Ruimtestaat[[#This Row],[Norm (m2/uur) weekend]],0)</f>
        <v>0</v>
      </c>
      <c r="AD345" s="88">
        <f>Ruimtestaat[[#This Row],[uren / jaar weekend]]*Tariefsopbouw!$D$40</f>
        <v>0</v>
      </c>
      <c r="AE345" s="89">
        <f>Ruimtestaat[[#This Row],[Prest. (m2 /jaar) weekend]]+Ruimtestaat[[#This Row],[Prest. (m2 /jaar) werkdagen]]</f>
        <v>3388.0000000000005</v>
      </c>
      <c r="AF345" s="89">
        <f>Ruimtestaat[[#This Row],[uren / jaar weekend]]+Ruimtestaat[[#This Row],[uren / jaar werkdagen]]</f>
        <v>0</v>
      </c>
      <c r="AG345" s="90">
        <f>Ruimtestaat[[#This Row],[kosten / jaar weekend]]+Ruimtestaat[[#This Row],[kosten / jaar werkdagen]]</f>
        <v>0</v>
      </c>
    </row>
    <row r="346" spans="1:33" ht="15" customHeight="1">
      <c r="A346" s="53">
        <v>2</v>
      </c>
      <c r="B346" s="53" t="str">
        <f>VLOOKUP(Ruimtestaat[[#This Row],[Code]],Locaties[#All],2,FALSE)</f>
        <v>Open Schoolgemeenschap Bijlmer</v>
      </c>
      <c r="C346" s="53" t="str">
        <f>VLOOKUP(Ruimtestaat[[#This Row],[Code]],Locaties[#All],4,FALSE)</f>
        <v>Gulden Kruis 5</v>
      </c>
      <c r="D346" s="53" t="str">
        <f>VLOOKUP(Ruimtestaat[[#This Row],[Code]],Locaties[#All],5,FALSE)</f>
        <v>1103 BE</v>
      </c>
      <c r="E346" s="53" t="str">
        <f>VLOOKUP(Ruimtestaat[[#This Row],[Code]],Locaties[#All],6,FALSE)</f>
        <v>Amsterdam Zuidoost</v>
      </c>
      <c r="F346" s="78"/>
      <c r="G346" s="53" t="s">
        <v>450</v>
      </c>
      <c r="H346" s="53" t="s">
        <v>738</v>
      </c>
      <c r="I346" s="78" t="s">
        <v>579</v>
      </c>
      <c r="J346" s="53">
        <v>5</v>
      </c>
      <c r="K346" s="78" t="str">
        <f>VLOOKUP(J346,Ruimtegroepen[],2,FALSE)</f>
        <v>Sanitair</v>
      </c>
      <c r="L346" s="53" t="s">
        <v>285</v>
      </c>
      <c r="M346" s="53" t="s">
        <v>580</v>
      </c>
      <c r="N346" s="92">
        <v>13.84</v>
      </c>
      <c r="O346" s="92"/>
      <c r="P346" s="80" t="str">
        <f>LEFT(VLOOKUP(Ruimtestaat[[#This Row],[Ruimte code]],Ruimtegroepen[#All],4,1),2)</f>
        <v xml:space="preserve">S </v>
      </c>
      <c r="Q346" s="93"/>
      <c r="R346" s="81">
        <v>40</v>
      </c>
      <c r="S346" s="81" t="s">
        <v>296</v>
      </c>
      <c r="T346" s="82">
        <f>IF(R346&gt;0,IF(RIGHT(Ruimtestaat[[#This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46" s="82">
        <f>IF(T346&gt;0,VLOOKUP($J346,Ruimtegroepen[],3,FALSE)*VLOOKUP($L346,Vloersoorten[],3,FALSE)*VLOOKUP($S346,Frequenties[],3,FALSE)*VLOOKUP($A346,Locaties[],3,FALSE),0)</f>
        <v>0</v>
      </c>
      <c r="V346" s="83">
        <f>Ruimtestaat[[#This Row],[Uitvoeringen werkdagen]]*Ruimtestaat[[#This Row],[Oppervlak (netto)]]</f>
        <v>5536</v>
      </c>
      <c r="W346" s="84">
        <f>IF(U346&gt;0,Ruimtestaat[[#This Row],[Prest. (m2 /jaar) werkdagen]]/Ruimtestaat[[#This Row],[Norm (m2/uur) werkdagen]],0)</f>
        <v>0</v>
      </c>
      <c r="X346" s="85">
        <f>Ruimtestaat[[#This Row],[uren / jaar werkdagen]]*Tariefsopbouw!$E$35</f>
        <v>0</v>
      </c>
      <c r="Y346" s="82"/>
      <c r="Z346" s="86">
        <f>IF(Ruimtestaat[[#This Row],[Frequentie weekend]]&gt;0,VALUE(LEFT(Y346,1))*R346,0)</f>
        <v>0</v>
      </c>
      <c r="AA346" s="82">
        <f>IF($Z346&gt;0,VLOOKUP($J346,Ruimtegroepen[],3,FALSE)*VLOOKUP($L346,Vloersoorten[],3,FALSE)*VLOOKUP($Y346,Frequenties[],3,FALSE)*VLOOKUP($A342,Locaties[],3,FALSE),0)</f>
        <v>0</v>
      </c>
      <c r="AB346" s="84">
        <f>Ruimtestaat[[#This Row],[Uitvoeringen weekend]]*Ruimtestaat[[#This Row],[Oppervlak (netto)]]</f>
        <v>0</v>
      </c>
      <c r="AC346" s="87">
        <f>IF(AB346&gt;0,Ruimtestaat[[#This Row],[Prest. (m2 /jaar) weekend]]/Ruimtestaat[[#This Row],[Norm (m2/uur) weekend]],0)</f>
        <v>0</v>
      </c>
      <c r="AD346" s="88">
        <f>Ruimtestaat[[#This Row],[uren / jaar weekend]]*Tariefsopbouw!$D$40</f>
        <v>0</v>
      </c>
      <c r="AE346" s="89">
        <f>Ruimtestaat[[#This Row],[Prest. (m2 /jaar) weekend]]+Ruimtestaat[[#This Row],[Prest. (m2 /jaar) werkdagen]]</f>
        <v>5536</v>
      </c>
      <c r="AF346" s="89">
        <f>Ruimtestaat[[#This Row],[uren / jaar weekend]]+Ruimtestaat[[#This Row],[uren / jaar werkdagen]]</f>
        <v>0</v>
      </c>
      <c r="AG346" s="90">
        <f>Ruimtestaat[[#This Row],[kosten / jaar weekend]]+Ruimtestaat[[#This Row],[kosten / jaar werkdagen]]</f>
        <v>0</v>
      </c>
    </row>
    <row r="347" spans="1:33" ht="15" customHeight="1">
      <c r="A347" s="53">
        <v>2</v>
      </c>
      <c r="B347" s="53" t="str">
        <f>VLOOKUP(Ruimtestaat[[#This Row],[Code]],Locaties[#All],2,FALSE)</f>
        <v>Open Schoolgemeenschap Bijlmer</v>
      </c>
      <c r="C347" s="53" t="str">
        <f>VLOOKUP(Ruimtestaat[[#This Row],[Code]],Locaties[#All],4,FALSE)</f>
        <v>Gulden Kruis 5</v>
      </c>
      <c r="D347" s="53" t="str">
        <f>VLOOKUP(Ruimtestaat[[#This Row],[Code]],Locaties[#All],5,FALSE)</f>
        <v>1103 BE</v>
      </c>
      <c r="E347" s="53" t="str">
        <f>VLOOKUP(Ruimtestaat[[#This Row],[Code]],Locaties[#All],6,FALSE)</f>
        <v>Amsterdam Zuidoost</v>
      </c>
      <c r="F347" s="78"/>
      <c r="G347" s="53" t="s">
        <v>450</v>
      </c>
      <c r="H347" s="53" t="s">
        <v>739</v>
      </c>
      <c r="I347" s="78" t="s">
        <v>428</v>
      </c>
      <c r="J347" s="53">
        <v>16</v>
      </c>
      <c r="K347" s="78" t="str">
        <f>VLOOKUP(J347,Ruimtegroepen[],2,FALSE)</f>
        <v>Leslokalen theorie</v>
      </c>
      <c r="L347" s="53" t="s">
        <v>285</v>
      </c>
      <c r="M347" s="53" t="s">
        <v>580</v>
      </c>
      <c r="N347" s="92">
        <v>65.319999999999993</v>
      </c>
      <c r="O347" s="92"/>
      <c r="P347" s="80" t="str">
        <f>LEFT(VLOOKUP(Ruimtestaat[[#This Row],[Ruimte code]],Ruimtegroepen[#All],4,1),2)</f>
        <v xml:space="preserve">L </v>
      </c>
      <c r="Q347" s="93"/>
      <c r="R347" s="81">
        <v>40</v>
      </c>
      <c r="S347" s="81" t="s">
        <v>298</v>
      </c>
      <c r="T347" s="82">
        <f>IF(R347&gt;0,IF(RIGHT(Ruimtestaat[[#This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7" s="82">
        <f>IF(T347&gt;0,VLOOKUP($J347,Ruimtegroepen[],3,FALSE)*VLOOKUP($L347,Vloersoorten[],3,FALSE)*VLOOKUP($S347,Frequenties[],3,FALSE)*VLOOKUP($A347,Locaties[],3,FALSE),0)</f>
        <v>0</v>
      </c>
      <c r="V347" s="83">
        <f>Ruimtestaat[[#This Row],[Uitvoeringen werkdagen]]*Ruimtestaat[[#This Row],[Oppervlak (netto)]]</f>
        <v>13063.999999999998</v>
      </c>
      <c r="W347" s="84">
        <f>IF(U347&gt;0,Ruimtestaat[[#This Row],[Prest. (m2 /jaar) werkdagen]]/Ruimtestaat[[#This Row],[Norm (m2/uur) werkdagen]],0)</f>
        <v>0</v>
      </c>
      <c r="X347" s="85">
        <f>Ruimtestaat[[#This Row],[uren / jaar werkdagen]]*Tariefsopbouw!$E$35</f>
        <v>0</v>
      </c>
      <c r="Y347" s="82"/>
      <c r="Z347" s="86">
        <f>IF(Ruimtestaat[[#This Row],[Frequentie weekend]]&gt;0,VALUE(LEFT(Y347,1))*R347,0)</f>
        <v>0</v>
      </c>
      <c r="AA347" s="82">
        <f>IF($Z347&gt;0,VLOOKUP($J347,Ruimtegroepen[],3,FALSE)*VLOOKUP($L347,Vloersoorten[],3,FALSE)*VLOOKUP($Y347,Frequenties[],3,FALSE)*VLOOKUP($A343,Locaties[],3,FALSE),0)</f>
        <v>0</v>
      </c>
      <c r="AB347" s="84">
        <f>Ruimtestaat[[#This Row],[Uitvoeringen weekend]]*Ruimtestaat[[#This Row],[Oppervlak (netto)]]</f>
        <v>0</v>
      </c>
      <c r="AC347" s="87">
        <f>IF(AB347&gt;0,Ruimtestaat[[#This Row],[Prest. (m2 /jaar) weekend]]/Ruimtestaat[[#This Row],[Norm (m2/uur) weekend]],0)</f>
        <v>0</v>
      </c>
      <c r="AD347" s="88">
        <f>Ruimtestaat[[#This Row],[uren / jaar weekend]]*Tariefsopbouw!$D$40</f>
        <v>0</v>
      </c>
      <c r="AE347" s="89">
        <f>Ruimtestaat[[#This Row],[Prest. (m2 /jaar) weekend]]+Ruimtestaat[[#This Row],[Prest. (m2 /jaar) werkdagen]]</f>
        <v>13063.999999999998</v>
      </c>
      <c r="AF347" s="89">
        <f>Ruimtestaat[[#This Row],[uren / jaar weekend]]+Ruimtestaat[[#This Row],[uren / jaar werkdagen]]</f>
        <v>0</v>
      </c>
      <c r="AG347" s="90">
        <f>Ruimtestaat[[#This Row],[kosten / jaar weekend]]+Ruimtestaat[[#This Row],[kosten / jaar werkdagen]]</f>
        <v>0</v>
      </c>
    </row>
    <row r="348" spans="1:33" ht="15" customHeight="1">
      <c r="A348" s="53">
        <v>2</v>
      </c>
      <c r="B348" s="53" t="str">
        <f>VLOOKUP(Ruimtestaat[[#This Row],[Code]],Locaties[#All],2,FALSE)</f>
        <v>Open Schoolgemeenschap Bijlmer</v>
      </c>
      <c r="C348" s="53" t="str">
        <f>VLOOKUP(Ruimtestaat[[#This Row],[Code]],Locaties[#All],4,FALSE)</f>
        <v>Gulden Kruis 5</v>
      </c>
      <c r="D348" s="53" t="str">
        <f>VLOOKUP(Ruimtestaat[[#This Row],[Code]],Locaties[#All],5,FALSE)</f>
        <v>1103 BE</v>
      </c>
      <c r="E348" s="53" t="str">
        <f>VLOOKUP(Ruimtestaat[[#This Row],[Code]],Locaties[#All],6,FALSE)</f>
        <v>Amsterdam Zuidoost</v>
      </c>
      <c r="F348" s="78"/>
      <c r="G348" s="53" t="s">
        <v>450</v>
      </c>
      <c r="H348" s="53" t="s">
        <v>740</v>
      </c>
      <c r="I348" s="78" t="s">
        <v>428</v>
      </c>
      <c r="J348" s="53">
        <v>16</v>
      </c>
      <c r="K348" s="78" t="str">
        <f>VLOOKUP(J348,Ruimtegroepen[],2,FALSE)</f>
        <v>Leslokalen theorie</v>
      </c>
      <c r="L348" s="53" t="s">
        <v>285</v>
      </c>
      <c r="M348" s="53" t="s">
        <v>580</v>
      </c>
      <c r="N348" s="92">
        <v>65.319999999999993</v>
      </c>
      <c r="O348" s="92"/>
      <c r="P348" s="80" t="str">
        <f>LEFT(VLOOKUP(Ruimtestaat[[#This Row],[Ruimte code]],Ruimtegroepen[#All],4,1),2)</f>
        <v xml:space="preserve">L </v>
      </c>
      <c r="Q348" s="93"/>
      <c r="R348" s="81">
        <v>40</v>
      </c>
      <c r="S348" s="81" t="s">
        <v>298</v>
      </c>
      <c r="T348" s="82">
        <f>IF(R348&gt;0,IF(RIGHT(Ruimtestaat[[#This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8" s="82">
        <f>IF(T348&gt;0,VLOOKUP($J348,Ruimtegroepen[],3,FALSE)*VLOOKUP($L348,Vloersoorten[],3,FALSE)*VLOOKUP($S348,Frequenties[],3,FALSE)*VLOOKUP($A348,Locaties[],3,FALSE),0)</f>
        <v>0</v>
      </c>
      <c r="V348" s="83">
        <f>Ruimtestaat[[#This Row],[Uitvoeringen werkdagen]]*Ruimtestaat[[#This Row],[Oppervlak (netto)]]</f>
        <v>13063.999999999998</v>
      </c>
      <c r="W348" s="84">
        <f>IF(U348&gt;0,Ruimtestaat[[#This Row],[Prest. (m2 /jaar) werkdagen]]/Ruimtestaat[[#This Row],[Norm (m2/uur) werkdagen]],0)</f>
        <v>0</v>
      </c>
      <c r="X348" s="85">
        <f>Ruimtestaat[[#This Row],[uren / jaar werkdagen]]*Tariefsopbouw!$E$35</f>
        <v>0</v>
      </c>
      <c r="Y348" s="82"/>
      <c r="Z348" s="86">
        <f>IF(Ruimtestaat[[#This Row],[Frequentie weekend]]&gt;0,VALUE(LEFT(Y348,1))*R348,0)</f>
        <v>0</v>
      </c>
      <c r="AA348" s="82">
        <f>IF($Z348&gt;0,VLOOKUP($J348,Ruimtegroepen[],3,FALSE)*VLOOKUP($L348,Vloersoorten[],3,FALSE)*VLOOKUP($Y348,Frequenties[],3,FALSE)*VLOOKUP($A344,Locaties[],3,FALSE),0)</f>
        <v>0</v>
      </c>
      <c r="AB348" s="84">
        <f>Ruimtestaat[[#This Row],[Uitvoeringen weekend]]*Ruimtestaat[[#This Row],[Oppervlak (netto)]]</f>
        <v>0</v>
      </c>
      <c r="AC348" s="87">
        <f>IF(AB348&gt;0,Ruimtestaat[[#This Row],[Prest. (m2 /jaar) weekend]]/Ruimtestaat[[#This Row],[Norm (m2/uur) weekend]],0)</f>
        <v>0</v>
      </c>
      <c r="AD348" s="88">
        <f>Ruimtestaat[[#This Row],[uren / jaar weekend]]*Tariefsopbouw!$D$40</f>
        <v>0</v>
      </c>
      <c r="AE348" s="89">
        <f>Ruimtestaat[[#This Row],[Prest. (m2 /jaar) weekend]]+Ruimtestaat[[#This Row],[Prest. (m2 /jaar) werkdagen]]</f>
        <v>13063.999999999998</v>
      </c>
      <c r="AF348" s="89">
        <f>Ruimtestaat[[#This Row],[uren / jaar weekend]]+Ruimtestaat[[#This Row],[uren / jaar werkdagen]]</f>
        <v>0</v>
      </c>
      <c r="AG348" s="90">
        <f>Ruimtestaat[[#This Row],[kosten / jaar weekend]]+Ruimtestaat[[#This Row],[kosten / jaar werkdagen]]</f>
        <v>0</v>
      </c>
    </row>
    <row r="349" spans="1:33" ht="15" customHeight="1">
      <c r="A349" s="53">
        <v>2</v>
      </c>
      <c r="B349" s="53" t="str">
        <f>VLOOKUP(Ruimtestaat[[#This Row],[Code]],Locaties[#All],2,FALSE)</f>
        <v>Open Schoolgemeenschap Bijlmer</v>
      </c>
      <c r="C349" s="53" t="str">
        <f>VLOOKUP(Ruimtestaat[[#This Row],[Code]],Locaties[#All],4,FALSE)</f>
        <v>Gulden Kruis 5</v>
      </c>
      <c r="D349" s="53" t="str">
        <f>VLOOKUP(Ruimtestaat[[#This Row],[Code]],Locaties[#All],5,FALSE)</f>
        <v>1103 BE</v>
      </c>
      <c r="E349" s="53" t="str">
        <f>VLOOKUP(Ruimtestaat[[#This Row],[Code]],Locaties[#All],6,FALSE)</f>
        <v>Amsterdam Zuidoost</v>
      </c>
      <c r="F349" s="78"/>
      <c r="G349" s="53" t="s">
        <v>450</v>
      </c>
      <c r="H349" s="53" t="s">
        <v>741</v>
      </c>
      <c r="I349" s="78" t="s">
        <v>428</v>
      </c>
      <c r="J349" s="53">
        <v>16</v>
      </c>
      <c r="K349" s="78" t="str">
        <f>VLOOKUP(J349,Ruimtegroepen[],2,FALSE)</f>
        <v>Leslokalen theorie</v>
      </c>
      <c r="L349" s="53" t="s">
        <v>285</v>
      </c>
      <c r="M349" s="53" t="s">
        <v>580</v>
      </c>
      <c r="N349" s="92">
        <v>65.319999999999993</v>
      </c>
      <c r="O349" s="92"/>
      <c r="P349" s="80" t="str">
        <f>LEFT(VLOOKUP(Ruimtestaat[[#This Row],[Ruimte code]],Ruimtegroepen[#All],4,1),2)</f>
        <v xml:space="preserve">L </v>
      </c>
      <c r="Q349" s="93"/>
      <c r="R349" s="81">
        <v>40</v>
      </c>
      <c r="S349" s="81" t="s">
        <v>298</v>
      </c>
      <c r="T349" s="82">
        <f>IF(R349&gt;0,IF(RIGHT(Ruimtestaat[[#This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49" s="82">
        <f>IF(T349&gt;0,VLOOKUP($J349,Ruimtegroepen[],3,FALSE)*VLOOKUP($L349,Vloersoorten[],3,FALSE)*VLOOKUP($S349,Frequenties[],3,FALSE)*VLOOKUP($A349,Locaties[],3,FALSE),0)</f>
        <v>0</v>
      </c>
      <c r="V349" s="83">
        <f>Ruimtestaat[[#This Row],[Uitvoeringen werkdagen]]*Ruimtestaat[[#This Row],[Oppervlak (netto)]]</f>
        <v>13063.999999999998</v>
      </c>
      <c r="W349" s="84">
        <f>IF(U349&gt;0,Ruimtestaat[[#This Row],[Prest. (m2 /jaar) werkdagen]]/Ruimtestaat[[#This Row],[Norm (m2/uur) werkdagen]],0)</f>
        <v>0</v>
      </c>
      <c r="X349" s="85">
        <f>Ruimtestaat[[#This Row],[uren / jaar werkdagen]]*Tariefsopbouw!$E$35</f>
        <v>0</v>
      </c>
      <c r="Y349" s="82"/>
      <c r="Z349" s="86">
        <f>IF(Ruimtestaat[[#This Row],[Frequentie weekend]]&gt;0,VALUE(LEFT(Y349,1))*R349,0)</f>
        <v>0</v>
      </c>
      <c r="AA349" s="82">
        <f>IF($Z349&gt;0,VLOOKUP($J349,Ruimtegroepen[],3,FALSE)*VLOOKUP($L349,Vloersoorten[],3,FALSE)*VLOOKUP($Y349,Frequenties[],3,FALSE)*VLOOKUP($A345,Locaties[],3,FALSE),0)</f>
        <v>0</v>
      </c>
      <c r="AB349" s="84">
        <f>Ruimtestaat[[#This Row],[Uitvoeringen weekend]]*Ruimtestaat[[#This Row],[Oppervlak (netto)]]</f>
        <v>0</v>
      </c>
      <c r="AC349" s="87">
        <f>IF(AB349&gt;0,Ruimtestaat[[#This Row],[Prest. (m2 /jaar) weekend]]/Ruimtestaat[[#This Row],[Norm (m2/uur) weekend]],0)</f>
        <v>0</v>
      </c>
      <c r="AD349" s="88">
        <f>Ruimtestaat[[#This Row],[uren / jaar weekend]]*Tariefsopbouw!$D$40</f>
        <v>0</v>
      </c>
      <c r="AE349" s="89">
        <f>Ruimtestaat[[#This Row],[Prest. (m2 /jaar) weekend]]+Ruimtestaat[[#This Row],[Prest. (m2 /jaar) werkdagen]]</f>
        <v>13063.999999999998</v>
      </c>
      <c r="AF349" s="89">
        <f>Ruimtestaat[[#This Row],[uren / jaar weekend]]+Ruimtestaat[[#This Row],[uren / jaar werkdagen]]</f>
        <v>0</v>
      </c>
      <c r="AG349" s="90">
        <f>Ruimtestaat[[#This Row],[kosten / jaar weekend]]+Ruimtestaat[[#This Row],[kosten / jaar werkdagen]]</f>
        <v>0</v>
      </c>
    </row>
    <row r="350" spans="1:33" ht="15" customHeight="1">
      <c r="A350" s="53">
        <v>2</v>
      </c>
      <c r="B350" s="53" t="str">
        <f>VLOOKUP(Ruimtestaat[[#This Row],[Code]],Locaties[#All],2,FALSE)</f>
        <v>Open Schoolgemeenschap Bijlmer</v>
      </c>
      <c r="C350" s="53" t="str">
        <f>VLOOKUP(Ruimtestaat[[#This Row],[Code]],Locaties[#All],4,FALSE)</f>
        <v>Gulden Kruis 5</v>
      </c>
      <c r="D350" s="53" t="str">
        <f>VLOOKUP(Ruimtestaat[[#This Row],[Code]],Locaties[#All],5,FALSE)</f>
        <v>1103 BE</v>
      </c>
      <c r="E350" s="53" t="str">
        <f>VLOOKUP(Ruimtestaat[[#This Row],[Code]],Locaties[#All],6,FALSE)</f>
        <v>Amsterdam Zuidoost</v>
      </c>
      <c r="F350" s="78"/>
      <c r="G350" s="53" t="s">
        <v>450</v>
      </c>
      <c r="H350" s="53" t="s">
        <v>742</v>
      </c>
      <c r="I350" s="78" t="s">
        <v>428</v>
      </c>
      <c r="J350" s="53">
        <v>16</v>
      </c>
      <c r="K350" s="78" t="str">
        <f>VLOOKUP(J350,Ruimtegroepen[],2,FALSE)</f>
        <v>Leslokalen theorie</v>
      </c>
      <c r="L350" s="53" t="s">
        <v>285</v>
      </c>
      <c r="M350" s="53" t="s">
        <v>580</v>
      </c>
      <c r="N350" s="92">
        <v>65.319999999999993</v>
      </c>
      <c r="O350" s="92"/>
      <c r="P350" s="80" t="str">
        <f>LEFT(VLOOKUP(Ruimtestaat[[#This Row],[Ruimte code]],Ruimtegroepen[#All],4,1),2)</f>
        <v xml:space="preserve">L </v>
      </c>
      <c r="Q350" s="93"/>
      <c r="R350" s="81">
        <v>40</v>
      </c>
      <c r="S350" s="81" t="s">
        <v>298</v>
      </c>
      <c r="T350" s="82">
        <f>IF(R350&gt;0,IF(RIGHT(Ruimtestaat[[#This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0" s="82">
        <f>IF(T350&gt;0,VLOOKUP($J350,Ruimtegroepen[],3,FALSE)*VLOOKUP($L350,Vloersoorten[],3,FALSE)*VLOOKUP($S350,Frequenties[],3,FALSE)*VLOOKUP($A350,Locaties[],3,FALSE),0)</f>
        <v>0</v>
      </c>
      <c r="V350" s="83">
        <f>Ruimtestaat[[#This Row],[Uitvoeringen werkdagen]]*Ruimtestaat[[#This Row],[Oppervlak (netto)]]</f>
        <v>13063.999999999998</v>
      </c>
      <c r="W350" s="84">
        <f>IF(U350&gt;0,Ruimtestaat[[#This Row],[Prest. (m2 /jaar) werkdagen]]/Ruimtestaat[[#This Row],[Norm (m2/uur) werkdagen]],0)</f>
        <v>0</v>
      </c>
      <c r="X350" s="85">
        <f>Ruimtestaat[[#This Row],[uren / jaar werkdagen]]*Tariefsopbouw!$E$35</f>
        <v>0</v>
      </c>
      <c r="Y350" s="82"/>
      <c r="Z350" s="86">
        <f>IF(Ruimtestaat[[#This Row],[Frequentie weekend]]&gt;0,VALUE(LEFT(Y350,1))*R350,0)</f>
        <v>0</v>
      </c>
      <c r="AA350" s="82">
        <f>IF($Z350&gt;0,VLOOKUP($J350,Ruimtegroepen[],3,FALSE)*VLOOKUP($L350,Vloersoorten[],3,FALSE)*VLOOKUP($Y350,Frequenties[],3,FALSE)*VLOOKUP($A346,Locaties[],3,FALSE),0)</f>
        <v>0</v>
      </c>
      <c r="AB350" s="84">
        <f>Ruimtestaat[[#This Row],[Uitvoeringen weekend]]*Ruimtestaat[[#This Row],[Oppervlak (netto)]]</f>
        <v>0</v>
      </c>
      <c r="AC350" s="87">
        <f>IF(AB350&gt;0,Ruimtestaat[[#This Row],[Prest. (m2 /jaar) weekend]]/Ruimtestaat[[#This Row],[Norm (m2/uur) weekend]],0)</f>
        <v>0</v>
      </c>
      <c r="AD350" s="88">
        <f>Ruimtestaat[[#This Row],[uren / jaar weekend]]*Tariefsopbouw!$D$40</f>
        <v>0</v>
      </c>
      <c r="AE350" s="89">
        <f>Ruimtestaat[[#This Row],[Prest. (m2 /jaar) weekend]]+Ruimtestaat[[#This Row],[Prest. (m2 /jaar) werkdagen]]</f>
        <v>13063.999999999998</v>
      </c>
      <c r="AF350" s="89">
        <f>Ruimtestaat[[#This Row],[uren / jaar weekend]]+Ruimtestaat[[#This Row],[uren / jaar werkdagen]]</f>
        <v>0</v>
      </c>
      <c r="AG350" s="90">
        <f>Ruimtestaat[[#This Row],[kosten / jaar weekend]]+Ruimtestaat[[#This Row],[kosten / jaar werkdagen]]</f>
        <v>0</v>
      </c>
    </row>
    <row r="351" spans="1:33" ht="15" customHeight="1">
      <c r="A351" s="53">
        <v>2</v>
      </c>
      <c r="B351" s="53" t="str">
        <f>VLOOKUP(Ruimtestaat[[#This Row],[Code]],Locaties[#All],2,FALSE)</f>
        <v>Open Schoolgemeenschap Bijlmer</v>
      </c>
      <c r="C351" s="53" t="str">
        <f>VLOOKUP(Ruimtestaat[[#This Row],[Code]],Locaties[#All],4,FALSE)</f>
        <v>Gulden Kruis 5</v>
      </c>
      <c r="D351" s="53" t="str">
        <f>VLOOKUP(Ruimtestaat[[#This Row],[Code]],Locaties[#All],5,FALSE)</f>
        <v>1103 BE</v>
      </c>
      <c r="E351" s="53" t="str">
        <f>VLOOKUP(Ruimtestaat[[#This Row],[Code]],Locaties[#All],6,FALSE)</f>
        <v>Amsterdam Zuidoost</v>
      </c>
      <c r="F351" s="78"/>
      <c r="G351" s="53" t="s">
        <v>450</v>
      </c>
      <c r="H351" s="53" t="s">
        <v>743</v>
      </c>
      <c r="I351" s="78" t="s">
        <v>359</v>
      </c>
      <c r="J351" s="53">
        <v>2</v>
      </c>
      <c r="K351" s="78" t="str">
        <f>VLOOKUP(J351,Ruimtegroepen[],2,FALSE)</f>
        <v>Kantoren</v>
      </c>
      <c r="L351" s="53" t="s">
        <v>283</v>
      </c>
      <c r="M351" s="53" t="s">
        <v>576</v>
      </c>
      <c r="N351" s="92">
        <v>20.41</v>
      </c>
      <c r="O351" s="92"/>
      <c r="P351" s="80" t="str">
        <f>LEFT(VLOOKUP(Ruimtestaat[[#This Row],[Ruimte code]],Ruimtegroepen[#All],4,1),2)</f>
        <v xml:space="preserve">B </v>
      </c>
      <c r="Q351" s="93"/>
      <c r="R351" s="81">
        <v>40</v>
      </c>
      <c r="S351" s="81" t="s">
        <v>298</v>
      </c>
      <c r="T351" s="82">
        <f>IF(R351&gt;0,IF(RIGHT(Ruimtestaat[[#This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1" s="82">
        <f>IF(T351&gt;0,VLOOKUP($J351,Ruimtegroepen[],3,FALSE)*VLOOKUP($L351,Vloersoorten[],3,FALSE)*VLOOKUP($S351,Frequenties[],3,FALSE)*VLOOKUP($A351,Locaties[],3,FALSE),0)</f>
        <v>0</v>
      </c>
      <c r="V351" s="83">
        <f>Ruimtestaat[[#This Row],[Uitvoeringen werkdagen]]*Ruimtestaat[[#This Row],[Oppervlak (netto)]]</f>
        <v>4082</v>
      </c>
      <c r="W351" s="84">
        <f>IF(U351&gt;0,Ruimtestaat[[#This Row],[Prest. (m2 /jaar) werkdagen]]/Ruimtestaat[[#This Row],[Norm (m2/uur) werkdagen]],0)</f>
        <v>0</v>
      </c>
      <c r="X351" s="85">
        <f>Ruimtestaat[[#This Row],[uren / jaar werkdagen]]*Tariefsopbouw!$E$35</f>
        <v>0</v>
      </c>
      <c r="Y351" s="82"/>
      <c r="Z351" s="86">
        <f>IF(Ruimtestaat[[#This Row],[Frequentie weekend]]&gt;0,VALUE(LEFT(Y351,1))*R351,0)</f>
        <v>0</v>
      </c>
      <c r="AA351" s="82">
        <f>IF($Z351&gt;0,VLOOKUP($J351,Ruimtegroepen[],3,FALSE)*VLOOKUP($L351,Vloersoorten[],3,FALSE)*VLOOKUP($Y351,Frequenties[],3,FALSE)*VLOOKUP($A347,Locaties[],3,FALSE),0)</f>
        <v>0</v>
      </c>
      <c r="AB351" s="84">
        <f>Ruimtestaat[[#This Row],[Uitvoeringen weekend]]*Ruimtestaat[[#This Row],[Oppervlak (netto)]]</f>
        <v>0</v>
      </c>
      <c r="AC351" s="87">
        <f>IF(AB351&gt;0,Ruimtestaat[[#This Row],[Prest. (m2 /jaar) weekend]]/Ruimtestaat[[#This Row],[Norm (m2/uur) weekend]],0)</f>
        <v>0</v>
      </c>
      <c r="AD351" s="88">
        <f>Ruimtestaat[[#This Row],[uren / jaar weekend]]*Tariefsopbouw!$D$40</f>
        <v>0</v>
      </c>
      <c r="AE351" s="89">
        <f>Ruimtestaat[[#This Row],[Prest. (m2 /jaar) weekend]]+Ruimtestaat[[#This Row],[Prest. (m2 /jaar) werkdagen]]</f>
        <v>4082</v>
      </c>
      <c r="AF351" s="89">
        <f>Ruimtestaat[[#This Row],[uren / jaar weekend]]+Ruimtestaat[[#This Row],[uren / jaar werkdagen]]</f>
        <v>0</v>
      </c>
      <c r="AG351" s="90">
        <f>Ruimtestaat[[#This Row],[kosten / jaar weekend]]+Ruimtestaat[[#This Row],[kosten / jaar werkdagen]]</f>
        <v>0</v>
      </c>
    </row>
    <row r="352" spans="1:33" ht="15" customHeight="1">
      <c r="A352" s="53">
        <v>2</v>
      </c>
      <c r="B352" s="53" t="str">
        <f>VLOOKUP(Ruimtestaat[[#This Row],[Code]],Locaties[#All],2,FALSE)</f>
        <v>Open Schoolgemeenschap Bijlmer</v>
      </c>
      <c r="C352" s="53" t="str">
        <f>VLOOKUP(Ruimtestaat[[#This Row],[Code]],Locaties[#All],4,FALSE)</f>
        <v>Gulden Kruis 5</v>
      </c>
      <c r="D352" s="53" t="str">
        <f>VLOOKUP(Ruimtestaat[[#This Row],[Code]],Locaties[#All],5,FALSE)</f>
        <v>1103 BE</v>
      </c>
      <c r="E352" s="53" t="str">
        <f>VLOOKUP(Ruimtestaat[[#This Row],[Code]],Locaties[#All],6,FALSE)</f>
        <v>Amsterdam Zuidoost</v>
      </c>
      <c r="F352" s="78"/>
      <c r="G352" s="53" t="s">
        <v>450</v>
      </c>
      <c r="H352" s="53" t="s">
        <v>744</v>
      </c>
      <c r="I352" s="78" t="s">
        <v>456</v>
      </c>
      <c r="J352" s="53">
        <v>6</v>
      </c>
      <c r="K352" s="78" t="str">
        <f>VLOOKUP(J352,Ruimtegroepen[],2,FALSE)</f>
        <v>Gangen/hallen</v>
      </c>
      <c r="L352" s="53" t="s">
        <v>285</v>
      </c>
      <c r="M352" s="53" t="s">
        <v>580</v>
      </c>
      <c r="N352" s="92">
        <v>168.28</v>
      </c>
      <c r="O352" s="92"/>
      <c r="P352" s="80" t="str">
        <f>LEFT(VLOOKUP(Ruimtestaat[[#This Row],[Ruimte code]],Ruimtegroepen[#All],4,1),2)</f>
        <v xml:space="preserve">V </v>
      </c>
      <c r="Q352" s="93"/>
      <c r="R352" s="81">
        <v>40</v>
      </c>
      <c r="S352" s="81" t="s">
        <v>298</v>
      </c>
      <c r="T352" s="82">
        <f>IF(R352&gt;0,IF(RIGHT(Ruimtestaat[[#This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2" s="82">
        <f>IF(T352&gt;0,VLOOKUP($J352,Ruimtegroepen[],3,FALSE)*VLOOKUP($L352,Vloersoorten[],3,FALSE)*VLOOKUP($S352,Frequenties[],3,FALSE)*VLOOKUP($A352,Locaties[],3,FALSE),0)</f>
        <v>0</v>
      </c>
      <c r="V352" s="83">
        <f>Ruimtestaat[[#This Row],[Uitvoeringen werkdagen]]*Ruimtestaat[[#This Row],[Oppervlak (netto)]]</f>
        <v>33656</v>
      </c>
      <c r="W352" s="84">
        <f>IF(U352&gt;0,Ruimtestaat[[#This Row],[Prest. (m2 /jaar) werkdagen]]/Ruimtestaat[[#This Row],[Norm (m2/uur) werkdagen]],0)</f>
        <v>0</v>
      </c>
      <c r="X352" s="85">
        <f>Ruimtestaat[[#This Row],[uren / jaar werkdagen]]*Tariefsopbouw!$E$35</f>
        <v>0</v>
      </c>
      <c r="Y352" s="82"/>
      <c r="Z352" s="86">
        <f>IF(Ruimtestaat[[#This Row],[Frequentie weekend]]&gt;0,VALUE(LEFT(Y352,1))*R352,0)</f>
        <v>0</v>
      </c>
      <c r="AA352" s="82">
        <f>IF($Z352&gt;0,VLOOKUP($J352,Ruimtegroepen[],3,FALSE)*VLOOKUP($L352,Vloersoorten[],3,FALSE)*VLOOKUP($Y352,Frequenties[],3,FALSE)*VLOOKUP($A348,Locaties[],3,FALSE),0)</f>
        <v>0</v>
      </c>
      <c r="AB352" s="84">
        <f>Ruimtestaat[[#This Row],[Uitvoeringen weekend]]*Ruimtestaat[[#This Row],[Oppervlak (netto)]]</f>
        <v>0</v>
      </c>
      <c r="AC352" s="87">
        <f>IF(AB352&gt;0,Ruimtestaat[[#This Row],[Prest. (m2 /jaar) weekend]]/Ruimtestaat[[#This Row],[Norm (m2/uur) weekend]],0)</f>
        <v>0</v>
      </c>
      <c r="AD352" s="88">
        <f>Ruimtestaat[[#This Row],[uren / jaar weekend]]*Tariefsopbouw!$D$40</f>
        <v>0</v>
      </c>
      <c r="AE352" s="89">
        <f>Ruimtestaat[[#This Row],[Prest. (m2 /jaar) weekend]]+Ruimtestaat[[#This Row],[Prest. (m2 /jaar) werkdagen]]</f>
        <v>33656</v>
      </c>
      <c r="AF352" s="89">
        <f>Ruimtestaat[[#This Row],[uren / jaar weekend]]+Ruimtestaat[[#This Row],[uren / jaar werkdagen]]</f>
        <v>0</v>
      </c>
      <c r="AG352" s="90">
        <f>Ruimtestaat[[#This Row],[kosten / jaar weekend]]+Ruimtestaat[[#This Row],[kosten / jaar werkdagen]]</f>
        <v>0</v>
      </c>
    </row>
    <row r="353" spans="1:33" ht="15" customHeight="1">
      <c r="A353" s="53">
        <v>2</v>
      </c>
      <c r="B353" s="53" t="str">
        <f>VLOOKUP(Ruimtestaat[[#This Row],[Code]],Locaties[#All],2,FALSE)</f>
        <v>Open Schoolgemeenschap Bijlmer</v>
      </c>
      <c r="C353" s="53" t="str">
        <f>VLOOKUP(Ruimtestaat[[#This Row],[Code]],Locaties[#All],4,FALSE)</f>
        <v>Gulden Kruis 5</v>
      </c>
      <c r="D353" s="53" t="str">
        <f>VLOOKUP(Ruimtestaat[[#This Row],[Code]],Locaties[#All],5,FALSE)</f>
        <v>1103 BE</v>
      </c>
      <c r="E353" s="53" t="str">
        <f>VLOOKUP(Ruimtestaat[[#This Row],[Code]],Locaties[#All],6,FALSE)</f>
        <v>Amsterdam Zuidoost</v>
      </c>
      <c r="F353" s="78"/>
      <c r="G353" s="53" t="s">
        <v>450</v>
      </c>
      <c r="H353" s="53" t="s">
        <v>745</v>
      </c>
      <c r="I353" s="78" t="s">
        <v>359</v>
      </c>
      <c r="J353" s="53">
        <v>2</v>
      </c>
      <c r="K353" s="78" t="str">
        <f>VLOOKUP(J353,Ruimtegroepen[],2,FALSE)</f>
        <v>Kantoren</v>
      </c>
      <c r="L353" s="53" t="s">
        <v>283</v>
      </c>
      <c r="M353" s="53" t="s">
        <v>576</v>
      </c>
      <c r="N353" s="92">
        <v>10</v>
      </c>
      <c r="O353" s="92"/>
      <c r="P353" s="80" t="str">
        <f>LEFT(VLOOKUP(Ruimtestaat[[#This Row],[Ruimte code]],Ruimtegroepen[#All],4,1),2)</f>
        <v xml:space="preserve">B </v>
      </c>
      <c r="Q353" s="93"/>
      <c r="R353" s="81">
        <v>40</v>
      </c>
      <c r="S353" s="81" t="s">
        <v>298</v>
      </c>
      <c r="T353" s="82">
        <f>IF(R353&gt;0,IF(RIGHT(Ruimtestaat[[#This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3" s="82">
        <f>IF(T353&gt;0,VLOOKUP($J353,Ruimtegroepen[],3,FALSE)*VLOOKUP($L353,Vloersoorten[],3,FALSE)*VLOOKUP($S353,Frequenties[],3,FALSE)*VLOOKUP($A353,Locaties[],3,FALSE),0)</f>
        <v>0</v>
      </c>
      <c r="V353" s="83">
        <f>Ruimtestaat[[#This Row],[Uitvoeringen werkdagen]]*Ruimtestaat[[#This Row],[Oppervlak (netto)]]</f>
        <v>2000</v>
      </c>
      <c r="W353" s="84">
        <f>IF(U353&gt;0,Ruimtestaat[[#This Row],[Prest. (m2 /jaar) werkdagen]]/Ruimtestaat[[#This Row],[Norm (m2/uur) werkdagen]],0)</f>
        <v>0</v>
      </c>
      <c r="X353" s="85">
        <f>Ruimtestaat[[#This Row],[uren / jaar werkdagen]]*Tariefsopbouw!$E$35</f>
        <v>0</v>
      </c>
      <c r="Y353" s="82"/>
      <c r="Z353" s="86">
        <f>IF(Ruimtestaat[[#This Row],[Frequentie weekend]]&gt;0,VALUE(LEFT(Y353,1))*R353,0)</f>
        <v>0</v>
      </c>
      <c r="AA353" s="82">
        <f>IF($Z353&gt;0,VLOOKUP($J353,Ruimtegroepen[],3,FALSE)*VLOOKUP($L353,Vloersoorten[],3,FALSE)*VLOOKUP($Y353,Frequenties[],3,FALSE)*VLOOKUP($A349,Locaties[],3,FALSE),0)</f>
        <v>0</v>
      </c>
      <c r="AB353" s="84">
        <f>Ruimtestaat[[#This Row],[Uitvoeringen weekend]]*Ruimtestaat[[#This Row],[Oppervlak (netto)]]</f>
        <v>0</v>
      </c>
      <c r="AC353" s="87">
        <f>IF(AB353&gt;0,Ruimtestaat[[#This Row],[Prest. (m2 /jaar) weekend]]/Ruimtestaat[[#This Row],[Norm (m2/uur) weekend]],0)</f>
        <v>0</v>
      </c>
      <c r="AD353" s="88">
        <f>Ruimtestaat[[#This Row],[uren / jaar weekend]]*Tariefsopbouw!$D$40</f>
        <v>0</v>
      </c>
      <c r="AE353" s="89">
        <f>Ruimtestaat[[#This Row],[Prest. (m2 /jaar) weekend]]+Ruimtestaat[[#This Row],[Prest. (m2 /jaar) werkdagen]]</f>
        <v>2000</v>
      </c>
      <c r="AF353" s="89">
        <f>Ruimtestaat[[#This Row],[uren / jaar weekend]]+Ruimtestaat[[#This Row],[uren / jaar werkdagen]]</f>
        <v>0</v>
      </c>
      <c r="AG353" s="90">
        <f>Ruimtestaat[[#This Row],[kosten / jaar weekend]]+Ruimtestaat[[#This Row],[kosten / jaar werkdagen]]</f>
        <v>0</v>
      </c>
    </row>
    <row r="354" spans="1:33" ht="15" customHeight="1">
      <c r="A354" s="53">
        <v>2</v>
      </c>
      <c r="B354" s="53" t="str">
        <f>VLOOKUP(Ruimtestaat[[#This Row],[Code]],Locaties[#All],2,FALSE)</f>
        <v>Open Schoolgemeenschap Bijlmer</v>
      </c>
      <c r="C354" s="53" t="str">
        <f>VLOOKUP(Ruimtestaat[[#This Row],[Code]],Locaties[#All],4,FALSE)</f>
        <v>Gulden Kruis 5</v>
      </c>
      <c r="D354" s="53" t="str">
        <f>VLOOKUP(Ruimtestaat[[#This Row],[Code]],Locaties[#All],5,FALSE)</f>
        <v>1103 BE</v>
      </c>
      <c r="E354" s="53" t="str">
        <f>VLOOKUP(Ruimtestaat[[#This Row],[Code]],Locaties[#All],6,FALSE)</f>
        <v>Amsterdam Zuidoost</v>
      </c>
      <c r="F354" s="78"/>
      <c r="G354" s="53" t="s">
        <v>450</v>
      </c>
      <c r="H354" s="53" t="s">
        <v>746</v>
      </c>
      <c r="I354" s="78" t="s">
        <v>359</v>
      </c>
      <c r="J354" s="53">
        <v>2</v>
      </c>
      <c r="K354" s="78" t="str">
        <f>VLOOKUP(J354,Ruimtegroepen[],2,FALSE)</f>
        <v>Kantoren</v>
      </c>
      <c r="L354" s="53" t="s">
        <v>283</v>
      </c>
      <c r="M354" s="53" t="s">
        <v>576</v>
      </c>
      <c r="N354" s="92">
        <v>10</v>
      </c>
      <c r="O354" s="92"/>
      <c r="P354" s="80" t="str">
        <f>LEFT(VLOOKUP(Ruimtestaat[[#This Row],[Ruimte code]],Ruimtegroepen[#All],4,1),2)</f>
        <v xml:space="preserve">B </v>
      </c>
      <c r="Q354" s="93"/>
      <c r="R354" s="81">
        <v>40</v>
      </c>
      <c r="S354" s="81" t="s">
        <v>298</v>
      </c>
      <c r="T354" s="82">
        <f>IF(R354&gt;0,IF(RIGHT(Ruimtestaat[[#This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4" s="82">
        <f>IF(T354&gt;0,VLOOKUP($J354,Ruimtegroepen[],3,FALSE)*VLOOKUP($L354,Vloersoorten[],3,FALSE)*VLOOKUP($S354,Frequenties[],3,FALSE)*VLOOKUP($A354,Locaties[],3,FALSE),0)</f>
        <v>0</v>
      </c>
      <c r="V354" s="83">
        <f>Ruimtestaat[[#This Row],[Uitvoeringen werkdagen]]*Ruimtestaat[[#This Row],[Oppervlak (netto)]]</f>
        <v>2000</v>
      </c>
      <c r="W354" s="84">
        <f>IF(U354&gt;0,Ruimtestaat[[#This Row],[Prest. (m2 /jaar) werkdagen]]/Ruimtestaat[[#This Row],[Norm (m2/uur) werkdagen]],0)</f>
        <v>0</v>
      </c>
      <c r="X354" s="85">
        <f>Ruimtestaat[[#This Row],[uren / jaar werkdagen]]*Tariefsopbouw!$E$35</f>
        <v>0</v>
      </c>
      <c r="Y354" s="82"/>
      <c r="Z354" s="86">
        <f>IF(Ruimtestaat[[#This Row],[Frequentie weekend]]&gt;0,VALUE(LEFT(Y354,1))*R354,0)</f>
        <v>0</v>
      </c>
      <c r="AA354" s="82">
        <f>IF($Z354&gt;0,VLOOKUP($J354,Ruimtegroepen[],3,FALSE)*VLOOKUP($L354,Vloersoorten[],3,FALSE)*VLOOKUP($Y354,Frequenties[],3,FALSE)*VLOOKUP($A350,Locaties[],3,FALSE),0)</f>
        <v>0</v>
      </c>
      <c r="AB354" s="84">
        <f>Ruimtestaat[[#This Row],[Uitvoeringen weekend]]*Ruimtestaat[[#This Row],[Oppervlak (netto)]]</f>
        <v>0</v>
      </c>
      <c r="AC354" s="87">
        <f>IF(AB354&gt;0,Ruimtestaat[[#This Row],[Prest. (m2 /jaar) weekend]]/Ruimtestaat[[#This Row],[Norm (m2/uur) weekend]],0)</f>
        <v>0</v>
      </c>
      <c r="AD354" s="88">
        <f>Ruimtestaat[[#This Row],[uren / jaar weekend]]*Tariefsopbouw!$D$40</f>
        <v>0</v>
      </c>
      <c r="AE354" s="89">
        <f>Ruimtestaat[[#This Row],[Prest. (m2 /jaar) weekend]]+Ruimtestaat[[#This Row],[Prest. (m2 /jaar) werkdagen]]</f>
        <v>2000</v>
      </c>
      <c r="AF354" s="89">
        <f>Ruimtestaat[[#This Row],[uren / jaar weekend]]+Ruimtestaat[[#This Row],[uren / jaar werkdagen]]</f>
        <v>0</v>
      </c>
      <c r="AG354" s="90">
        <f>Ruimtestaat[[#This Row],[kosten / jaar weekend]]+Ruimtestaat[[#This Row],[kosten / jaar werkdagen]]</f>
        <v>0</v>
      </c>
    </row>
    <row r="355" spans="1:33" ht="15" customHeight="1">
      <c r="A355" s="53">
        <v>2</v>
      </c>
      <c r="B355" s="53" t="str">
        <f>VLOOKUP(Ruimtestaat[[#This Row],[Code]],Locaties[#All],2,FALSE)</f>
        <v>Open Schoolgemeenschap Bijlmer</v>
      </c>
      <c r="C355" s="53" t="str">
        <f>VLOOKUP(Ruimtestaat[[#This Row],[Code]],Locaties[#All],4,FALSE)</f>
        <v>Gulden Kruis 5</v>
      </c>
      <c r="D355" s="53" t="str">
        <f>VLOOKUP(Ruimtestaat[[#This Row],[Code]],Locaties[#All],5,FALSE)</f>
        <v>1103 BE</v>
      </c>
      <c r="E355" s="53" t="str">
        <f>VLOOKUP(Ruimtestaat[[#This Row],[Code]],Locaties[#All],6,FALSE)</f>
        <v>Amsterdam Zuidoost</v>
      </c>
      <c r="F355" s="78"/>
      <c r="G355" s="53" t="s">
        <v>450</v>
      </c>
      <c r="H355" s="53" t="s">
        <v>747</v>
      </c>
      <c r="I355" s="78" t="s">
        <v>359</v>
      </c>
      <c r="J355" s="53">
        <v>2</v>
      </c>
      <c r="K355" s="78" t="str">
        <f>VLOOKUP(J355,Ruimtegroepen[],2,FALSE)</f>
        <v>Kantoren</v>
      </c>
      <c r="L355" s="53" t="s">
        <v>283</v>
      </c>
      <c r="M355" s="53" t="s">
        <v>576</v>
      </c>
      <c r="N355" s="92">
        <v>14.839999999999998</v>
      </c>
      <c r="O355" s="92"/>
      <c r="P355" s="80" t="str">
        <f>LEFT(VLOOKUP(Ruimtestaat[[#This Row],[Ruimte code]],Ruimtegroepen[#All],4,1),2)</f>
        <v xml:space="preserve">B </v>
      </c>
      <c r="Q355" s="93"/>
      <c r="R355" s="81">
        <v>40</v>
      </c>
      <c r="S355" s="81" t="s">
        <v>298</v>
      </c>
      <c r="T355" s="82">
        <f>IF(R355&gt;0,IF(RIGHT(Ruimtestaat[[#This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5" s="82">
        <f>IF(T355&gt;0,VLOOKUP($J355,Ruimtegroepen[],3,FALSE)*VLOOKUP($L355,Vloersoorten[],3,FALSE)*VLOOKUP($S355,Frequenties[],3,FALSE)*VLOOKUP($A355,Locaties[],3,FALSE),0)</f>
        <v>0</v>
      </c>
      <c r="V355" s="83">
        <f>Ruimtestaat[[#This Row],[Uitvoeringen werkdagen]]*Ruimtestaat[[#This Row],[Oppervlak (netto)]]</f>
        <v>2967.9999999999995</v>
      </c>
      <c r="W355" s="84">
        <f>IF(U355&gt;0,Ruimtestaat[[#This Row],[Prest. (m2 /jaar) werkdagen]]/Ruimtestaat[[#This Row],[Norm (m2/uur) werkdagen]],0)</f>
        <v>0</v>
      </c>
      <c r="X355" s="85">
        <f>Ruimtestaat[[#This Row],[uren / jaar werkdagen]]*Tariefsopbouw!$E$35</f>
        <v>0</v>
      </c>
      <c r="Y355" s="82"/>
      <c r="Z355" s="86">
        <f>IF(Ruimtestaat[[#This Row],[Frequentie weekend]]&gt;0,VALUE(LEFT(Y355,1))*R355,0)</f>
        <v>0</v>
      </c>
      <c r="AA355" s="82">
        <f>IF($Z355&gt;0,VLOOKUP($J355,Ruimtegroepen[],3,FALSE)*VLOOKUP($L355,Vloersoorten[],3,FALSE)*VLOOKUP($Y355,Frequenties[],3,FALSE)*VLOOKUP($A351,Locaties[],3,FALSE),0)</f>
        <v>0</v>
      </c>
      <c r="AB355" s="84">
        <f>Ruimtestaat[[#This Row],[Uitvoeringen weekend]]*Ruimtestaat[[#This Row],[Oppervlak (netto)]]</f>
        <v>0</v>
      </c>
      <c r="AC355" s="87">
        <f>IF(AB355&gt;0,Ruimtestaat[[#This Row],[Prest. (m2 /jaar) weekend]]/Ruimtestaat[[#This Row],[Norm (m2/uur) weekend]],0)</f>
        <v>0</v>
      </c>
      <c r="AD355" s="88">
        <f>Ruimtestaat[[#This Row],[uren / jaar weekend]]*Tariefsopbouw!$D$40</f>
        <v>0</v>
      </c>
      <c r="AE355" s="89">
        <f>Ruimtestaat[[#This Row],[Prest. (m2 /jaar) weekend]]+Ruimtestaat[[#This Row],[Prest. (m2 /jaar) werkdagen]]</f>
        <v>2967.9999999999995</v>
      </c>
      <c r="AF355" s="89">
        <f>Ruimtestaat[[#This Row],[uren / jaar weekend]]+Ruimtestaat[[#This Row],[uren / jaar werkdagen]]</f>
        <v>0</v>
      </c>
      <c r="AG355" s="90">
        <f>Ruimtestaat[[#This Row],[kosten / jaar weekend]]+Ruimtestaat[[#This Row],[kosten / jaar werkdagen]]</f>
        <v>0</v>
      </c>
    </row>
    <row r="356" spans="1:33" ht="15" customHeight="1">
      <c r="A356" s="53">
        <v>2</v>
      </c>
      <c r="B356" s="53" t="str">
        <f>VLOOKUP(Ruimtestaat[[#This Row],[Code]],Locaties[#All],2,FALSE)</f>
        <v>Open Schoolgemeenschap Bijlmer</v>
      </c>
      <c r="C356" s="53" t="str">
        <f>VLOOKUP(Ruimtestaat[[#This Row],[Code]],Locaties[#All],4,FALSE)</f>
        <v>Gulden Kruis 5</v>
      </c>
      <c r="D356" s="53" t="str">
        <f>VLOOKUP(Ruimtestaat[[#This Row],[Code]],Locaties[#All],5,FALSE)</f>
        <v>1103 BE</v>
      </c>
      <c r="E356" s="53" t="str">
        <f>VLOOKUP(Ruimtestaat[[#This Row],[Code]],Locaties[#All],6,FALSE)</f>
        <v>Amsterdam Zuidoost</v>
      </c>
      <c r="F356" s="78"/>
      <c r="G356" s="53" t="s">
        <v>450</v>
      </c>
      <c r="H356" s="53" t="s">
        <v>748</v>
      </c>
      <c r="I356" s="78" t="s">
        <v>359</v>
      </c>
      <c r="J356" s="53">
        <v>2</v>
      </c>
      <c r="K356" s="78" t="str">
        <f>VLOOKUP(J356,Ruimtegroepen[],2,FALSE)</f>
        <v>Kantoren</v>
      </c>
      <c r="L356" s="53" t="s">
        <v>283</v>
      </c>
      <c r="M356" s="53" t="s">
        <v>576</v>
      </c>
      <c r="N356" s="92">
        <v>14.839999999999998</v>
      </c>
      <c r="O356" s="92"/>
      <c r="P356" s="80" t="str">
        <f>LEFT(VLOOKUP(Ruimtestaat[[#This Row],[Ruimte code]],Ruimtegroepen[#All],4,1),2)</f>
        <v xml:space="preserve">B </v>
      </c>
      <c r="Q356" s="93"/>
      <c r="R356" s="81">
        <v>40</v>
      </c>
      <c r="S356" s="81" t="s">
        <v>298</v>
      </c>
      <c r="T356" s="82">
        <f>IF(R356&gt;0,IF(RIGHT(Ruimtestaat[[#This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6" s="82">
        <f>IF(T356&gt;0,VLOOKUP($J356,Ruimtegroepen[],3,FALSE)*VLOOKUP($L356,Vloersoorten[],3,FALSE)*VLOOKUP($S356,Frequenties[],3,FALSE)*VLOOKUP($A356,Locaties[],3,FALSE),0)</f>
        <v>0</v>
      </c>
      <c r="V356" s="83">
        <f>Ruimtestaat[[#This Row],[Uitvoeringen werkdagen]]*Ruimtestaat[[#This Row],[Oppervlak (netto)]]</f>
        <v>2967.9999999999995</v>
      </c>
      <c r="W356" s="84">
        <f>IF(U356&gt;0,Ruimtestaat[[#This Row],[Prest. (m2 /jaar) werkdagen]]/Ruimtestaat[[#This Row],[Norm (m2/uur) werkdagen]],0)</f>
        <v>0</v>
      </c>
      <c r="X356" s="85">
        <f>Ruimtestaat[[#This Row],[uren / jaar werkdagen]]*Tariefsopbouw!$E$35</f>
        <v>0</v>
      </c>
      <c r="Y356" s="82"/>
      <c r="Z356" s="86">
        <f>IF(Ruimtestaat[[#This Row],[Frequentie weekend]]&gt;0,VALUE(LEFT(Y356,1))*R356,0)</f>
        <v>0</v>
      </c>
      <c r="AA356" s="82">
        <f>IF($Z356&gt;0,VLOOKUP($J356,Ruimtegroepen[],3,FALSE)*VLOOKUP($L356,Vloersoorten[],3,FALSE)*VLOOKUP($Y356,Frequenties[],3,FALSE)*VLOOKUP($A352,Locaties[],3,FALSE),0)</f>
        <v>0</v>
      </c>
      <c r="AB356" s="84">
        <f>Ruimtestaat[[#This Row],[Uitvoeringen weekend]]*Ruimtestaat[[#This Row],[Oppervlak (netto)]]</f>
        <v>0</v>
      </c>
      <c r="AC356" s="87">
        <f>IF(AB356&gt;0,Ruimtestaat[[#This Row],[Prest. (m2 /jaar) weekend]]/Ruimtestaat[[#This Row],[Norm (m2/uur) weekend]],0)</f>
        <v>0</v>
      </c>
      <c r="AD356" s="88">
        <f>Ruimtestaat[[#This Row],[uren / jaar weekend]]*Tariefsopbouw!$D$40</f>
        <v>0</v>
      </c>
      <c r="AE356" s="89">
        <f>Ruimtestaat[[#This Row],[Prest. (m2 /jaar) weekend]]+Ruimtestaat[[#This Row],[Prest. (m2 /jaar) werkdagen]]</f>
        <v>2967.9999999999995</v>
      </c>
      <c r="AF356" s="89">
        <f>Ruimtestaat[[#This Row],[uren / jaar weekend]]+Ruimtestaat[[#This Row],[uren / jaar werkdagen]]</f>
        <v>0</v>
      </c>
      <c r="AG356" s="90">
        <f>Ruimtestaat[[#This Row],[kosten / jaar weekend]]+Ruimtestaat[[#This Row],[kosten / jaar werkdagen]]</f>
        <v>0</v>
      </c>
    </row>
    <row r="357" spans="1:33" ht="15" customHeight="1">
      <c r="A357" s="53">
        <v>2</v>
      </c>
      <c r="B357" s="53" t="str">
        <f>VLOOKUP(Ruimtestaat[[#This Row],[Code]],Locaties[#All],2,FALSE)</f>
        <v>Open Schoolgemeenschap Bijlmer</v>
      </c>
      <c r="C357" s="53" t="str">
        <f>VLOOKUP(Ruimtestaat[[#This Row],[Code]],Locaties[#All],4,FALSE)</f>
        <v>Gulden Kruis 5</v>
      </c>
      <c r="D357" s="53" t="str">
        <f>VLOOKUP(Ruimtestaat[[#This Row],[Code]],Locaties[#All],5,FALSE)</f>
        <v>1103 BE</v>
      </c>
      <c r="E357" s="53" t="str">
        <f>VLOOKUP(Ruimtestaat[[#This Row],[Code]],Locaties[#All],6,FALSE)</f>
        <v>Amsterdam Zuidoost</v>
      </c>
      <c r="F357" s="78"/>
      <c r="G357" s="53" t="s">
        <v>450</v>
      </c>
      <c r="H357" s="53" t="s">
        <v>749</v>
      </c>
      <c r="I357" s="78" t="s">
        <v>456</v>
      </c>
      <c r="J357" s="53">
        <v>6</v>
      </c>
      <c r="K357" s="78" t="str">
        <f>VLOOKUP(J357,Ruimtegroepen[],2,FALSE)</f>
        <v>Gangen/hallen</v>
      </c>
      <c r="L357" s="53" t="s">
        <v>285</v>
      </c>
      <c r="M357" s="53" t="s">
        <v>580</v>
      </c>
      <c r="N357" s="92">
        <v>21.793099999999999</v>
      </c>
      <c r="O357" s="92"/>
      <c r="P357" s="80" t="str">
        <f>LEFT(VLOOKUP(Ruimtestaat[[#This Row],[Ruimte code]],Ruimtegroepen[#All],4,1),2)</f>
        <v xml:space="preserve">V </v>
      </c>
      <c r="Q357" s="93"/>
      <c r="R357" s="81">
        <v>40</v>
      </c>
      <c r="S357" s="81" t="s">
        <v>298</v>
      </c>
      <c r="T357" s="82">
        <f>IF(R357&gt;0,IF(RIGHT(Ruimtestaat[[#This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7" s="82">
        <f>IF(T357&gt;0,VLOOKUP($J357,Ruimtegroepen[],3,FALSE)*VLOOKUP($L357,Vloersoorten[],3,FALSE)*VLOOKUP($S357,Frequenties[],3,FALSE)*VLOOKUP($A357,Locaties[],3,FALSE),0)</f>
        <v>0</v>
      </c>
      <c r="V357" s="83">
        <f>Ruimtestaat[[#This Row],[Uitvoeringen werkdagen]]*Ruimtestaat[[#This Row],[Oppervlak (netto)]]</f>
        <v>4358.62</v>
      </c>
      <c r="W357" s="84">
        <f>IF(U357&gt;0,Ruimtestaat[[#This Row],[Prest. (m2 /jaar) werkdagen]]/Ruimtestaat[[#This Row],[Norm (m2/uur) werkdagen]],0)</f>
        <v>0</v>
      </c>
      <c r="X357" s="85">
        <f>Ruimtestaat[[#This Row],[uren / jaar werkdagen]]*Tariefsopbouw!$E$35</f>
        <v>0</v>
      </c>
      <c r="Y357" s="82"/>
      <c r="Z357" s="86">
        <f>IF(Ruimtestaat[[#This Row],[Frequentie weekend]]&gt;0,VALUE(LEFT(Y357,1))*R357,0)</f>
        <v>0</v>
      </c>
      <c r="AA357" s="82">
        <f>IF($Z357&gt;0,VLOOKUP($J357,Ruimtegroepen[],3,FALSE)*VLOOKUP($L357,Vloersoorten[],3,FALSE)*VLOOKUP($Y357,Frequenties[],3,FALSE)*VLOOKUP($A353,Locaties[],3,FALSE),0)</f>
        <v>0</v>
      </c>
      <c r="AB357" s="84">
        <f>Ruimtestaat[[#This Row],[Uitvoeringen weekend]]*Ruimtestaat[[#This Row],[Oppervlak (netto)]]</f>
        <v>0</v>
      </c>
      <c r="AC357" s="87">
        <f>IF(AB357&gt;0,Ruimtestaat[[#This Row],[Prest. (m2 /jaar) weekend]]/Ruimtestaat[[#This Row],[Norm (m2/uur) weekend]],0)</f>
        <v>0</v>
      </c>
      <c r="AD357" s="88">
        <f>Ruimtestaat[[#This Row],[uren / jaar weekend]]*Tariefsopbouw!$D$40</f>
        <v>0</v>
      </c>
      <c r="AE357" s="89">
        <f>Ruimtestaat[[#This Row],[Prest. (m2 /jaar) weekend]]+Ruimtestaat[[#This Row],[Prest. (m2 /jaar) werkdagen]]</f>
        <v>4358.62</v>
      </c>
      <c r="AF357" s="89">
        <f>Ruimtestaat[[#This Row],[uren / jaar weekend]]+Ruimtestaat[[#This Row],[uren / jaar werkdagen]]</f>
        <v>0</v>
      </c>
      <c r="AG357" s="90">
        <f>Ruimtestaat[[#This Row],[kosten / jaar weekend]]+Ruimtestaat[[#This Row],[kosten / jaar werkdagen]]</f>
        <v>0</v>
      </c>
    </row>
    <row r="358" spans="1:33" ht="15" customHeight="1">
      <c r="A358" s="53">
        <v>2</v>
      </c>
      <c r="B358" s="53" t="str">
        <f>VLOOKUP(Ruimtestaat[[#This Row],[Code]],Locaties[#All],2,FALSE)</f>
        <v>Open Schoolgemeenschap Bijlmer</v>
      </c>
      <c r="C358" s="53" t="str">
        <f>VLOOKUP(Ruimtestaat[[#This Row],[Code]],Locaties[#All],4,FALSE)</f>
        <v>Gulden Kruis 5</v>
      </c>
      <c r="D358" s="53" t="str">
        <f>VLOOKUP(Ruimtestaat[[#This Row],[Code]],Locaties[#All],5,FALSE)</f>
        <v>1103 BE</v>
      </c>
      <c r="E358" s="53" t="str">
        <f>VLOOKUP(Ruimtestaat[[#This Row],[Code]],Locaties[#All],6,FALSE)</f>
        <v>Amsterdam Zuidoost</v>
      </c>
      <c r="F358" s="78"/>
      <c r="G358" s="53" t="s">
        <v>450</v>
      </c>
      <c r="H358" s="53" t="s">
        <v>750</v>
      </c>
      <c r="I358" s="78" t="s">
        <v>428</v>
      </c>
      <c r="J358" s="53">
        <v>16</v>
      </c>
      <c r="K358" s="78" t="str">
        <f>VLOOKUP(J358,Ruimtegroepen[],2,FALSE)</f>
        <v>Leslokalen theorie</v>
      </c>
      <c r="L358" s="53" t="s">
        <v>280</v>
      </c>
      <c r="M358" s="53" t="s">
        <v>566</v>
      </c>
      <c r="N358" s="92">
        <v>110.62</v>
      </c>
      <c r="O358" s="92"/>
      <c r="P358" s="80" t="str">
        <f>LEFT(VLOOKUP(Ruimtestaat[[#This Row],[Ruimte code]],Ruimtegroepen[#All],4,1),2)</f>
        <v xml:space="preserve">L </v>
      </c>
      <c r="Q358" s="93"/>
      <c r="R358" s="81">
        <v>40</v>
      </c>
      <c r="S358" s="81" t="s">
        <v>298</v>
      </c>
      <c r="T358" s="82">
        <f>IF(R358&gt;0,IF(RIGHT(Ruimtestaat[[#This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8" s="82">
        <f>IF(T358&gt;0,VLOOKUP($J358,Ruimtegroepen[],3,FALSE)*VLOOKUP($L358,Vloersoorten[],3,FALSE)*VLOOKUP($S358,Frequenties[],3,FALSE)*VLOOKUP($A358,Locaties[],3,FALSE),0)</f>
        <v>0</v>
      </c>
      <c r="V358" s="83">
        <f>Ruimtestaat[[#This Row],[Uitvoeringen werkdagen]]*Ruimtestaat[[#This Row],[Oppervlak (netto)]]</f>
        <v>22124</v>
      </c>
      <c r="W358" s="84">
        <f>IF(U358&gt;0,Ruimtestaat[[#This Row],[Prest. (m2 /jaar) werkdagen]]/Ruimtestaat[[#This Row],[Norm (m2/uur) werkdagen]],0)</f>
        <v>0</v>
      </c>
      <c r="X358" s="85">
        <f>Ruimtestaat[[#This Row],[uren / jaar werkdagen]]*Tariefsopbouw!$E$35</f>
        <v>0</v>
      </c>
      <c r="Y358" s="82"/>
      <c r="Z358" s="86">
        <f>IF(Ruimtestaat[[#This Row],[Frequentie weekend]]&gt;0,VALUE(LEFT(Y358,1))*R358,0)</f>
        <v>0</v>
      </c>
      <c r="AA358" s="82">
        <f>IF($Z358&gt;0,VLOOKUP($J358,Ruimtegroepen[],3,FALSE)*VLOOKUP($L358,Vloersoorten[],3,FALSE)*VLOOKUP($Y358,Frequenties[],3,FALSE)*VLOOKUP($A354,Locaties[],3,FALSE),0)</f>
        <v>0</v>
      </c>
      <c r="AB358" s="84">
        <f>Ruimtestaat[[#This Row],[Uitvoeringen weekend]]*Ruimtestaat[[#This Row],[Oppervlak (netto)]]</f>
        <v>0</v>
      </c>
      <c r="AC358" s="87">
        <f>IF(AB358&gt;0,Ruimtestaat[[#This Row],[Prest. (m2 /jaar) weekend]]/Ruimtestaat[[#This Row],[Norm (m2/uur) weekend]],0)</f>
        <v>0</v>
      </c>
      <c r="AD358" s="88">
        <f>Ruimtestaat[[#This Row],[uren / jaar weekend]]*Tariefsopbouw!$D$40</f>
        <v>0</v>
      </c>
      <c r="AE358" s="89">
        <f>Ruimtestaat[[#This Row],[Prest. (m2 /jaar) weekend]]+Ruimtestaat[[#This Row],[Prest. (m2 /jaar) werkdagen]]</f>
        <v>22124</v>
      </c>
      <c r="AF358" s="89">
        <f>Ruimtestaat[[#This Row],[uren / jaar weekend]]+Ruimtestaat[[#This Row],[uren / jaar werkdagen]]</f>
        <v>0</v>
      </c>
      <c r="AG358" s="90">
        <f>Ruimtestaat[[#This Row],[kosten / jaar weekend]]+Ruimtestaat[[#This Row],[kosten / jaar werkdagen]]</f>
        <v>0</v>
      </c>
    </row>
    <row r="359" spans="1:33" ht="15" customHeight="1">
      <c r="A359" s="53">
        <v>2</v>
      </c>
      <c r="B359" s="53" t="str">
        <f>VLOOKUP(Ruimtestaat[[#This Row],[Code]],Locaties[#All],2,FALSE)</f>
        <v>Open Schoolgemeenschap Bijlmer</v>
      </c>
      <c r="C359" s="53" t="str">
        <f>VLOOKUP(Ruimtestaat[[#This Row],[Code]],Locaties[#All],4,FALSE)</f>
        <v>Gulden Kruis 5</v>
      </c>
      <c r="D359" s="53" t="str">
        <f>VLOOKUP(Ruimtestaat[[#This Row],[Code]],Locaties[#All],5,FALSE)</f>
        <v>1103 BE</v>
      </c>
      <c r="E359" s="53" t="str">
        <f>VLOOKUP(Ruimtestaat[[#This Row],[Code]],Locaties[#All],6,FALSE)</f>
        <v>Amsterdam Zuidoost</v>
      </c>
      <c r="F359" s="78"/>
      <c r="G359" s="53" t="s">
        <v>450</v>
      </c>
      <c r="H359" s="53" t="s">
        <v>751</v>
      </c>
      <c r="I359" s="78" t="s">
        <v>456</v>
      </c>
      <c r="J359" s="53">
        <v>6</v>
      </c>
      <c r="K359" s="78" t="str">
        <f>VLOOKUP(J359,Ruimtegroepen[],2,FALSE)</f>
        <v>Gangen/hallen</v>
      </c>
      <c r="L359" s="53" t="s">
        <v>285</v>
      </c>
      <c r="M359" s="53" t="s">
        <v>580</v>
      </c>
      <c r="N359" s="92">
        <v>59.779200000000003</v>
      </c>
      <c r="O359" s="92"/>
      <c r="P359" s="80" t="str">
        <f>LEFT(VLOOKUP(Ruimtestaat[[#This Row],[Ruimte code]],Ruimtegroepen[#All],4,1),2)</f>
        <v xml:space="preserve">V </v>
      </c>
      <c r="Q359" s="93"/>
      <c r="R359" s="81">
        <v>40</v>
      </c>
      <c r="S359" s="81" t="s">
        <v>298</v>
      </c>
      <c r="T359" s="82">
        <f>IF(R359&gt;0,IF(RIGHT(Ruimtestaat[[#This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59" s="82">
        <f>IF(T359&gt;0,VLOOKUP($J359,Ruimtegroepen[],3,FALSE)*VLOOKUP($L359,Vloersoorten[],3,FALSE)*VLOOKUP($S359,Frequenties[],3,FALSE)*VLOOKUP($A359,Locaties[],3,FALSE),0)</f>
        <v>0</v>
      </c>
      <c r="V359" s="83">
        <f>Ruimtestaat[[#This Row],[Uitvoeringen werkdagen]]*Ruimtestaat[[#This Row],[Oppervlak (netto)]]</f>
        <v>11955.84</v>
      </c>
      <c r="W359" s="84">
        <f>IF(U359&gt;0,Ruimtestaat[[#This Row],[Prest. (m2 /jaar) werkdagen]]/Ruimtestaat[[#This Row],[Norm (m2/uur) werkdagen]],0)</f>
        <v>0</v>
      </c>
      <c r="X359" s="85">
        <f>Ruimtestaat[[#This Row],[uren / jaar werkdagen]]*Tariefsopbouw!$E$35</f>
        <v>0</v>
      </c>
      <c r="Y359" s="82"/>
      <c r="Z359" s="86">
        <f>IF(Ruimtestaat[[#This Row],[Frequentie weekend]]&gt;0,VALUE(LEFT(Y359,1))*R359,0)</f>
        <v>0</v>
      </c>
      <c r="AA359" s="82">
        <f>IF($Z359&gt;0,VLOOKUP($J359,Ruimtegroepen[],3,FALSE)*VLOOKUP($L359,Vloersoorten[],3,FALSE)*VLOOKUP($Y359,Frequenties[],3,FALSE)*VLOOKUP($A355,Locaties[],3,FALSE),0)</f>
        <v>0</v>
      </c>
      <c r="AB359" s="84">
        <f>Ruimtestaat[[#This Row],[Uitvoeringen weekend]]*Ruimtestaat[[#This Row],[Oppervlak (netto)]]</f>
        <v>0</v>
      </c>
      <c r="AC359" s="87">
        <f>IF(AB359&gt;0,Ruimtestaat[[#This Row],[Prest. (m2 /jaar) weekend]]/Ruimtestaat[[#This Row],[Norm (m2/uur) weekend]],0)</f>
        <v>0</v>
      </c>
      <c r="AD359" s="88">
        <f>Ruimtestaat[[#This Row],[uren / jaar weekend]]*Tariefsopbouw!$D$40</f>
        <v>0</v>
      </c>
      <c r="AE359" s="89">
        <f>Ruimtestaat[[#This Row],[Prest. (m2 /jaar) weekend]]+Ruimtestaat[[#This Row],[Prest. (m2 /jaar) werkdagen]]</f>
        <v>11955.84</v>
      </c>
      <c r="AF359" s="89">
        <f>Ruimtestaat[[#This Row],[uren / jaar weekend]]+Ruimtestaat[[#This Row],[uren / jaar werkdagen]]</f>
        <v>0</v>
      </c>
      <c r="AG359" s="90">
        <f>Ruimtestaat[[#This Row],[kosten / jaar weekend]]+Ruimtestaat[[#This Row],[kosten / jaar werkdagen]]</f>
        <v>0</v>
      </c>
    </row>
    <row r="360" spans="1:33" ht="15" customHeight="1">
      <c r="A360" s="53">
        <v>2</v>
      </c>
      <c r="B360" s="53" t="str">
        <f>VLOOKUP(Ruimtestaat[[#This Row],[Code]],Locaties[#All],2,FALSE)</f>
        <v>Open Schoolgemeenschap Bijlmer</v>
      </c>
      <c r="C360" s="53" t="str">
        <f>VLOOKUP(Ruimtestaat[[#This Row],[Code]],Locaties[#All],4,FALSE)</f>
        <v>Gulden Kruis 5</v>
      </c>
      <c r="D360" s="53" t="str">
        <f>VLOOKUP(Ruimtestaat[[#This Row],[Code]],Locaties[#All],5,FALSE)</f>
        <v>1103 BE</v>
      </c>
      <c r="E360" s="53" t="str">
        <f>VLOOKUP(Ruimtestaat[[#This Row],[Code]],Locaties[#All],6,FALSE)</f>
        <v>Amsterdam Zuidoost</v>
      </c>
      <c r="F360" s="78"/>
      <c r="G360" s="53" t="s">
        <v>450</v>
      </c>
      <c r="H360" s="53" t="s">
        <v>752</v>
      </c>
      <c r="I360" s="78" t="s">
        <v>571</v>
      </c>
      <c r="J360" s="53">
        <v>20</v>
      </c>
      <c r="K360" s="78" t="str">
        <f>VLOOKUP(J360,Ruimtegroepen[],2,FALSE)</f>
        <v>Niet in onderhoud</v>
      </c>
      <c r="L360" s="53" t="s">
        <v>280</v>
      </c>
      <c r="M360" s="53" t="s">
        <v>566</v>
      </c>
      <c r="O360" s="92"/>
      <c r="P360" s="80" t="str">
        <f>LEFT(VLOOKUP(Ruimtestaat[[#This Row],[Ruimte code]],Ruimtegroepen[#All],4,1),2)</f>
        <v/>
      </c>
      <c r="Q360" s="93"/>
      <c r="R360" s="81"/>
      <c r="S360" s="81"/>
      <c r="T360" s="82">
        <f>IF(R360&gt;0,IF(RIGHT(Ruimtestaat[[#This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0" s="82">
        <f>IF(T360&gt;0,VLOOKUP($J360,Ruimtegroepen[],3,FALSE)*VLOOKUP($L360,Vloersoorten[],3,FALSE)*VLOOKUP($S360,Frequenties[],3,FALSE)*VLOOKUP($A360,Locaties[],3,FALSE),0)</f>
        <v>0</v>
      </c>
      <c r="V360" s="83">
        <f>Ruimtestaat[[#This Row],[Uitvoeringen werkdagen]]*Ruimtestaat[[#This Row],[Oppervlak (netto)]]</f>
        <v>0</v>
      </c>
      <c r="W360" s="84">
        <f>IF(U360&gt;0,Ruimtestaat[[#This Row],[Prest. (m2 /jaar) werkdagen]]/Ruimtestaat[[#This Row],[Norm (m2/uur) werkdagen]],0)</f>
        <v>0</v>
      </c>
      <c r="X360" s="85">
        <f>Ruimtestaat[[#This Row],[uren / jaar werkdagen]]*Tariefsopbouw!$E$35</f>
        <v>0</v>
      </c>
      <c r="Y360" s="82"/>
      <c r="Z360" s="86">
        <f>IF(Ruimtestaat[[#This Row],[Frequentie weekend]]&gt;0,VALUE(LEFT(Y360,1))*R360,0)</f>
        <v>0</v>
      </c>
      <c r="AA360" s="82">
        <f>IF($Z360&gt;0,VLOOKUP($J360,Ruimtegroepen[],3,FALSE)*VLOOKUP($L360,Vloersoorten[],3,FALSE)*VLOOKUP($Y360,Frequenties[],3,FALSE)*VLOOKUP($A356,Locaties[],3,FALSE),0)</f>
        <v>0</v>
      </c>
      <c r="AB360" s="84">
        <f>Ruimtestaat[[#This Row],[Uitvoeringen weekend]]*Ruimtestaat[[#This Row],[Oppervlak (netto)]]</f>
        <v>0</v>
      </c>
      <c r="AC360" s="87">
        <f>IF(AB360&gt;0,Ruimtestaat[[#This Row],[Prest. (m2 /jaar) weekend]]/Ruimtestaat[[#This Row],[Norm (m2/uur) weekend]],0)</f>
        <v>0</v>
      </c>
      <c r="AD360" s="88">
        <f>Ruimtestaat[[#This Row],[uren / jaar weekend]]*Tariefsopbouw!$D$40</f>
        <v>0</v>
      </c>
      <c r="AE360" s="89">
        <f>Ruimtestaat[[#This Row],[Prest. (m2 /jaar) weekend]]+Ruimtestaat[[#This Row],[Prest. (m2 /jaar) werkdagen]]</f>
        <v>0</v>
      </c>
      <c r="AF360" s="89">
        <f>Ruimtestaat[[#This Row],[uren / jaar weekend]]+Ruimtestaat[[#This Row],[uren / jaar werkdagen]]</f>
        <v>0</v>
      </c>
      <c r="AG360" s="90">
        <f>Ruimtestaat[[#This Row],[kosten / jaar weekend]]+Ruimtestaat[[#This Row],[kosten / jaar werkdagen]]</f>
        <v>0</v>
      </c>
    </row>
    <row r="361" spans="1:33" ht="15" customHeight="1">
      <c r="A361" s="53">
        <v>2</v>
      </c>
      <c r="B361" s="53" t="str">
        <f>VLOOKUP(Ruimtestaat[[#This Row],[Code]],Locaties[#All],2,FALSE)</f>
        <v>Open Schoolgemeenschap Bijlmer</v>
      </c>
      <c r="C361" s="53" t="str">
        <f>VLOOKUP(Ruimtestaat[[#This Row],[Code]],Locaties[#All],4,FALSE)</f>
        <v>Gulden Kruis 5</v>
      </c>
      <c r="D361" s="53" t="str">
        <f>VLOOKUP(Ruimtestaat[[#This Row],[Code]],Locaties[#All],5,FALSE)</f>
        <v>1103 BE</v>
      </c>
      <c r="E361" s="53" t="str">
        <f>VLOOKUP(Ruimtestaat[[#This Row],[Code]],Locaties[#All],6,FALSE)</f>
        <v>Amsterdam Zuidoost</v>
      </c>
      <c r="F361" s="78"/>
      <c r="G361" s="53" t="s">
        <v>450</v>
      </c>
      <c r="H361" s="53" t="s">
        <v>753</v>
      </c>
      <c r="I361" s="78" t="s">
        <v>571</v>
      </c>
      <c r="J361" s="53">
        <v>20</v>
      </c>
      <c r="K361" s="78" t="str">
        <f>VLOOKUP(J361,Ruimtegroepen[],2,FALSE)</f>
        <v>Niet in onderhoud</v>
      </c>
      <c r="L361" s="53" t="s">
        <v>280</v>
      </c>
      <c r="M361" s="53" t="s">
        <v>566</v>
      </c>
      <c r="O361" s="92"/>
      <c r="P361" s="80" t="str">
        <f>LEFT(VLOOKUP(Ruimtestaat[[#This Row],[Ruimte code]],Ruimtegroepen[#All],4,1),2)</f>
        <v/>
      </c>
      <c r="Q361" s="93"/>
      <c r="R361" s="81"/>
      <c r="S361" s="81"/>
      <c r="T361" s="82">
        <f>IF(R361&gt;0,IF(RIGHT(Ruimtestaat[[#This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1" s="82">
        <f>IF(T361&gt;0,VLOOKUP($J361,Ruimtegroepen[],3,FALSE)*VLOOKUP($L361,Vloersoorten[],3,FALSE)*VLOOKUP($S361,Frequenties[],3,FALSE)*VLOOKUP($A361,Locaties[],3,FALSE),0)</f>
        <v>0</v>
      </c>
      <c r="V361" s="83">
        <f>Ruimtestaat[[#This Row],[Uitvoeringen werkdagen]]*Ruimtestaat[[#This Row],[Oppervlak (netto)]]</f>
        <v>0</v>
      </c>
      <c r="W361" s="84">
        <f>IF(U361&gt;0,Ruimtestaat[[#This Row],[Prest. (m2 /jaar) werkdagen]]/Ruimtestaat[[#This Row],[Norm (m2/uur) werkdagen]],0)</f>
        <v>0</v>
      </c>
      <c r="X361" s="85">
        <f>Ruimtestaat[[#This Row],[uren / jaar werkdagen]]*Tariefsopbouw!$E$35</f>
        <v>0</v>
      </c>
      <c r="Y361" s="82"/>
      <c r="Z361" s="86">
        <f>IF(Ruimtestaat[[#This Row],[Frequentie weekend]]&gt;0,VALUE(LEFT(Y361,1))*R361,0)</f>
        <v>0</v>
      </c>
      <c r="AA361" s="82">
        <f>IF($Z361&gt;0,VLOOKUP($J361,Ruimtegroepen[],3,FALSE)*VLOOKUP($L361,Vloersoorten[],3,FALSE)*VLOOKUP($Y361,Frequenties[],3,FALSE)*VLOOKUP($A357,Locaties[],3,FALSE),0)</f>
        <v>0</v>
      </c>
      <c r="AB361" s="84">
        <f>Ruimtestaat[[#This Row],[Uitvoeringen weekend]]*Ruimtestaat[[#This Row],[Oppervlak (netto)]]</f>
        <v>0</v>
      </c>
      <c r="AC361" s="87">
        <f>IF(AB361&gt;0,Ruimtestaat[[#This Row],[Prest. (m2 /jaar) weekend]]/Ruimtestaat[[#This Row],[Norm (m2/uur) weekend]],0)</f>
        <v>0</v>
      </c>
      <c r="AD361" s="88">
        <f>Ruimtestaat[[#This Row],[uren / jaar weekend]]*Tariefsopbouw!$D$40</f>
        <v>0</v>
      </c>
      <c r="AE361" s="89">
        <f>Ruimtestaat[[#This Row],[Prest. (m2 /jaar) weekend]]+Ruimtestaat[[#This Row],[Prest. (m2 /jaar) werkdagen]]</f>
        <v>0</v>
      </c>
      <c r="AF361" s="89">
        <f>Ruimtestaat[[#This Row],[uren / jaar weekend]]+Ruimtestaat[[#This Row],[uren / jaar werkdagen]]</f>
        <v>0</v>
      </c>
      <c r="AG361" s="90">
        <f>Ruimtestaat[[#This Row],[kosten / jaar weekend]]+Ruimtestaat[[#This Row],[kosten / jaar werkdagen]]</f>
        <v>0</v>
      </c>
    </row>
    <row r="362" spans="1:33" ht="15" customHeight="1">
      <c r="A362" s="53">
        <v>2</v>
      </c>
      <c r="B362" s="53" t="str">
        <f>VLOOKUP(Ruimtestaat[[#This Row],[Code]],Locaties[#All],2,FALSE)</f>
        <v>Open Schoolgemeenschap Bijlmer</v>
      </c>
      <c r="C362" s="53" t="str">
        <f>VLOOKUP(Ruimtestaat[[#This Row],[Code]],Locaties[#All],4,FALSE)</f>
        <v>Gulden Kruis 5</v>
      </c>
      <c r="D362" s="53" t="str">
        <f>VLOOKUP(Ruimtestaat[[#This Row],[Code]],Locaties[#All],5,FALSE)</f>
        <v>1103 BE</v>
      </c>
      <c r="E362" s="53" t="str">
        <f>VLOOKUP(Ruimtestaat[[#This Row],[Code]],Locaties[#All],6,FALSE)</f>
        <v>Amsterdam Zuidoost</v>
      </c>
      <c r="F362" s="78"/>
      <c r="G362" s="53" t="s">
        <v>450</v>
      </c>
      <c r="H362" s="53" t="s">
        <v>754</v>
      </c>
      <c r="I362" s="78" t="s">
        <v>571</v>
      </c>
      <c r="J362" s="53">
        <v>20</v>
      </c>
      <c r="K362" s="78" t="str">
        <f>VLOOKUP(J362,Ruimtegroepen[],2,FALSE)</f>
        <v>Niet in onderhoud</v>
      </c>
      <c r="L362" s="53" t="s">
        <v>280</v>
      </c>
      <c r="M362" s="53" t="s">
        <v>566</v>
      </c>
      <c r="O362" s="92"/>
      <c r="P362" s="80" t="str">
        <f>LEFT(VLOOKUP(Ruimtestaat[[#This Row],[Ruimte code]],Ruimtegroepen[#All],4,1),2)</f>
        <v/>
      </c>
      <c r="Q362" s="93"/>
      <c r="R362" s="81"/>
      <c r="S362" s="81"/>
      <c r="T362" s="82">
        <f>IF(R362&gt;0,IF(RIGHT(Ruimtestaat[[#This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2" s="82">
        <f>IF(T362&gt;0,VLOOKUP($J362,Ruimtegroepen[],3,FALSE)*VLOOKUP($L362,Vloersoorten[],3,FALSE)*VLOOKUP($S362,Frequenties[],3,FALSE)*VLOOKUP($A362,Locaties[],3,FALSE),0)</f>
        <v>0</v>
      </c>
      <c r="V362" s="83">
        <f>Ruimtestaat[[#This Row],[Uitvoeringen werkdagen]]*Ruimtestaat[[#This Row],[Oppervlak (netto)]]</f>
        <v>0</v>
      </c>
      <c r="W362" s="84">
        <f>IF(U362&gt;0,Ruimtestaat[[#This Row],[Prest. (m2 /jaar) werkdagen]]/Ruimtestaat[[#This Row],[Norm (m2/uur) werkdagen]],0)</f>
        <v>0</v>
      </c>
      <c r="X362" s="85">
        <f>Ruimtestaat[[#This Row],[uren / jaar werkdagen]]*Tariefsopbouw!$E$35</f>
        <v>0</v>
      </c>
      <c r="Y362" s="82"/>
      <c r="Z362" s="86">
        <f>IF(Ruimtestaat[[#This Row],[Frequentie weekend]]&gt;0,VALUE(LEFT(Y362,1))*R362,0)</f>
        <v>0</v>
      </c>
      <c r="AA362" s="82">
        <f>IF($Z362&gt;0,VLOOKUP($J362,Ruimtegroepen[],3,FALSE)*VLOOKUP($L362,Vloersoorten[],3,FALSE)*VLOOKUP($Y362,Frequenties[],3,FALSE)*VLOOKUP($A358,Locaties[],3,FALSE),0)</f>
        <v>0</v>
      </c>
      <c r="AB362" s="84">
        <f>Ruimtestaat[[#This Row],[Uitvoeringen weekend]]*Ruimtestaat[[#This Row],[Oppervlak (netto)]]</f>
        <v>0</v>
      </c>
      <c r="AC362" s="87">
        <f>IF(AB362&gt;0,Ruimtestaat[[#This Row],[Prest. (m2 /jaar) weekend]]/Ruimtestaat[[#This Row],[Norm (m2/uur) weekend]],0)</f>
        <v>0</v>
      </c>
      <c r="AD362" s="88">
        <f>Ruimtestaat[[#This Row],[uren / jaar weekend]]*Tariefsopbouw!$D$40</f>
        <v>0</v>
      </c>
      <c r="AE362" s="89">
        <f>Ruimtestaat[[#This Row],[Prest. (m2 /jaar) weekend]]+Ruimtestaat[[#This Row],[Prest. (m2 /jaar) werkdagen]]</f>
        <v>0</v>
      </c>
      <c r="AF362" s="89">
        <f>Ruimtestaat[[#This Row],[uren / jaar weekend]]+Ruimtestaat[[#This Row],[uren / jaar werkdagen]]</f>
        <v>0</v>
      </c>
      <c r="AG362" s="90">
        <f>Ruimtestaat[[#This Row],[kosten / jaar weekend]]+Ruimtestaat[[#This Row],[kosten / jaar werkdagen]]</f>
        <v>0</v>
      </c>
    </row>
    <row r="363" spans="1:33" ht="15" customHeight="1">
      <c r="A363" s="53">
        <v>2</v>
      </c>
      <c r="B363" s="53" t="str">
        <f>VLOOKUP(Ruimtestaat[[#This Row],[Code]],Locaties[#All],2,FALSE)</f>
        <v>Open Schoolgemeenschap Bijlmer</v>
      </c>
      <c r="C363" s="53" t="str">
        <f>VLOOKUP(Ruimtestaat[[#This Row],[Code]],Locaties[#All],4,FALSE)</f>
        <v>Gulden Kruis 5</v>
      </c>
      <c r="D363" s="53" t="str">
        <f>VLOOKUP(Ruimtestaat[[#This Row],[Code]],Locaties[#All],5,FALSE)</f>
        <v>1103 BE</v>
      </c>
      <c r="E363" s="53" t="str">
        <f>VLOOKUP(Ruimtestaat[[#This Row],[Code]],Locaties[#All],6,FALSE)</f>
        <v>Amsterdam Zuidoost</v>
      </c>
      <c r="F363" s="78"/>
      <c r="G363" s="53" t="s">
        <v>450</v>
      </c>
      <c r="H363" s="53" t="s">
        <v>755</v>
      </c>
      <c r="I363" s="78" t="s">
        <v>571</v>
      </c>
      <c r="J363" s="53">
        <v>20</v>
      </c>
      <c r="K363" s="78" t="str">
        <f>VLOOKUP(J363,Ruimtegroepen[],2,FALSE)</f>
        <v>Niet in onderhoud</v>
      </c>
      <c r="L363" s="53" t="s">
        <v>280</v>
      </c>
      <c r="M363" s="53" t="s">
        <v>566</v>
      </c>
      <c r="O363" s="92"/>
      <c r="P363" s="80" t="str">
        <f>LEFT(VLOOKUP(Ruimtestaat[[#This Row],[Ruimte code]],Ruimtegroepen[#All],4,1),2)</f>
        <v/>
      </c>
      <c r="Q363" s="93"/>
      <c r="R363" s="81"/>
      <c r="S363" s="81"/>
      <c r="T363" s="82">
        <f>IF(R363&gt;0,IF(RIGHT(Ruimtestaat[[#This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363" s="82">
        <f>IF(T363&gt;0,VLOOKUP($J363,Ruimtegroepen[],3,FALSE)*VLOOKUP($L363,Vloersoorten[],3,FALSE)*VLOOKUP($S363,Frequenties[],3,FALSE)*VLOOKUP($A363,Locaties[],3,FALSE),0)</f>
        <v>0</v>
      </c>
      <c r="V363" s="83">
        <f>Ruimtestaat[[#This Row],[Uitvoeringen werkdagen]]*Ruimtestaat[[#This Row],[Oppervlak (netto)]]</f>
        <v>0</v>
      </c>
      <c r="W363" s="84">
        <f>IF(U363&gt;0,Ruimtestaat[[#This Row],[Prest. (m2 /jaar) werkdagen]]/Ruimtestaat[[#This Row],[Norm (m2/uur) werkdagen]],0)</f>
        <v>0</v>
      </c>
      <c r="X363" s="85">
        <f>Ruimtestaat[[#This Row],[uren / jaar werkdagen]]*Tariefsopbouw!$E$35</f>
        <v>0</v>
      </c>
      <c r="Y363" s="82"/>
      <c r="Z363" s="86">
        <f>IF(Ruimtestaat[[#This Row],[Frequentie weekend]]&gt;0,VALUE(LEFT(Y363,1))*R363,0)</f>
        <v>0</v>
      </c>
      <c r="AA363" s="82">
        <f>IF($Z363&gt;0,VLOOKUP($J363,Ruimtegroepen[],3,FALSE)*VLOOKUP($L363,Vloersoorten[],3,FALSE)*VLOOKUP($Y363,Frequenties[],3,FALSE)*VLOOKUP($A359,Locaties[],3,FALSE),0)</f>
        <v>0</v>
      </c>
      <c r="AB363" s="84">
        <f>Ruimtestaat[[#This Row],[Uitvoeringen weekend]]*Ruimtestaat[[#This Row],[Oppervlak (netto)]]</f>
        <v>0</v>
      </c>
      <c r="AC363" s="87">
        <f>IF(AB363&gt;0,Ruimtestaat[[#This Row],[Prest. (m2 /jaar) weekend]]/Ruimtestaat[[#This Row],[Norm (m2/uur) weekend]],0)</f>
        <v>0</v>
      </c>
      <c r="AD363" s="88">
        <f>Ruimtestaat[[#This Row],[uren / jaar weekend]]*Tariefsopbouw!$D$40</f>
        <v>0</v>
      </c>
      <c r="AE363" s="89">
        <f>Ruimtestaat[[#This Row],[Prest. (m2 /jaar) weekend]]+Ruimtestaat[[#This Row],[Prest. (m2 /jaar) werkdagen]]</f>
        <v>0</v>
      </c>
      <c r="AF363" s="89">
        <f>Ruimtestaat[[#This Row],[uren / jaar weekend]]+Ruimtestaat[[#This Row],[uren / jaar werkdagen]]</f>
        <v>0</v>
      </c>
      <c r="AG363" s="90">
        <f>Ruimtestaat[[#This Row],[kosten / jaar weekend]]+Ruimtestaat[[#This Row],[kosten / jaar werkdagen]]</f>
        <v>0</v>
      </c>
    </row>
    <row r="364" spans="1:33" ht="15" customHeight="1">
      <c r="A364" s="53">
        <v>2</v>
      </c>
      <c r="B364" s="53" t="str">
        <f>VLOOKUP(Ruimtestaat[[#This Row],[Code]],Locaties[#All],2,FALSE)</f>
        <v>Open Schoolgemeenschap Bijlmer</v>
      </c>
      <c r="C364" s="53" t="str">
        <f>VLOOKUP(Ruimtestaat[[#This Row],[Code]],Locaties[#All],4,FALSE)</f>
        <v>Gulden Kruis 5</v>
      </c>
      <c r="D364" s="53" t="str">
        <f>VLOOKUP(Ruimtestaat[[#This Row],[Code]],Locaties[#All],5,FALSE)</f>
        <v>1103 BE</v>
      </c>
      <c r="E364" s="53" t="str">
        <f>VLOOKUP(Ruimtestaat[[#This Row],[Code]],Locaties[#All],6,FALSE)</f>
        <v>Amsterdam Zuidoost</v>
      </c>
      <c r="F364" s="78"/>
      <c r="G364" s="53" t="s">
        <v>450</v>
      </c>
      <c r="H364" s="53" t="s">
        <v>756</v>
      </c>
      <c r="I364" s="78" t="s">
        <v>579</v>
      </c>
      <c r="J364" s="53">
        <v>5</v>
      </c>
      <c r="K364" s="78" t="str">
        <f>VLOOKUP(J364,Ruimtegroepen[],2,FALSE)</f>
        <v>Sanitair</v>
      </c>
      <c r="L364" s="53" t="s">
        <v>285</v>
      </c>
      <c r="M364" s="53" t="s">
        <v>580</v>
      </c>
      <c r="N364" s="92">
        <v>3.45</v>
      </c>
      <c r="O364" s="92"/>
      <c r="P364" s="80" t="str">
        <f>LEFT(VLOOKUP(Ruimtestaat[[#This Row],[Ruimte code]],Ruimtegroepen[#All],4,1),2)</f>
        <v xml:space="preserve">S </v>
      </c>
      <c r="Q364" s="93"/>
      <c r="R364" s="81">
        <v>40</v>
      </c>
      <c r="S364" s="81" t="s">
        <v>296</v>
      </c>
      <c r="T364" s="82">
        <f>IF(R364&gt;0,IF(RIGHT(Ruimtestaat[[#This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64" s="82">
        <f>IF(T364&gt;0,VLOOKUP($J364,Ruimtegroepen[],3,FALSE)*VLOOKUP($L364,Vloersoorten[],3,FALSE)*VLOOKUP($S364,Frequenties[],3,FALSE)*VLOOKUP($A364,Locaties[],3,FALSE),0)</f>
        <v>0</v>
      </c>
      <c r="V364" s="83">
        <f>Ruimtestaat[[#This Row],[Uitvoeringen werkdagen]]*Ruimtestaat[[#This Row],[Oppervlak (netto)]]</f>
        <v>1380</v>
      </c>
      <c r="W364" s="84">
        <f>IF(U364&gt;0,Ruimtestaat[[#This Row],[Prest. (m2 /jaar) werkdagen]]/Ruimtestaat[[#This Row],[Norm (m2/uur) werkdagen]],0)</f>
        <v>0</v>
      </c>
      <c r="X364" s="85">
        <f>Ruimtestaat[[#This Row],[uren / jaar werkdagen]]*Tariefsopbouw!$E$35</f>
        <v>0</v>
      </c>
      <c r="Y364" s="82"/>
      <c r="Z364" s="86">
        <f>IF(Ruimtestaat[[#This Row],[Frequentie weekend]]&gt;0,VALUE(LEFT(Y364,1))*R364,0)</f>
        <v>0</v>
      </c>
      <c r="AA364" s="82">
        <f>IF($Z364&gt;0,VLOOKUP($J364,Ruimtegroepen[],3,FALSE)*VLOOKUP($L364,Vloersoorten[],3,FALSE)*VLOOKUP($Y364,Frequenties[],3,FALSE)*VLOOKUP($A360,Locaties[],3,FALSE),0)</f>
        <v>0</v>
      </c>
      <c r="AB364" s="84">
        <f>Ruimtestaat[[#This Row],[Uitvoeringen weekend]]*Ruimtestaat[[#This Row],[Oppervlak (netto)]]</f>
        <v>0</v>
      </c>
      <c r="AC364" s="87">
        <f>IF(AB364&gt;0,Ruimtestaat[[#This Row],[Prest. (m2 /jaar) weekend]]/Ruimtestaat[[#This Row],[Norm (m2/uur) weekend]],0)</f>
        <v>0</v>
      </c>
      <c r="AD364" s="88">
        <f>Ruimtestaat[[#This Row],[uren / jaar weekend]]*Tariefsopbouw!$D$40</f>
        <v>0</v>
      </c>
      <c r="AE364" s="89">
        <f>Ruimtestaat[[#This Row],[Prest. (m2 /jaar) weekend]]+Ruimtestaat[[#This Row],[Prest. (m2 /jaar) werkdagen]]</f>
        <v>1380</v>
      </c>
      <c r="AF364" s="89">
        <f>Ruimtestaat[[#This Row],[uren / jaar weekend]]+Ruimtestaat[[#This Row],[uren / jaar werkdagen]]</f>
        <v>0</v>
      </c>
      <c r="AG364" s="90">
        <f>Ruimtestaat[[#This Row],[kosten / jaar weekend]]+Ruimtestaat[[#This Row],[kosten / jaar werkdagen]]</f>
        <v>0</v>
      </c>
    </row>
    <row r="365" spans="1:33" ht="15" customHeight="1">
      <c r="A365" s="53">
        <v>2</v>
      </c>
      <c r="B365" s="53" t="str">
        <f>VLOOKUP(Ruimtestaat[[#This Row],[Code]],Locaties[#All],2,FALSE)</f>
        <v>Open Schoolgemeenschap Bijlmer</v>
      </c>
      <c r="C365" s="53" t="str">
        <f>VLOOKUP(Ruimtestaat[[#This Row],[Code]],Locaties[#All],4,FALSE)</f>
        <v>Gulden Kruis 5</v>
      </c>
      <c r="D365" s="53" t="str">
        <f>VLOOKUP(Ruimtestaat[[#This Row],[Code]],Locaties[#All],5,FALSE)</f>
        <v>1103 BE</v>
      </c>
      <c r="E365" s="53" t="str">
        <f>VLOOKUP(Ruimtestaat[[#This Row],[Code]],Locaties[#All],6,FALSE)</f>
        <v>Amsterdam Zuidoost</v>
      </c>
      <c r="F365" s="78"/>
      <c r="G365" s="53" t="s">
        <v>450</v>
      </c>
      <c r="H365" s="53" t="s">
        <v>757</v>
      </c>
      <c r="I365" s="78" t="s">
        <v>456</v>
      </c>
      <c r="J365" s="53">
        <v>6</v>
      </c>
      <c r="K365" s="78" t="str">
        <f>VLOOKUP(J365,Ruimtegroepen[],2,FALSE)</f>
        <v>Gangen/hallen</v>
      </c>
      <c r="L365" s="53" t="s">
        <v>285</v>
      </c>
      <c r="M365" s="53" t="s">
        <v>580</v>
      </c>
      <c r="N365" s="92">
        <v>68.66</v>
      </c>
      <c r="O365" s="92"/>
      <c r="P365" s="80" t="str">
        <f>LEFT(VLOOKUP(Ruimtestaat[[#This Row],[Ruimte code]],Ruimtegroepen[#All],4,1),2)</f>
        <v xml:space="preserve">V </v>
      </c>
      <c r="Q365" s="93"/>
      <c r="R365" s="81">
        <v>40</v>
      </c>
      <c r="S365" s="81" t="s">
        <v>298</v>
      </c>
      <c r="T365" s="82">
        <f>IF(R365&gt;0,IF(RIGHT(Ruimtestaat[[#This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5" s="82">
        <f>IF(T365&gt;0,VLOOKUP($J365,Ruimtegroepen[],3,FALSE)*VLOOKUP($L365,Vloersoorten[],3,FALSE)*VLOOKUP($S365,Frequenties[],3,FALSE)*VLOOKUP($A365,Locaties[],3,FALSE),0)</f>
        <v>0</v>
      </c>
      <c r="V365" s="83">
        <f>Ruimtestaat[[#This Row],[Uitvoeringen werkdagen]]*Ruimtestaat[[#This Row],[Oppervlak (netto)]]</f>
        <v>13732</v>
      </c>
      <c r="W365" s="84">
        <f>IF(U365&gt;0,Ruimtestaat[[#This Row],[Prest. (m2 /jaar) werkdagen]]/Ruimtestaat[[#This Row],[Norm (m2/uur) werkdagen]],0)</f>
        <v>0</v>
      </c>
      <c r="X365" s="85">
        <f>Ruimtestaat[[#This Row],[uren / jaar werkdagen]]*Tariefsopbouw!$E$35</f>
        <v>0</v>
      </c>
      <c r="Y365" s="82"/>
      <c r="Z365" s="86">
        <f>IF(Ruimtestaat[[#This Row],[Frequentie weekend]]&gt;0,VALUE(LEFT(Y365,1))*R365,0)</f>
        <v>0</v>
      </c>
      <c r="AA365" s="82">
        <f>IF($Z365&gt;0,VLOOKUP($J365,Ruimtegroepen[],3,FALSE)*VLOOKUP($L365,Vloersoorten[],3,FALSE)*VLOOKUP($Y365,Frequenties[],3,FALSE)*VLOOKUP($A361,Locaties[],3,FALSE),0)</f>
        <v>0</v>
      </c>
      <c r="AB365" s="84">
        <f>Ruimtestaat[[#This Row],[Uitvoeringen weekend]]*Ruimtestaat[[#This Row],[Oppervlak (netto)]]</f>
        <v>0</v>
      </c>
      <c r="AC365" s="87">
        <f>IF(AB365&gt;0,Ruimtestaat[[#This Row],[Prest. (m2 /jaar) weekend]]/Ruimtestaat[[#This Row],[Norm (m2/uur) weekend]],0)</f>
        <v>0</v>
      </c>
      <c r="AD365" s="88">
        <f>Ruimtestaat[[#This Row],[uren / jaar weekend]]*Tariefsopbouw!$D$40</f>
        <v>0</v>
      </c>
      <c r="AE365" s="89">
        <f>Ruimtestaat[[#This Row],[Prest. (m2 /jaar) weekend]]+Ruimtestaat[[#This Row],[Prest. (m2 /jaar) werkdagen]]</f>
        <v>13732</v>
      </c>
      <c r="AF365" s="89">
        <f>Ruimtestaat[[#This Row],[uren / jaar weekend]]+Ruimtestaat[[#This Row],[uren / jaar werkdagen]]</f>
        <v>0</v>
      </c>
      <c r="AG365" s="90">
        <f>Ruimtestaat[[#This Row],[kosten / jaar weekend]]+Ruimtestaat[[#This Row],[kosten / jaar werkdagen]]</f>
        <v>0</v>
      </c>
    </row>
    <row r="366" spans="1:33" ht="15" customHeight="1">
      <c r="A366" s="53">
        <v>2</v>
      </c>
      <c r="B366" s="53" t="str">
        <f>VLOOKUP(Ruimtestaat[[#This Row],[Code]],Locaties[#All],2,FALSE)</f>
        <v>Open Schoolgemeenschap Bijlmer</v>
      </c>
      <c r="C366" s="53" t="str">
        <f>VLOOKUP(Ruimtestaat[[#This Row],[Code]],Locaties[#All],4,FALSE)</f>
        <v>Gulden Kruis 5</v>
      </c>
      <c r="D366" s="53" t="str">
        <f>VLOOKUP(Ruimtestaat[[#This Row],[Code]],Locaties[#All],5,FALSE)</f>
        <v>1103 BE</v>
      </c>
      <c r="E366" s="53" t="str">
        <f>VLOOKUP(Ruimtestaat[[#This Row],[Code]],Locaties[#All],6,FALSE)</f>
        <v>Amsterdam Zuidoost</v>
      </c>
      <c r="F366" s="78"/>
      <c r="G366" s="53" t="s">
        <v>450</v>
      </c>
      <c r="H366" s="53" t="s">
        <v>758</v>
      </c>
      <c r="I366" s="78" t="s">
        <v>359</v>
      </c>
      <c r="J366" s="53">
        <v>2</v>
      </c>
      <c r="K366" s="78" t="str">
        <f>VLOOKUP(J366,Ruimtegroepen[],2,FALSE)</f>
        <v>Kantoren</v>
      </c>
      <c r="L366" s="53" t="s">
        <v>283</v>
      </c>
      <c r="M366" s="53" t="s">
        <v>576</v>
      </c>
      <c r="N366" s="92">
        <v>47.17</v>
      </c>
      <c r="O366" s="92"/>
      <c r="P366" s="80" t="str">
        <f>LEFT(VLOOKUP(Ruimtestaat[[#This Row],[Ruimte code]],Ruimtegroepen[#All],4,1),2)</f>
        <v xml:space="preserve">B </v>
      </c>
      <c r="Q366" s="93"/>
      <c r="R366" s="81">
        <v>40</v>
      </c>
      <c r="S366" s="81" t="s">
        <v>298</v>
      </c>
      <c r="T366" s="82">
        <f>IF(R366&gt;0,IF(RIGHT(Ruimtestaat[[#This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6" s="82">
        <f>IF(T366&gt;0,VLOOKUP($J366,Ruimtegroepen[],3,FALSE)*VLOOKUP($L366,Vloersoorten[],3,FALSE)*VLOOKUP($S366,Frequenties[],3,FALSE)*VLOOKUP($A366,Locaties[],3,FALSE),0)</f>
        <v>0</v>
      </c>
      <c r="V366" s="83">
        <f>Ruimtestaat[[#This Row],[Uitvoeringen werkdagen]]*Ruimtestaat[[#This Row],[Oppervlak (netto)]]</f>
        <v>9434</v>
      </c>
      <c r="W366" s="84">
        <f>IF(U366&gt;0,Ruimtestaat[[#This Row],[Prest. (m2 /jaar) werkdagen]]/Ruimtestaat[[#This Row],[Norm (m2/uur) werkdagen]],0)</f>
        <v>0</v>
      </c>
      <c r="X366" s="85">
        <f>Ruimtestaat[[#This Row],[uren / jaar werkdagen]]*Tariefsopbouw!$E$35</f>
        <v>0</v>
      </c>
      <c r="Y366" s="82"/>
      <c r="Z366" s="86">
        <f>IF(Ruimtestaat[[#This Row],[Frequentie weekend]]&gt;0,VALUE(LEFT(Y366,1))*R366,0)</f>
        <v>0</v>
      </c>
      <c r="AA366" s="82">
        <f>IF($Z366&gt;0,VLOOKUP($J366,Ruimtegroepen[],3,FALSE)*VLOOKUP($L366,Vloersoorten[],3,FALSE)*VLOOKUP($Y366,Frequenties[],3,FALSE)*VLOOKUP($A362,Locaties[],3,FALSE),0)</f>
        <v>0</v>
      </c>
      <c r="AB366" s="84">
        <f>Ruimtestaat[[#This Row],[Uitvoeringen weekend]]*Ruimtestaat[[#This Row],[Oppervlak (netto)]]</f>
        <v>0</v>
      </c>
      <c r="AC366" s="87">
        <f>IF(AB366&gt;0,Ruimtestaat[[#This Row],[Prest. (m2 /jaar) weekend]]/Ruimtestaat[[#This Row],[Norm (m2/uur) weekend]],0)</f>
        <v>0</v>
      </c>
      <c r="AD366" s="88">
        <f>Ruimtestaat[[#This Row],[uren / jaar weekend]]*Tariefsopbouw!$D$40</f>
        <v>0</v>
      </c>
      <c r="AE366" s="89">
        <f>Ruimtestaat[[#This Row],[Prest. (m2 /jaar) weekend]]+Ruimtestaat[[#This Row],[Prest. (m2 /jaar) werkdagen]]</f>
        <v>9434</v>
      </c>
      <c r="AF366" s="89">
        <f>Ruimtestaat[[#This Row],[uren / jaar weekend]]+Ruimtestaat[[#This Row],[uren / jaar werkdagen]]</f>
        <v>0</v>
      </c>
      <c r="AG366" s="90">
        <f>Ruimtestaat[[#This Row],[kosten / jaar weekend]]+Ruimtestaat[[#This Row],[kosten / jaar werkdagen]]</f>
        <v>0</v>
      </c>
    </row>
    <row r="367" spans="1:33" ht="15" customHeight="1">
      <c r="A367" s="53">
        <v>2</v>
      </c>
      <c r="B367" s="53" t="str">
        <f>VLOOKUP(Ruimtestaat[[#This Row],[Code]],Locaties[#All],2,FALSE)</f>
        <v>Open Schoolgemeenschap Bijlmer</v>
      </c>
      <c r="C367" s="53" t="str">
        <f>VLOOKUP(Ruimtestaat[[#This Row],[Code]],Locaties[#All],4,FALSE)</f>
        <v>Gulden Kruis 5</v>
      </c>
      <c r="D367" s="53" t="str">
        <f>VLOOKUP(Ruimtestaat[[#This Row],[Code]],Locaties[#All],5,FALSE)</f>
        <v>1103 BE</v>
      </c>
      <c r="E367" s="53" t="str">
        <f>VLOOKUP(Ruimtestaat[[#This Row],[Code]],Locaties[#All],6,FALSE)</f>
        <v>Amsterdam Zuidoost</v>
      </c>
      <c r="F367" s="78"/>
      <c r="G367" s="53" t="s">
        <v>450</v>
      </c>
      <c r="H367" s="53" t="s">
        <v>759</v>
      </c>
      <c r="I367" s="78" t="s">
        <v>428</v>
      </c>
      <c r="J367" s="53">
        <v>16</v>
      </c>
      <c r="K367" s="78" t="str">
        <f>VLOOKUP(J367,Ruimtegroepen[],2,FALSE)</f>
        <v>Leslokalen theorie</v>
      </c>
      <c r="L367" s="53" t="s">
        <v>285</v>
      </c>
      <c r="M367" s="53" t="s">
        <v>580</v>
      </c>
      <c r="N367" s="92">
        <v>219.27</v>
      </c>
      <c r="O367" s="92"/>
      <c r="P367" s="80" t="str">
        <f>LEFT(VLOOKUP(Ruimtestaat[[#This Row],[Ruimte code]],Ruimtegroepen[#All],4,1),2)</f>
        <v xml:space="preserve">L </v>
      </c>
      <c r="Q367" s="93"/>
      <c r="R367" s="81">
        <v>40</v>
      </c>
      <c r="S367" s="81" t="s">
        <v>298</v>
      </c>
      <c r="T367" s="82">
        <f>IF(R367&gt;0,IF(RIGHT(Ruimtestaat[[#This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7" s="82">
        <f>IF(T367&gt;0,VLOOKUP($J367,Ruimtegroepen[],3,FALSE)*VLOOKUP($L367,Vloersoorten[],3,FALSE)*VLOOKUP($S367,Frequenties[],3,FALSE)*VLOOKUP($A367,Locaties[],3,FALSE),0)</f>
        <v>0</v>
      </c>
      <c r="V367" s="83">
        <f>Ruimtestaat[[#This Row],[Uitvoeringen werkdagen]]*Ruimtestaat[[#This Row],[Oppervlak (netto)]]</f>
        <v>43854</v>
      </c>
      <c r="W367" s="84">
        <f>IF(U367&gt;0,Ruimtestaat[[#This Row],[Prest. (m2 /jaar) werkdagen]]/Ruimtestaat[[#This Row],[Norm (m2/uur) werkdagen]],0)</f>
        <v>0</v>
      </c>
      <c r="X367" s="85">
        <f>Ruimtestaat[[#This Row],[uren / jaar werkdagen]]*Tariefsopbouw!$E$35</f>
        <v>0</v>
      </c>
      <c r="Y367" s="82"/>
      <c r="Z367" s="86">
        <f>IF(Ruimtestaat[[#This Row],[Frequentie weekend]]&gt;0,VALUE(LEFT(Y367,1))*R367,0)</f>
        <v>0</v>
      </c>
      <c r="AA367" s="82">
        <f>IF($Z367&gt;0,VLOOKUP($J367,Ruimtegroepen[],3,FALSE)*VLOOKUP($L367,Vloersoorten[],3,FALSE)*VLOOKUP($Y367,Frequenties[],3,FALSE)*VLOOKUP($A363,Locaties[],3,FALSE),0)</f>
        <v>0</v>
      </c>
      <c r="AB367" s="84">
        <f>Ruimtestaat[[#This Row],[Uitvoeringen weekend]]*Ruimtestaat[[#This Row],[Oppervlak (netto)]]</f>
        <v>0</v>
      </c>
      <c r="AC367" s="87">
        <f>IF(AB367&gt;0,Ruimtestaat[[#This Row],[Prest. (m2 /jaar) weekend]]/Ruimtestaat[[#This Row],[Norm (m2/uur) weekend]],0)</f>
        <v>0</v>
      </c>
      <c r="AD367" s="88">
        <f>Ruimtestaat[[#This Row],[uren / jaar weekend]]*Tariefsopbouw!$D$40</f>
        <v>0</v>
      </c>
      <c r="AE367" s="89">
        <f>Ruimtestaat[[#This Row],[Prest. (m2 /jaar) weekend]]+Ruimtestaat[[#This Row],[Prest. (m2 /jaar) werkdagen]]</f>
        <v>43854</v>
      </c>
      <c r="AF367" s="89">
        <f>Ruimtestaat[[#This Row],[uren / jaar weekend]]+Ruimtestaat[[#This Row],[uren / jaar werkdagen]]</f>
        <v>0</v>
      </c>
      <c r="AG367" s="90">
        <f>Ruimtestaat[[#This Row],[kosten / jaar weekend]]+Ruimtestaat[[#This Row],[kosten / jaar werkdagen]]</f>
        <v>0</v>
      </c>
    </row>
    <row r="368" spans="1:33" ht="15" customHeight="1">
      <c r="A368" s="53">
        <v>2</v>
      </c>
      <c r="B368" s="53" t="str">
        <f>VLOOKUP(Ruimtestaat[[#This Row],[Code]],Locaties[#All],2,FALSE)</f>
        <v>Open Schoolgemeenschap Bijlmer</v>
      </c>
      <c r="C368" s="53" t="str">
        <f>VLOOKUP(Ruimtestaat[[#This Row],[Code]],Locaties[#All],4,FALSE)</f>
        <v>Gulden Kruis 5</v>
      </c>
      <c r="D368" s="53" t="str">
        <f>VLOOKUP(Ruimtestaat[[#This Row],[Code]],Locaties[#All],5,FALSE)</f>
        <v>1103 BE</v>
      </c>
      <c r="E368" s="53" t="str">
        <f>VLOOKUP(Ruimtestaat[[#This Row],[Code]],Locaties[#All],6,FALSE)</f>
        <v>Amsterdam Zuidoost</v>
      </c>
      <c r="F368" s="78"/>
      <c r="G368" s="53" t="s">
        <v>450</v>
      </c>
      <c r="H368" s="53" t="s">
        <v>760</v>
      </c>
      <c r="I368" s="78" t="s">
        <v>428</v>
      </c>
      <c r="J368" s="53">
        <v>16</v>
      </c>
      <c r="K368" s="78" t="str">
        <f>VLOOKUP(J368,Ruimtegroepen[],2,FALSE)</f>
        <v>Leslokalen theorie</v>
      </c>
      <c r="L368" s="53" t="s">
        <v>285</v>
      </c>
      <c r="M368" s="53" t="s">
        <v>580</v>
      </c>
      <c r="N368" s="92">
        <v>66.23</v>
      </c>
      <c r="O368" s="92"/>
      <c r="P368" s="80" t="str">
        <f>LEFT(VLOOKUP(Ruimtestaat[[#This Row],[Ruimte code]],Ruimtegroepen[#All],4,1),2)</f>
        <v xml:space="preserve">L </v>
      </c>
      <c r="Q368" s="93"/>
      <c r="R368" s="81">
        <v>40</v>
      </c>
      <c r="S368" s="81" t="s">
        <v>298</v>
      </c>
      <c r="T368" s="82">
        <f>IF(R368&gt;0,IF(RIGHT(Ruimtestaat[[#This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8" s="82">
        <f>IF(T368&gt;0,VLOOKUP($J368,Ruimtegroepen[],3,FALSE)*VLOOKUP($L368,Vloersoorten[],3,FALSE)*VLOOKUP($S368,Frequenties[],3,FALSE)*VLOOKUP($A368,Locaties[],3,FALSE),0)</f>
        <v>0</v>
      </c>
      <c r="V368" s="83">
        <f>Ruimtestaat[[#This Row],[Uitvoeringen werkdagen]]*Ruimtestaat[[#This Row],[Oppervlak (netto)]]</f>
        <v>13246</v>
      </c>
      <c r="W368" s="84">
        <f>IF(U368&gt;0,Ruimtestaat[[#This Row],[Prest. (m2 /jaar) werkdagen]]/Ruimtestaat[[#This Row],[Norm (m2/uur) werkdagen]],0)</f>
        <v>0</v>
      </c>
      <c r="X368" s="85">
        <f>Ruimtestaat[[#This Row],[uren / jaar werkdagen]]*Tariefsopbouw!$E$35</f>
        <v>0</v>
      </c>
      <c r="Y368" s="82"/>
      <c r="Z368" s="86">
        <f>IF(Ruimtestaat[[#This Row],[Frequentie weekend]]&gt;0,VALUE(LEFT(Y368,1))*R368,0)</f>
        <v>0</v>
      </c>
      <c r="AA368" s="82">
        <f>IF($Z368&gt;0,VLOOKUP($J368,Ruimtegroepen[],3,FALSE)*VLOOKUP($L368,Vloersoorten[],3,FALSE)*VLOOKUP($Y368,Frequenties[],3,FALSE)*VLOOKUP($A364,Locaties[],3,FALSE),0)</f>
        <v>0</v>
      </c>
      <c r="AB368" s="84">
        <f>Ruimtestaat[[#This Row],[Uitvoeringen weekend]]*Ruimtestaat[[#This Row],[Oppervlak (netto)]]</f>
        <v>0</v>
      </c>
      <c r="AC368" s="87">
        <f>IF(AB368&gt;0,Ruimtestaat[[#This Row],[Prest. (m2 /jaar) weekend]]/Ruimtestaat[[#This Row],[Norm (m2/uur) weekend]],0)</f>
        <v>0</v>
      </c>
      <c r="AD368" s="88">
        <f>Ruimtestaat[[#This Row],[uren / jaar weekend]]*Tariefsopbouw!$D$40</f>
        <v>0</v>
      </c>
      <c r="AE368" s="89">
        <f>Ruimtestaat[[#This Row],[Prest. (m2 /jaar) weekend]]+Ruimtestaat[[#This Row],[Prest. (m2 /jaar) werkdagen]]</f>
        <v>13246</v>
      </c>
      <c r="AF368" s="89">
        <f>Ruimtestaat[[#This Row],[uren / jaar weekend]]+Ruimtestaat[[#This Row],[uren / jaar werkdagen]]</f>
        <v>0</v>
      </c>
      <c r="AG368" s="90">
        <f>Ruimtestaat[[#This Row],[kosten / jaar weekend]]+Ruimtestaat[[#This Row],[kosten / jaar werkdagen]]</f>
        <v>0</v>
      </c>
    </row>
    <row r="369" spans="1:33" ht="15" customHeight="1">
      <c r="A369" s="53">
        <v>2</v>
      </c>
      <c r="B369" s="53" t="str">
        <f>VLOOKUP(Ruimtestaat[[#This Row],[Code]],Locaties[#All],2,FALSE)</f>
        <v>Open Schoolgemeenschap Bijlmer</v>
      </c>
      <c r="C369" s="53" t="str">
        <f>VLOOKUP(Ruimtestaat[[#This Row],[Code]],Locaties[#All],4,FALSE)</f>
        <v>Gulden Kruis 5</v>
      </c>
      <c r="D369" s="53" t="str">
        <f>VLOOKUP(Ruimtestaat[[#This Row],[Code]],Locaties[#All],5,FALSE)</f>
        <v>1103 BE</v>
      </c>
      <c r="E369" s="53" t="str">
        <f>VLOOKUP(Ruimtestaat[[#This Row],[Code]],Locaties[#All],6,FALSE)</f>
        <v>Amsterdam Zuidoost</v>
      </c>
      <c r="F369" s="78"/>
      <c r="G369" s="53" t="s">
        <v>450</v>
      </c>
      <c r="H369" s="53" t="s">
        <v>761</v>
      </c>
      <c r="I369" s="78" t="s">
        <v>456</v>
      </c>
      <c r="J369" s="53">
        <v>6</v>
      </c>
      <c r="K369" s="78" t="str">
        <f>VLOOKUP(J369,Ruimtegroepen[],2,FALSE)</f>
        <v>Gangen/hallen</v>
      </c>
      <c r="L369" s="53" t="s">
        <v>285</v>
      </c>
      <c r="M369" s="53" t="s">
        <v>580</v>
      </c>
      <c r="N369" s="92">
        <v>120.176</v>
      </c>
      <c r="O369" s="92"/>
      <c r="P369" s="80" t="str">
        <f>LEFT(VLOOKUP(Ruimtestaat[[#This Row],[Ruimte code]],Ruimtegroepen[#All],4,1),2)</f>
        <v xml:space="preserve">V </v>
      </c>
      <c r="Q369" s="93"/>
      <c r="R369" s="81">
        <v>40</v>
      </c>
      <c r="S369" s="81" t="s">
        <v>298</v>
      </c>
      <c r="T369" s="82">
        <f>IF(R369&gt;0,IF(RIGHT(Ruimtestaat[[#This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69" s="82">
        <f>IF(T369&gt;0,VLOOKUP($J369,Ruimtegroepen[],3,FALSE)*VLOOKUP($L369,Vloersoorten[],3,FALSE)*VLOOKUP($S369,Frequenties[],3,FALSE)*VLOOKUP($A369,Locaties[],3,FALSE),0)</f>
        <v>0</v>
      </c>
      <c r="V369" s="83">
        <f>Ruimtestaat[[#This Row],[Uitvoeringen werkdagen]]*Ruimtestaat[[#This Row],[Oppervlak (netto)]]</f>
        <v>24035.200000000001</v>
      </c>
      <c r="W369" s="84">
        <f>IF(U369&gt;0,Ruimtestaat[[#This Row],[Prest. (m2 /jaar) werkdagen]]/Ruimtestaat[[#This Row],[Norm (m2/uur) werkdagen]],0)</f>
        <v>0</v>
      </c>
      <c r="X369" s="85">
        <f>Ruimtestaat[[#This Row],[uren / jaar werkdagen]]*Tariefsopbouw!$E$35</f>
        <v>0</v>
      </c>
      <c r="Y369" s="82"/>
      <c r="Z369" s="86">
        <f>IF(Ruimtestaat[[#This Row],[Frequentie weekend]]&gt;0,VALUE(LEFT(Y369,1))*R369,0)</f>
        <v>0</v>
      </c>
      <c r="AA369" s="82">
        <f>IF($Z369&gt;0,VLOOKUP($J369,Ruimtegroepen[],3,FALSE)*VLOOKUP($L369,Vloersoorten[],3,FALSE)*VLOOKUP($Y369,Frequenties[],3,FALSE)*VLOOKUP($A365,Locaties[],3,FALSE),0)</f>
        <v>0</v>
      </c>
      <c r="AB369" s="84">
        <f>Ruimtestaat[[#This Row],[Uitvoeringen weekend]]*Ruimtestaat[[#This Row],[Oppervlak (netto)]]</f>
        <v>0</v>
      </c>
      <c r="AC369" s="87">
        <f>IF(AB369&gt;0,Ruimtestaat[[#This Row],[Prest. (m2 /jaar) weekend]]/Ruimtestaat[[#This Row],[Norm (m2/uur) weekend]],0)</f>
        <v>0</v>
      </c>
      <c r="AD369" s="88">
        <f>Ruimtestaat[[#This Row],[uren / jaar weekend]]*Tariefsopbouw!$D$40</f>
        <v>0</v>
      </c>
      <c r="AE369" s="89">
        <f>Ruimtestaat[[#This Row],[Prest. (m2 /jaar) weekend]]+Ruimtestaat[[#This Row],[Prest. (m2 /jaar) werkdagen]]</f>
        <v>24035.200000000001</v>
      </c>
      <c r="AF369" s="89">
        <f>Ruimtestaat[[#This Row],[uren / jaar weekend]]+Ruimtestaat[[#This Row],[uren / jaar werkdagen]]</f>
        <v>0</v>
      </c>
      <c r="AG369" s="90">
        <f>Ruimtestaat[[#This Row],[kosten / jaar weekend]]+Ruimtestaat[[#This Row],[kosten / jaar werkdagen]]</f>
        <v>0</v>
      </c>
    </row>
    <row r="370" spans="1:33" ht="15" customHeight="1">
      <c r="A370" s="53">
        <v>2</v>
      </c>
      <c r="B370" s="53" t="str">
        <f>VLOOKUP(Ruimtestaat[[#This Row],[Code]],Locaties[#All],2,FALSE)</f>
        <v>Open Schoolgemeenschap Bijlmer</v>
      </c>
      <c r="C370" s="53" t="str">
        <f>VLOOKUP(Ruimtestaat[[#This Row],[Code]],Locaties[#All],4,FALSE)</f>
        <v>Gulden Kruis 5</v>
      </c>
      <c r="D370" s="53" t="str">
        <f>VLOOKUP(Ruimtestaat[[#This Row],[Code]],Locaties[#All],5,FALSE)</f>
        <v>1103 BE</v>
      </c>
      <c r="E370" s="53" t="str">
        <f>VLOOKUP(Ruimtestaat[[#This Row],[Code]],Locaties[#All],6,FALSE)</f>
        <v>Amsterdam Zuidoost</v>
      </c>
      <c r="F370" s="78"/>
      <c r="G370" s="53" t="s">
        <v>450</v>
      </c>
      <c r="H370" s="53" t="s">
        <v>762</v>
      </c>
      <c r="I370" s="78" t="s">
        <v>456</v>
      </c>
      <c r="J370" s="53">
        <v>6</v>
      </c>
      <c r="K370" s="78" t="str">
        <f>VLOOKUP(J370,Ruimtegroepen[],2,FALSE)</f>
        <v>Gangen/hallen</v>
      </c>
      <c r="L370" s="53" t="s">
        <v>285</v>
      </c>
      <c r="M370" s="53" t="s">
        <v>580</v>
      </c>
      <c r="N370" s="92">
        <v>18.216000000000001</v>
      </c>
      <c r="O370" s="92"/>
      <c r="P370" s="80" t="str">
        <f>LEFT(VLOOKUP(Ruimtestaat[[#This Row],[Ruimte code]],Ruimtegroepen[#All],4,1),2)</f>
        <v xml:space="preserve">V </v>
      </c>
      <c r="Q370" s="93"/>
      <c r="R370" s="81">
        <v>40</v>
      </c>
      <c r="S370" s="81" t="s">
        <v>298</v>
      </c>
      <c r="T370" s="82">
        <f>IF(R370&gt;0,IF(RIGHT(Ruimtestaat[[#This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0" s="82">
        <f>IF(T370&gt;0,VLOOKUP($J370,Ruimtegroepen[],3,FALSE)*VLOOKUP($L370,Vloersoorten[],3,FALSE)*VLOOKUP($S370,Frequenties[],3,FALSE)*VLOOKUP($A370,Locaties[],3,FALSE),0)</f>
        <v>0</v>
      </c>
      <c r="V370" s="83">
        <f>Ruimtestaat[[#This Row],[Uitvoeringen werkdagen]]*Ruimtestaat[[#This Row],[Oppervlak (netto)]]</f>
        <v>3643.2000000000003</v>
      </c>
      <c r="W370" s="84">
        <f>IF(U370&gt;0,Ruimtestaat[[#This Row],[Prest. (m2 /jaar) werkdagen]]/Ruimtestaat[[#This Row],[Norm (m2/uur) werkdagen]],0)</f>
        <v>0</v>
      </c>
      <c r="X370" s="85">
        <f>Ruimtestaat[[#This Row],[uren / jaar werkdagen]]*Tariefsopbouw!$E$35</f>
        <v>0</v>
      </c>
      <c r="Y370" s="82"/>
      <c r="Z370" s="86">
        <f>IF(Ruimtestaat[[#This Row],[Frequentie weekend]]&gt;0,VALUE(LEFT(Y370,1))*R370,0)</f>
        <v>0</v>
      </c>
      <c r="AA370" s="82">
        <f>IF($Z370&gt;0,VLOOKUP($J370,Ruimtegroepen[],3,FALSE)*VLOOKUP($L370,Vloersoorten[],3,FALSE)*VLOOKUP($Y370,Frequenties[],3,FALSE)*VLOOKUP($A366,Locaties[],3,FALSE),0)</f>
        <v>0</v>
      </c>
      <c r="AB370" s="84">
        <f>Ruimtestaat[[#This Row],[Uitvoeringen weekend]]*Ruimtestaat[[#This Row],[Oppervlak (netto)]]</f>
        <v>0</v>
      </c>
      <c r="AC370" s="87">
        <f>IF(AB370&gt;0,Ruimtestaat[[#This Row],[Prest. (m2 /jaar) weekend]]/Ruimtestaat[[#This Row],[Norm (m2/uur) weekend]],0)</f>
        <v>0</v>
      </c>
      <c r="AD370" s="88">
        <f>Ruimtestaat[[#This Row],[uren / jaar weekend]]*Tariefsopbouw!$D$40</f>
        <v>0</v>
      </c>
      <c r="AE370" s="89">
        <f>Ruimtestaat[[#This Row],[Prest. (m2 /jaar) weekend]]+Ruimtestaat[[#This Row],[Prest. (m2 /jaar) werkdagen]]</f>
        <v>3643.2000000000003</v>
      </c>
      <c r="AF370" s="89">
        <f>Ruimtestaat[[#This Row],[uren / jaar weekend]]+Ruimtestaat[[#This Row],[uren / jaar werkdagen]]</f>
        <v>0</v>
      </c>
      <c r="AG370" s="90">
        <f>Ruimtestaat[[#This Row],[kosten / jaar weekend]]+Ruimtestaat[[#This Row],[kosten / jaar werkdagen]]</f>
        <v>0</v>
      </c>
    </row>
    <row r="371" spans="1:33" ht="15" customHeight="1">
      <c r="A371" s="53">
        <v>2</v>
      </c>
      <c r="B371" s="53" t="str">
        <f>VLOOKUP(Ruimtestaat[[#This Row],[Code]],Locaties[#All],2,FALSE)</f>
        <v>Open Schoolgemeenschap Bijlmer</v>
      </c>
      <c r="C371" s="53" t="str">
        <f>VLOOKUP(Ruimtestaat[[#This Row],[Code]],Locaties[#All],4,FALSE)</f>
        <v>Gulden Kruis 5</v>
      </c>
      <c r="D371" s="53" t="str">
        <f>VLOOKUP(Ruimtestaat[[#This Row],[Code]],Locaties[#All],5,FALSE)</f>
        <v>1103 BE</v>
      </c>
      <c r="E371" s="53" t="str">
        <f>VLOOKUP(Ruimtestaat[[#This Row],[Code]],Locaties[#All],6,FALSE)</f>
        <v>Amsterdam Zuidoost</v>
      </c>
      <c r="F371" s="78"/>
      <c r="G371" s="53" t="s">
        <v>450</v>
      </c>
      <c r="H371" s="53" t="s">
        <v>763</v>
      </c>
      <c r="I371" s="78" t="s">
        <v>456</v>
      </c>
      <c r="J371" s="53">
        <v>6</v>
      </c>
      <c r="K371" s="78" t="str">
        <f>VLOOKUP(J371,Ruimtegroepen[],2,FALSE)</f>
        <v>Gangen/hallen</v>
      </c>
      <c r="L371" s="53" t="s">
        <v>285</v>
      </c>
      <c r="M371" s="53" t="s">
        <v>580</v>
      </c>
      <c r="N371" s="92">
        <v>45.139399999999995</v>
      </c>
      <c r="O371" s="92"/>
      <c r="P371" s="80" t="str">
        <f>LEFT(VLOOKUP(Ruimtestaat[[#This Row],[Ruimte code]],Ruimtegroepen[#All],4,1),2)</f>
        <v xml:space="preserve">V </v>
      </c>
      <c r="Q371" s="93"/>
      <c r="R371" s="81">
        <v>40</v>
      </c>
      <c r="S371" s="81" t="s">
        <v>298</v>
      </c>
      <c r="T371" s="82">
        <f>IF(R371&gt;0,IF(RIGHT(Ruimtestaat[[#This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1" s="82">
        <f>IF(T371&gt;0,VLOOKUP($J371,Ruimtegroepen[],3,FALSE)*VLOOKUP($L371,Vloersoorten[],3,FALSE)*VLOOKUP($S371,Frequenties[],3,FALSE)*VLOOKUP($A371,Locaties[],3,FALSE),0)</f>
        <v>0</v>
      </c>
      <c r="V371" s="83">
        <f>Ruimtestaat[[#This Row],[Uitvoeringen werkdagen]]*Ruimtestaat[[#This Row],[Oppervlak (netto)]]</f>
        <v>9027.8799999999992</v>
      </c>
      <c r="W371" s="84">
        <f>IF(U371&gt;0,Ruimtestaat[[#This Row],[Prest. (m2 /jaar) werkdagen]]/Ruimtestaat[[#This Row],[Norm (m2/uur) werkdagen]],0)</f>
        <v>0</v>
      </c>
      <c r="X371" s="85">
        <f>Ruimtestaat[[#This Row],[uren / jaar werkdagen]]*Tariefsopbouw!$E$35</f>
        <v>0</v>
      </c>
      <c r="Y371" s="82"/>
      <c r="Z371" s="86">
        <f>IF(Ruimtestaat[[#This Row],[Frequentie weekend]]&gt;0,VALUE(LEFT(Y371,1))*R371,0)</f>
        <v>0</v>
      </c>
      <c r="AA371" s="82">
        <f>IF($Z371&gt;0,VLOOKUP($J371,Ruimtegroepen[],3,FALSE)*VLOOKUP($L371,Vloersoorten[],3,FALSE)*VLOOKUP($Y371,Frequenties[],3,FALSE)*VLOOKUP($A367,Locaties[],3,FALSE),0)</f>
        <v>0</v>
      </c>
      <c r="AB371" s="84">
        <f>Ruimtestaat[[#This Row],[Uitvoeringen weekend]]*Ruimtestaat[[#This Row],[Oppervlak (netto)]]</f>
        <v>0</v>
      </c>
      <c r="AC371" s="87">
        <f>IF(AB371&gt;0,Ruimtestaat[[#This Row],[Prest. (m2 /jaar) weekend]]/Ruimtestaat[[#This Row],[Norm (m2/uur) weekend]],0)</f>
        <v>0</v>
      </c>
      <c r="AD371" s="88">
        <f>Ruimtestaat[[#This Row],[uren / jaar weekend]]*Tariefsopbouw!$D$40</f>
        <v>0</v>
      </c>
      <c r="AE371" s="89">
        <f>Ruimtestaat[[#This Row],[Prest. (m2 /jaar) weekend]]+Ruimtestaat[[#This Row],[Prest. (m2 /jaar) werkdagen]]</f>
        <v>9027.8799999999992</v>
      </c>
      <c r="AF371" s="89">
        <f>Ruimtestaat[[#This Row],[uren / jaar weekend]]+Ruimtestaat[[#This Row],[uren / jaar werkdagen]]</f>
        <v>0</v>
      </c>
      <c r="AG371" s="90">
        <f>Ruimtestaat[[#This Row],[kosten / jaar weekend]]+Ruimtestaat[[#This Row],[kosten / jaar werkdagen]]</f>
        <v>0</v>
      </c>
    </row>
    <row r="372" spans="1:33" ht="15" customHeight="1">
      <c r="A372" s="53">
        <v>2</v>
      </c>
      <c r="B372" s="53" t="str">
        <f>VLOOKUP(Ruimtestaat[[#This Row],[Code]],Locaties[#All],2,FALSE)</f>
        <v>Open Schoolgemeenschap Bijlmer</v>
      </c>
      <c r="C372" s="53" t="str">
        <f>VLOOKUP(Ruimtestaat[[#This Row],[Code]],Locaties[#All],4,FALSE)</f>
        <v>Gulden Kruis 5</v>
      </c>
      <c r="D372" s="53" t="str">
        <f>VLOOKUP(Ruimtestaat[[#This Row],[Code]],Locaties[#All],5,FALSE)</f>
        <v>1103 BE</v>
      </c>
      <c r="E372" s="53" t="str">
        <f>VLOOKUP(Ruimtestaat[[#This Row],[Code]],Locaties[#All],6,FALSE)</f>
        <v>Amsterdam Zuidoost</v>
      </c>
      <c r="F372" s="78"/>
      <c r="G372" s="53" t="s">
        <v>450</v>
      </c>
      <c r="H372" s="53" t="s">
        <v>764</v>
      </c>
      <c r="I372" s="78" t="s">
        <v>428</v>
      </c>
      <c r="J372" s="53">
        <v>16</v>
      </c>
      <c r="K372" s="78" t="str">
        <f>VLOOKUP(J372,Ruimtegroepen[],2,FALSE)</f>
        <v>Leslokalen theorie</v>
      </c>
      <c r="L372" s="53" t="s">
        <v>288</v>
      </c>
      <c r="M372" s="53" t="s">
        <v>648</v>
      </c>
      <c r="N372" s="92">
        <v>92.51</v>
      </c>
      <c r="O372" s="92"/>
      <c r="P372" s="80" t="str">
        <f>LEFT(VLOOKUP(Ruimtestaat[[#This Row],[Ruimte code]],Ruimtegroepen[#All],4,1),2)</f>
        <v xml:space="preserve">L </v>
      </c>
      <c r="Q372" s="93"/>
      <c r="R372" s="81">
        <v>40</v>
      </c>
      <c r="S372" s="81" t="s">
        <v>298</v>
      </c>
      <c r="T372" s="82">
        <f>IF(R372&gt;0,IF(RIGHT(Ruimtestaat[[#This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2" s="82">
        <f>IF(T372&gt;0,VLOOKUP($J372,Ruimtegroepen[],3,FALSE)*VLOOKUP($L372,Vloersoorten[],3,FALSE)*VLOOKUP($S372,Frequenties[],3,FALSE)*VLOOKUP($A372,Locaties[],3,FALSE),0)</f>
        <v>0</v>
      </c>
      <c r="V372" s="83">
        <f>Ruimtestaat[[#This Row],[Uitvoeringen werkdagen]]*Ruimtestaat[[#This Row],[Oppervlak (netto)]]</f>
        <v>18502</v>
      </c>
      <c r="W372" s="84">
        <f>IF(U372&gt;0,Ruimtestaat[[#This Row],[Prest. (m2 /jaar) werkdagen]]/Ruimtestaat[[#This Row],[Norm (m2/uur) werkdagen]],0)</f>
        <v>0</v>
      </c>
      <c r="X372" s="85">
        <f>Ruimtestaat[[#This Row],[uren / jaar werkdagen]]*Tariefsopbouw!$E$35</f>
        <v>0</v>
      </c>
      <c r="Y372" s="82"/>
      <c r="Z372" s="86">
        <f>IF(Ruimtestaat[[#This Row],[Frequentie weekend]]&gt;0,VALUE(LEFT(Y372,1))*R372,0)</f>
        <v>0</v>
      </c>
      <c r="AA372" s="82">
        <f>IF($Z372&gt;0,VLOOKUP($J372,Ruimtegroepen[],3,FALSE)*VLOOKUP($L372,Vloersoorten[],3,FALSE)*VLOOKUP($Y372,Frequenties[],3,FALSE)*VLOOKUP($A368,Locaties[],3,FALSE),0)</f>
        <v>0</v>
      </c>
      <c r="AB372" s="84">
        <f>Ruimtestaat[[#This Row],[Uitvoeringen weekend]]*Ruimtestaat[[#This Row],[Oppervlak (netto)]]</f>
        <v>0</v>
      </c>
      <c r="AC372" s="87">
        <f>IF(AB372&gt;0,Ruimtestaat[[#This Row],[Prest. (m2 /jaar) weekend]]/Ruimtestaat[[#This Row],[Norm (m2/uur) weekend]],0)</f>
        <v>0</v>
      </c>
      <c r="AD372" s="88">
        <f>Ruimtestaat[[#This Row],[uren / jaar weekend]]*Tariefsopbouw!$D$40</f>
        <v>0</v>
      </c>
      <c r="AE372" s="89">
        <f>Ruimtestaat[[#This Row],[Prest. (m2 /jaar) weekend]]+Ruimtestaat[[#This Row],[Prest. (m2 /jaar) werkdagen]]</f>
        <v>18502</v>
      </c>
      <c r="AF372" s="89">
        <f>Ruimtestaat[[#This Row],[uren / jaar weekend]]+Ruimtestaat[[#This Row],[uren / jaar werkdagen]]</f>
        <v>0</v>
      </c>
      <c r="AG372" s="90">
        <f>Ruimtestaat[[#This Row],[kosten / jaar weekend]]+Ruimtestaat[[#This Row],[kosten / jaar werkdagen]]</f>
        <v>0</v>
      </c>
    </row>
    <row r="373" spans="1:33" ht="15" customHeight="1">
      <c r="A373" s="53">
        <v>2</v>
      </c>
      <c r="B373" s="53" t="str">
        <f>VLOOKUP(Ruimtestaat[[#This Row],[Code]],Locaties[#All],2,FALSE)</f>
        <v>Open Schoolgemeenschap Bijlmer</v>
      </c>
      <c r="C373" s="53" t="str">
        <f>VLOOKUP(Ruimtestaat[[#This Row],[Code]],Locaties[#All],4,FALSE)</f>
        <v>Gulden Kruis 5</v>
      </c>
      <c r="D373" s="53" t="str">
        <f>VLOOKUP(Ruimtestaat[[#This Row],[Code]],Locaties[#All],5,FALSE)</f>
        <v>1103 BE</v>
      </c>
      <c r="E373" s="53" t="str">
        <f>VLOOKUP(Ruimtestaat[[#This Row],[Code]],Locaties[#All],6,FALSE)</f>
        <v>Amsterdam Zuidoost</v>
      </c>
      <c r="F373" s="78"/>
      <c r="G373" s="53" t="s">
        <v>450</v>
      </c>
      <c r="H373" s="53" t="s">
        <v>765</v>
      </c>
      <c r="I373" s="78" t="s">
        <v>428</v>
      </c>
      <c r="J373" s="53">
        <v>16</v>
      </c>
      <c r="K373" s="78" t="str">
        <f>VLOOKUP(J373,Ruimtegroepen[],2,FALSE)</f>
        <v>Leslokalen theorie</v>
      </c>
      <c r="L373" s="53" t="s">
        <v>285</v>
      </c>
      <c r="M373" s="53" t="s">
        <v>580</v>
      </c>
      <c r="N373" s="92">
        <v>107.89</v>
      </c>
      <c r="O373" s="92"/>
      <c r="P373" s="80" t="str">
        <f>LEFT(VLOOKUP(Ruimtestaat[[#This Row],[Ruimte code]],Ruimtegroepen[#All],4,1),2)</f>
        <v xml:space="preserve">L </v>
      </c>
      <c r="Q373" s="93"/>
      <c r="R373" s="81">
        <v>40</v>
      </c>
      <c r="S373" s="81" t="s">
        <v>298</v>
      </c>
      <c r="T373" s="82">
        <f>IF(R373&gt;0,IF(RIGHT(Ruimtestaat[[#This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3" s="82">
        <f>IF(T373&gt;0,VLOOKUP($J373,Ruimtegroepen[],3,FALSE)*VLOOKUP($L373,Vloersoorten[],3,FALSE)*VLOOKUP($S373,Frequenties[],3,FALSE)*VLOOKUP($A373,Locaties[],3,FALSE),0)</f>
        <v>0</v>
      </c>
      <c r="V373" s="83">
        <f>Ruimtestaat[[#This Row],[Uitvoeringen werkdagen]]*Ruimtestaat[[#This Row],[Oppervlak (netto)]]</f>
        <v>21578</v>
      </c>
      <c r="W373" s="84">
        <f>IF(U373&gt;0,Ruimtestaat[[#This Row],[Prest. (m2 /jaar) werkdagen]]/Ruimtestaat[[#This Row],[Norm (m2/uur) werkdagen]],0)</f>
        <v>0</v>
      </c>
      <c r="X373" s="85">
        <f>Ruimtestaat[[#This Row],[uren / jaar werkdagen]]*Tariefsopbouw!$E$35</f>
        <v>0</v>
      </c>
      <c r="Y373" s="82"/>
      <c r="Z373" s="86">
        <f>IF(Ruimtestaat[[#This Row],[Frequentie weekend]]&gt;0,VALUE(LEFT(Y373,1))*R373,0)</f>
        <v>0</v>
      </c>
      <c r="AA373" s="82">
        <f>IF($Z373&gt;0,VLOOKUP($J373,Ruimtegroepen[],3,FALSE)*VLOOKUP($L373,Vloersoorten[],3,FALSE)*VLOOKUP($Y373,Frequenties[],3,FALSE)*VLOOKUP($A369,Locaties[],3,FALSE),0)</f>
        <v>0</v>
      </c>
      <c r="AB373" s="84">
        <f>Ruimtestaat[[#This Row],[Uitvoeringen weekend]]*Ruimtestaat[[#This Row],[Oppervlak (netto)]]</f>
        <v>0</v>
      </c>
      <c r="AC373" s="87">
        <f>IF(AB373&gt;0,Ruimtestaat[[#This Row],[Prest. (m2 /jaar) weekend]]/Ruimtestaat[[#This Row],[Norm (m2/uur) weekend]],0)</f>
        <v>0</v>
      </c>
      <c r="AD373" s="88">
        <f>Ruimtestaat[[#This Row],[uren / jaar weekend]]*Tariefsopbouw!$D$40</f>
        <v>0</v>
      </c>
      <c r="AE373" s="89">
        <f>Ruimtestaat[[#This Row],[Prest. (m2 /jaar) weekend]]+Ruimtestaat[[#This Row],[Prest. (m2 /jaar) werkdagen]]</f>
        <v>21578</v>
      </c>
      <c r="AF373" s="89">
        <f>Ruimtestaat[[#This Row],[uren / jaar weekend]]+Ruimtestaat[[#This Row],[uren / jaar werkdagen]]</f>
        <v>0</v>
      </c>
      <c r="AG373" s="90">
        <f>Ruimtestaat[[#This Row],[kosten / jaar weekend]]+Ruimtestaat[[#This Row],[kosten / jaar werkdagen]]</f>
        <v>0</v>
      </c>
    </row>
    <row r="374" spans="1:33" ht="15" customHeight="1">
      <c r="A374" s="53">
        <v>2</v>
      </c>
      <c r="B374" s="53" t="str">
        <f>VLOOKUP(Ruimtestaat[[#This Row],[Code]],Locaties[#All],2,FALSE)</f>
        <v>Open Schoolgemeenschap Bijlmer</v>
      </c>
      <c r="C374" s="53" t="str">
        <f>VLOOKUP(Ruimtestaat[[#This Row],[Code]],Locaties[#All],4,FALSE)</f>
        <v>Gulden Kruis 5</v>
      </c>
      <c r="D374" s="53" t="str">
        <f>VLOOKUP(Ruimtestaat[[#This Row],[Code]],Locaties[#All],5,FALSE)</f>
        <v>1103 BE</v>
      </c>
      <c r="E374" s="53" t="str">
        <f>VLOOKUP(Ruimtestaat[[#This Row],[Code]],Locaties[#All],6,FALSE)</f>
        <v>Amsterdam Zuidoost</v>
      </c>
      <c r="F374" s="78"/>
      <c r="G374" s="53" t="s">
        <v>450</v>
      </c>
      <c r="H374" s="53" t="s">
        <v>766</v>
      </c>
      <c r="I374" s="78" t="s">
        <v>428</v>
      </c>
      <c r="J374" s="53">
        <v>16</v>
      </c>
      <c r="K374" s="78" t="str">
        <f>VLOOKUP(J374,Ruimtegroepen[],2,FALSE)</f>
        <v>Leslokalen theorie</v>
      </c>
      <c r="L374" s="53" t="s">
        <v>285</v>
      </c>
      <c r="M374" s="53" t="s">
        <v>580</v>
      </c>
      <c r="N374" s="92">
        <v>53.38</v>
      </c>
      <c r="O374" s="92"/>
      <c r="P374" s="80" t="str">
        <f>LEFT(VLOOKUP(Ruimtestaat[[#This Row],[Ruimte code]],Ruimtegroepen[#All],4,1),2)</f>
        <v xml:space="preserve">L </v>
      </c>
      <c r="Q374" s="93"/>
      <c r="R374" s="81">
        <v>40</v>
      </c>
      <c r="S374" s="81" t="s">
        <v>298</v>
      </c>
      <c r="T374" s="82">
        <f>IF(R374&gt;0,IF(RIGHT(Ruimtestaat[[#This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4" s="82">
        <f>IF(T374&gt;0,VLOOKUP($J374,Ruimtegroepen[],3,FALSE)*VLOOKUP($L374,Vloersoorten[],3,FALSE)*VLOOKUP($S374,Frequenties[],3,FALSE)*VLOOKUP($A374,Locaties[],3,FALSE),0)</f>
        <v>0</v>
      </c>
      <c r="V374" s="83">
        <f>Ruimtestaat[[#This Row],[Uitvoeringen werkdagen]]*Ruimtestaat[[#This Row],[Oppervlak (netto)]]</f>
        <v>10676</v>
      </c>
      <c r="W374" s="84">
        <f>IF(U374&gt;0,Ruimtestaat[[#This Row],[Prest. (m2 /jaar) werkdagen]]/Ruimtestaat[[#This Row],[Norm (m2/uur) werkdagen]],0)</f>
        <v>0</v>
      </c>
      <c r="X374" s="85">
        <f>Ruimtestaat[[#This Row],[uren / jaar werkdagen]]*Tariefsopbouw!$E$35</f>
        <v>0</v>
      </c>
      <c r="Y374" s="82"/>
      <c r="Z374" s="86">
        <f>IF(Ruimtestaat[[#This Row],[Frequentie weekend]]&gt;0,VALUE(LEFT(Y374,1))*R374,0)</f>
        <v>0</v>
      </c>
      <c r="AA374" s="82">
        <f>IF($Z374&gt;0,VLOOKUP($J374,Ruimtegroepen[],3,FALSE)*VLOOKUP($L374,Vloersoorten[],3,FALSE)*VLOOKUP($Y374,Frequenties[],3,FALSE)*VLOOKUP($A370,Locaties[],3,FALSE),0)</f>
        <v>0</v>
      </c>
      <c r="AB374" s="84">
        <f>Ruimtestaat[[#This Row],[Uitvoeringen weekend]]*Ruimtestaat[[#This Row],[Oppervlak (netto)]]</f>
        <v>0</v>
      </c>
      <c r="AC374" s="87">
        <f>IF(AB374&gt;0,Ruimtestaat[[#This Row],[Prest. (m2 /jaar) weekend]]/Ruimtestaat[[#This Row],[Norm (m2/uur) weekend]],0)</f>
        <v>0</v>
      </c>
      <c r="AD374" s="88">
        <f>Ruimtestaat[[#This Row],[uren / jaar weekend]]*Tariefsopbouw!$D$40</f>
        <v>0</v>
      </c>
      <c r="AE374" s="89">
        <f>Ruimtestaat[[#This Row],[Prest. (m2 /jaar) weekend]]+Ruimtestaat[[#This Row],[Prest. (m2 /jaar) werkdagen]]</f>
        <v>10676</v>
      </c>
      <c r="AF374" s="89">
        <f>Ruimtestaat[[#This Row],[uren / jaar weekend]]+Ruimtestaat[[#This Row],[uren / jaar werkdagen]]</f>
        <v>0</v>
      </c>
      <c r="AG374" s="90">
        <f>Ruimtestaat[[#This Row],[kosten / jaar weekend]]+Ruimtestaat[[#This Row],[kosten / jaar werkdagen]]</f>
        <v>0</v>
      </c>
    </row>
    <row r="375" spans="1:33" ht="15" customHeight="1">
      <c r="A375" s="53">
        <v>2</v>
      </c>
      <c r="B375" s="53" t="str">
        <f>VLOOKUP(Ruimtestaat[[#This Row],[Code]],Locaties[#All],2,FALSE)</f>
        <v>Open Schoolgemeenschap Bijlmer</v>
      </c>
      <c r="C375" s="53" t="str">
        <f>VLOOKUP(Ruimtestaat[[#This Row],[Code]],Locaties[#All],4,FALSE)</f>
        <v>Gulden Kruis 5</v>
      </c>
      <c r="D375" s="53" t="str">
        <f>VLOOKUP(Ruimtestaat[[#This Row],[Code]],Locaties[#All],5,FALSE)</f>
        <v>1103 BE</v>
      </c>
      <c r="E375" s="53" t="str">
        <f>VLOOKUP(Ruimtestaat[[#This Row],[Code]],Locaties[#All],6,FALSE)</f>
        <v>Amsterdam Zuidoost</v>
      </c>
      <c r="F375" s="78"/>
      <c r="G375" s="53" t="s">
        <v>450</v>
      </c>
      <c r="H375" s="53" t="s">
        <v>767</v>
      </c>
      <c r="I375" s="78" t="s">
        <v>428</v>
      </c>
      <c r="J375" s="53">
        <v>16</v>
      </c>
      <c r="K375" s="78" t="str">
        <f>VLOOKUP(J375,Ruimtegroepen[],2,FALSE)</f>
        <v>Leslokalen theorie</v>
      </c>
      <c r="L375" s="53" t="s">
        <v>285</v>
      </c>
      <c r="M375" s="53" t="s">
        <v>580</v>
      </c>
      <c r="N375" s="92">
        <v>67.16</v>
      </c>
      <c r="O375" s="92"/>
      <c r="P375" s="80" t="str">
        <f>LEFT(VLOOKUP(Ruimtestaat[[#This Row],[Ruimte code]],Ruimtegroepen[#All],4,1),2)</f>
        <v xml:space="preserve">L </v>
      </c>
      <c r="Q375" s="93"/>
      <c r="R375" s="81">
        <v>40</v>
      </c>
      <c r="S375" s="81" t="s">
        <v>298</v>
      </c>
      <c r="T375" s="82">
        <f>IF(R375&gt;0,IF(RIGHT(Ruimtestaat[[#This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5" s="82">
        <f>IF(T375&gt;0,VLOOKUP($J375,Ruimtegroepen[],3,FALSE)*VLOOKUP($L375,Vloersoorten[],3,FALSE)*VLOOKUP($S375,Frequenties[],3,FALSE)*VLOOKUP($A375,Locaties[],3,FALSE),0)</f>
        <v>0</v>
      </c>
      <c r="V375" s="83">
        <f>Ruimtestaat[[#This Row],[Uitvoeringen werkdagen]]*Ruimtestaat[[#This Row],[Oppervlak (netto)]]</f>
        <v>13432</v>
      </c>
      <c r="W375" s="84">
        <f>IF(U375&gt;0,Ruimtestaat[[#This Row],[Prest. (m2 /jaar) werkdagen]]/Ruimtestaat[[#This Row],[Norm (m2/uur) werkdagen]],0)</f>
        <v>0</v>
      </c>
      <c r="X375" s="85">
        <f>Ruimtestaat[[#This Row],[uren / jaar werkdagen]]*Tariefsopbouw!$E$35</f>
        <v>0</v>
      </c>
      <c r="Y375" s="82"/>
      <c r="Z375" s="86">
        <f>IF(Ruimtestaat[[#This Row],[Frequentie weekend]]&gt;0,VALUE(LEFT(Y375,1))*R375,0)</f>
        <v>0</v>
      </c>
      <c r="AA375" s="82">
        <f>IF($Z375&gt;0,VLOOKUP($J375,Ruimtegroepen[],3,FALSE)*VLOOKUP($L375,Vloersoorten[],3,FALSE)*VLOOKUP($Y375,Frequenties[],3,FALSE)*VLOOKUP($A371,Locaties[],3,FALSE),0)</f>
        <v>0</v>
      </c>
      <c r="AB375" s="84">
        <f>Ruimtestaat[[#This Row],[Uitvoeringen weekend]]*Ruimtestaat[[#This Row],[Oppervlak (netto)]]</f>
        <v>0</v>
      </c>
      <c r="AC375" s="87">
        <f>IF(AB375&gt;0,Ruimtestaat[[#This Row],[Prest. (m2 /jaar) weekend]]/Ruimtestaat[[#This Row],[Norm (m2/uur) weekend]],0)</f>
        <v>0</v>
      </c>
      <c r="AD375" s="88">
        <f>Ruimtestaat[[#This Row],[uren / jaar weekend]]*Tariefsopbouw!$D$40</f>
        <v>0</v>
      </c>
      <c r="AE375" s="89">
        <f>Ruimtestaat[[#This Row],[Prest. (m2 /jaar) weekend]]+Ruimtestaat[[#This Row],[Prest. (m2 /jaar) werkdagen]]</f>
        <v>13432</v>
      </c>
      <c r="AF375" s="89">
        <f>Ruimtestaat[[#This Row],[uren / jaar weekend]]+Ruimtestaat[[#This Row],[uren / jaar werkdagen]]</f>
        <v>0</v>
      </c>
      <c r="AG375" s="90">
        <f>Ruimtestaat[[#This Row],[kosten / jaar weekend]]+Ruimtestaat[[#This Row],[kosten / jaar werkdagen]]</f>
        <v>0</v>
      </c>
    </row>
    <row r="376" spans="1:33" ht="15" customHeight="1">
      <c r="A376" s="53">
        <v>2</v>
      </c>
      <c r="B376" s="53" t="str">
        <f>VLOOKUP(Ruimtestaat[[#This Row],[Code]],Locaties[#All],2,FALSE)</f>
        <v>Open Schoolgemeenschap Bijlmer</v>
      </c>
      <c r="C376" s="53" t="str">
        <f>VLOOKUP(Ruimtestaat[[#This Row],[Code]],Locaties[#All],4,FALSE)</f>
        <v>Gulden Kruis 5</v>
      </c>
      <c r="D376" s="53" t="str">
        <f>VLOOKUP(Ruimtestaat[[#This Row],[Code]],Locaties[#All],5,FALSE)</f>
        <v>1103 BE</v>
      </c>
      <c r="E376" s="53" t="str">
        <f>VLOOKUP(Ruimtestaat[[#This Row],[Code]],Locaties[#All],6,FALSE)</f>
        <v>Amsterdam Zuidoost</v>
      </c>
      <c r="F376" s="78"/>
      <c r="G376" s="53" t="s">
        <v>450</v>
      </c>
      <c r="H376" s="53" t="s">
        <v>768</v>
      </c>
      <c r="I376" s="78" t="s">
        <v>428</v>
      </c>
      <c r="J376" s="53">
        <v>16</v>
      </c>
      <c r="K376" s="78" t="str">
        <f>VLOOKUP(J376,Ruimtegroepen[],2,FALSE)</f>
        <v>Leslokalen theorie</v>
      </c>
      <c r="L376" s="53" t="s">
        <v>285</v>
      </c>
      <c r="M376" s="53" t="s">
        <v>580</v>
      </c>
      <c r="N376" s="92">
        <v>62.16</v>
      </c>
      <c r="O376" s="92"/>
      <c r="P376" s="80" t="str">
        <f>LEFT(VLOOKUP(Ruimtestaat[[#This Row],[Ruimte code]],Ruimtegroepen[#All],4,1),2)</f>
        <v xml:space="preserve">L </v>
      </c>
      <c r="Q376" s="93"/>
      <c r="R376" s="81">
        <v>40</v>
      </c>
      <c r="S376" s="81" t="s">
        <v>298</v>
      </c>
      <c r="T376" s="82">
        <f>IF(R376&gt;0,IF(RIGHT(Ruimtestaat[[#This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6" s="82">
        <f>IF(T376&gt;0,VLOOKUP($J376,Ruimtegroepen[],3,FALSE)*VLOOKUP($L376,Vloersoorten[],3,FALSE)*VLOOKUP($S376,Frequenties[],3,FALSE)*VLOOKUP($A376,Locaties[],3,FALSE),0)</f>
        <v>0</v>
      </c>
      <c r="V376" s="83">
        <f>Ruimtestaat[[#This Row],[Uitvoeringen werkdagen]]*Ruimtestaat[[#This Row],[Oppervlak (netto)]]</f>
        <v>12432</v>
      </c>
      <c r="W376" s="84">
        <f>IF(U376&gt;0,Ruimtestaat[[#This Row],[Prest. (m2 /jaar) werkdagen]]/Ruimtestaat[[#This Row],[Norm (m2/uur) werkdagen]],0)</f>
        <v>0</v>
      </c>
      <c r="X376" s="85">
        <f>Ruimtestaat[[#This Row],[uren / jaar werkdagen]]*Tariefsopbouw!$E$35</f>
        <v>0</v>
      </c>
      <c r="Y376" s="82"/>
      <c r="Z376" s="86">
        <f>IF(Ruimtestaat[[#This Row],[Frequentie weekend]]&gt;0,VALUE(LEFT(Y376,1))*R376,0)</f>
        <v>0</v>
      </c>
      <c r="AA376" s="82">
        <f>IF($Z376&gt;0,VLOOKUP($J376,Ruimtegroepen[],3,FALSE)*VLOOKUP($L376,Vloersoorten[],3,FALSE)*VLOOKUP($Y376,Frequenties[],3,FALSE)*VLOOKUP($A372,Locaties[],3,FALSE),0)</f>
        <v>0</v>
      </c>
      <c r="AB376" s="84">
        <f>Ruimtestaat[[#This Row],[Uitvoeringen weekend]]*Ruimtestaat[[#This Row],[Oppervlak (netto)]]</f>
        <v>0</v>
      </c>
      <c r="AC376" s="87">
        <f>IF(AB376&gt;0,Ruimtestaat[[#This Row],[Prest. (m2 /jaar) weekend]]/Ruimtestaat[[#This Row],[Norm (m2/uur) weekend]],0)</f>
        <v>0</v>
      </c>
      <c r="AD376" s="88">
        <f>Ruimtestaat[[#This Row],[uren / jaar weekend]]*Tariefsopbouw!$D$40</f>
        <v>0</v>
      </c>
      <c r="AE376" s="89">
        <f>Ruimtestaat[[#This Row],[Prest. (m2 /jaar) weekend]]+Ruimtestaat[[#This Row],[Prest. (m2 /jaar) werkdagen]]</f>
        <v>12432</v>
      </c>
      <c r="AF376" s="89">
        <f>Ruimtestaat[[#This Row],[uren / jaar weekend]]+Ruimtestaat[[#This Row],[uren / jaar werkdagen]]</f>
        <v>0</v>
      </c>
      <c r="AG376" s="90">
        <f>Ruimtestaat[[#This Row],[kosten / jaar weekend]]+Ruimtestaat[[#This Row],[kosten / jaar werkdagen]]</f>
        <v>0</v>
      </c>
    </row>
    <row r="377" spans="1:33" ht="15" customHeight="1">
      <c r="A377" s="53">
        <v>2</v>
      </c>
      <c r="B377" s="53" t="str">
        <f>VLOOKUP(Ruimtestaat[[#This Row],[Code]],Locaties[#All],2,FALSE)</f>
        <v>Open Schoolgemeenschap Bijlmer</v>
      </c>
      <c r="C377" s="53" t="str">
        <f>VLOOKUP(Ruimtestaat[[#This Row],[Code]],Locaties[#All],4,FALSE)</f>
        <v>Gulden Kruis 5</v>
      </c>
      <c r="D377" s="53" t="str">
        <f>VLOOKUP(Ruimtestaat[[#This Row],[Code]],Locaties[#All],5,FALSE)</f>
        <v>1103 BE</v>
      </c>
      <c r="E377" s="53" t="str">
        <f>VLOOKUP(Ruimtestaat[[#This Row],[Code]],Locaties[#All],6,FALSE)</f>
        <v>Amsterdam Zuidoost</v>
      </c>
      <c r="F377" s="78"/>
      <c r="G377" s="53" t="s">
        <v>450</v>
      </c>
      <c r="H377" s="53" t="s">
        <v>769</v>
      </c>
      <c r="I377" s="78" t="s">
        <v>456</v>
      </c>
      <c r="J377" s="53">
        <v>6</v>
      </c>
      <c r="K377" s="78" t="str">
        <f>VLOOKUP(J377,Ruimtegroepen[],2,FALSE)</f>
        <v>Gangen/hallen</v>
      </c>
      <c r="L377" s="53" t="s">
        <v>285</v>
      </c>
      <c r="M377" s="53" t="s">
        <v>580</v>
      </c>
      <c r="N377" s="92">
        <v>121.0094</v>
      </c>
      <c r="O377" s="92"/>
      <c r="P377" s="80" t="str">
        <f>LEFT(VLOOKUP(Ruimtestaat[[#This Row],[Ruimte code]],Ruimtegroepen[#All],4,1),2)</f>
        <v xml:space="preserve">V </v>
      </c>
      <c r="Q377" s="93"/>
      <c r="R377" s="81">
        <v>40</v>
      </c>
      <c r="S377" s="81" t="s">
        <v>298</v>
      </c>
      <c r="T377" s="82">
        <f>IF(R377&gt;0,IF(RIGHT(Ruimtestaat[[#This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7" s="82">
        <f>IF(T377&gt;0,VLOOKUP($J377,Ruimtegroepen[],3,FALSE)*VLOOKUP($L377,Vloersoorten[],3,FALSE)*VLOOKUP($S377,Frequenties[],3,FALSE)*VLOOKUP($A377,Locaties[],3,FALSE),0)</f>
        <v>0</v>
      </c>
      <c r="V377" s="83">
        <f>Ruimtestaat[[#This Row],[Uitvoeringen werkdagen]]*Ruimtestaat[[#This Row],[Oppervlak (netto)]]</f>
        <v>24201.88</v>
      </c>
      <c r="W377" s="84">
        <f>IF(U377&gt;0,Ruimtestaat[[#This Row],[Prest. (m2 /jaar) werkdagen]]/Ruimtestaat[[#This Row],[Norm (m2/uur) werkdagen]],0)</f>
        <v>0</v>
      </c>
      <c r="X377" s="85">
        <f>Ruimtestaat[[#This Row],[uren / jaar werkdagen]]*Tariefsopbouw!$E$35</f>
        <v>0</v>
      </c>
      <c r="Y377" s="82"/>
      <c r="Z377" s="86">
        <f>IF(Ruimtestaat[[#This Row],[Frequentie weekend]]&gt;0,VALUE(LEFT(Y377,1))*R377,0)</f>
        <v>0</v>
      </c>
      <c r="AA377" s="82">
        <f>IF($Z377&gt;0,VLOOKUP($J377,Ruimtegroepen[],3,FALSE)*VLOOKUP($L377,Vloersoorten[],3,FALSE)*VLOOKUP($Y377,Frequenties[],3,FALSE)*VLOOKUP($A373,Locaties[],3,FALSE),0)</f>
        <v>0</v>
      </c>
      <c r="AB377" s="84">
        <f>Ruimtestaat[[#This Row],[Uitvoeringen weekend]]*Ruimtestaat[[#This Row],[Oppervlak (netto)]]</f>
        <v>0</v>
      </c>
      <c r="AC377" s="87">
        <f>IF(AB377&gt;0,Ruimtestaat[[#This Row],[Prest. (m2 /jaar) weekend]]/Ruimtestaat[[#This Row],[Norm (m2/uur) weekend]],0)</f>
        <v>0</v>
      </c>
      <c r="AD377" s="88">
        <f>Ruimtestaat[[#This Row],[uren / jaar weekend]]*Tariefsopbouw!$D$40</f>
        <v>0</v>
      </c>
      <c r="AE377" s="89">
        <f>Ruimtestaat[[#This Row],[Prest. (m2 /jaar) weekend]]+Ruimtestaat[[#This Row],[Prest. (m2 /jaar) werkdagen]]</f>
        <v>24201.88</v>
      </c>
      <c r="AF377" s="89">
        <f>Ruimtestaat[[#This Row],[uren / jaar weekend]]+Ruimtestaat[[#This Row],[uren / jaar werkdagen]]</f>
        <v>0</v>
      </c>
      <c r="AG377" s="90">
        <f>Ruimtestaat[[#This Row],[kosten / jaar weekend]]+Ruimtestaat[[#This Row],[kosten / jaar werkdagen]]</f>
        <v>0</v>
      </c>
    </row>
    <row r="378" spans="1:33" ht="15" customHeight="1">
      <c r="A378" s="53">
        <v>2</v>
      </c>
      <c r="B378" s="53" t="str">
        <f>VLOOKUP(Ruimtestaat[[#This Row],[Code]],Locaties[#All],2,FALSE)</f>
        <v>Open Schoolgemeenschap Bijlmer</v>
      </c>
      <c r="C378" s="53" t="str">
        <f>VLOOKUP(Ruimtestaat[[#This Row],[Code]],Locaties[#All],4,FALSE)</f>
        <v>Gulden Kruis 5</v>
      </c>
      <c r="D378" s="53" t="str">
        <f>VLOOKUP(Ruimtestaat[[#This Row],[Code]],Locaties[#All],5,FALSE)</f>
        <v>1103 BE</v>
      </c>
      <c r="E378" s="53" t="str">
        <f>VLOOKUP(Ruimtestaat[[#This Row],[Code]],Locaties[#All],6,FALSE)</f>
        <v>Amsterdam Zuidoost</v>
      </c>
      <c r="F378" s="78"/>
      <c r="G378" s="53" t="s">
        <v>450</v>
      </c>
      <c r="H378" s="53" t="s">
        <v>770</v>
      </c>
      <c r="I378" s="78" t="s">
        <v>456</v>
      </c>
      <c r="J378" s="53">
        <v>6</v>
      </c>
      <c r="K378" s="78" t="str">
        <f>VLOOKUP(J378,Ruimtegroepen[],2,FALSE)</f>
        <v>Gangen/hallen</v>
      </c>
      <c r="L378" s="53" t="s">
        <v>285</v>
      </c>
      <c r="M378" s="53" t="s">
        <v>580</v>
      </c>
      <c r="N378" s="92">
        <v>9.8552</v>
      </c>
      <c r="O378" s="92"/>
      <c r="P378" s="80" t="str">
        <f>LEFT(VLOOKUP(Ruimtestaat[[#This Row],[Ruimte code]],Ruimtegroepen[#All],4,1),2)</f>
        <v xml:space="preserve">V </v>
      </c>
      <c r="Q378" s="93"/>
      <c r="R378" s="81">
        <v>40</v>
      </c>
      <c r="S378" s="81" t="s">
        <v>298</v>
      </c>
      <c r="T378" s="82">
        <f>IF(R378&gt;0,IF(RIGHT(Ruimtestaat[[#This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78" s="82">
        <f>IF(T378&gt;0,VLOOKUP($J378,Ruimtegroepen[],3,FALSE)*VLOOKUP($L378,Vloersoorten[],3,FALSE)*VLOOKUP($S378,Frequenties[],3,FALSE)*VLOOKUP($A378,Locaties[],3,FALSE),0)</f>
        <v>0</v>
      </c>
      <c r="V378" s="83">
        <f>Ruimtestaat[[#This Row],[Uitvoeringen werkdagen]]*Ruimtestaat[[#This Row],[Oppervlak (netto)]]</f>
        <v>1971.04</v>
      </c>
      <c r="W378" s="84">
        <f>IF(U378&gt;0,Ruimtestaat[[#This Row],[Prest. (m2 /jaar) werkdagen]]/Ruimtestaat[[#This Row],[Norm (m2/uur) werkdagen]],0)</f>
        <v>0</v>
      </c>
      <c r="X378" s="85">
        <f>Ruimtestaat[[#This Row],[uren / jaar werkdagen]]*Tariefsopbouw!$E$35</f>
        <v>0</v>
      </c>
      <c r="Y378" s="82"/>
      <c r="Z378" s="86">
        <f>IF(Ruimtestaat[[#This Row],[Frequentie weekend]]&gt;0,VALUE(LEFT(Y378,1))*R378,0)</f>
        <v>0</v>
      </c>
      <c r="AA378" s="82">
        <f>IF($Z378&gt;0,VLOOKUP($J378,Ruimtegroepen[],3,FALSE)*VLOOKUP($L378,Vloersoorten[],3,FALSE)*VLOOKUP($Y378,Frequenties[],3,FALSE)*VLOOKUP($A374,Locaties[],3,FALSE),0)</f>
        <v>0</v>
      </c>
      <c r="AB378" s="84">
        <f>Ruimtestaat[[#This Row],[Uitvoeringen weekend]]*Ruimtestaat[[#This Row],[Oppervlak (netto)]]</f>
        <v>0</v>
      </c>
      <c r="AC378" s="87">
        <f>IF(AB378&gt;0,Ruimtestaat[[#This Row],[Prest. (m2 /jaar) weekend]]/Ruimtestaat[[#This Row],[Norm (m2/uur) weekend]],0)</f>
        <v>0</v>
      </c>
      <c r="AD378" s="88">
        <f>Ruimtestaat[[#This Row],[uren / jaar weekend]]*Tariefsopbouw!$D$40</f>
        <v>0</v>
      </c>
      <c r="AE378" s="89">
        <f>Ruimtestaat[[#This Row],[Prest. (m2 /jaar) weekend]]+Ruimtestaat[[#This Row],[Prest. (m2 /jaar) werkdagen]]</f>
        <v>1971.04</v>
      </c>
      <c r="AF378" s="89">
        <f>Ruimtestaat[[#This Row],[uren / jaar weekend]]+Ruimtestaat[[#This Row],[uren / jaar werkdagen]]</f>
        <v>0</v>
      </c>
      <c r="AG378" s="90">
        <f>Ruimtestaat[[#This Row],[kosten / jaar weekend]]+Ruimtestaat[[#This Row],[kosten / jaar werkdagen]]</f>
        <v>0</v>
      </c>
    </row>
    <row r="379" spans="1:33" ht="15" customHeight="1">
      <c r="A379" s="53">
        <v>2</v>
      </c>
      <c r="B379" s="53" t="str">
        <f>VLOOKUP(Ruimtestaat[[#This Row],[Code]],Locaties[#All],2,FALSE)</f>
        <v>Open Schoolgemeenschap Bijlmer</v>
      </c>
      <c r="C379" s="53" t="str">
        <f>VLOOKUP(Ruimtestaat[[#This Row],[Code]],Locaties[#All],4,FALSE)</f>
        <v>Gulden Kruis 5</v>
      </c>
      <c r="D379" s="53" t="str">
        <f>VLOOKUP(Ruimtestaat[[#This Row],[Code]],Locaties[#All],5,FALSE)</f>
        <v>1103 BE</v>
      </c>
      <c r="E379" s="53" t="str">
        <f>VLOOKUP(Ruimtestaat[[#This Row],[Code]],Locaties[#All],6,FALSE)</f>
        <v>Amsterdam Zuidoost</v>
      </c>
      <c r="F379" s="78"/>
      <c r="G379" s="53" t="s">
        <v>450</v>
      </c>
      <c r="H379" s="53" t="s">
        <v>771</v>
      </c>
      <c r="I379" s="78" t="s">
        <v>579</v>
      </c>
      <c r="J379" s="53">
        <v>5</v>
      </c>
      <c r="K379" s="78" t="str">
        <f>VLOOKUP(J379,Ruimtegroepen[],2,FALSE)</f>
        <v>Sanitair</v>
      </c>
      <c r="L379" s="53" t="s">
        <v>285</v>
      </c>
      <c r="M379" s="53" t="s">
        <v>580</v>
      </c>
      <c r="N379" s="92">
        <v>6.42</v>
      </c>
      <c r="O379" s="92"/>
      <c r="P379" s="80" t="str">
        <f>LEFT(VLOOKUP(Ruimtestaat[[#This Row],[Ruimte code]],Ruimtegroepen[#All],4,1),2)</f>
        <v xml:space="preserve">S </v>
      </c>
      <c r="Q379" s="93"/>
      <c r="R379" s="81">
        <v>40</v>
      </c>
      <c r="S379" s="81" t="s">
        <v>296</v>
      </c>
      <c r="T379" s="82">
        <f>IF(R379&gt;0,IF(RIGHT(Ruimtestaat[[#This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79" s="82">
        <f>IF(T379&gt;0,VLOOKUP($J379,Ruimtegroepen[],3,FALSE)*VLOOKUP($L379,Vloersoorten[],3,FALSE)*VLOOKUP($S379,Frequenties[],3,FALSE)*VLOOKUP($A379,Locaties[],3,FALSE),0)</f>
        <v>0</v>
      </c>
      <c r="V379" s="83">
        <f>Ruimtestaat[[#This Row],[Uitvoeringen werkdagen]]*Ruimtestaat[[#This Row],[Oppervlak (netto)]]</f>
        <v>2568</v>
      </c>
      <c r="W379" s="84">
        <f>IF(U379&gt;0,Ruimtestaat[[#This Row],[Prest. (m2 /jaar) werkdagen]]/Ruimtestaat[[#This Row],[Norm (m2/uur) werkdagen]],0)</f>
        <v>0</v>
      </c>
      <c r="X379" s="85">
        <f>Ruimtestaat[[#This Row],[uren / jaar werkdagen]]*Tariefsopbouw!$E$35</f>
        <v>0</v>
      </c>
      <c r="Y379" s="82"/>
      <c r="Z379" s="86">
        <f>IF(Ruimtestaat[[#This Row],[Frequentie weekend]]&gt;0,VALUE(LEFT(Y379,1))*R379,0)</f>
        <v>0</v>
      </c>
      <c r="AA379" s="82">
        <f>IF($Z379&gt;0,VLOOKUP($J379,Ruimtegroepen[],3,FALSE)*VLOOKUP($L379,Vloersoorten[],3,FALSE)*VLOOKUP($Y379,Frequenties[],3,FALSE)*VLOOKUP($A375,Locaties[],3,FALSE),0)</f>
        <v>0</v>
      </c>
      <c r="AB379" s="84">
        <f>Ruimtestaat[[#This Row],[Uitvoeringen weekend]]*Ruimtestaat[[#This Row],[Oppervlak (netto)]]</f>
        <v>0</v>
      </c>
      <c r="AC379" s="87">
        <f>IF(AB379&gt;0,Ruimtestaat[[#This Row],[Prest. (m2 /jaar) weekend]]/Ruimtestaat[[#This Row],[Norm (m2/uur) weekend]],0)</f>
        <v>0</v>
      </c>
      <c r="AD379" s="88">
        <f>Ruimtestaat[[#This Row],[uren / jaar weekend]]*Tariefsopbouw!$D$40</f>
        <v>0</v>
      </c>
      <c r="AE379" s="89">
        <f>Ruimtestaat[[#This Row],[Prest. (m2 /jaar) weekend]]+Ruimtestaat[[#This Row],[Prest. (m2 /jaar) werkdagen]]</f>
        <v>2568</v>
      </c>
      <c r="AF379" s="89">
        <f>Ruimtestaat[[#This Row],[uren / jaar weekend]]+Ruimtestaat[[#This Row],[uren / jaar werkdagen]]</f>
        <v>0</v>
      </c>
      <c r="AG379" s="90">
        <f>Ruimtestaat[[#This Row],[kosten / jaar weekend]]+Ruimtestaat[[#This Row],[kosten / jaar werkdagen]]</f>
        <v>0</v>
      </c>
    </row>
    <row r="380" spans="1:33" ht="15" customHeight="1">
      <c r="A380" s="53">
        <v>2</v>
      </c>
      <c r="B380" s="53" t="str">
        <f>VLOOKUP(Ruimtestaat[[#This Row],[Code]],Locaties[#All],2,FALSE)</f>
        <v>Open Schoolgemeenschap Bijlmer</v>
      </c>
      <c r="C380" s="53" t="str">
        <f>VLOOKUP(Ruimtestaat[[#This Row],[Code]],Locaties[#All],4,FALSE)</f>
        <v>Gulden Kruis 5</v>
      </c>
      <c r="D380" s="53" t="str">
        <f>VLOOKUP(Ruimtestaat[[#This Row],[Code]],Locaties[#All],5,FALSE)</f>
        <v>1103 BE</v>
      </c>
      <c r="E380" s="53" t="str">
        <f>VLOOKUP(Ruimtestaat[[#This Row],[Code]],Locaties[#All],6,FALSE)</f>
        <v>Amsterdam Zuidoost</v>
      </c>
      <c r="F380" s="78"/>
      <c r="G380" s="53" t="s">
        <v>450</v>
      </c>
      <c r="H380" s="53" t="s">
        <v>772</v>
      </c>
      <c r="I380" s="78" t="s">
        <v>579</v>
      </c>
      <c r="J380" s="53">
        <v>5</v>
      </c>
      <c r="K380" s="78" t="str">
        <f>VLOOKUP(J380,Ruimtegroepen[],2,FALSE)</f>
        <v>Sanitair</v>
      </c>
      <c r="L380" s="53" t="s">
        <v>285</v>
      </c>
      <c r="M380" s="53" t="s">
        <v>580</v>
      </c>
      <c r="N380" s="92">
        <v>6.42</v>
      </c>
      <c r="O380" s="92"/>
      <c r="P380" s="80" t="str">
        <f>LEFT(VLOOKUP(Ruimtestaat[[#This Row],[Ruimte code]],Ruimtegroepen[#All],4,1),2)</f>
        <v xml:space="preserve">S </v>
      </c>
      <c r="Q380" s="93"/>
      <c r="R380" s="81">
        <v>40</v>
      </c>
      <c r="S380" s="81" t="s">
        <v>296</v>
      </c>
      <c r="T380" s="82">
        <f>IF(R380&gt;0,IF(RIGHT(Ruimtestaat[[#This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380" s="82">
        <f>IF(T380&gt;0,VLOOKUP($J380,Ruimtegroepen[],3,FALSE)*VLOOKUP($L380,Vloersoorten[],3,FALSE)*VLOOKUP($S380,Frequenties[],3,FALSE)*VLOOKUP($A380,Locaties[],3,FALSE),0)</f>
        <v>0</v>
      </c>
      <c r="V380" s="83">
        <f>Ruimtestaat[[#This Row],[Uitvoeringen werkdagen]]*Ruimtestaat[[#This Row],[Oppervlak (netto)]]</f>
        <v>2568</v>
      </c>
      <c r="W380" s="84">
        <f>IF(U380&gt;0,Ruimtestaat[[#This Row],[Prest. (m2 /jaar) werkdagen]]/Ruimtestaat[[#This Row],[Norm (m2/uur) werkdagen]],0)</f>
        <v>0</v>
      </c>
      <c r="X380" s="85">
        <f>Ruimtestaat[[#This Row],[uren / jaar werkdagen]]*Tariefsopbouw!$E$35</f>
        <v>0</v>
      </c>
      <c r="Y380" s="82"/>
      <c r="Z380" s="86">
        <f>IF(Ruimtestaat[[#This Row],[Frequentie weekend]]&gt;0,VALUE(LEFT(Y380,1))*R380,0)</f>
        <v>0</v>
      </c>
      <c r="AA380" s="82">
        <f>IF($Z380&gt;0,VLOOKUP($J380,Ruimtegroepen[],3,FALSE)*VLOOKUP($L380,Vloersoorten[],3,FALSE)*VLOOKUP($Y380,Frequenties[],3,FALSE)*VLOOKUP($A376,Locaties[],3,FALSE),0)</f>
        <v>0</v>
      </c>
      <c r="AB380" s="84">
        <f>Ruimtestaat[[#This Row],[Uitvoeringen weekend]]*Ruimtestaat[[#This Row],[Oppervlak (netto)]]</f>
        <v>0</v>
      </c>
      <c r="AC380" s="87">
        <f>IF(AB380&gt;0,Ruimtestaat[[#This Row],[Prest. (m2 /jaar) weekend]]/Ruimtestaat[[#This Row],[Norm (m2/uur) weekend]],0)</f>
        <v>0</v>
      </c>
      <c r="AD380" s="88">
        <f>Ruimtestaat[[#This Row],[uren / jaar weekend]]*Tariefsopbouw!$D$40</f>
        <v>0</v>
      </c>
      <c r="AE380" s="89">
        <f>Ruimtestaat[[#This Row],[Prest. (m2 /jaar) weekend]]+Ruimtestaat[[#This Row],[Prest. (m2 /jaar) werkdagen]]</f>
        <v>2568</v>
      </c>
      <c r="AF380" s="89">
        <f>Ruimtestaat[[#This Row],[uren / jaar weekend]]+Ruimtestaat[[#This Row],[uren / jaar werkdagen]]</f>
        <v>0</v>
      </c>
      <c r="AG380" s="90">
        <f>Ruimtestaat[[#This Row],[kosten / jaar weekend]]+Ruimtestaat[[#This Row],[kosten / jaar werkdagen]]</f>
        <v>0</v>
      </c>
    </row>
    <row r="381" spans="1:33" ht="15" customHeight="1">
      <c r="A381" s="53">
        <v>2</v>
      </c>
      <c r="B381" s="53" t="str">
        <f>VLOOKUP(Ruimtestaat[[#This Row],[Code]],Locaties[#All],2,FALSE)</f>
        <v>Open Schoolgemeenschap Bijlmer</v>
      </c>
      <c r="C381" s="53" t="str">
        <f>VLOOKUP(Ruimtestaat[[#This Row],[Code]],Locaties[#All],4,FALSE)</f>
        <v>Gulden Kruis 5</v>
      </c>
      <c r="D381" s="53" t="str">
        <f>VLOOKUP(Ruimtestaat[[#This Row],[Code]],Locaties[#All],5,FALSE)</f>
        <v>1103 BE</v>
      </c>
      <c r="E381" s="53" t="str">
        <f>VLOOKUP(Ruimtestaat[[#This Row],[Code]],Locaties[#All],6,FALSE)</f>
        <v>Amsterdam Zuidoost</v>
      </c>
      <c r="F381" s="78"/>
      <c r="G381" s="53" t="s">
        <v>450</v>
      </c>
      <c r="H381" s="53" t="s">
        <v>773</v>
      </c>
      <c r="I381" s="78" t="s">
        <v>428</v>
      </c>
      <c r="J381" s="53">
        <v>16</v>
      </c>
      <c r="K381" s="78" t="str">
        <f>VLOOKUP(J381,Ruimtegroepen[],2,FALSE)</f>
        <v>Leslokalen theorie</v>
      </c>
      <c r="L381" s="53" t="s">
        <v>285</v>
      </c>
      <c r="M381" s="53" t="s">
        <v>580</v>
      </c>
      <c r="N381" s="92">
        <v>126.21</v>
      </c>
      <c r="O381" s="92"/>
      <c r="P381" s="80" t="str">
        <f>LEFT(VLOOKUP(Ruimtestaat[[#This Row],[Ruimte code]],Ruimtegroepen[#All],4,1),2)</f>
        <v xml:space="preserve">L </v>
      </c>
      <c r="Q381" s="93"/>
      <c r="R381" s="81">
        <v>40</v>
      </c>
      <c r="S381" s="81" t="s">
        <v>298</v>
      </c>
      <c r="T381" s="82">
        <f>IF(R381&gt;0,IF(RIGHT(Ruimtestaat[[#This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1" s="82">
        <f>IF(T381&gt;0,VLOOKUP($J381,Ruimtegroepen[],3,FALSE)*VLOOKUP($L381,Vloersoorten[],3,FALSE)*VLOOKUP($S381,Frequenties[],3,FALSE)*VLOOKUP($A381,Locaties[],3,FALSE),0)</f>
        <v>0</v>
      </c>
      <c r="V381" s="83">
        <f>Ruimtestaat[[#This Row],[Uitvoeringen werkdagen]]*Ruimtestaat[[#This Row],[Oppervlak (netto)]]</f>
        <v>25242</v>
      </c>
      <c r="W381" s="84">
        <f>IF(U381&gt;0,Ruimtestaat[[#This Row],[Prest. (m2 /jaar) werkdagen]]/Ruimtestaat[[#This Row],[Norm (m2/uur) werkdagen]],0)</f>
        <v>0</v>
      </c>
      <c r="X381" s="85">
        <f>Ruimtestaat[[#This Row],[uren / jaar werkdagen]]*Tariefsopbouw!$E$35</f>
        <v>0</v>
      </c>
      <c r="Y381" s="82"/>
      <c r="Z381" s="86">
        <f>IF(Ruimtestaat[[#This Row],[Frequentie weekend]]&gt;0,VALUE(LEFT(Y381,1))*R381,0)</f>
        <v>0</v>
      </c>
      <c r="AA381" s="82">
        <f>IF($Z381&gt;0,VLOOKUP($J381,Ruimtegroepen[],3,FALSE)*VLOOKUP($L381,Vloersoorten[],3,FALSE)*VLOOKUP($Y381,Frequenties[],3,FALSE)*VLOOKUP($A377,Locaties[],3,FALSE),0)</f>
        <v>0</v>
      </c>
      <c r="AB381" s="84">
        <f>Ruimtestaat[[#This Row],[Uitvoeringen weekend]]*Ruimtestaat[[#This Row],[Oppervlak (netto)]]</f>
        <v>0</v>
      </c>
      <c r="AC381" s="87">
        <f>IF(AB381&gt;0,Ruimtestaat[[#This Row],[Prest. (m2 /jaar) weekend]]/Ruimtestaat[[#This Row],[Norm (m2/uur) weekend]],0)</f>
        <v>0</v>
      </c>
      <c r="AD381" s="88">
        <f>Ruimtestaat[[#This Row],[uren / jaar weekend]]*Tariefsopbouw!$D$40</f>
        <v>0</v>
      </c>
      <c r="AE381" s="89">
        <f>Ruimtestaat[[#This Row],[Prest. (m2 /jaar) weekend]]+Ruimtestaat[[#This Row],[Prest. (m2 /jaar) werkdagen]]</f>
        <v>25242</v>
      </c>
      <c r="AF381" s="89">
        <f>Ruimtestaat[[#This Row],[uren / jaar weekend]]+Ruimtestaat[[#This Row],[uren / jaar werkdagen]]</f>
        <v>0</v>
      </c>
      <c r="AG381" s="90">
        <f>Ruimtestaat[[#This Row],[kosten / jaar weekend]]+Ruimtestaat[[#This Row],[kosten / jaar werkdagen]]</f>
        <v>0</v>
      </c>
    </row>
    <row r="382" spans="1:33" ht="15" customHeight="1">
      <c r="A382" s="53">
        <v>2</v>
      </c>
      <c r="B382" s="53" t="str">
        <f>VLOOKUP(Ruimtestaat[[#This Row],[Code]],Locaties[#All],2,FALSE)</f>
        <v>Open Schoolgemeenschap Bijlmer</v>
      </c>
      <c r="C382" s="53" t="str">
        <f>VLOOKUP(Ruimtestaat[[#This Row],[Code]],Locaties[#All],4,FALSE)</f>
        <v>Gulden Kruis 5</v>
      </c>
      <c r="D382" s="53" t="str">
        <f>VLOOKUP(Ruimtestaat[[#This Row],[Code]],Locaties[#All],5,FALSE)</f>
        <v>1103 BE</v>
      </c>
      <c r="E382" s="53" t="str">
        <f>VLOOKUP(Ruimtestaat[[#This Row],[Code]],Locaties[#All],6,FALSE)</f>
        <v>Amsterdam Zuidoost</v>
      </c>
      <c r="F382" s="78"/>
      <c r="G382" s="53" t="s">
        <v>450</v>
      </c>
      <c r="H382" s="53" t="s">
        <v>774</v>
      </c>
      <c r="I382" s="78" t="s">
        <v>775</v>
      </c>
      <c r="J382" s="53">
        <v>6</v>
      </c>
      <c r="K382" s="78" t="str">
        <f>VLOOKUP(J382,Ruimtegroepen[],2,FALSE)</f>
        <v>Gangen/hallen</v>
      </c>
      <c r="L382" s="53" t="s">
        <v>283</v>
      </c>
      <c r="M382" s="53" t="s">
        <v>576</v>
      </c>
      <c r="N382" s="92">
        <v>68.672299999999993</v>
      </c>
      <c r="O382" s="92"/>
      <c r="P382" s="80" t="str">
        <f>LEFT(VLOOKUP(Ruimtestaat[[#This Row],[Ruimte code]],Ruimtegroepen[#All],4,1),2)</f>
        <v xml:space="preserve">V </v>
      </c>
      <c r="Q382" s="93"/>
      <c r="R382" s="81">
        <v>40</v>
      </c>
      <c r="S382" s="81" t="s">
        <v>298</v>
      </c>
      <c r="T382" s="82">
        <f>IF(R382&gt;0,IF(RIGHT(Ruimtestaat[[#This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2" s="82">
        <f>IF(T382&gt;0,VLOOKUP($J382,Ruimtegroepen[],3,FALSE)*VLOOKUP($L382,Vloersoorten[],3,FALSE)*VLOOKUP($S382,Frequenties[],3,FALSE)*VLOOKUP($A382,Locaties[],3,FALSE),0)</f>
        <v>0</v>
      </c>
      <c r="V382" s="83">
        <f>Ruimtestaat[[#This Row],[Uitvoeringen werkdagen]]*Ruimtestaat[[#This Row],[Oppervlak (netto)]]</f>
        <v>13734.46</v>
      </c>
      <c r="W382" s="84">
        <f>IF(U382&gt;0,Ruimtestaat[[#This Row],[Prest. (m2 /jaar) werkdagen]]/Ruimtestaat[[#This Row],[Norm (m2/uur) werkdagen]],0)</f>
        <v>0</v>
      </c>
      <c r="X382" s="85">
        <f>Ruimtestaat[[#This Row],[uren / jaar werkdagen]]*Tariefsopbouw!$E$35</f>
        <v>0</v>
      </c>
      <c r="Y382" s="82"/>
      <c r="Z382" s="86">
        <f>IF(Ruimtestaat[[#This Row],[Frequentie weekend]]&gt;0,VALUE(LEFT(Y382,1))*R382,0)</f>
        <v>0</v>
      </c>
      <c r="AA382" s="82">
        <f>IF($Z382&gt;0,VLOOKUP($J382,Ruimtegroepen[],3,FALSE)*VLOOKUP($L382,Vloersoorten[],3,FALSE)*VLOOKUP($Y382,Frequenties[],3,FALSE)*VLOOKUP($A378,Locaties[],3,FALSE),0)</f>
        <v>0</v>
      </c>
      <c r="AB382" s="84">
        <f>Ruimtestaat[[#This Row],[Uitvoeringen weekend]]*Ruimtestaat[[#This Row],[Oppervlak (netto)]]</f>
        <v>0</v>
      </c>
      <c r="AC382" s="87">
        <f>IF(AB382&gt;0,Ruimtestaat[[#This Row],[Prest. (m2 /jaar) weekend]]/Ruimtestaat[[#This Row],[Norm (m2/uur) weekend]],0)</f>
        <v>0</v>
      </c>
      <c r="AD382" s="88">
        <f>Ruimtestaat[[#This Row],[uren / jaar weekend]]*Tariefsopbouw!$D$40</f>
        <v>0</v>
      </c>
      <c r="AE382" s="89">
        <f>Ruimtestaat[[#This Row],[Prest. (m2 /jaar) weekend]]+Ruimtestaat[[#This Row],[Prest. (m2 /jaar) werkdagen]]</f>
        <v>13734.46</v>
      </c>
      <c r="AF382" s="89">
        <f>Ruimtestaat[[#This Row],[uren / jaar weekend]]+Ruimtestaat[[#This Row],[uren / jaar werkdagen]]</f>
        <v>0</v>
      </c>
      <c r="AG382" s="90">
        <f>Ruimtestaat[[#This Row],[kosten / jaar weekend]]+Ruimtestaat[[#This Row],[kosten / jaar werkdagen]]</f>
        <v>0</v>
      </c>
    </row>
    <row r="383" spans="1:33" ht="15" customHeight="1">
      <c r="A383" s="53">
        <v>2</v>
      </c>
      <c r="B383" s="53" t="str">
        <f>VLOOKUP(Ruimtestaat[[#This Row],[Code]],Locaties[#All],2,FALSE)</f>
        <v>Open Schoolgemeenschap Bijlmer</v>
      </c>
      <c r="C383" s="53" t="str">
        <f>VLOOKUP(Ruimtestaat[[#This Row],[Code]],Locaties[#All],4,FALSE)</f>
        <v>Gulden Kruis 5</v>
      </c>
      <c r="D383" s="53" t="str">
        <f>VLOOKUP(Ruimtestaat[[#This Row],[Code]],Locaties[#All],5,FALSE)</f>
        <v>1103 BE</v>
      </c>
      <c r="E383" s="53" t="str">
        <f>VLOOKUP(Ruimtestaat[[#This Row],[Code]],Locaties[#All],6,FALSE)</f>
        <v>Amsterdam Zuidoost</v>
      </c>
      <c r="F383" s="78"/>
      <c r="G383" s="53" t="s">
        <v>450</v>
      </c>
      <c r="H383" s="53" t="s">
        <v>776</v>
      </c>
      <c r="I383" s="78" t="s">
        <v>777</v>
      </c>
      <c r="J383" s="53">
        <v>6</v>
      </c>
      <c r="K383" s="78" t="str">
        <f>VLOOKUP(J383,Ruimtegroepen[],2,FALSE)</f>
        <v>Gangen/hallen</v>
      </c>
      <c r="L383" s="53" t="s">
        <v>283</v>
      </c>
      <c r="M383" s="53" t="s">
        <v>576</v>
      </c>
      <c r="N383" s="92">
        <v>68.672299999999993</v>
      </c>
      <c r="O383" s="92"/>
      <c r="P383" s="80" t="str">
        <f>LEFT(VLOOKUP(Ruimtestaat[[#This Row],[Ruimte code]],Ruimtegroepen[#All],4,1),2)</f>
        <v xml:space="preserve">V </v>
      </c>
      <c r="Q383" s="93"/>
      <c r="R383" s="81">
        <v>40</v>
      </c>
      <c r="S383" s="81" t="s">
        <v>298</v>
      </c>
      <c r="T383" s="82">
        <f>IF(R383&gt;0,IF(RIGHT(Ruimtestaat[[#This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3" s="82">
        <f>IF(T383&gt;0,VLOOKUP($J383,Ruimtegroepen[],3,FALSE)*VLOOKUP($L383,Vloersoorten[],3,FALSE)*VLOOKUP($S383,Frequenties[],3,FALSE)*VLOOKUP($A383,Locaties[],3,FALSE),0)</f>
        <v>0</v>
      </c>
      <c r="V383" s="83">
        <f>Ruimtestaat[[#This Row],[Uitvoeringen werkdagen]]*Ruimtestaat[[#This Row],[Oppervlak (netto)]]</f>
        <v>13734.46</v>
      </c>
      <c r="W383" s="84">
        <f>IF(U383&gt;0,Ruimtestaat[[#This Row],[Prest. (m2 /jaar) werkdagen]]/Ruimtestaat[[#This Row],[Norm (m2/uur) werkdagen]],0)</f>
        <v>0</v>
      </c>
      <c r="X383" s="85">
        <f>Ruimtestaat[[#This Row],[uren / jaar werkdagen]]*Tariefsopbouw!$E$35</f>
        <v>0</v>
      </c>
      <c r="Y383" s="82"/>
      <c r="Z383" s="86">
        <f>IF(Ruimtestaat[[#This Row],[Frequentie weekend]]&gt;0,VALUE(LEFT(Y383,1))*R383,0)</f>
        <v>0</v>
      </c>
      <c r="AA383" s="82">
        <f>IF($Z383&gt;0,VLOOKUP($J383,Ruimtegroepen[],3,FALSE)*VLOOKUP($L383,Vloersoorten[],3,FALSE)*VLOOKUP($Y383,Frequenties[],3,FALSE)*VLOOKUP($A379,Locaties[],3,FALSE),0)</f>
        <v>0</v>
      </c>
      <c r="AB383" s="84">
        <f>Ruimtestaat[[#This Row],[Uitvoeringen weekend]]*Ruimtestaat[[#This Row],[Oppervlak (netto)]]</f>
        <v>0</v>
      </c>
      <c r="AC383" s="87">
        <f>IF(AB383&gt;0,Ruimtestaat[[#This Row],[Prest. (m2 /jaar) weekend]]/Ruimtestaat[[#This Row],[Norm (m2/uur) weekend]],0)</f>
        <v>0</v>
      </c>
      <c r="AD383" s="88">
        <f>Ruimtestaat[[#This Row],[uren / jaar weekend]]*Tariefsopbouw!$D$40</f>
        <v>0</v>
      </c>
      <c r="AE383" s="89">
        <f>Ruimtestaat[[#This Row],[Prest. (m2 /jaar) weekend]]+Ruimtestaat[[#This Row],[Prest. (m2 /jaar) werkdagen]]</f>
        <v>13734.46</v>
      </c>
      <c r="AF383" s="89">
        <f>Ruimtestaat[[#This Row],[uren / jaar weekend]]+Ruimtestaat[[#This Row],[uren / jaar werkdagen]]</f>
        <v>0</v>
      </c>
      <c r="AG383" s="90">
        <f>Ruimtestaat[[#This Row],[kosten / jaar weekend]]+Ruimtestaat[[#This Row],[kosten / jaar werkdagen]]</f>
        <v>0</v>
      </c>
    </row>
    <row r="384" spans="1:33" ht="15" customHeight="1">
      <c r="A384" s="53">
        <v>2</v>
      </c>
      <c r="B384" s="53" t="str">
        <f>VLOOKUP(Ruimtestaat[[#This Row],[Code]],Locaties[#All],2,FALSE)</f>
        <v>Open Schoolgemeenschap Bijlmer</v>
      </c>
      <c r="C384" s="53" t="str">
        <f>VLOOKUP(Ruimtestaat[[#This Row],[Code]],Locaties[#All],4,FALSE)</f>
        <v>Gulden Kruis 5</v>
      </c>
      <c r="D384" s="53" t="str">
        <f>VLOOKUP(Ruimtestaat[[#This Row],[Code]],Locaties[#All],5,FALSE)</f>
        <v>1103 BE</v>
      </c>
      <c r="E384" s="53" t="str">
        <f>VLOOKUP(Ruimtestaat[[#This Row],[Code]],Locaties[#All],6,FALSE)</f>
        <v>Amsterdam Zuidoost</v>
      </c>
      <c r="F384" s="78"/>
      <c r="G384" s="53" t="s">
        <v>450</v>
      </c>
      <c r="H384" s="53" t="s">
        <v>778</v>
      </c>
      <c r="I384" s="78" t="s">
        <v>359</v>
      </c>
      <c r="J384" s="53">
        <v>2</v>
      </c>
      <c r="K384" s="78" t="str">
        <f>VLOOKUP(J384,Ruimtegroepen[],2,FALSE)</f>
        <v>Kantoren</v>
      </c>
      <c r="L384" s="53" t="s">
        <v>283</v>
      </c>
      <c r="M384" s="53" t="s">
        <v>576</v>
      </c>
      <c r="N384" s="92">
        <v>10.9626</v>
      </c>
      <c r="O384" s="92"/>
      <c r="P384" s="80" t="str">
        <f>LEFT(VLOOKUP(Ruimtestaat[[#This Row],[Ruimte code]],Ruimtegroepen[#All],4,1),2)</f>
        <v xml:space="preserve">B </v>
      </c>
      <c r="Q384" s="93"/>
      <c r="R384" s="81">
        <v>40</v>
      </c>
      <c r="S384" s="81" t="s">
        <v>298</v>
      </c>
      <c r="T384" s="82">
        <f>IF(R384&gt;0,IF(RIGHT(Ruimtestaat[[#This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4" s="82">
        <f>IF(T384&gt;0,VLOOKUP($J384,Ruimtegroepen[],3,FALSE)*VLOOKUP($L384,Vloersoorten[],3,FALSE)*VLOOKUP($S384,Frequenties[],3,FALSE)*VLOOKUP($A384,Locaties[],3,FALSE),0)</f>
        <v>0</v>
      </c>
      <c r="V384" s="83">
        <f>Ruimtestaat[[#This Row],[Uitvoeringen werkdagen]]*Ruimtestaat[[#This Row],[Oppervlak (netto)]]</f>
        <v>2192.52</v>
      </c>
      <c r="W384" s="84">
        <f>IF(U384&gt;0,Ruimtestaat[[#This Row],[Prest. (m2 /jaar) werkdagen]]/Ruimtestaat[[#This Row],[Norm (m2/uur) werkdagen]],0)</f>
        <v>0</v>
      </c>
      <c r="X384" s="85">
        <f>Ruimtestaat[[#This Row],[uren / jaar werkdagen]]*Tariefsopbouw!$E$35</f>
        <v>0</v>
      </c>
      <c r="Y384" s="82"/>
      <c r="Z384" s="86">
        <f>IF(Ruimtestaat[[#This Row],[Frequentie weekend]]&gt;0,VALUE(LEFT(Y384,1))*R384,0)</f>
        <v>0</v>
      </c>
      <c r="AA384" s="82">
        <f>IF($Z384&gt;0,VLOOKUP($J384,Ruimtegroepen[],3,FALSE)*VLOOKUP($L384,Vloersoorten[],3,FALSE)*VLOOKUP($Y384,Frequenties[],3,FALSE)*VLOOKUP($A380,Locaties[],3,FALSE),0)</f>
        <v>0</v>
      </c>
      <c r="AB384" s="84">
        <f>Ruimtestaat[[#This Row],[Uitvoeringen weekend]]*Ruimtestaat[[#This Row],[Oppervlak (netto)]]</f>
        <v>0</v>
      </c>
      <c r="AC384" s="87">
        <f>IF(AB384&gt;0,Ruimtestaat[[#This Row],[Prest. (m2 /jaar) weekend]]/Ruimtestaat[[#This Row],[Norm (m2/uur) weekend]],0)</f>
        <v>0</v>
      </c>
      <c r="AD384" s="88">
        <f>Ruimtestaat[[#This Row],[uren / jaar weekend]]*Tariefsopbouw!$D$40</f>
        <v>0</v>
      </c>
      <c r="AE384" s="89">
        <f>Ruimtestaat[[#This Row],[Prest. (m2 /jaar) weekend]]+Ruimtestaat[[#This Row],[Prest. (m2 /jaar) werkdagen]]</f>
        <v>2192.52</v>
      </c>
      <c r="AF384" s="89">
        <f>Ruimtestaat[[#This Row],[uren / jaar weekend]]+Ruimtestaat[[#This Row],[uren / jaar werkdagen]]</f>
        <v>0</v>
      </c>
      <c r="AG384" s="90">
        <f>Ruimtestaat[[#This Row],[kosten / jaar weekend]]+Ruimtestaat[[#This Row],[kosten / jaar werkdagen]]</f>
        <v>0</v>
      </c>
    </row>
    <row r="385" spans="1:33" ht="15" customHeight="1">
      <c r="A385" s="53">
        <v>2</v>
      </c>
      <c r="B385" s="53" t="str">
        <f>VLOOKUP(Ruimtestaat[[#This Row],[Code]],Locaties[#All],2,FALSE)</f>
        <v>Open Schoolgemeenschap Bijlmer</v>
      </c>
      <c r="C385" s="53" t="str">
        <f>VLOOKUP(Ruimtestaat[[#This Row],[Code]],Locaties[#All],4,FALSE)</f>
        <v>Gulden Kruis 5</v>
      </c>
      <c r="D385" s="53" t="str">
        <f>VLOOKUP(Ruimtestaat[[#This Row],[Code]],Locaties[#All],5,FALSE)</f>
        <v>1103 BE</v>
      </c>
      <c r="E385" s="53" t="str">
        <f>VLOOKUP(Ruimtestaat[[#This Row],[Code]],Locaties[#All],6,FALSE)</f>
        <v>Amsterdam Zuidoost</v>
      </c>
      <c r="F385" s="78"/>
      <c r="G385" s="53" t="s">
        <v>450</v>
      </c>
      <c r="H385" s="53" t="s">
        <v>779</v>
      </c>
      <c r="I385" s="78" t="s">
        <v>780</v>
      </c>
      <c r="J385" s="53">
        <v>12</v>
      </c>
      <c r="K385" s="78" t="str">
        <f>VLOOKUP(J385,Ruimtegroepen[],2,FALSE)</f>
        <v>Kantine</v>
      </c>
      <c r="L385" s="53" t="s">
        <v>280</v>
      </c>
      <c r="M385" s="53" t="s">
        <v>566</v>
      </c>
      <c r="N385" s="92">
        <v>75.007000000000005</v>
      </c>
      <c r="O385" s="92"/>
      <c r="P385" s="80" t="str">
        <f>LEFT(VLOOKUP(Ruimtestaat[[#This Row],[Ruimte code]],Ruimtegroepen[#All],4,1),2)</f>
        <v xml:space="preserve">V </v>
      </c>
      <c r="Q385" s="93"/>
      <c r="R385" s="81">
        <v>40</v>
      </c>
      <c r="S385" s="81" t="s">
        <v>298</v>
      </c>
      <c r="T385" s="82">
        <f>IF(R385&gt;0,IF(RIGHT(Ruimtestaat[[#This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5" s="82">
        <f>IF(T385&gt;0,VLOOKUP($J385,Ruimtegroepen[],3,FALSE)*VLOOKUP($L385,Vloersoorten[],3,FALSE)*VLOOKUP($S385,Frequenties[],3,FALSE)*VLOOKUP($A385,Locaties[],3,FALSE),0)</f>
        <v>0</v>
      </c>
      <c r="V385" s="83">
        <f>Ruimtestaat[[#This Row],[Uitvoeringen werkdagen]]*Ruimtestaat[[#This Row],[Oppervlak (netto)]]</f>
        <v>15001.400000000001</v>
      </c>
      <c r="W385" s="84">
        <f>IF(U385&gt;0,Ruimtestaat[[#This Row],[Prest. (m2 /jaar) werkdagen]]/Ruimtestaat[[#This Row],[Norm (m2/uur) werkdagen]],0)</f>
        <v>0</v>
      </c>
      <c r="X385" s="85">
        <f>Ruimtestaat[[#This Row],[uren / jaar werkdagen]]*Tariefsopbouw!$E$35</f>
        <v>0</v>
      </c>
      <c r="Y385" s="82"/>
      <c r="Z385" s="86">
        <f>IF(Ruimtestaat[[#This Row],[Frequentie weekend]]&gt;0,VALUE(LEFT(Y385,1))*R385,0)</f>
        <v>0</v>
      </c>
      <c r="AA385" s="82">
        <f>IF($Z385&gt;0,VLOOKUP($J385,Ruimtegroepen[],3,FALSE)*VLOOKUP($L385,Vloersoorten[],3,FALSE)*VLOOKUP($Y385,Frequenties[],3,FALSE)*VLOOKUP($A381,Locaties[],3,FALSE),0)</f>
        <v>0</v>
      </c>
      <c r="AB385" s="84">
        <f>Ruimtestaat[[#This Row],[Uitvoeringen weekend]]*Ruimtestaat[[#This Row],[Oppervlak (netto)]]</f>
        <v>0</v>
      </c>
      <c r="AC385" s="87">
        <f>IF(AB385&gt;0,Ruimtestaat[[#This Row],[Prest. (m2 /jaar) weekend]]/Ruimtestaat[[#This Row],[Norm (m2/uur) weekend]],0)</f>
        <v>0</v>
      </c>
      <c r="AD385" s="88">
        <f>Ruimtestaat[[#This Row],[uren / jaar weekend]]*Tariefsopbouw!$D$40</f>
        <v>0</v>
      </c>
      <c r="AE385" s="89">
        <f>Ruimtestaat[[#This Row],[Prest. (m2 /jaar) weekend]]+Ruimtestaat[[#This Row],[Prest. (m2 /jaar) werkdagen]]</f>
        <v>15001.400000000001</v>
      </c>
      <c r="AF385" s="89">
        <f>Ruimtestaat[[#This Row],[uren / jaar weekend]]+Ruimtestaat[[#This Row],[uren / jaar werkdagen]]</f>
        <v>0</v>
      </c>
      <c r="AG385" s="90">
        <f>Ruimtestaat[[#This Row],[kosten / jaar weekend]]+Ruimtestaat[[#This Row],[kosten / jaar werkdagen]]</f>
        <v>0</v>
      </c>
    </row>
    <row r="386" spans="1:33" ht="15" customHeight="1">
      <c r="A386" s="53">
        <v>2</v>
      </c>
      <c r="B386" s="53" t="str">
        <f>VLOOKUP(Ruimtestaat[[#This Row],[Code]],Locaties[#All],2,FALSE)</f>
        <v>Open Schoolgemeenschap Bijlmer</v>
      </c>
      <c r="C386" s="53" t="str">
        <f>VLOOKUP(Ruimtestaat[[#This Row],[Code]],Locaties[#All],4,FALSE)</f>
        <v>Gulden Kruis 5</v>
      </c>
      <c r="D386" s="53" t="str">
        <f>VLOOKUP(Ruimtestaat[[#This Row],[Code]],Locaties[#All],5,FALSE)</f>
        <v>1103 BE</v>
      </c>
      <c r="E386" s="53" t="str">
        <f>VLOOKUP(Ruimtestaat[[#This Row],[Code]],Locaties[#All],6,FALSE)</f>
        <v>Amsterdam Zuidoost</v>
      </c>
      <c r="F386" s="78"/>
      <c r="G386" s="53" t="s">
        <v>450</v>
      </c>
      <c r="H386" s="53" t="s">
        <v>781</v>
      </c>
      <c r="I386" s="78" t="s">
        <v>378</v>
      </c>
      <c r="J386" s="53">
        <v>10</v>
      </c>
      <c r="K386" s="78" t="str">
        <f>VLOOKUP(J386,Ruimtegroepen[],2,FALSE)</f>
        <v>Trappenhuizen/lift</v>
      </c>
      <c r="L386" s="53" t="s">
        <v>285</v>
      </c>
      <c r="M386" s="53" t="s">
        <v>597</v>
      </c>
      <c r="N386" s="92">
        <v>28.57</v>
      </c>
      <c r="O386" s="92"/>
      <c r="P386" s="80" t="str">
        <f>LEFT(VLOOKUP(Ruimtestaat[[#This Row],[Ruimte code]],Ruimtegroepen[#All],4,1),2)</f>
        <v xml:space="preserve">V </v>
      </c>
      <c r="Q386" s="93"/>
      <c r="R386" s="81">
        <v>40</v>
      </c>
      <c r="S386" s="81" t="s">
        <v>298</v>
      </c>
      <c r="T386" s="82">
        <f>IF(R386&gt;0,IF(RIGHT(Ruimtestaat[[#This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6" s="82">
        <f>IF(T386&gt;0,VLOOKUP($J386,Ruimtegroepen[],3,FALSE)*VLOOKUP($L386,Vloersoorten[],3,FALSE)*VLOOKUP($S386,Frequenties[],3,FALSE)*VLOOKUP($A386,Locaties[],3,FALSE),0)</f>
        <v>0</v>
      </c>
      <c r="V386" s="83">
        <f>Ruimtestaat[[#This Row],[Uitvoeringen werkdagen]]*Ruimtestaat[[#This Row],[Oppervlak (netto)]]</f>
        <v>5714</v>
      </c>
      <c r="W386" s="84">
        <f>IF(U386&gt;0,Ruimtestaat[[#This Row],[Prest. (m2 /jaar) werkdagen]]/Ruimtestaat[[#This Row],[Norm (m2/uur) werkdagen]],0)</f>
        <v>0</v>
      </c>
      <c r="X386" s="85">
        <f>Ruimtestaat[[#This Row],[uren / jaar werkdagen]]*Tariefsopbouw!$E$35</f>
        <v>0</v>
      </c>
      <c r="Y386" s="82"/>
      <c r="Z386" s="86">
        <f>IF(Ruimtestaat[[#This Row],[Frequentie weekend]]&gt;0,VALUE(LEFT(Y386,1))*R386,0)</f>
        <v>0</v>
      </c>
      <c r="AA386" s="82">
        <f>IF($Z386&gt;0,VLOOKUP($J386,Ruimtegroepen[],3,FALSE)*VLOOKUP($L386,Vloersoorten[],3,FALSE)*VLOOKUP($Y386,Frequenties[],3,FALSE)*VLOOKUP($A382,Locaties[],3,FALSE),0)</f>
        <v>0</v>
      </c>
      <c r="AB386" s="84">
        <f>Ruimtestaat[[#This Row],[Uitvoeringen weekend]]*Ruimtestaat[[#This Row],[Oppervlak (netto)]]</f>
        <v>0</v>
      </c>
      <c r="AC386" s="87">
        <f>IF(AB386&gt;0,Ruimtestaat[[#This Row],[Prest. (m2 /jaar) weekend]]/Ruimtestaat[[#This Row],[Norm (m2/uur) weekend]],0)</f>
        <v>0</v>
      </c>
      <c r="AD386" s="88">
        <f>Ruimtestaat[[#This Row],[uren / jaar weekend]]*Tariefsopbouw!$D$40</f>
        <v>0</v>
      </c>
      <c r="AE386" s="89">
        <f>Ruimtestaat[[#This Row],[Prest. (m2 /jaar) weekend]]+Ruimtestaat[[#This Row],[Prest. (m2 /jaar) werkdagen]]</f>
        <v>5714</v>
      </c>
      <c r="AF386" s="89">
        <f>Ruimtestaat[[#This Row],[uren / jaar weekend]]+Ruimtestaat[[#This Row],[uren / jaar werkdagen]]</f>
        <v>0</v>
      </c>
      <c r="AG386" s="90">
        <f>Ruimtestaat[[#This Row],[kosten / jaar weekend]]+Ruimtestaat[[#This Row],[kosten / jaar werkdagen]]</f>
        <v>0</v>
      </c>
    </row>
    <row r="387" spans="1:33" ht="15" customHeight="1">
      <c r="A387" s="53">
        <v>2</v>
      </c>
      <c r="B387" s="53" t="str">
        <f>VLOOKUP(Ruimtestaat[[#This Row],[Code]],Locaties[#All],2,FALSE)</f>
        <v>Open Schoolgemeenschap Bijlmer</v>
      </c>
      <c r="C387" s="53" t="str">
        <f>VLOOKUP(Ruimtestaat[[#This Row],[Code]],Locaties[#All],4,FALSE)</f>
        <v>Gulden Kruis 5</v>
      </c>
      <c r="D387" s="53" t="str">
        <f>VLOOKUP(Ruimtestaat[[#This Row],[Code]],Locaties[#All],5,FALSE)</f>
        <v>1103 BE</v>
      </c>
      <c r="E387" s="53" t="str">
        <f>VLOOKUP(Ruimtestaat[[#This Row],[Code]],Locaties[#All],6,FALSE)</f>
        <v>Amsterdam Zuidoost</v>
      </c>
      <c r="F387" s="78"/>
      <c r="G387" s="53" t="s">
        <v>450</v>
      </c>
      <c r="H387" s="53" t="s">
        <v>782</v>
      </c>
      <c r="I387" s="78" t="s">
        <v>456</v>
      </c>
      <c r="J387" s="53">
        <v>6</v>
      </c>
      <c r="K387" s="78" t="str">
        <f>VLOOKUP(J387,Ruimtegroepen[],2,FALSE)</f>
        <v>Gangen/hallen</v>
      </c>
      <c r="L387" s="53" t="s">
        <v>285</v>
      </c>
      <c r="M387" s="53" t="s">
        <v>580</v>
      </c>
      <c r="N387" s="92">
        <v>70.148500000000013</v>
      </c>
      <c r="O387" s="92"/>
      <c r="P387" s="80" t="str">
        <f>LEFT(VLOOKUP(Ruimtestaat[[#This Row],[Ruimte code]],Ruimtegroepen[#All],4,1),2)</f>
        <v xml:space="preserve">V </v>
      </c>
      <c r="Q387" s="93"/>
      <c r="R387" s="81">
        <v>40</v>
      </c>
      <c r="S387" s="81" t="s">
        <v>298</v>
      </c>
      <c r="T387" s="82">
        <f>IF(R387&gt;0,IF(RIGHT(Ruimtestaat[[#This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7" s="82">
        <f>IF(T387&gt;0,VLOOKUP($J387,Ruimtegroepen[],3,FALSE)*VLOOKUP($L387,Vloersoorten[],3,FALSE)*VLOOKUP($S387,Frequenties[],3,FALSE)*VLOOKUP($A387,Locaties[],3,FALSE),0)</f>
        <v>0</v>
      </c>
      <c r="V387" s="83">
        <f>Ruimtestaat[[#This Row],[Uitvoeringen werkdagen]]*Ruimtestaat[[#This Row],[Oppervlak (netto)]]</f>
        <v>14029.700000000003</v>
      </c>
      <c r="W387" s="84">
        <f>IF(U387&gt;0,Ruimtestaat[[#This Row],[Prest. (m2 /jaar) werkdagen]]/Ruimtestaat[[#This Row],[Norm (m2/uur) werkdagen]],0)</f>
        <v>0</v>
      </c>
      <c r="X387" s="85">
        <f>Ruimtestaat[[#This Row],[uren / jaar werkdagen]]*Tariefsopbouw!$E$35</f>
        <v>0</v>
      </c>
      <c r="Y387" s="82"/>
      <c r="Z387" s="86">
        <f>IF(Ruimtestaat[[#This Row],[Frequentie weekend]]&gt;0,VALUE(LEFT(Y387,1))*R387,0)</f>
        <v>0</v>
      </c>
      <c r="AA387" s="82">
        <f>IF($Z387&gt;0,VLOOKUP($J387,Ruimtegroepen[],3,FALSE)*VLOOKUP($L387,Vloersoorten[],3,FALSE)*VLOOKUP($Y387,Frequenties[],3,FALSE)*VLOOKUP($A383,Locaties[],3,FALSE),0)</f>
        <v>0</v>
      </c>
      <c r="AB387" s="84">
        <f>Ruimtestaat[[#This Row],[Uitvoeringen weekend]]*Ruimtestaat[[#This Row],[Oppervlak (netto)]]</f>
        <v>0</v>
      </c>
      <c r="AC387" s="87">
        <f>IF(AB387&gt;0,Ruimtestaat[[#This Row],[Prest. (m2 /jaar) weekend]]/Ruimtestaat[[#This Row],[Norm (m2/uur) weekend]],0)</f>
        <v>0</v>
      </c>
      <c r="AD387" s="88">
        <f>Ruimtestaat[[#This Row],[uren / jaar weekend]]*Tariefsopbouw!$D$40</f>
        <v>0</v>
      </c>
      <c r="AE387" s="89">
        <f>Ruimtestaat[[#This Row],[Prest. (m2 /jaar) weekend]]+Ruimtestaat[[#This Row],[Prest. (m2 /jaar) werkdagen]]</f>
        <v>14029.700000000003</v>
      </c>
      <c r="AF387" s="89">
        <f>Ruimtestaat[[#This Row],[uren / jaar weekend]]+Ruimtestaat[[#This Row],[uren / jaar werkdagen]]</f>
        <v>0</v>
      </c>
      <c r="AG387" s="90">
        <f>Ruimtestaat[[#This Row],[kosten / jaar weekend]]+Ruimtestaat[[#This Row],[kosten / jaar werkdagen]]</f>
        <v>0</v>
      </c>
    </row>
    <row r="388" spans="1:33" ht="15" customHeight="1">
      <c r="A388" s="53">
        <v>2</v>
      </c>
      <c r="B388" s="53" t="str">
        <f>VLOOKUP(Ruimtestaat[[#This Row],[Code]],Locaties[#All],2,FALSE)</f>
        <v>Open Schoolgemeenschap Bijlmer</v>
      </c>
      <c r="C388" s="53" t="str">
        <f>VLOOKUP(Ruimtestaat[[#This Row],[Code]],Locaties[#All],4,FALSE)</f>
        <v>Gulden Kruis 5</v>
      </c>
      <c r="D388" s="53" t="str">
        <f>VLOOKUP(Ruimtestaat[[#This Row],[Code]],Locaties[#All],5,FALSE)</f>
        <v>1103 BE</v>
      </c>
      <c r="E388" s="53" t="str">
        <f>VLOOKUP(Ruimtestaat[[#This Row],[Code]],Locaties[#All],6,FALSE)</f>
        <v>Amsterdam Zuidoost</v>
      </c>
      <c r="F388" s="78"/>
      <c r="G388" s="53" t="s">
        <v>450</v>
      </c>
      <c r="H388" s="53" t="s">
        <v>783</v>
      </c>
      <c r="I388" s="78" t="s">
        <v>428</v>
      </c>
      <c r="J388" s="53">
        <v>16</v>
      </c>
      <c r="K388" s="78" t="str">
        <f>VLOOKUP(J388,Ruimtegroepen[],2,FALSE)</f>
        <v>Leslokalen theorie</v>
      </c>
      <c r="L388" s="53" t="s">
        <v>280</v>
      </c>
      <c r="M388" s="53" t="s">
        <v>566</v>
      </c>
      <c r="N388" s="92">
        <v>113.25</v>
      </c>
      <c r="O388" s="92"/>
      <c r="P388" s="80" t="str">
        <f>LEFT(VLOOKUP(Ruimtestaat[[#This Row],[Ruimte code]],Ruimtegroepen[#All],4,1),2)</f>
        <v xml:space="preserve">L </v>
      </c>
      <c r="Q388" s="93"/>
      <c r="R388" s="81">
        <v>40</v>
      </c>
      <c r="S388" s="81" t="s">
        <v>298</v>
      </c>
      <c r="T388" s="82">
        <f>IF(R388&gt;0,IF(RIGHT(Ruimtestaat[[#This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8" s="82">
        <f>IF(T388&gt;0,VLOOKUP($J388,Ruimtegroepen[],3,FALSE)*VLOOKUP($L388,Vloersoorten[],3,FALSE)*VLOOKUP($S388,Frequenties[],3,FALSE)*VLOOKUP($A388,Locaties[],3,FALSE),0)</f>
        <v>0</v>
      </c>
      <c r="V388" s="83">
        <f>Ruimtestaat[[#This Row],[Uitvoeringen werkdagen]]*Ruimtestaat[[#This Row],[Oppervlak (netto)]]</f>
        <v>22650</v>
      </c>
      <c r="W388" s="84">
        <f>IF(U388&gt;0,Ruimtestaat[[#This Row],[Prest. (m2 /jaar) werkdagen]]/Ruimtestaat[[#This Row],[Norm (m2/uur) werkdagen]],0)</f>
        <v>0</v>
      </c>
      <c r="X388" s="85">
        <f>Ruimtestaat[[#This Row],[uren / jaar werkdagen]]*Tariefsopbouw!$E$35</f>
        <v>0</v>
      </c>
      <c r="Y388" s="82"/>
      <c r="Z388" s="86">
        <f>IF(Ruimtestaat[[#This Row],[Frequentie weekend]]&gt;0,VALUE(LEFT(Y388,1))*R388,0)</f>
        <v>0</v>
      </c>
      <c r="AA388" s="82">
        <f>IF($Z388&gt;0,VLOOKUP($J388,Ruimtegroepen[],3,FALSE)*VLOOKUP($L388,Vloersoorten[],3,FALSE)*VLOOKUP($Y388,Frequenties[],3,FALSE)*VLOOKUP($A384,Locaties[],3,FALSE),0)</f>
        <v>0</v>
      </c>
      <c r="AB388" s="84">
        <f>Ruimtestaat[[#This Row],[Uitvoeringen weekend]]*Ruimtestaat[[#This Row],[Oppervlak (netto)]]</f>
        <v>0</v>
      </c>
      <c r="AC388" s="87">
        <f>IF(AB388&gt;0,Ruimtestaat[[#This Row],[Prest. (m2 /jaar) weekend]]/Ruimtestaat[[#This Row],[Norm (m2/uur) weekend]],0)</f>
        <v>0</v>
      </c>
      <c r="AD388" s="88">
        <f>Ruimtestaat[[#This Row],[uren / jaar weekend]]*Tariefsopbouw!$D$40</f>
        <v>0</v>
      </c>
      <c r="AE388" s="89">
        <f>Ruimtestaat[[#This Row],[Prest. (m2 /jaar) weekend]]+Ruimtestaat[[#This Row],[Prest. (m2 /jaar) werkdagen]]</f>
        <v>22650</v>
      </c>
      <c r="AF388" s="89">
        <f>Ruimtestaat[[#This Row],[uren / jaar weekend]]+Ruimtestaat[[#This Row],[uren / jaar werkdagen]]</f>
        <v>0</v>
      </c>
      <c r="AG388" s="90">
        <f>Ruimtestaat[[#This Row],[kosten / jaar weekend]]+Ruimtestaat[[#This Row],[kosten / jaar werkdagen]]</f>
        <v>0</v>
      </c>
    </row>
    <row r="389" spans="1:33" ht="15" customHeight="1">
      <c r="A389" s="53">
        <v>2</v>
      </c>
      <c r="B389" s="53" t="str">
        <f>VLOOKUP(Ruimtestaat[[#This Row],[Code]],Locaties[#All],2,FALSE)</f>
        <v>Open Schoolgemeenschap Bijlmer</v>
      </c>
      <c r="C389" s="53" t="str">
        <f>VLOOKUP(Ruimtestaat[[#This Row],[Code]],Locaties[#All],4,FALSE)</f>
        <v>Gulden Kruis 5</v>
      </c>
      <c r="D389" s="53" t="str">
        <f>VLOOKUP(Ruimtestaat[[#This Row],[Code]],Locaties[#All],5,FALSE)</f>
        <v>1103 BE</v>
      </c>
      <c r="E389" s="53" t="str">
        <f>VLOOKUP(Ruimtestaat[[#This Row],[Code]],Locaties[#All],6,FALSE)</f>
        <v>Amsterdam Zuidoost</v>
      </c>
      <c r="F389" s="78"/>
      <c r="G389" s="53" t="s">
        <v>450</v>
      </c>
      <c r="H389" s="53" t="s">
        <v>784</v>
      </c>
      <c r="I389" s="78" t="s">
        <v>428</v>
      </c>
      <c r="J389" s="53">
        <v>16</v>
      </c>
      <c r="K389" s="78" t="str">
        <f>VLOOKUP(J389,Ruimtegroepen[],2,FALSE)</f>
        <v>Leslokalen theorie</v>
      </c>
      <c r="L389" s="53" t="s">
        <v>285</v>
      </c>
      <c r="M389" s="53" t="s">
        <v>580</v>
      </c>
      <c r="N389" s="92">
        <v>81.843199999999996</v>
      </c>
      <c r="O389" s="92"/>
      <c r="P389" s="80" t="str">
        <f>LEFT(VLOOKUP(Ruimtestaat[[#This Row],[Ruimte code]],Ruimtegroepen[#All],4,1),2)</f>
        <v xml:space="preserve">L </v>
      </c>
      <c r="Q389" s="93"/>
      <c r="R389" s="81">
        <v>40</v>
      </c>
      <c r="S389" s="81" t="s">
        <v>298</v>
      </c>
      <c r="T389" s="82">
        <f>IF(R389&gt;0,IF(RIGHT(Ruimtestaat[[#This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89" s="82">
        <f>IF(T389&gt;0,VLOOKUP($J389,Ruimtegroepen[],3,FALSE)*VLOOKUP($L389,Vloersoorten[],3,FALSE)*VLOOKUP($S389,Frequenties[],3,FALSE)*VLOOKUP($A389,Locaties[],3,FALSE),0)</f>
        <v>0</v>
      </c>
      <c r="V389" s="83">
        <f>Ruimtestaat[[#This Row],[Uitvoeringen werkdagen]]*Ruimtestaat[[#This Row],[Oppervlak (netto)]]</f>
        <v>16368.64</v>
      </c>
      <c r="W389" s="84">
        <f>IF(U389&gt;0,Ruimtestaat[[#This Row],[Prest. (m2 /jaar) werkdagen]]/Ruimtestaat[[#This Row],[Norm (m2/uur) werkdagen]],0)</f>
        <v>0</v>
      </c>
      <c r="X389" s="85">
        <f>Ruimtestaat[[#This Row],[uren / jaar werkdagen]]*Tariefsopbouw!$E$35</f>
        <v>0</v>
      </c>
      <c r="Y389" s="82"/>
      <c r="Z389" s="86">
        <f>IF(Ruimtestaat[[#This Row],[Frequentie weekend]]&gt;0,VALUE(LEFT(Y389,1))*R389,0)</f>
        <v>0</v>
      </c>
      <c r="AA389" s="82">
        <f>IF($Z389&gt;0,VLOOKUP($J389,Ruimtegroepen[],3,FALSE)*VLOOKUP($L389,Vloersoorten[],3,FALSE)*VLOOKUP($Y389,Frequenties[],3,FALSE)*VLOOKUP($A385,Locaties[],3,FALSE),0)</f>
        <v>0</v>
      </c>
      <c r="AB389" s="84">
        <f>Ruimtestaat[[#This Row],[Uitvoeringen weekend]]*Ruimtestaat[[#This Row],[Oppervlak (netto)]]</f>
        <v>0</v>
      </c>
      <c r="AC389" s="87">
        <f>IF(AB389&gt;0,Ruimtestaat[[#This Row],[Prest. (m2 /jaar) weekend]]/Ruimtestaat[[#This Row],[Norm (m2/uur) weekend]],0)</f>
        <v>0</v>
      </c>
      <c r="AD389" s="88">
        <f>Ruimtestaat[[#This Row],[uren / jaar weekend]]*Tariefsopbouw!$D$40</f>
        <v>0</v>
      </c>
      <c r="AE389" s="89">
        <f>Ruimtestaat[[#This Row],[Prest. (m2 /jaar) weekend]]+Ruimtestaat[[#This Row],[Prest. (m2 /jaar) werkdagen]]</f>
        <v>16368.64</v>
      </c>
      <c r="AF389" s="89">
        <f>Ruimtestaat[[#This Row],[uren / jaar weekend]]+Ruimtestaat[[#This Row],[uren / jaar werkdagen]]</f>
        <v>0</v>
      </c>
      <c r="AG389" s="90">
        <f>Ruimtestaat[[#This Row],[kosten / jaar weekend]]+Ruimtestaat[[#This Row],[kosten / jaar werkdagen]]</f>
        <v>0</v>
      </c>
    </row>
    <row r="390" spans="1:33" ht="15" customHeight="1">
      <c r="A390" s="53">
        <v>2</v>
      </c>
      <c r="B390" s="53" t="str">
        <f>VLOOKUP(Ruimtestaat[[#This Row],[Code]],Locaties[#All],2,FALSE)</f>
        <v>Open Schoolgemeenschap Bijlmer</v>
      </c>
      <c r="C390" s="53" t="str">
        <f>VLOOKUP(Ruimtestaat[[#This Row],[Code]],Locaties[#All],4,FALSE)</f>
        <v>Gulden Kruis 5</v>
      </c>
      <c r="D390" s="53" t="str">
        <f>VLOOKUP(Ruimtestaat[[#This Row],[Code]],Locaties[#All],5,FALSE)</f>
        <v>1103 BE</v>
      </c>
      <c r="E390" s="53" t="str">
        <f>VLOOKUP(Ruimtestaat[[#This Row],[Code]],Locaties[#All],6,FALSE)</f>
        <v>Amsterdam Zuidoost</v>
      </c>
      <c r="F390" s="78"/>
      <c r="G390" s="53" t="s">
        <v>450</v>
      </c>
      <c r="H390" s="53" t="s">
        <v>785</v>
      </c>
      <c r="I390" s="78" t="s">
        <v>786</v>
      </c>
      <c r="J390" s="53">
        <v>6</v>
      </c>
      <c r="K390" s="78" t="str">
        <f>VLOOKUP(J390,Ruimtegroepen[],2,FALSE)</f>
        <v>Gangen/hallen</v>
      </c>
      <c r="L390" s="53" t="s">
        <v>280</v>
      </c>
      <c r="M390" s="53" t="s">
        <v>566</v>
      </c>
      <c r="N390" s="92">
        <v>161.36799999999999</v>
      </c>
      <c r="O390" s="92"/>
      <c r="P390" s="80" t="str">
        <f>LEFT(VLOOKUP(Ruimtestaat[[#This Row],[Ruimte code]],Ruimtegroepen[#All],4,1),2)</f>
        <v xml:space="preserve">V </v>
      </c>
      <c r="Q390" s="93"/>
      <c r="R390" s="81">
        <v>40</v>
      </c>
      <c r="S390" s="81" t="s">
        <v>298</v>
      </c>
      <c r="T390" s="82">
        <f>IF(R390&gt;0,IF(RIGHT(Ruimtestaat[[#This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0" s="82">
        <f>IF(T390&gt;0,VLOOKUP($J390,Ruimtegroepen[],3,FALSE)*VLOOKUP($L390,Vloersoorten[],3,FALSE)*VLOOKUP($S390,Frequenties[],3,FALSE)*VLOOKUP($A390,Locaties[],3,FALSE),0)</f>
        <v>0</v>
      </c>
      <c r="V390" s="83">
        <f>Ruimtestaat[[#This Row],[Uitvoeringen werkdagen]]*Ruimtestaat[[#This Row],[Oppervlak (netto)]]</f>
        <v>32273.599999999999</v>
      </c>
      <c r="W390" s="84">
        <f>IF(U390&gt;0,Ruimtestaat[[#This Row],[Prest. (m2 /jaar) werkdagen]]/Ruimtestaat[[#This Row],[Norm (m2/uur) werkdagen]],0)</f>
        <v>0</v>
      </c>
      <c r="X390" s="85">
        <f>Ruimtestaat[[#This Row],[uren / jaar werkdagen]]*Tariefsopbouw!$E$35</f>
        <v>0</v>
      </c>
      <c r="Y390" s="82"/>
      <c r="Z390" s="86">
        <f>IF(Ruimtestaat[[#This Row],[Frequentie weekend]]&gt;0,VALUE(LEFT(Y390,1))*R390,0)</f>
        <v>0</v>
      </c>
      <c r="AA390" s="82">
        <f>IF($Z390&gt;0,VLOOKUP($J390,Ruimtegroepen[],3,FALSE)*VLOOKUP($L390,Vloersoorten[],3,FALSE)*VLOOKUP($Y390,Frequenties[],3,FALSE)*VLOOKUP($A386,Locaties[],3,FALSE),0)</f>
        <v>0</v>
      </c>
      <c r="AB390" s="84">
        <f>Ruimtestaat[[#This Row],[Uitvoeringen weekend]]*Ruimtestaat[[#This Row],[Oppervlak (netto)]]</f>
        <v>0</v>
      </c>
      <c r="AC390" s="87">
        <f>IF(AB390&gt;0,Ruimtestaat[[#This Row],[Prest. (m2 /jaar) weekend]]/Ruimtestaat[[#This Row],[Norm (m2/uur) weekend]],0)</f>
        <v>0</v>
      </c>
      <c r="AD390" s="88">
        <f>Ruimtestaat[[#This Row],[uren / jaar weekend]]*Tariefsopbouw!$D$40</f>
        <v>0</v>
      </c>
      <c r="AE390" s="89">
        <f>Ruimtestaat[[#This Row],[Prest. (m2 /jaar) weekend]]+Ruimtestaat[[#This Row],[Prest. (m2 /jaar) werkdagen]]</f>
        <v>32273.599999999999</v>
      </c>
      <c r="AF390" s="89">
        <f>Ruimtestaat[[#This Row],[uren / jaar weekend]]+Ruimtestaat[[#This Row],[uren / jaar werkdagen]]</f>
        <v>0</v>
      </c>
      <c r="AG390" s="90">
        <f>Ruimtestaat[[#This Row],[kosten / jaar weekend]]+Ruimtestaat[[#This Row],[kosten / jaar werkdagen]]</f>
        <v>0</v>
      </c>
    </row>
    <row r="391" spans="1:33" ht="15" customHeight="1">
      <c r="A391" s="53">
        <v>2</v>
      </c>
      <c r="B391" s="53" t="str">
        <f>VLOOKUP(Ruimtestaat[[#This Row],[Code]],Locaties[#All],2,FALSE)</f>
        <v>Open Schoolgemeenschap Bijlmer</v>
      </c>
      <c r="C391" s="53" t="str">
        <f>VLOOKUP(Ruimtestaat[[#This Row],[Code]],Locaties[#All],4,FALSE)</f>
        <v>Gulden Kruis 5</v>
      </c>
      <c r="D391" s="53" t="str">
        <f>VLOOKUP(Ruimtestaat[[#This Row],[Code]],Locaties[#All],5,FALSE)</f>
        <v>1103 BE</v>
      </c>
      <c r="E391" s="53" t="str">
        <f>VLOOKUP(Ruimtestaat[[#This Row],[Code]],Locaties[#All],6,FALSE)</f>
        <v>Amsterdam Zuidoost</v>
      </c>
      <c r="F391" s="78"/>
      <c r="G391" s="53" t="s">
        <v>787</v>
      </c>
      <c r="H391" s="53" t="s">
        <v>788</v>
      </c>
      <c r="I391" s="78" t="s">
        <v>780</v>
      </c>
      <c r="J391" s="53">
        <v>12</v>
      </c>
      <c r="K391" s="78" t="str">
        <f>VLOOKUP(J391,Ruimtegroepen[],2,FALSE)</f>
        <v>Kantine</v>
      </c>
      <c r="L391" s="53" t="s">
        <v>285</v>
      </c>
      <c r="M391" s="53" t="s">
        <v>580</v>
      </c>
      <c r="N391" s="92">
        <v>32.674299999999995</v>
      </c>
      <c r="O391" s="92"/>
      <c r="P391" s="80" t="str">
        <f>LEFT(VLOOKUP(Ruimtestaat[[#This Row],[Ruimte code]],Ruimtegroepen[#All],4,1),2)</f>
        <v xml:space="preserve">V </v>
      </c>
      <c r="Q391" s="93"/>
      <c r="R391" s="81">
        <v>40</v>
      </c>
      <c r="S391" s="81" t="s">
        <v>298</v>
      </c>
      <c r="T391" s="82">
        <f>IF(R391&gt;0,IF(RIGHT(Ruimtestaat[[#This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1" s="82">
        <f>IF(T391&gt;0,VLOOKUP($J391,Ruimtegroepen[],3,FALSE)*VLOOKUP($L391,Vloersoorten[],3,FALSE)*VLOOKUP($S391,Frequenties[],3,FALSE)*VLOOKUP($A391,Locaties[],3,FALSE),0)</f>
        <v>0</v>
      </c>
      <c r="V391" s="83">
        <f>Ruimtestaat[[#This Row],[Uitvoeringen werkdagen]]*Ruimtestaat[[#This Row],[Oppervlak (netto)]]</f>
        <v>6534.8599999999988</v>
      </c>
      <c r="W391" s="84">
        <f>IF(U391&gt;0,Ruimtestaat[[#This Row],[Prest. (m2 /jaar) werkdagen]]/Ruimtestaat[[#This Row],[Norm (m2/uur) werkdagen]],0)</f>
        <v>0</v>
      </c>
      <c r="X391" s="85">
        <f>Ruimtestaat[[#This Row],[uren / jaar werkdagen]]*Tariefsopbouw!$E$35</f>
        <v>0</v>
      </c>
      <c r="Y391" s="82"/>
      <c r="Z391" s="86">
        <f>IF(Ruimtestaat[[#This Row],[Frequentie weekend]]&gt;0,VALUE(LEFT(Y391,1))*R391,0)</f>
        <v>0</v>
      </c>
      <c r="AA391" s="82">
        <f>IF($Z391&gt;0,VLOOKUP($J391,Ruimtegroepen[],3,FALSE)*VLOOKUP($L391,Vloersoorten[],3,FALSE)*VLOOKUP($Y391,Frequenties[],3,FALSE)*VLOOKUP($A387,Locaties[],3,FALSE),0)</f>
        <v>0</v>
      </c>
      <c r="AB391" s="84">
        <f>Ruimtestaat[[#This Row],[Uitvoeringen weekend]]*Ruimtestaat[[#This Row],[Oppervlak (netto)]]</f>
        <v>0</v>
      </c>
      <c r="AC391" s="87">
        <f>IF(AB391&gt;0,Ruimtestaat[[#This Row],[Prest. (m2 /jaar) weekend]]/Ruimtestaat[[#This Row],[Norm (m2/uur) weekend]],0)</f>
        <v>0</v>
      </c>
      <c r="AD391" s="88">
        <f>Ruimtestaat[[#This Row],[uren / jaar weekend]]*Tariefsopbouw!$D$40</f>
        <v>0</v>
      </c>
      <c r="AE391" s="89">
        <f>Ruimtestaat[[#This Row],[Prest. (m2 /jaar) weekend]]+Ruimtestaat[[#This Row],[Prest. (m2 /jaar) werkdagen]]</f>
        <v>6534.8599999999988</v>
      </c>
      <c r="AF391" s="89">
        <f>Ruimtestaat[[#This Row],[uren / jaar weekend]]+Ruimtestaat[[#This Row],[uren / jaar werkdagen]]</f>
        <v>0</v>
      </c>
      <c r="AG391" s="90">
        <f>Ruimtestaat[[#This Row],[kosten / jaar weekend]]+Ruimtestaat[[#This Row],[kosten / jaar werkdagen]]</f>
        <v>0</v>
      </c>
    </row>
    <row r="392" spans="1:33" ht="15" customHeight="1">
      <c r="A392" s="53">
        <v>2</v>
      </c>
      <c r="B392" s="53" t="str">
        <f>VLOOKUP(Ruimtestaat[[#This Row],[Code]],Locaties[#All],2,FALSE)</f>
        <v>Open Schoolgemeenschap Bijlmer</v>
      </c>
      <c r="C392" s="53" t="str">
        <f>VLOOKUP(Ruimtestaat[[#This Row],[Code]],Locaties[#All],4,FALSE)</f>
        <v>Gulden Kruis 5</v>
      </c>
      <c r="D392" s="53" t="str">
        <f>VLOOKUP(Ruimtestaat[[#This Row],[Code]],Locaties[#All],5,FALSE)</f>
        <v>1103 BE</v>
      </c>
      <c r="E392" s="53" t="str">
        <f>VLOOKUP(Ruimtestaat[[#This Row],[Code]],Locaties[#All],6,FALSE)</f>
        <v>Amsterdam Zuidoost</v>
      </c>
      <c r="F392" s="78"/>
      <c r="G392" s="53" t="s">
        <v>787</v>
      </c>
      <c r="H392" s="53" t="s">
        <v>789</v>
      </c>
      <c r="I392" s="78" t="s">
        <v>790</v>
      </c>
      <c r="J392" s="53">
        <v>2</v>
      </c>
      <c r="K392" s="78" t="str">
        <f>VLOOKUP(J392,Ruimtegroepen[],2,FALSE)</f>
        <v>Kantoren</v>
      </c>
      <c r="L392" s="53" t="s">
        <v>285</v>
      </c>
      <c r="M392" s="53" t="s">
        <v>580</v>
      </c>
      <c r="N392" s="92">
        <v>21.528199999999998</v>
      </c>
      <c r="O392" s="92"/>
      <c r="P392" s="80" t="str">
        <f>LEFT(VLOOKUP(Ruimtestaat[[#This Row],[Ruimte code]],Ruimtegroepen[#All],4,1),2)</f>
        <v xml:space="preserve">B </v>
      </c>
      <c r="Q392" s="93"/>
      <c r="R392" s="81">
        <v>40</v>
      </c>
      <c r="S392" s="81" t="s">
        <v>298</v>
      </c>
      <c r="T392" s="82">
        <f>IF(R392&gt;0,IF(RIGHT(Ruimtestaat[[#This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2" s="82">
        <f>IF(T392&gt;0,VLOOKUP($J392,Ruimtegroepen[],3,FALSE)*VLOOKUP($L392,Vloersoorten[],3,FALSE)*VLOOKUP($S392,Frequenties[],3,FALSE)*VLOOKUP($A392,Locaties[],3,FALSE),0)</f>
        <v>0</v>
      </c>
      <c r="V392" s="83">
        <f>Ruimtestaat[[#This Row],[Uitvoeringen werkdagen]]*Ruimtestaat[[#This Row],[Oppervlak (netto)]]</f>
        <v>4305.6399999999994</v>
      </c>
      <c r="W392" s="84">
        <f>IF(U392&gt;0,Ruimtestaat[[#This Row],[Prest. (m2 /jaar) werkdagen]]/Ruimtestaat[[#This Row],[Norm (m2/uur) werkdagen]],0)</f>
        <v>0</v>
      </c>
      <c r="X392" s="85">
        <f>Ruimtestaat[[#This Row],[uren / jaar werkdagen]]*Tariefsopbouw!$E$35</f>
        <v>0</v>
      </c>
      <c r="Y392" s="82"/>
      <c r="Z392" s="86">
        <f>IF(Ruimtestaat[[#This Row],[Frequentie weekend]]&gt;0,VALUE(LEFT(Y392,1))*R392,0)</f>
        <v>0</v>
      </c>
      <c r="AA392" s="82">
        <f>IF($Z392&gt;0,VLOOKUP($J392,Ruimtegroepen[],3,FALSE)*VLOOKUP($L392,Vloersoorten[],3,FALSE)*VLOOKUP($Y392,Frequenties[],3,FALSE)*VLOOKUP($A388,Locaties[],3,FALSE),0)</f>
        <v>0</v>
      </c>
      <c r="AB392" s="84">
        <f>Ruimtestaat[[#This Row],[Uitvoeringen weekend]]*Ruimtestaat[[#This Row],[Oppervlak (netto)]]</f>
        <v>0</v>
      </c>
      <c r="AC392" s="87">
        <f>IF(AB392&gt;0,Ruimtestaat[[#This Row],[Prest. (m2 /jaar) weekend]]/Ruimtestaat[[#This Row],[Norm (m2/uur) weekend]],0)</f>
        <v>0</v>
      </c>
      <c r="AD392" s="88">
        <f>Ruimtestaat[[#This Row],[uren / jaar weekend]]*Tariefsopbouw!$D$40</f>
        <v>0</v>
      </c>
      <c r="AE392" s="89">
        <f>Ruimtestaat[[#This Row],[Prest. (m2 /jaar) weekend]]+Ruimtestaat[[#This Row],[Prest. (m2 /jaar) werkdagen]]</f>
        <v>4305.6399999999994</v>
      </c>
      <c r="AF392" s="89">
        <f>Ruimtestaat[[#This Row],[uren / jaar weekend]]+Ruimtestaat[[#This Row],[uren / jaar werkdagen]]</f>
        <v>0</v>
      </c>
      <c r="AG392" s="90">
        <f>Ruimtestaat[[#This Row],[kosten / jaar weekend]]+Ruimtestaat[[#This Row],[kosten / jaar werkdagen]]</f>
        <v>0</v>
      </c>
    </row>
    <row r="393" spans="1:33" ht="15" customHeight="1">
      <c r="A393" s="53">
        <v>2</v>
      </c>
      <c r="B393" s="53" t="str">
        <f>VLOOKUP(Ruimtestaat[[#This Row],[Code]],Locaties[#All],2,FALSE)</f>
        <v>Open Schoolgemeenschap Bijlmer</v>
      </c>
      <c r="C393" s="53" t="str">
        <f>VLOOKUP(Ruimtestaat[[#This Row],[Code]],Locaties[#All],4,FALSE)</f>
        <v>Gulden Kruis 5</v>
      </c>
      <c r="D393" s="53" t="str">
        <f>VLOOKUP(Ruimtestaat[[#This Row],[Code]],Locaties[#All],5,FALSE)</f>
        <v>1103 BE</v>
      </c>
      <c r="E393" s="53" t="str">
        <f>VLOOKUP(Ruimtestaat[[#This Row],[Code]],Locaties[#All],6,FALSE)</f>
        <v>Amsterdam Zuidoost</v>
      </c>
      <c r="F393" s="78"/>
      <c r="G393" s="53" t="s">
        <v>787</v>
      </c>
      <c r="H393" s="53" t="s">
        <v>791</v>
      </c>
      <c r="I393" s="78" t="s">
        <v>378</v>
      </c>
      <c r="J393" s="53">
        <v>10</v>
      </c>
      <c r="K393" s="78" t="str">
        <f>VLOOKUP(J393,Ruimtegroepen[],2,FALSE)</f>
        <v>Trappenhuizen/lift</v>
      </c>
      <c r="L393" s="53" t="s">
        <v>285</v>
      </c>
      <c r="M393" s="53" t="s">
        <v>580</v>
      </c>
      <c r="N393" s="92">
        <v>8.7637999999999998</v>
      </c>
      <c r="O393" s="92"/>
      <c r="P393" s="80" t="str">
        <f>LEFT(VLOOKUP(Ruimtestaat[[#This Row],[Ruimte code]],Ruimtegroepen[#All],4,1),2)</f>
        <v xml:space="preserve">V </v>
      </c>
      <c r="Q393" s="93"/>
      <c r="R393" s="81">
        <v>40</v>
      </c>
      <c r="S393" s="81" t="s">
        <v>298</v>
      </c>
      <c r="T393" s="82">
        <f>IF(R393&gt;0,IF(RIGHT(Ruimtestaat[[#This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3" s="82">
        <f>IF(T393&gt;0,VLOOKUP($J393,Ruimtegroepen[],3,FALSE)*VLOOKUP($L393,Vloersoorten[],3,FALSE)*VLOOKUP($S393,Frequenties[],3,FALSE)*VLOOKUP($A393,Locaties[],3,FALSE),0)</f>
        <v>0</v>
      </c>
      <c r="V393" s="83">
        <f>Ruimtestaat[[#This Row],[Uitvoeringen werkdagen]]*Ruimtestaat[[#This Row],[Oppervlak (netto)]]</f>
        <v>1752.76</v>
      </c>
      <c r="W393" s="84">
        <f>IF(U393&gt;0,Ruimtestaat[[#This Row],[Prest. (m2 /jaar) werkdagen]]/Ruimtestaat[[#This Row],[Norm (m2/uur) werkdagen]],0)</f>
        <v>0</v>
      </c>
      <c r="X393" s="85">
        <f>Ruimtestaat[[#This Row],[uren / jaar werkdagen]]*Tariefsopbouw!$E$35</f>
        <v>0</v>
      </c>
      <c r="Y393" s="82"/>
      <c r="Z393" s="86">
        <f>IF(Ruimtestaat[[#This Row],[Frequentie weekend]]&gt;0,VALUE(LEFT(Y393,1))*R393,0)</f>
        <v>0</v>
      </c>
      <c r="AA393" s="82">
        <f>IF($Z393&gt;0,VLOOKUP($J393,Ruimtegroepen[],3,FALSE)*VLOOKUP($L393,Vloersoorten[],3,FALSE)*VLOOKUP($Y393,Frequenties[],3,FALSE)*VLOOKUP($A389,Locaties[],3,FALSE),0)</f>
        <v>0</v>
      </c>
      <c r="AB393" s="84">
        <f>Ruimtestaat[[#This Row],[Uitvoeringen weekend]]*Ruimtestaat[[#This Row],[Oppervlak (netto)]]</f>
        <v>0</v>
      </c>
      <c r="AC393" s="87">
        <f>IF(AB393&gt;0,Ruimtestaat[[#This Row],[Prest. (m2 /jaar) weekend]]/Ruimtestaat[[#This Row],[Norm (m2/uur) weekend]],0)</f>
        <v>0</v>
      </c>
      <c r="AD393" s="88">
        <f>Ruimtestaat[[#This Row],[uren / jaar weekend]]*Tariefsopbouw!$D$40</f>
        <v>0</v>
      </c>
      <c r="AE393" s="89">
        <f>Ruimtestaat[[#This Row],[Prest. (m2 /jaar) weekend]]+Ruimtestaat[[#This Row],[Prest. (m2 /jaar) werkdagen]]</f>
        <v>1752.76</v>
      </c>
      <c r="AF393" s="89">
        <f>Ruimtestaat[[#This Row],[uren / jaar weekend]]+Ruimtestaat[[#This Row],[uren / jaar werkdagen]]</f>
        <v>0</v>
      </c>
      <c r="AG393" s="90">
        <f>Ruimtestaat[[#This Row],[kosten / jaar weekend]]+Ruimtestaat[[#This Row],[kosten / jaar werkdagen]]</f>
        <v>0</v>
      </c>
    </row>
    <row r="394" spans="1:33" ht="15" customHeight="1">
      <c r="A394" s="53">
        <v>2</v>
      </c>
      <c r="B394" s="53" t="str">
        <f>VLOOKUP(Ruimtestaat[[#This Row],[Code]],Locaties[#All],2,FALSE)</f>
        <v>Open Schoolgemeenschap Bijlmer</v>
      </c>
      <c r="C394" s="53" t="str">
        <f>VLOOKUP(Ruimtestaat[[#This Row],[Code]],Locaties[#All],4,FALSE)</f>
        <v>Gulden Kruis 5</v>
      </c>
      <c r="D394" s="53" t="str">
        <f>VLOOKUP(Ruimtestaat[[#This Row],[Code]],Locaties[#All],5,FALSE)</f>
        <v>1103 BE</v>
      </c>
      <c r="E394" s="53" t="str">
        <f>VLOOKUP(Ruimtestaat[[#This Row],[Code]],Locaties[#All],6,FALSE)</f>
        <v>Amsterdam Zuidoost</v>
      </c>
      <c r="F394" s="78"/>
      <c r="G394" s="53" t="s">
        <v>787</v>
      </c>
      <c r="H394" s="53" t="s">
        <v>792</v>
      </c>
      <c r="I394" s="78" t="s">
        <v>428</v>
      </c>
      <c r="J394" s="53">
        <v>16</v>
      </c>
      <c r="K394" s="78" t="str">
        <f>VLOOKUP(J394,Ruimtegroepen[],2,FALSE)</f>
        <v>Leslokalen theorie</v>
      </c>
      <c r="L394" s="53" t="s">
        <v>285</v>
      </c>
      <c r="M394" s="53" t="s">
        <v>580</v>
      </c>
      <c r="N394" s="92">
        <v>61.49</v>
      </c>
      <c r="O394" s="92"/>
      <c r="P394" s="80" t="str">
        <f>LEFT(VLOOKUP(Ruimtestaat[[#This Row],[Ruimte code]],Ruimtegroepen[#All],4,1),2)</f>
        <v xml:space="preserve">L </v>
      </c>
      <c r="Q394" s="93"/>
      <c r="R394" s="81">
        <v>40</v>
      </c>
      <c r="S394" s="81" t="s">
        <v>298</v>
      </c>
      <c r="T394" s="82">
        <f>IF(R394&gt;0,IF(RIGHT(Ruimtestaat[[#This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4" s="82">
        <f>IF(T394&gt;0,VLOOKUP($J394,Ruimtegroepen[],3,FALSE)*VLOOKUP($L394,Vloersoorten[],3,FALSE)*VLOOKUP($S394,Frequenties[],3,FALSE)*VLOOKUP($A394,Locaties[],3,FALSE),0)</f>
        <v>0</v>
      </c>
      <c r="V394" s="83">
        <f>Ruimtestaat[[#This Row],[Uitvoeringen werkdagen]]*Ruimtestaat[[#This Row],[Oppervlak (netto)]]</f>
        <v>12298</v>
      </c>
      <c r="W394" s="84">
        <f>IF(U394&gt;0,Ruimtestaat[[#This Row],[Prest. (m2 /jaar) werkdagen]]/Ruimtestaat[[#This Row],[Norm (m2/uur) werkdagen]],0)</f>
        <v>0</v>
      </c>
      <c r="X394" s="85">
        <f>Ruimtestaat[[#This Row],[uren / jaar werkdagen]]*Tariefsopbouw!$E$35</f>
        <v>0</v>
      </c>
      <c r="Y394" s="82"/>
      <c r="Z394" s="86">
        <f>IF(Ruimtestaat[[#This Row],[Frequentie weekend]]&gt;0,VALUE(LEFT(Y394,1))*R394,0)</f>
        <v>0</v>
      </c>
      <c r="AA394" s="82">
        <f>IF($Z394&gt;0,VLOOKUP($J394,Ruimtegroepen[],3,FALSE)*VLOOKUP($L394,Vloersoorten[],3,FALSE)*VLOOKUP($Y394,Frequenties[],3,FALSE)*VLOOKUP($A390,Locaties[],3,FALSE),0)</f>
        <v>0</v>
      </c>
      <c r="AB394" s="84">
        <f>Ruimtestaat[[#This Row],[Uitvoeringen weekend]]*Ruimtestaat[[#This Row],[Oppervlak (netto)]]</f>
        <v>0</v>
      </c>
      <c r="AC394" s="87">
        <f>IF(AB394&gt;0,Ruimtestaat[[#This Row],[Prest. (m2 /jaar) weekend]]/Ruimtestaat[[#This Row],[Norm (m2/uur) weekend]],0)</f>
        <v>0</v>
      </c>
      <c r="AD394" s="88">
        <f>Ruimtestaat[[#This Row],[uren / jaar weekend]]*Tariefsopbouw!$D$40</f>
        <v>0</v>
      </c>
      <c r="AE394" s="89">
        <f>Ruimtestaat[[#This Row],[Prest. (m2 /jaar) weekend]]+Ruimtestaat[[#This Row],[Prest. (m2 /jaar) werkdagen]]</f>
        <v>12298</v>
      </c>
      <c r="AF394" s="89">
        <f>Ruimtestaat[[#This Row],[uren / jaar weekend]]+Ruimtestaat[[#This Row],[uren / jaar werkdagen]]</f>
        <v>0</v>
      </c>
      <c r="AG394" s="90">
        <f>Ruimtestaat[[#This Row],[kosten / jaar weekend]]+Ruimtestaat[[#This Row],[kosten / jaar werkdagen]]</f>
        <v>0</v>
      </c>
    </row>
    <row r="395" spans="1:33" ht="15" customHeight="1">
      <c r="A395" s="53">
        <v>2</v>
      </c>
      <c r="B395" s="53" t="str">
        <f>VLOOKUP(Ruimtestaat[[#This Row],[Code]],Locaties[#All],2,FALSE)</f>
        <v>Open Schoolgemeenschap Bijlmer</v>
      </c>
      <c r="C395" s="53" t="str">
        <f>VLOOKUP(Ruimtestaat[[#This Row],[Code]],Locaties[#All],4,FALSE)</f>
        <v>Gulden Kruis 5</v>
      </c>
      <c r="D395" s="53" t="str">
        <f>VLOOKUP(Ruimtestaat[[#This Row],[Code]],Locaties[#All],5,FALSE)</f>
        <v>1103 BE</v>
      </c>
      <c r="E395" s="53" t="str">
        <f>VLOOKUP(Ruimtestaat[[#This Row],[Code]],Locaties[#All],6,FALSE)</f>
        <v>Amsterdam Zuidoost</v>
      </c>
      <c r="F395" s="78"/>
      <c r="G395" s="53" t="s">
        <v>787</v>
      </c>
      <c r="H395" s="53" t="s">
        <v>793</v>
      </c>
      <c r="I395" s="78" t="s">
        <v>428</v>
      </c>
      <c r="J395" s="53">
        <v>16</v>
      </c>
      <c r="K395" s="78" t="str">
        <f>VLOOKUP(J395,Ruimtegroepen[],2,FALSE)</f>
        <v>Leslokalen theorie</v>
      </c>
      <c r="L395" s="53" t="s">
        <v>285</v>
      </c>
      <c r="M395" s="53" t="s">
        <v>580</v>
      </c>
      <c r="N395" s="92">
        <v>61.1</v>
      </c>
      <c r="O395" s="92"/>
      <c r="P395" s="80" t="str">
        <f>LEFT(VLOOKUP(Ruimtestaat[[#This Row],[Ruimte code]],Ruimtegroepen[#All],4,1),2)</f>
        <v xml:space="preserve">L </v>
      </c>
      <c r="Q395" s="93"/>
      <c r="R395" s="81">
        <v>40</v>
      </c>
      <c r="S395" s="81" t="s">
        <v>298</v>
      </c>
      <c r="T395" s="82">
        <f>IF(R395&gt;0,IF(RIGHT(Ruimtestaat[[#This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5" s="82">
        <f>IF(T395&gt;0,VLOOKUP($J395,Ruimtegroepen[],3,FALSE)*VLOOKUP($L395,Vloersoorten[],3,FALSE)*VLOOKUP($S395,Frequenties[],3,FALSE)*VLOOKUP($A395,Locaties[],3,FALSE),0)</f>
        <v>0</v>
      </c>
      <c r="V395" s="83">
        <f>Ruimtestaat[[#This Row],[Uitvoeringen werkdagen]]*Ruimtestaat[[#This Row],[Oppervlak (netto)]]</f>
        <v>12220</v>
      </c>
      <c r="W395" s="84">
        <f>IF(U395&gt;0,Ruimtestaat[[#This Row],[Prest. (m2 /jaar) werkdagen]]/Ruimtestaat[[#This Row],[Norm (m2/uur) werkdagen]],0)</f>
        <v>0</v>
      </c>
      <c r="X395" s="85">
        <f>Ruimtestaat[[#This Row],[uren / jaar werkdagen]]*Tariefsopbouw!$E$35</f>
        <v>0</v>
      </c>
      <c r="Y395" s="82"/>
      <c r="Z395" s="86">
        <f>IF(Ruimtestaat[[#This Row],[Frequentie weekend]]&gt;0,VALUE(LEFT(Y395,1))*R395,0)</f>
        <v>0</v>
      </c>
      <c r="AA395" s="82">
        <f>IF($Z395&gt;0,VLOOKUP($J395,Ruimtegroepen[],3,FALSE)*VLOOKUP($L395,Vloersoorten[],3,FALSE)*VLOOKUP($Y395,Frequenties[],3,FALSE)*VLOOKUP($A391,Locaties[],3,FALSE),0)</f>
        <v>0</v>
      </c>
      <c r="AB395" s="84">
        <f>Ruimtestaat[[#This Row],[Uitvoeringen weekend]]*Ruimtestaat[[#This Row],[Oppervlak (netto)]]</f>
        <v>0</v>
      </c>
      <c r="AC395" s="87">
        <f>IF(AB395&gt;0,Ruimtestaat[[#This Row],[Prest. (m2 /jaar) weekend]]/Ruimtestaat[[#This Row],[Norm (m2/uur) weekend]],0)</f>
        <v>0</v>
      </c>
      <c r="AD395" s="88">
        <f>Ruimtestaat[[#This Row],[uren / jaar weekend]]*Tariefsopbouw!$D$40</f>
        <v>0</v>
      </c>
      <c r="AE395" s="89">
        <f>Ruimtestaat[[#This Row],[Prest. (m2 /jaar) weekend]]+Ruimtestaat[[#This Row],[Prest. (m2 /jaar) werkdagen]]</f>
        <v>12220</v>
      </c>
      <c r="AF395" s="89">
        <f>Ruimtestaat[[#This Row],[uren / jaar weekend]]+Ruimtestaat[[#This Row],[uren / jaar werkdagen]]</f>
        <v>0</v>
      </c>
      <c r="AG395" s="90">
        <f>Ruimtestaat[[#This Row],[kosten / jaar weekend]]+Ruimtestaat[[#This Row],[kosten / jaar werkdagen]]</f>
        <v>0</v>
      </c>
    </row>
    <row r="396" spans="1:33" ht="15" customHeight="1">
      <c r="A396" s="53">
        <v>2</v>
      </c>
      <c r="B396" s="53" t="str">
        <f>VLOOKUP(Ruimtestaat[[#This Row],[Code]],Locaties[#All],2,FALSE)</f>
        <v>Open Schoolgemeenschap Bijlmer</v>
      </c>
      <c r="C396" s="53" t="str">
        <f>VLOOKUP(Ruimtestaat[[#This Row],[Code]],Locaties[#All],4,FALSE)</f>
        <v>Gulden Kruis 5</v>
      </c>
      <c r="D396" s="53" t="str">
        <f>VLOOKUP(Ruimtestaat[[#This Row],[Code]],Locaties[#All],5,FALSE)</f>
        <v>1103 BE</v>
      </c>
      <c r="E396" s="53" t="str">
        <f>VLOOKUP(Ruimtestaat[[#This Row],[Code]],Locaties[#All],6,FALSE)</f>
        <v>Amsterdam Zuidoost</v>
      </c>
      <c r="F396" s="78"/>
      <c r="G396" s="53" t="s">
        <v>787</v>
      </c>
      <c r="H396" s="53" t="s">
        <v>794</v>
      </c>
      <c r="I396" s="78" t="s">
        <v>428</v>
      </c>
      <c r="J396" s="53">
        <v>16</v>
      </c>
      <c r="K396" s="78" t="str">
        <f>VLOOKUP(J396,Ruimtegroepen[],2,FALSE)</f>
        <v>Leslokalen theorie</v>
      </c>
      <c r="L396" s="53" t="s">
        <v>285</v>
      </c>
      <c r="M396" s="53" t="s">
        <v>580</v>
      </c>
      <c r="N396" s="92">
        <v>65.209999999999994</v>
      </c>
      <c r="O396" s="92"/>
      <c r="P396" s="80" t="str">
        <f>LEFT(VLOOKUP(Ruimtestaat[[#This Row],[Ruimte code]],Ruimtegroepen[#All],4,1),2)</f>
        <v xml:space="preserve">L </v>
      </c>
      <c r="Q396" s="93"/>
      <c r="R396" s="81">
        <v>40</v>
      </c>
      <c r="S396" s="81" t="s">
        <v>298</v>
      </c>
      <c r="T396" s="82">
        <f>IF(R396&gt;0,IF(RIGHT(Ruimtestaat[[#This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6" s="82">
        <f>IF(T396&gt;0,VLOOKUP($J396,Ruimtegroepen[],3,FALSE)*VLOOKUP($L396,Vloersoorten[],3,FALSE)*VLOOKUP($S396,Frequenties[],3,FALSE)*VLOOKUP($A396,Locaties[],3,FALSE),0)</f>
        <v>0</v>
      </c>
      <c r="V396" s="83">
        <f>Ruimtestaat[[#This Row],[Uitvoeringen werkdagen]]*Ruimtestaat[[#This Row],[Oppervlak (netto)]]</f>
        <v>13041.999999999998</v>
      </c>
      <c r="W396" s="84">
        <f>IF(U396&gt;0,Ruimtestaat[[#This Row],[Prest. (m2 /jaar) werkdagen]]/Ruimtestaat[[#This Row],[Norm (m2/uur) werkdagen]],0)</f>
        <v>0</v>
      </c>
      <c r="X396" s="85">
        <f>Ruimtestaat[[#This Row],[uren / jaar werkdagen]]*Tariefsopbouw!$E$35</f>
        <v>0</v>
      </c>
      <c r="Y396" s="82"/>
      <c r="Z396" s="86">
        <f>IF(Ruimtestaat[[#This Row],[Frequentie weekend]]&gt;0,VALUE(LEFT(Y396,1))*R396,0)</f>
        <v>0</v>
      </c>
      <c r="AA396" s="82">
        <f>IF($Z396&gt;0,VLOOKUP($J396,Ruimtegroepen[],3,FALSE)*VLOOKUP($L396,Vloersoorten[],3,FALSE)*VLOOKUP($Y396,Frequenties[],3,FALSE)*VLOOKUP($A392,Locaties[],3,FALSE),0)</f>
        <v>0</v>
      </c>
      <c r="AB396" s="84">
        <f>Ruimtestaat[[#This Row],[Uitvoeringen weekend]]*Ruimtestaat[[#This Row],[Oppervlak (netto)]]</f>
        <v>0</v>
      </c>
      <c r="AC396" s="87">
        <f>IF(AB396&gt;0,Ruimtestaat[[#This Row],[Prest. (m2 /jaar) weekend]]/Ruimtestaat[[#This Row],[Norm (m2/uur) weekend]],0)</f>
        <v>0</v>
      </c>
      <c r="AD396" s="88">
        <f>Ruimtestaat[[#This Row],[uren / jaar weekend]]*Tariefsopbouw!$D$40</f>
        <v>0</v>
      </c>
      <c r="AE396" s="89">
        <f>Ruimtestaat[[#This Row],[Prest. (m2 /jaar) weekend]]+Ruimtestaat[[#This Row],[Prest. (m2 /jaar) werkdagen]]</f>
        <v>13041.999999999998</v>
      </c>
      <c r="AF396" s="89">
        <f>Ruimtestaat[[#This Row],[uren / jaar weekend]]+Ruimtestaat[[#This Row],[uren / jaar werkdagen]]</f>
        <v>0</v>
      </c>
      <c r="AG396" s="90">
        <f>Ruimtestaat[[#This Row],[kosten / jaar weekend]]+Ruimtestaat[[#This Row],[kosten / jaar werkdagen]]</f>
        <v>0</v>
      </c>
    </row>
    <row r="397" spans="1:33" ht="15" customHeight="1">
      <c r="A397" s="53">
        <v>2</v>
      </c>
      <c r="B397" s="53" t="str">
        <f>VLOOKUP(Ruimtestaat[[#This Row],[Code]],Locaties[#All],2,FALSE)</f>
        <v>Open Schoolgemeenschap Bijlmer</v>
      </c>
      <c r="C397" s="53" t="str">
        <f>VLOOKUP(Ruimtestaat[[#This Row],[Code]],Locaties[#All],4,FALSE)</f>
        <v>Gulden Kruis 5</v>
      </c>
      <c r="D397" s="53" t="str">
        <f>VLOOKUP(Ruimtestaat[[#This Row],[Code]],Locaties[#All],5,FALSE)</f>
        <v>1103 BE</v>
      </c>
      <c r="E397" s="53" t="str">
        <f>VLOOKUP(Ruimtestaat[[#This Row],[Code]],Locaties[#All],6,FALSE)</f>
        <v>Amsterdam Zuidoost</v>
      </c>
      <c r="F397" s="78"/>
      <c r="G397" s="53" t="s">
        <v>787</v>
      </c>
      <c r="H397" s="53" t="s">
        <v>795</v>
      </c>
      <c r="I397" s="78" t="s">
        <v>428</v>
      </c>
      <c r="J397" s="53">
        <v>16</v>
      </c>
      <c r="K397" s="78" t="str">
        <f>VLOOKUP(J397,Ruimtegroepen[],2,FALSE)</f>
        <v>Leslokalen theorie</v>
      </c>
      <c r="L397" s="53" t="s">
        <v>285</v>
      </c>
      <c r="M397" s="53" t="s">
        <v>580</v>
      </c>
      <c r="N397" s="92">
        <v>65.319999999999993</v>
      </c>
      <c r="O397" s="92"/>
      <c r="P397" s="80" t="str">
        <f>LEFT(VLOOKUP(Ruimtestaat[[#This Row],[Ruimte code]],Ruimtegroepen[#All],4,1),2)</f>
        <v xml:space="preserve">L </v>
      </c>
      <c r="Q397" s="93"/>
      <c r="R397" s="81">
        <v>40</v>
      </c>
      <c r="S397" s="81" t="s">
        <v>298</v>
      </c>
      <c r="T397" s="82">
        <f>IF(R397&gt;0,IF(RIGHT(Ruimtestaat[[#This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7" s="82">
        <f>IF(T397&gt;0,VLOOKUP($J397,Ruimtegroepen[],3,FALSE)*VLOOKUP($L397,Vloersoorten[],3,FALSE)*VLOOKUP($S397,Frequenties[],3,FALSE)*VLOOKUP($A397,Locaties[],3,FALSE),0)</f>
        <v>0</v>
      </c>
      <c r="V397" s="83">
        <f>Ruimtestaat[[#This Row],[Uitvoeringen werkdagen]]*Ruimtestaat[[#This Row],[Oppervlak (netto)]]</f>
        <v>13063.999999999998</v>
      </c>
      <c r="W397" s="84">
        <f>IF(U397&gt;0,Ruimtestaat[[#This Row],[Prest. (m2 /jaar) werkdagen]]/Ruimtestaat[[#This Row],[Norm (m2/uur) werkdagen]],0)</f>
        <v>0</v>
      </c>
      <c r="X397" s="85">
        <f>Ruimtestaat[[#This Row],[uren / jaar werkdagen]]*Tariefsopbouw!$E$35</f>
        <v>0</v>
      </c>
      <c r="Y397" s="82"/>
      <c r="Z397" s="86">
        <f>IF(Ruimtestaat[[#This Row],[Frequentie weekend]]&gt;0,VALUE(LEFT(Y397,1))*R397,0)</f>
        <v>0</v>
      </c>
      <c r="AA397" s="82">
        <f>IF($Z397&gt;0,VLOOKUP($J397,Ruimtegroepen[],3,FALSE)*VLOOKUP($L397,Vloersoorten[],3,FALSE)*VLOOKUP($Y397,Frequenties[],3,FALSE)*VLOOKUP($A393,Locaties[],3,FALSE),0)</f>
        <v>0</v>
      </c>
      <c r="AB397" s="84">
        <f>Ruimtestaat[[#This Row],[Uitvoeringen weekend]]*Ruimtestaat[[#This Row],[Oppervlak (netto)]]</f>
        <v>0</v>
      </c>
      <c r="AC397" s="87">
        <f>IF(AB397&gt;0,Ruimtestaat[[#This Row],[Prest. (m2 /jaar) weekend]]/Ruimtestaat[[#This Row],[Norm (m2/uur) weekend]],0)</f>
        <v>0</v>
      </c>
      <c r="AD397" s="88">
        <f>Ruimtestaat[[#This Row],[uren / jaar weekend]]*Tariefsopbouw!$D$40</f>
        <v>0</v>
      </c>
      <c r="AE397" s="89">
        <f>Ruimtestaat[[#This Row],[Prest. (m2 /jaar) weekend]]+Ruimtestaat[[#This Row],[Prest. (m2 /jaar) werkdagen]]</f>
        <v>13063.999999999998</v>
      </c>
      <c r="AF397" s="89">
        <f>Ruimtestaat[[#This Row],[uren / jaar weekend]]+Ruimtestaat[[#This Row],[uren / jaar werkdagen]]</f>
        <v>0</v>
      </c>
      <c r="AG397" s="90">
        <f>Ruimtestaat[[#This Row],[kosten / jaar weekend]]+Ruimtestaat[[#This Row],[kosten / jaar werkdagen]]</f>
        <v>0</v>
      </c>
    </row>
    <row r="398" spans="1:33" ht="15" customHeight="1">
      <c r="A398" s="53">
        <v>2</v>
      </c>
      <c r="B398" s="53" t="str">
        <f>VLOOKUP(Ruimtestaat[[#This Row],[Code]],Locaties[#All],2,FALSE)</f>
        <v>Open Schoolgemeenschap Bijlmer</v>
      </c>
      <c r="C398" s="53" t="str">
        <f>VLOOKUP(Ruimtestaat[[#This Row],[Code]],Locaties[#All],4,FALSE)</f>
        <v>Gulden Kruis 5</v>
      </c>
      <c r="D398" s="53" t="str">
        <f>VLOOKUP(Ruimtestaat[[#This Row],[Code]],Locaties[#All],5,FALSE)</f>
        <v>1103 BE</v>
      </c>
      <c r="E398" s="53" t="str">
        <f>VLOOKUP(Ruimtestaat[[#This Row],[Code]],Locaties[#All],6,FALSE)</f>
        <v>Amsterdam Zuidoost</v>
      </c>
      <c r="F398" s="78"/>
      <c r="G398" s="53" t="s">
        <v>787</v>
      </c>
      <c r="H398" s="53" t="s">
        <v>796</v>
      </c>
      <c r="I398" s="78" t="s">
        <v>428</v>
      </c>
      <c r="J398" s="53">
        <v>16</v>
      </c>
      <c r="K398" s="78" t="str">
        <f>VLOOKUP(J398,Ruimtegroepen[],2,FALSE)</f>
        <v>Leslokalen theorie</v>
      </c>
      <c r="L398" s="53" t="s">
        <v>285</v>
      </c>
      <c r="M398" s="53" t="s">
        <v>580</v>
      </c>
      <c r="N398" s="92">
        <v>65.28</v>
      </c>
      <c r="O398" s="92"/>
      <c r="P398" s="80" t="str">
        <f>LEFT(VLOOKUP(Ruimtestaat[[#This Row],[Ruimte code]],Ruimtegroepen[#All],4,1),2)</f>
        <v xml:space="preserve">L </v>
      </c>
      <c r="Q398" s="93"/>
      <c r="R398" s="81">
        <v>40</v>
      </c>
      <c r="S398" s="81" t="s">
        <v>298</v>
      </c>
      <c r="T398" s="82">
        <f>IF(R398&gt;0,IF(RIGHT(Ruimtestaat[[#This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8" s="82">
        <f>IF(T398&gt;0,VLOOKUP($J398,Ruimtegroepen[],3,FALSE)*VLOOKUP($L398,Vloersoorten[],3,FALSE)*VLOOKUP($S398,Frequenties[],3,FALSE)*VLOOKUP($A398,Locaties[],3,FALSE),0)</f>
        <v>0</v>
      </c>
      <c r="V398" s="83">
        <f>Ruimtestaat[[#This Row],[Uitvoeringen werkdagen]]*Ruimtestaat[[#This Row],[Oppervlak (netto)]]</f>
        <v>13056</v>
      </c>
      <c r="W398" s="84">
        <f>IF(U398&gt;0,Ruimtestaat[[#This Row],[Prest. (m2 /jaar) werkdagen]]/Ruimtestaat[[#This Row],[Norm (m2/uur) werkdagen]],0)</f>
        <v>0</v>
      </c>
      <c r="X398" s="85">
        <f>Ruimtestaat[[#This Row],[uren / jaar werkdagen]]*Tariefsopbouw!$E$35</f>
        <v>0</v>
      </c>
      <c r="Y398" s="82"/>
      <c r="Z398" s="86">
        <f>IF(Ruimtestaat[[#This Row],[Frequentie weekend]]&gt;0,VALUE(LEFT(Y398,1))*R398,0)</f>
        <v>0</v>
      </c>
      <c r="AA398" s="82">
        <f>IF($Z398&gt;0,VLOOKUP($J398,Ruimtegroepen[],3,FALSE)*VLOOKUP($L398,Vloersoorten[],3,FALSE)*VLOOKUP($Y398,Frequenties[],3,FALSE)*VLOOKUP($A394,Locaties[],3,FALSE),0)</f>
        <v>0</v>
      </c>
      <c r="AB398" s="84">
        <f>Ruimtestaat[[#This Row],[Uitvoeringen weekend]]*Ruimtestaat[[#This Row],[Oppervlak (netto)]]</f>
        <v>0</v>
      </c>
      <c r="AC398" s="87">
        <f>IF(AB398&gt;0,Ruimtestaat[[#This Row],[Prest. (m2 /jaar) weekend]]/Ruimtestaat[[#This Row],[Norm (m2/uur) weekend]],0)</f>
        <v>0</v>
      </c>
      <c r="AD398" s="88">
        <f>Ruimtestaat[[#This Row],[uren / jaar weekend]]*Tariefsopbouw!$D$40</f>
        <v>0</v>
      </c>
      <c r="AE398" s="89">
        <f>Ruimtestaat[[#This Row],[Prest. (m2 /jaar) weekend]]+Ruimtestaat[[#This Row],[Prest. (m2 /jaar) werkdagen]]</f>
        <v>13056</v>
      </c>
      <c r="AF398" s="89">
        <f>Ruimtestaat[[#This Row],[uren / jaar weekend]]+Ruimtestaat[[#This Row],[uren / jaar werkdagen]]</f>
        <v>0</v>
      </c>
      <c r="AG398" s="90">
        <f>Ruimtestaat[[#This Row],[kosten / jaar weekend]]+Ruimtestaat[[#This Row],[kosten / jaar werkdagen]]</f>
        <v>0</v>
      </c>
    </row>
    <row r="399" spans="1:33" ht="15" customHeight="1">
      <c r="A399" s="53">
        <v>2</v>
      </c>
      <c r="B399" s="53" t="str">
        <f>VLOOKUP(Ruimtestaat[[#This Row],[Code]],Locaties[#All],2,FALSE)</f>
        <v>Open Schoolgemeenschap Bijlmer</v>
      </c>
      <c r="C399" s="53" t="str">
        <f>VLOOKUP(Ruimtestaat[[#This Row],[Code]],Locaties[#All],4,FALSE)</f>
        <v>Gulden Kruis 5</v>
      </c>
      <c r="D399" s="53" t="str">
        <f>VLOOKUP(Ruimtestaat[[#This Row],[Code]],Locaties[#All],5,FALSE)</f>
        <v>1103 BE</v>
      </c>
      <c r="E399" s="53" t="str">
        <f>VLOOKUP(Ruimtestaat[[#This Row],[Code]],Locaties[#All],6,FALSE)</f>
        <v>Amsterdam Zuidoost</v>
      </c>
      <c r="F399" s="78"/>
      <c r="G399" s="53" t="s">
        <v>787</v>
      </c>
      <c r="H399" s="53" t="s">
        <v>797</v>
      </c>
      <c r="I399" s="78" t="s">
        <v>428</v>
      </c>
      <c r="J399" s="53">
        <v>16</v>
      </c>
      <c r="K399" s="78" t="str">
        <f>VLOOKUP(J399,Ruimtegroepen[],2,FALSE)</f>
        <v>Leslokalen theorie</v>
      </c>
      <c r="L399" s="53" t="s">
        <v>285</v>
      </c>
      <c r="M399" s="53" t="s">
        <v>580</v>
      </c>
      <c r="N399" s="92">
        <v>67.86</v>
      </c>
      <c r="O399" s="92"/>
      <c r="P399" s="80" t="str">
        <f>LEFT(VLOOKUP(Ruimtestaat[[#This Row],[Ruimte code]],Ruimtegroepen[#All],4,1),2)</f>
        <v xml:space="preserve">L </v>
      </c>
      <c r="Q399" s="93"/>
      <c r="R399" s="81">
        <v>40</v>
      </c>
      <c r="S399" s="81" t="s">
        <v>298</v>
      </c>
      <c r="T399" s="82">
        <f>IF(R399&gt;0,IF(RIGHT(Ruimtestaat[[#This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399" s="82">
        <f>IF(T399&gt;0,VLOOKUP($J399,Ruimtegroepen[],3,FALSE)*VLOOKUP($L399,Vloersoorten[],3,FALSE)*VLOOKUP($S399,Frequenties[],3,FALSE)*VLOOKUP($A399,Locaties[],3,FALSE),0)</f>
        <v>0</v>
      </c>
      <c r="V399" s="83">
        <f>Ruimtestaat[[#This Row],[Uitvoeringen werkdagen]]*Ruimtestaat[[#This Row],[Oppervlak (netto)]]</f>
        <v>13572</v>
      </c>
      <c r="W399" s="84">
        <f>IF(U399&gt;0,Ruimtestaat[[#This Row],[Prest. (m2 /jaar) werkdagen]]/Ruimtestaat[[#This Row],[Norm (m2/uur) werkdagen]],0)</f>
        <v>0</v>
      </c>
      <c r="X399" s="85">
        <f>Ruimtestaat[[#This Row],[uren / jaar werkdagen]]*Tariefsopbouw!$E$35</f>
        <v>0</v>
      </c>
      <c r="Y399" s="82"/>
      <c r="Z399" s="86">
        <f>IF(Ruimtestaat[[#This Row],[Frequentie weekend]]&gt;0,VALUE(LEFT(Y399,1))*R399,0)</f>
        <v>0</v>
      </c>
      <c r="AA399" s="82">
        <f>IF($Z399&gt;0,VLOOKUP($J399,Ruimtegroepen[],3,FALSE)*VLOOKUP($L399,Vloersoorten[],3,FALSE)*VLOOKUP($Y399,Frequenties[],3,FALSE)*VLOOKUP($A395,Locaties[],3,FALSE),0)</f>
        <v>0</v>
      </c>
      <c r="AB399" s="84">
        <f>Ruimtestaat[[#This Row],[Uitvoeringen weekend]]*Ruimtestaat[[#This Row],[Oppervlak (netto)]]</f>
        <v>0</v>
      </c>
      <c r="AC399" s="87">
        <f>IF(AB399&gt;0,Ruimtestaat[[#This Row],[Prest. (m2 /jaar) weekend]]/Ruimtestaat[[#This Row],[Norm (m2/uur) weekend]],0)</f>
        <v>0</v>
      </c>
      <c r="AD399" s="88">
        <f>Ruimtestaat[[#This Row],[uren / jaar weekend]]*Tariefsopbouw!$D$40</f>
        <v>0</v>
      </c>
      <c r="AE399" s="89">
        <f>Ruimtestaat[[#This Row],[Prest. (m2 /jaar) weekend]]+Ruimtestaat[[#This Row],[Prest. (m2 /jaar) werkdagen]]</f>
        <v>13572</v>
      </c>
      <c r="AF399" s="89">
        <f>Ruimtestaat[[#This Row],[uren / jaar weekend]]+Ruimtestaat[[#This Row],[uren / jaar werkdagen]]</f>
        <v>0</v>
      </c>
      <c r="AG399" s="90">
        <f>Ruimtestaat[[#This Row],[kosten / jaar weekend]]+Ruimtestaat[[#This Row],[kosten / jaar werkdagen]]</f>
        <v>0</v>
      </c>
    </row>
    <row r="400" spans="1:33" ht="15" customHeight="1">
      <c r="A400" s="53">
        <v>2</v>
      </c>
      <c r="B400" s="53" t="str">
        <f>VLOOKUP(Ruimtestaat[[#This Row],[Code]],Locaties[#All],2,FALSE)</f>
        <v>Open Schoolgemeenschap Bijlmer</v>
      </c>
      <c r="C400" s="53" t="str">
        <f>VLOOKUP(Ruimtestaat[[#This Row],[Code]],Locaties[#All],4,FALSE)</f>
        <v>Gulden Kruis 5</v>
      </c>
      <c r="D400" s="53" t="str">
        <f>VLOOKUP(Ruimtestaat[[#This Row],[Code]],Locaties[#All],5,FALSE)</f>
        <v>1103 BE</v>
      </c>
      <c r="E400" s="53" t="str">
        <f>VLOOKUP(Ruimtestaat[[#This Row],[Code]],Locaties[#All],6,FALSE)</f>
        <v>Amsterdam Zuidoost</v>
      </c>
      <c r="F400" s="78"/>
      <c r="G400" s="53" t="s">
        <v>787</v>
      </c>
      <c r="H400" s="53" t="s">
        <v>798</v>
      </c>
      <c r="I400" s="78" t="s">
        <v>456</v>
      </c>
      <c r="J400" s="53">
        <v>6</v>
      </c>
      <c r="K400" s="78" t="str">
        <f>VLOOKUP(J400,Ruimtegroepen[],2,FALSE)</f>
        <v>Gangen/hallen</v>
      </c>
      <c r="L400" s="53" t="s">
        <v>285</v>
      </c>
      <c r="M400" s="53" t="s">
        <v>580</v>
      </c>
      <c r="N400" s="92">
        <v>149.73150000000001</v>
      </c>
      <c r="O400" s="92"/>
      <c r="P400" s="80" t="str">
        <f>LEFT(VLOOKUP(Ruimtestaat[[#This Row],[Ruimte code]],Ruimtegroepen[#All],4,1),2)</f>
        <v xml:space="preserve">V </v>
      </c>
      <c r="Q400" s="93"/>
      <c r="R400" s="81">
        <v>40</v>
      </c>
      <c r="S400" s="81" t="s">
        <v>298</v>
      </c>
      <c r="T400" s="82">
        <f>IF(R400&gt;0,IF(RIGHT(Ruimtestaat[[#This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0" s="82">
        <f>IF(T400&gt;0,VLOOKUP($J400,Ruimtegroepen[],3,FALSE)*VLOOKUP($L400,Vloersoorten[],3,FALSE)*VLOOKUP($S400,Frequenties[],3,FALSE)*VLOOKUP($A400,Locaties[],3,FALSE),0)</f>
        <v>0</v>
      </c>
      <c r="V400" s="83">
        <f>Ruimtestaat[[#This Row],[Uitvoeringen werkdagen]]*Ruimtestaat[[#This Row],[Oppervlak (netto)]]</f>
        <v>29946.300000000003</v>
      </c>
      <c r="W400" s="84">
        <f>IF(U400&gt;0,Ruimtestaat[[#This Row],[Prest. (m2 /jaar) werkdagen]]/Ruimtestaat[[#This Row],[Norm (m2/uur) werkdagen]],0)</f>
        <v>0</v>
      </c>
      <c r="X400" s="85">
        <f>Ruimtestaat[[#This Row],[uren / jaar werkdagen]]*Tariefsopbouw!$E$35</f>
        <v>0</v>
      </c>
      <c r="Y400" s="82"/>
      <c r="Z400" s="86">
        <f>IF(Ruimtestaat[[#This Row],[Frequentie weekend]]&gt;0,VALUE(LEFT(Y400,1))*R400,0)</f>
        <v>0</v>
      </c>
      <c r="AA400" s="82">
        <f>IF($Z400&gt;0,VLOOKUP($J400,Ruimtegroepen[],3,FALSE)*VLOOKUP($L400,Vloersoorten[],3,FALSE)*VLOOKUP($Y400,Frequenties[],3,FALSE)*VLOOKUP($A396,Locaties[],3,FALSE),0)</f>
        <v>0</v>
      </c>
      <c r="AB400" s="84">
        <f>Ruimtestaat[[#This Row],[Uitvoeringen weekend]]*Ruimtestaat[[#This Row],[Oppervlak (netto)]]</f>
        <v>0</v>
      </c>
      <c r="AC400" s="87">
        <f>IF(AB400&gt;0,Ruimtestaat[[#This Row],[Prest. (m2 /jaar) weekend]]/Ruimtestaat[[#This Row],[Norm (m2/uur) weekend]],0)</f>
        <v>0</v>
      </c>
      <c r="AD400" s="88">
        <f>Ruimtestaat[[#This Row],[uren / jaar weekend]]*Tariefsopbouw!$D$40</f>
        <v>0</v>
      </c>
      <c r="AE400" s="89">
        <f>Ruimtestaat[[#This Row],[Prest. (m2 /jaar) weekend]]+Ruimtestaat[[#This Row],[Prest. (m2 /jaar) werkdagen]]</f>
        <v>29946.300000000003</v>
      </c>
      <c r="AF400" s="89">
        <f>Ruimtestaat[[#This Row],[uren / jaar weekend]]+Ruimtestaat[[#This Row],[uren / jaar werkdagen]]</f>
        <v>0</v>
      </c>
      <c r="AG400" s="90">
        <f>Ruimtestaat[[#This Row],[kosten / jaar weekend]]+Ruimtestaat[[#This Row],[kosten / jaar werkdagen]]</f>
        <v>0</v>
      </c>
    </row>
    <row r="401" spans="1:33" ht="15" customHeight="1">
      <c r="A401" s="53">
        <v>2</v>
      </c>
      <c r="B401" s="53" t="str">
        <f>VLOOKUP(Ruimtestaat[[#This Row],[Code]],Locaties[#All],2,FALSE)</f>
        <v>Open Schoolgemeenschap Bijlmer</v>
      </c>
      <c r="C401" s="53" t="str">
        <f>VLOOKUP(Ruimtestaat[[#This Row],[Code]],Locaties[#All],4,FALSE)</f>
        <v>Gulden Kruis 5</v>
      </c>
      <c r="D401" s="53" t="str">
        <f>VLOOKUP(Ruimtestaat[[#This Row],[Code]],Locaties[#All],5,FALSE)</f>
        <v>1103 BE</v>
      </c>
      <c r="E401" s="53" t="str">
        <f>VLOOKUP(Ruimtestaat[[#This Row],[Code]],Locaties[#All],6,FALSE)</f>
        <v>Amsterdam Zuidoost</v>
      </c>
      <c r="F401" s="78"/>
      <c r="G401" s="53" t="s">
        <v>787</v>
      </c>
      <c r="H401" s="53" t="s">
        <v>799</v>
      </c>
      <c r="I401" s="78" t="s">
        <v>579</v>
      </c>
      <c r="J401" s="53">
        <v>5</v>
      </c>
      <c r="K401" s="78" t="str">
        <f>VLOOKUP(J401,Ruimtegroepen[],2,FALSE)</f>
        <v>Sanitair</v>
      </c>
      <c r="L401" s="53" t="s">
        <v>285</v>
      </c>
      <c r="M401" s="53" t="s">
        <v>580</v>
      </c>
      <c r="N401" s="92">
        <v>14.27</v>
      </c>
      <c r="O401" s="92"/>
      <c r="P401" s="80" t="str">
        <f>LEFT(VLOOKUP(Ruimtestaat[[#This Row],[Ruimte code]],Ruimtegroepen[#All],4,1),2)</f>
        <v xml:space="preserve">S </v>
      </c>
      <c r="Q401" s="93"/>
      <c r="R401" s="81">
        <v>40</v>
      </c>
      <c r="S401" s="81" t="s">
        <v>296</v>
      </c>
      <c r="T401" s="82">
        <f>IF(R401&gt;0,IF(RIGHT(Ruimtestaat[[#This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01" s="82">
        <f>IF(T401&gt;0,VLOOKUP($J401,Ruimtegroepen[],3,FALSE)*VLOOKUP($L401,Vloersoorten[],3,FALSE)*VLOOKUP($S401,Frequenties[],3,FALSE)*VLOOKUP($A401,Locaties[],3,FALSE),0)</f>
        <v>0</v>
      </c>
      <c r="V401" s="83">
        <f>Ruimtestaat[[#This Row],[Uitvoeringen werkdagen]]*Ruimtestaat[[#This Row],[Oppervlak (netto)]]</f>
        <v>5708</v>
      </c>
      <c r="W401" s="84">
        <f>IF(U401&gt;0,Ruimtestaat[[#This Row],[Prest. (m2 /jaar) werkdagen]]/Ruimtestaat[[#This Row],[Norm (m2/uur) werkdagen]],0)</f>
        <v>0</v>
      </c>
      <c r="X401" s="85">
        <f>Ruimtestaat[[#This Row],[uren / jaar werkdagen]]*Tariefsopbouw!$E$35</f>
        <v>0</v>
      </c>
      <c r="Y401" s="82"/>
      <c r="Z401" s="86">
        <f>IF(Ruimtestaat[[#This Row],[Frequentie weekend]]&gt;0,VALUE(LEFT(Y401,1))*R401,0)</f>
        <v>0</v>
      </c>
      <c r="AA401" s="82">
        <f>IF($Z401&gt;0,VLOOKUP($J401,Ruimtegroepen[],3,FALSE)*VLOOKUP($L401,Vloersoorten[],3,FALSE)*VLOOKUP($Y401,Frequenties[],3,FALSE)*VLOOKUP($A397,Locaties[],3,FALSE),0)</f>
        <v>0</v>
      </c>
      <c r="AB401" s="84">
        <f>Ruimtestaat[[#This Row],[Uitvoeringen weekend]]*Ruimtestaat[[#This Row],[Oppervlak (netto)]]</f>
        <v>0</v>
      </c>
      <c r="AC401" s="87">
        <f>IF(AB401&gt;0,Ruimtestaat[[#This Row],[Prest. (m2 /jaar) weekend]]/Ruimtestaat[[#This Row],[Norm (m2/uur) weekend]],0)</f>
        <v>0</v>
      </c>
      <c r="AD401" s="88">
        <f>Ruimtestaat[[#This Row],[uren / jaar weekend]]*Tariefsopbouw!$D$40</f>
        <v>0</v>
      </c>
      <c r="AE401" s="89">
        <f>Ruimtestaat[[#This Row],[Prest. (m2 /jaar) weekend]]+Ruimtestaat[[#This Row],[Prest. (m2 /jaar) werkdagen]]</f>
        <v>5708</v>
      </c>
      <c r="AF401" s="89">
        <f>Ruimtestaat[[#This Row],[uren / jaar weekend]]+Ruimtestaat[[#This Row],[uren / jaar werkdagen]]</f>
        <v>0</v>
      </c>
      <c r="AG401" s="90">
        <f>Ruimtestaat[[#This Row],[kosten / jaar weekend]]+Ruimtestaat[[#This Row],[kosten / jaar werkdagen]]</f>
        <v>0</v>
      </c>
    </row>
    <row r="402" spans="1:33" ht="15" customHeight="1">
      <c r="A402" s="53">
        <v>2</v>
      </c>
      <c r="B402" s="53" t="str">
        <f>VLOOKUP(Ruimtestaat[[#This Row],[Code]],Locaties[#All],2,FALSE)</f>
        <v>Open Schoolgemeenschap Bijlmer</v>
      </c>
      <c r="C402" s="53" t="str">
        <f>VLOOKUP(Ruimtestaat[[#This Row],[Code]],Locaties[#All],4,FALSE)</f>
        <v>Gulden Kruis 5</v>
      </c>
      <c r="D402" s="53" t="str">
        <f>VLOOKUP(Ruimtestaat[[#This Row],[Code]],Locaties[#All],5,FALSE)</f>
        <v>1103 BE</v>
      </c>
      <c r="E402" s="53" t="str">
        <f>VLOOKUP(Ruimtestaat[[#This Row],[Code]],Locaties[#All],6,FALSE)</f>
        <v>Amsterdam Zuidoost</v>
      </c>
      <c r="F402" s="78"/>
      <c r="G402" s="53" t="s">
        <v>787</v>
      </c>
      <c r="H402" s="53" t="s">
        <v>800</v>
      </c>
      <c r="I402" s="78" t="s">
        <v>579</v>
      </c>
      <c r="J402" s="53">
        <v>5</v>
      </c>
      <c r="K402" s="78" t="str">
        <f>VLOOKUP(J402,Ruimtegroepen[],2,FALSE)</f>
        <v>Sanitair</v>
      </c>
      <c r="L402" s="53" t="s">
        <v>285</v>
      </c>
      <c r="M402" s="53" t="s">
        <v>580</v>
      </c>
      <c r="N402" s="92">
        <v>13.84</v>
      </c>
      <c r="O402" s="92"/>
      <c r="P402" s="80" t="str">
        <f>LEFT(VLOOKUP(Ruimtestaat[[#This Row],[Ruimte code]],Ruimtegroepen[#All],4,1),2)</f>
        <v xml:space="preserve">S </v>
      </c>
      <c r="Q402" s="93"/>
      <c r="R402" s="81">
        <v>40</v>
      </c>
      <c r="S402" s="81" t="s">
        <v>296</v>
      </c>
      <c r="T402" s="82">
        <f>IF(R402&gt;0,IF(RIGHT(Ruimtestaat[[#This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02" s="82">
        <f>IF(T402&gt;0,VLOOKUP($J402,Ruimtegroepen[],3,FALSE)*VLOOKUP($L402,Vloersoorten[],3,FALSE)*VLOOKUP($S402,Frequenties[],3,FALSE)*VLOOKUP($A402,Locaties[],3,FALSE),0)</f>
        <v>0</v>
      </c>
      <c r="V402" s="83">
        <f>Ruimtestaat[[#This Row],[Uitvoeringen werkdagen]]*Ruimtestaat[[#This Row],[Oppervlak (netto)]]</f>
        <v>5536</v>
      </c>
      <c r="W402" s="84">
        <f>IF(U402&gt;0,Ruimtestaat[[#This Row],[Prest. (m2 /jaar) werkdagen]]/Ruimtestaat[[#This Row],[Norm (m2/uur) werkdagen]],0)</f>
        <v>0</v>
      </c>
      <c r="X402" s="85">
        <f>Ruimtestaat[[#This Row],[uren / jaar werkdagen]]*Tariefsopbouw!$E$35</f>
        <v>0</v>
      </c>
      <c r="Y402" s="82"/>
      <c r="Z402" s="86">
        <f>IF(Ruimtestaat[[#This Row],[Frequentie weekend]]&gt;0,VALUE(LEFT(Y402,1))*R402,0)</f>
        <v>0</v>
      </c>
      <c r="AA402" s="82">
        <f>IF($Z402&gt;0,VLOOKUP($J402,Ruimtegroepen[],3,FALSE)*VLOOKUP($L402,Vloersoorten[],3,FALSE)*VLOOKUP($Y402,Frequenties[],3,FALSE)*VLOOKUP($A398,Locaties[],3,FALSE),0)</f>
        <v>0</v>
      </c>
      <c r="AB402" s="84">
        <f>Ruimtestaat[[#This Row],[Uitvoeringen weekend]]*Ruimtestaat[[#This Row],[Oppervlak (netto)]]</f>
        <v>0</v>
      </c>
      <c r="AC402" s="87">
        <f>IF(AB402&gt;0,Ruimtestaat[[#This Row],[Prest. (m2 /jaar) weekend]]/Ruimtestaat[[#This Row],[Norm (m2/uur) weekend]],0)</f>
        <v>0</v>
      </c>
      <c r="AD402" s="88">
        <f>Ruimtestaat[[#This Row],[uren / jaar weekend]]*Tariefsopbouw!$D$40</f>
        <v>0</v>
      </c>
      <c r="AE402" s="89">
        <f>Ruimtestaat[[#This Row],[Prest. (m2 /jaar) weekend]]+Ruimtestaat[[#This Row],[Prest. (m2 /jaar) werkdagen]]</f>
        <v>5536</v>
      </c>
      <c r="AF402" s="89">
        <f>Ruimtestaat[[#This Row],[uren / jaar weekend]]+Ruimtestaat[[#This Row],[uren / jaar werkdagen]]</f>
        <v>0</v>
      </c>
      <c r="AG402" s="90">
        <f>Ruimtestaat[[#This Row],[kosten / jaar weekend]]+Ruimtestaat[[#This Row],[kosten / jaar werkdagen]]</f>
        <v>0</v>
      </c>
    </row>
    <row r="403" spans="1:33" ht="15" customHeight="1">
      <c r="A403" s="53">
        <v>2</v>
      </c>
      <c r="B403" s="53" t="str">
        <f>VLOOKUP(Ruimtestaat[[#This Row],[Code]],Locaties[#All],2,FALSE)</f>
        <v>Open Schoolgemeenschap Bijlmer</v>
      </c>
      <c r="C403" s="53" t="str">
        <f>VLOOKUP(Ruimtestaat[[#This Row],[Code]],Locaties[#All],4,FALSE)</f>
        <v>Gulden Kruis 5</v>
      </c>
      <c r="D403" s="53" t="str">
        <f>VLOOKUP(Ruimtestaat[[#This Row],[Code]],Locaties[#All],5,FALSE)</f>
        <v>1103 BE</v>
      </c>
      <c r="E403" s="53" t="str">
        <f>VLOOKUP(Ruimtestaat[[#This Row],[Code]],Locaties[#All],6,FALSE)</f>
        <v>Amsterdam Zuidoost</v>
      </c>
      <c r="F403" s="78"/>
      <c r="G403" s="53" t="s">
        <v>787</v>
      </c>
      <c r="H403" s="53" t="s">
        <v>801</v>
      </c>
      <c r="I403" s="78" t="s">
        <v>456</v>
      </c>
      <c r="J403" s="53">
        <v>6</v>
      </c>
      <c r="K403" s="78" t="str">
        <f>VLOOKUP(J403,Ruimtegroepen[],2,FALSE)</f>
        <v>Gangen/hallen</v>
      </c>
      <c r="L403" s="53" t="s">
        <v>285</v>
      </c>
      <c r="M403" s="53" t="s">
        <v>580</v>
      </c>
      <c r="N403" s="92">
        <v>21.528199999999998</v>
      </c>
      <c r="O403" s="92"/>
      <c r="P403" s="80" t="str">
        <f>LEFT(VLOOKUP(Ruimtestaat[[#This Row],[Ruimte code]],Ruimtegroepen[#All],4,1),2)</f>
        <v xml:space="preserve">V </v>
      </c>
      <c r="Q403" s="93"/>
      <c r="R403" s="81">
        <v>40</v>
      </c>
      <c r="S403" s="81" t="s">
        <v>298</v>
      </c>
      <c r="T403" s="82">
        <f>IF(R403&gt;0,IF(RIGHT(Ruimtestaat[[#This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3" s="82">
        <f>IF(T403&gt;0,VLOOKUP($J403,Ruimtegroepen[],3,FALSE)*VLOOKUP($L403,Vloersoorten[],3,FALSE)*VLOOKUP($S403,Frequenties[],3,FALSE)*VLOOKUP($A403,Locaties[],3,FALSE),0)</f>
        <v>0</v>
      </c>
      <c r="V403" s="83">
        <f>Ruimtestaat[[#This Row],[Uitvoeringen werkdagen]]*Ruimtestaat[[#This Row],[Oppervlak (netto)]]</f>
        <v>4305.6399999999994</v>
      </c>
      <c r="W403" s="84">
        <f>IF(U403&gt;0,Ruimtestaat[[#This Row],[Prest. (m2 /jaar) werkdagen]]/Ruimtestaat[[#This Row],[Norm (m2/uur) werkdagen]],0)</f>
        <v>0</v>
      </c>
      <c r="X403" s="85">
        <f>Ruimtestaat[[#This Row],[uren / jaar werkdagen]]*Tariefsopbouw!$E$35</f>
        <v>0</v>
      </c>
      <c r="Y403" s="82"/>
      <c r="Z403" s="86">
        <f>IF(Ruimtestaat[[#This Row],[Frequentie weekend]]&gt;0,VALUE(LEFT(Y403,1))*R403,0)</f>
        <v>0</v>
      </c>
      <c r="AA403" s="82">
        <f>IF($Z403&gt;0,VLOOKUP($J403,Ruimtegroepen[],3,FALSE)*VLOOKUP($L403,Vloersoorten[],3,FALSE)*VLOOKUP($Y403,Frequenties[],3,FALSE)*VLOOKUP($A399,Locaties[],3,FALSE),0)</f>
        <v>0</v>
      </c>
      <c r="AB403" s="84">
        <f>Ruimtestaat[[#This Row],[Uitvoeringen weekend]]*Ruimtestaat[[#This Row],[Oppervlak (netto)]]</f>
        <v>0</v>
      </c>
      <c r="AC403" s="87">
        <f>IF(AB403&gt;0,Ruimtestaat[[#This Row],[Prest. (m2 /jaar) weekend]]/Ruimtestaat[[#This Row],[Norm (m2/uur) weekend]],0)</f>
        <v>0</v>
      </c>
      <c r="AD403" s="88">
        <f>Ruimtestaat[[#This Row],[uren / jaar weekend]]*Tariefsopbouw!$D$40</f>
        <v>0</v>
      </c>
      <c r="AE403" s="89">
        <f>Ruimtestaat[[#This Row],[Prest. (m2 /jaar) weekend]]+Ruimtestaat[[#This Row],[Prest. (m2 /jaar) werkdagen]]</f>
        <v>4305.6399999999994</v>
      </c>
      <c r="AF403" s="89">
        <f>Ruimtestaat[[#This Row],[uren / jaar weekend]]+Ruimtestaat[[#This Row],[uren / jaar werkdagen]]</f>
        <v>0</v>
      </c>
      <c r="AG403" s="90">
        <f>Ruimtestaat[[#This Row],[kosten / jaar weekend]]+Ruimtestaat[[#This Row],[kosten / jaar werkdagen]]</f>
        <v>0</v>
      </c>
    </row>
    <row r="404" spans="1:33" ht="15" customHeight="1">
      <c r="A404" s="53">
        <v>2</v>
      </c>
      <c r="B404" s="53" t="str">
        <f>VLOOKUP(Ruimtestaat[[#This Row],[Code]],Locaties[#All],2,FALSE)</f>
        <v>Open Schoolgemeenschap Bijlmer</v>
      </c>
      <c r="C404" s="53" t="str">
        <f>VLOOKUP(Ruimtestaat[[#This Row],[Code]],Locaties[#All],4,FALSE)</f>
        <v>Gulden Kruis 5</v>
      </c>
      <c r="D404" s="53" t="str">
        <f>VLOOKUP(Ruimtestaat[[#This Row],[Code]],Locaties[#All],5,FALSE)</f>
        <v>1103 BE</v>
      </c>
      <c r="E404" s="53" t="str">
        <f>VLOOKUP(Ruimtestaat[[#This Row],[Code]],Locaties[#All],6,FALSE)</f>
        <v>Amsterdam Zuidoost</v>
      </c>
      <c r="F404" s="78"/>
      <c r="G404" s="53" t="s">
        <v>787</v>
      </c>
      <c r="H404" s="53" t="s">
        <v>802</v>
      </c>
      <c r="I404" s="78" t="s">
        <v>456</v>
      </c>
      <c r="J404" s="53">
        <v>6</v>
      </c>
      <c r="K404" s="78" t="str">
        <f>VLOOKUP(J404,Ruimtegroepen[],2,FALSE)</f>
        <v>Gangen/hallen</v>
      </c>
      <c r="L404" s="53" t="s">
        <v>285</v>
      </c>
      <c r="M404" s="53" t="s">
        <v>580</v>
      </c>
      <c r="N404" s="92">
        <v>8.76</v>
      </c>
      <c r="O404" s="92"/>
      <c r="P404" s="80" t="str">
        <f>LEFT(VLOOKUP(Ruimtestaat[[#This Row],[Ruimte code]],Ruimtegroepen[#All],4,1),2)</f>
        <v xml:space="preserve">V </v>
      </c>
      <c r="Q404" s="93"/>
      <c r="R404" s="81">
        <v>40</v>
      </c>
      <c r="S404" s="81" t="s">
        <v>298</v>
      </c>
      <c r="T404" s="82">
        <f>IF(R404&gt;0,IF(RIGHT(Ruimtestaat[[#This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4" s="82">
        <f>IF(T404&gt;0,VLOOKUP($J404,Ruimtegroepen[],3,FALSE)*VLOOKUP($L404,Vloersoorten[],3,FALSE)*VLOOKUP($S404,Frequenties[],3,FALSE)*VLOOKUP($A404,Locaties[],3,FALSE),0)</f>
        <v>0</v>
      </c>
      <c r="V404" s="83">
        <f>Ruimtestaat[[#This Row],[Uitvoeringen werkdagen]]*Ruimtestaat[[#This Row],[Oppervlak (netto)]]</f>
        <v>1752</v>
      </c>
      <c r="W404" s="84">
        <f>IF(U404&gt;0,Ruimtestaat[[#This Row],[Prest. (m2 /jaar) werkdagen]]/Ruimtestaat[[#This Row],[Norm (m2/uur) werkdagen]],0)</f>
        <v>0</v>
      </c>
      <c r="X404" s="85">
        <f>Ruimtestaat[[#This Row],[uren / jaar werkdagen]]*Tariefsopbouw!$E$35</f>
        <v>0</v>
      </c>
      <c r="Y404" s="82"/>
      <c r="Z404" s="86">
        <f>IF(Ruimtestaat[[#This Row],[Frequentie weekend]]&gt;0,VALUE(LEFT(Y404,1))*R404,0)</f>
        <v>0</v>
      </c>
      <c r="AA404" s="82">
        <f>IF($Z404&gt;0,VLOOKUP($J404,Ruimtegroepen[],3,FALSE)*VLOOKUP($L404,Vloersoorten[],3,FALSE)*VLOOKUP($Y404,Frequenties[],3,FALSE)*VLOOKUP($A400,Locaties[],3,FALSE),0)</f>
        <v>0</v>
      </c>
      <c r="AB404" s="84">
        <f>Ruimtestaat[[#This Row],[Uitvoeringen weekend]]*Ruimtestaat[[#This Row],[Oppervlak (netto)]]</f>
        <v>0</v>
      </c>
      <c r="AC404" s="87">
        <f>IF(AB404&gt;0,Ruimtestaat[[#This Row],[Prest. (m2 /jaar) weekend]]/Ruimtestaat[[#This Row],[Norm (m2/uur) weekend]],0)</f>
        <v>0</v>
      </c>
      <c r="AD404" s="88">
        <f>Ruimtestaat[[#This Row],[uren / jaar weekend]]*Tariefsopbouw!$D$40</f>
        <v>0</v>
      </c>
      <c r="AE404" s="89">
        <f>Ruimtestaat[[#This Row],[Prest. (m2 /jaar) weekend]]+Ruimtestaat[[#This Row],[Prest. (m2 /jaar) werkdagen]]</f>
        <v>1752</v>
      </c>
      <c r="AF404" s="89">
        <f>Ruimtestaat[[#This Row],[uren / jaar weekend]]+Ruimtestaat[[#This Row],[uren / jaar werkdagen]]</f>
        <v>0</v>
      </c>
      <c r="AG404" s="90">
        <f>Ruimtestaat[[#This Row],[kosten / jaar weekend]]+Ruimtestaat[[#This Row],[kosten / jaar werkdagen]]</f>
        <v>0</v>
      </c>
    </row>
    <row r="405" spans="1:33" ht="15" customHeight="1">
      <c r="A405" s="53">
        <v>2</v>
      </c>
      <c r="B405" s="53" t="str">
        <f>VLOOKUP(Ruimtestaat[[#This Row],[Code]],Locaties[#All],2,FALSE)</f>
        <v>Open Schoolgemeenschap Bijlmer</v>
      </c>
      <c r="C405" s="53" t="str">
        <f>VLOOKUP(Ruimtestaat[[#This Row],[Code]],Locaties[#All],4,FALSE)</f>
        <v>Gulden Kruis 5</v>
      </c>
      <c r="D405" s="53" t="str">
        <f>VLOOKUP(Ruimtestaat[[#This Row],[Code]],Locaties[#All],5,FALSE)</f>
        <v>1103 BE</v>
      </c>
      <c r="E405" s="53" t="str">
        <f>VLOOKUP(Ruimtestaat[[#This Row],[Code]],Locaties[#All],6,FALSE)</f>
        <v>Amsterdam Zuidoost</v>
      </c>
      <c r="F405" s="78"/>
      <c r="G405" s="53" t="s">
        <v>787</v>
      </c>
      <c r="H405" s="53" t="s">
        <v>803</v>
      </c>
      <c r="I405" s="78" t="s">
        <v>364</v>
      </c>
      <c r="J405" s="53">
        <v>15</v>
      </c>
      <c r="K405" s="78" t="str">
        <f>VLOOKUP(J405,Ruimtegroepen[],2,FALSE)</f>
        <v>Keuken/pantry</v>
      </c>
      <c r="L405" s="53" t="s">
        <v>285</v>
      </c>
      <c r="M405" s="53" t="s">
        <v>580</v>
      </c>
      <c r="N405" s="92">
        <v>5.25</v>
      </c>
      <c r="O405" s="92"/>
      <c r="P405" s="80" t="str">
        <f>LEFT(VLOOKUP(Ruimtestaat[[#This Row],[Ruimte code]],Ruimtegroepen[#All],4,1),2)</f>
        <v xml:space="preserve">V </v>
      </c>
      <c r="Q405" s="93"/>
      <c r="R405" s="81">
        <v>40</v>
      </c>
      <c r="S405" s="81" t="s">
        <v>298</v>
      </c>
      <c r="T405" s="82">
        <f>IF(R405&gt;0,IF(RIGHT(Ruimtestaat[[#This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5" s="82">
        <f>IF(T405&gt;0,VLOOKUP($J405,Ruimtegroepen[],3,FALSE)*VLOOKUP($L405,Vloersoorten[],3,FALSE)*VLOOKUP($S405,Frequenties[],3,FALSE)*VLOOKUP($A405,Locaties[],3,FALSE),0)</f>
        <v>0</v>
      </c>
      <c r="V405" s="83">
        <f>Ruimtestaat[[#This Row],[Uitvoeringen werkdagen]]*Ruimtestaat[[#This Row],[Oppervlak (netto)]]</f>
        <v>1050</v>
      </c>
      <c r="W405" s="84">
        <f>IF(U405&gt;0,Ruimtestaat[[#This Row],[Prest. (m2 /jaar) werkdagen]]/Ruimtestaat[[#This Row],[Norm (m2/uur) werkdagen]],0)</f>
        <v>0</v>
      </c>
      <c r="X405" s="85">
        <f>Ruimtestaat[[#This Row],[uren / jaar werkdagen]]*Tariefsopbouw!$E$35</f>
        <v>0</v>
      </c>
      <c r="Y405" s="82"/>
      <c r="Z405" s="86">
        <f>IF(Ruimtestaat[[#This Row],[Frequentie weekend]]&gt;0,VALUE(LEFT(Y405,1))*R405,0)</f>
        <v>0</v>
      </c>
      <c r="AA405" s="82">
        <f>IF($Z405&gt;0,VLOOKUP($J405,Ruimtegroepen[],3,FALSE)*VLOOKUP($L405,Vloersoorten[],3,FALSE)*VLOOKUP($Y405,Frequenties[],3,FALSE)*VLOOKUP($A401,Locaties[],3,FALSE),0)</f>
        <v>0</v>
      </c>
      <c r="AB405" s="84">
        <f>Ruimtestaat[[#This Row],[Uitvoeringen weekend]]*Ruimtestaat[[#This Row],[Oppervlak (netto)]]</f>
        <v>0</v>
      </c>
      <c r="AC405" s="87">
        <f>IF(AB405&gt;0,Ruimtestaat[[#This Row],[Prest. (m2 /jaar) weekend]]/Ruimtestaat[[#This Row],[Norm (m2/uur) weekend]],0)</f>
        <v>0</v>
      </c>
      <c r="AD405" s="88">
        <f>Ruimtestaat[[#This Row],[uren / jaar weekend]]*Tariefsopbouw!$D$40</f>
        <v>0</v>
      </c>
      <c r="AE405" s="89">
        <f>Ruimtestaat[[#This Row],[Prest. (m2 /jaar) weekend]]+Ruimtestaat[[#This Row],[Prest. (m2 /jaar) werkdagen]]</f>
        <v>1050</v>
      </c>
      <c r="AF405" s="89">
        <f>Ruimtestaat[[#This Row],[uren / jaar weekend]]+Ruimtestaat[[#This Row],[uren / jaar werkdagen]]</f>
        <v>0</v>
      </c>
      <c r="AG405" s="90">
        <f>Ruimtestaat[[#This Row],[kosten / jaar weekend]]+Ruimtestaat[[#This Row],[kosten / jaar werkdagen]]</f>
        <v>0</v>
      </c>
    </row>
    <row r="406" spans="1:33" ht="15" customHeight="1">
      <c r="A406" s="53">
        <v>2</v>
      </c>
      <c r="B406" s="53" t="str">
        <f>VLOOKUP(Ruimtestaat[[#This Row],[Code]],Locaties[#All],2,FALSE)</f>
        <v>Open Schoolgemeenschap Bijlmer</v>
      </c>
      <c r="C406" s="53" t="str">
        <f>VLOOKUP(Ruimtestaat[[#This Row],[Code]],Locaties[#All],4,FALSE)</f>
        <v>Gulden Kruis 5</v>
      </c>
      <c r="D406" s="53" t="str">
        <f>VLOOKUP(Ruimtestaat[[#This Row],[Code]],Locaties[#All],5,FALSE)</f>
        <v>1103 BE</v>
      </c>
      <c r="E406" s="53" t="str">
        <f>VLOOKUP(Ruimtestaat[[#This Row],[Code]],Locaties[#All],6,FALSE)</f>
        <v>Amsterdam Zuidoost</v>
      </c>
      <c r="F406" s="78"/>
      <c r="G406" s="53" t="s">
        <v>787</v>
      </c>
      <c r="H406" s="53" t="s">
        <v>804</v>
      </c>
      <c r="I406" s="78" t="s">
        <v>579</v>
      </c>
      <c r="J406" s="53">
        <v>5</v>
      </c>
      <c r="K406" s="78" t="str">
        <f>VLOOKUP(J406,Ruimtegroepen[],2,FALSE)</f>
        <v>Sanitair</v>
      </c>
      <c r="L406" s="53" t="s">
        <v>285</v>
      </c>
      <c r="M406" s="53" t="s">
        <v>580</v>
      </c>
      <c r="N406" s="92">
        <v>5.62</v>
      </c>
      <c r="O406" s="92"/>
      <c r="P406" s="80" t="str">
        <f>LEFT(VLOOKUP(Ruimtestaat[[#This Row],[Ruimte code]],Ruimtegroepen[#All],4,1),2)</f>
        <v xml:space="preserve">S </v>
      </c>
      <c r="Q406" s="93"/>
      <c r="R406" s="81">
        <v>40</v>
      </c>
      <c r="S406" s="81" t="s">
        <v>296</v>
      </c>
      <c r="T406" s="82">
        <f>IF(R406&gt;0,IF(RIGHT(Ruimtestaat[[#This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06" s="82">
        <f>IF(T406&gt;0,VLOOKUP($J406,Ruimtegroepen[],3,FALSE)*VLOOKUP($L406,Vloersoorten[],3,FALSE)*VLOOKUP($S406,Frequenties[],3,FALSE)*VLOOKUP($A406,Locaties[],3,FALSE),0)</f>
        <v>0</v>
      </c>
      <c r="V406" s="83">
        <f>Ruimtestaat[[#This Row],[Uitvoeringen werkdagen]]*Ruimtestaat[[#This Row],[Oppervlak (netto)]]</f>
        <v>2248</v>
      </c>
      <c r="W406" s="84">
        <f>IF(U406&gt;0,Ruimtestaat[[#This Row],[Prest. (m2 /jaar) werkdagen]]/Ruimtestaat[[#This Row],[Norm (m2/uur) werkdagen]],0)</f>
        <v>0</v>
      </c>
      <c r="X406" s="85">
        <f>Ruimtestaat[[#This Row],[uren / jaar werkdagen]]*Tariefsopbouw!$E$35</f>
        <v>0</v>
      </c>
      <c r="Y406" s="82"/>
      <c r="Z406" s="86">
        <f>IF(Ruimtestaat[[#This Row],[Frequentie weekend]]&gt;0,VALUE(LEFT(Y406,1))*R406,0)</f>
        <v>0</v>
      </c>
      <c r="AA406" s="82">
        <f>IF($Z406&gt;0,VLOOKUP($J406,Ruimtegroepen[],3,FALSE)*VLOOKUP($L406,Vloersoorten[],3,FALSE)*VLOOKUP($Y406,Frequenties[],3,FALSE)*VLOOKUP($A402,Locaties[],3,FALSE),0)</f>
        <v>0</v>
      </c>
      <c r="AB406" s="84">
        <f>Ruimtestaat[[#This Row],[Uitvoeringen weekend]]*Ruimtestaat[[#This Row],[Oppervlak (netto)]]</f>
        <v>0</v>
      </c>
      <c r="AC406" s="87">
        <f>IF(AB406&gt;0,Ruimtestaat[[#This Row],[Prest. (m2 /jaar) weekend]]/Ruimtestaat[[#This Row],[Norm (m2/uur) weekend]],0)</f>
        <v>0</v>
      </c>
      <c r="AD406" s="88">
        <f>Ruimtestaat[[#This Row],[uren / jaar weekend]]*Tariefsopbouw!$D$40</f>
        <v>0</v>
      </c>
      <c r="AE406" s="89">
        <f>Ruimtestaat[[#This Row],[Prest. (m2 /jaar) weekend]]+Ruimtestaat[[#This Row],[Prest. (m2 /jaar) werkdagen]]</f>
        <v>2248</v>
      </c>
      <c r="AF406" s="89">
        <f>Ruimtestaat[[#This Row],[uren / jaar weekend]]+Ruimtestaat[[#This Row],[uren / jaar werkdagen]]</f>
        <v>0</v>
      </c>
      <c r="AG406" s="90">
        <f>Ruimtestaat[[#This Row],[kosten / jaar weekend]]+Ruimtestaat[[#This Row],[kosten / jaar werkdagen]]</f>
        <v>0</v>
      </c>
    </row>
    <row r="407" spans="1:33" ht="15" customHeight="1">
      <c r="A407" s="53">
        <v>2</v>
      </c>
      <c r="B407" s="53" t="str">
        <f>VLOOKUP(Ruimtestaat[[#This Row],[Code]],Locaties[#All],2,FALSE)</f>
        <v>Open Schoolgemeenschap Bijlmer</v>
      </c>
      <c r="C407" s="53" t="str">
        <f>VLOOKUP(Ruimtestaat[[#This Row],[Code]],Locaties[#All],4,FALSE)</f>
        <v>Gulden Kruis 5</v>
      </c>
      <c r="D407" s="53" t="str">
        <f>VLOOKUP(Ruimtestaat[[#This Row],[Code]],Locaties[#All],5,FALSE)</f>
        <v>1103 BE</v>
      </c>
      <c r="E407" s="53" t="str">
        <f>VLOOKUP(Ruimtestaat[[#This Row],[Code]],Locaties[#All],6,FALSE)</f>
        <v>Amsterdam Zuidoost</v>
      </c>
      <c r="F407" s="78"/>
      <c r="G407" s="53" t="s">
        <v>787</v>
      </c>
      <c r="H407" s="53" t="s">
        <v>805</v>
      </c>
      <c r="I407" s="78" t="s">
        <v>579</v>
      </c>
      <c r="J407" s="53">
        <v>5</v>
      </c>
      <c r="K407" s="78" t="str">
        <f>VLOOKUP(J407,Ruimtegroepen[],2,FALSE)</f>
        <v>Sanitair</v>
      </c>
      <c r="L407" s="53" t="s">
        <v>285</v>
      </c>
      <c r="M407" s="53" t="s">
        <v>580</v>
      </c>
      <c r="N407" s="92">
        <v>5.62</v>
      </c>
      <c r="O407" s="92"/>
      <c r="P407" s="80" t="str">
        <f>LEFT(VLOOKUP(Ruimtestaat[[#This Row],[Ruimte code]],Ruimtegroepen[#All],4,1),2)</f>
        <v xml:space="preserve">S </v>
      </c>
      <c r="Q407" s="93"/>
      <c r="R407" s="81">
        <v>40</v>
      </c>
      <c r="S407" s="81" t="s">
        <v>296</v>
      </c>
      <c r="T407" s="82">
        <f>IF(R407&gt;0,IF(RIGHT(Ruimtestaat[[#This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07" s="82">
        <f>IF(T407&gt;0,VLOOKUP($J407,Ruimtegroepen[],3,FALSE)*VLOOKUP($L407,Vloersoorten[],3,FALSE)*VLOOKUP($S407,Frequenties[],3,FALSE)*VLOOKUP($A407,Locaties[],3,FALSE),0)</f>
        <v>0</v>
      </c>
      <c r="V407" s="83">
        <f>Ruimtestaat[[#This Row],[Uitvoeringen werkdagen]]*Ruimtestaat[[#This Row],[Oppervlak (netto)]]</f>
        <v>2248</v>
      </c>
      <c r="W407" s="84">
        <f>IF(U407&gt;0,Ruimtestaat[[#This Row],[Prest. (m2 /jaar) werkdagen]]/Ruimtestaat[[#This Row],[Norm (m2/uur) werkdagen]],0)</f>
        <v>0</v>
      </c>
      <c r="X407" s="85">
        <f>Ruimtestaat[[#This Row],[uren / jaar werkdagen]]*Tariefsopbouw!$E$35</f>
        <v>0</v>
      </c>
      <c r="Y407" s="82"/>
      <c r="Z407" s="86">
        <f>IF(Ruimtestaat[[#This Row],[Frequentie weekend]]&gt;0,VALUE(LEFT(Y407,1))*R407,0)</f>
        <v>0</v>
      </c>
      <c r="AA407" s="82">
        <f>IF($Z407&gt;0,VLOOKUP($J407,Ruimtegroepen[],3,FALSE)*VLOOKUP($L407,Vloersoorten[],3,FALSE)*VLOOKUP($Y407,Frequenties[],3,FALSE)*VLOOKUP($A403,Locaties[],3,FALSE),0)</f>
        <v>0</v>
      </c>
      <c r="AB407" s="84">
        <f>Ruimtestaat[[#This Row],[Uitvoeringen weekend]]*Ruimtestaat[[#This Row],[Oppervlak (netto)]]</f>
        <v>0</v>
      </c>
      <c r="AC407" s="87">
        <f>IF(AB407&gt;0,Ruimtestaat[[#This Row],[Prest. (m2 /jaar) weekend]]/Ruimtestaat[[#This Row],[Norm (m2/uur) weekend]],0)</f>
        <v>0</v>
      </c>
      <c r="AD407" s="88">
        <f>Ruimtestaat[[#This Row],[uren / jaar weekend]]*Tariefsopbouw!$D$40</f>
        <v>0</v>
      </c>
      <c r="AE407" s="89">
        <f>Ruimtestaat[[#This Row],[Prest. (m2 /jaar) weekend]]+Ruimtestaat[[#This Row],[Prest. (m2 /jaar) werkdagen]]</f>
        <v>2248</v>
      </c>
      <c r="AF407" s="89">
        <f>Ruimtestaat[[#This Row],[uren / jaar weekend]]+Ruimtestaat[[#This Row],[uren / jaar werkdagen]]</f>
        <v>0</v>
      </c>
      <c r="AG407" s="90">
        <f>Ruimtestaat[[#This Row],[kosten / jaar weekend]]+Ruimtestaat[[#This Row],[kosten / jaar werkdagen]]</f>
        <v>0</v>
      </c>
    </row>
    <row r="408" spans="1:33" ht="15" customHeight="1">
      <c r="A408" s="53">
        <v>2</v>
      </c>
      <c r="B408" s="53" t="str">
        <f>VLOOKUP(Ruimtestaat[[#This Row],[Code]],Locaties[#All],2,FALSE)</f>
        <v>Open Schoolgemeenschap Bijlmer</v>
      </c>
      <c r="C408" s="53" t="str">
        <f>VLOOKUP(Ruimtestaat[[#This Row],[Code]],Locaties[#All],4,FALSE)</f>
        <v>Gulden Kruis 5</v>
      </c>
      <c r="D408" s="53" t="str">
        <f>VLOOKUP(Ruimtestaat[[#This Row],[Code]],Locaties[#All],5,FALSE)</f>
        <v>1103 BE</v>
      </c>
      <c r="E408" s="53" t="str">
        <f>VLOOKUP(Ruimtestaat[[#This Row],[Code]],Locaties[#All],6,FALSE)</f>
        <v>Amsterdam Zuidoost</v>
      </c>
      <c r="F408" s="78"/>
      <c r="G408" s="53" t="s">
        <v>787</v>
      </c>
      <c r="H408" s="53" t="s">
        <v>806</v>
      </c>
      <c r="I408" s="78" t="s">
        <v>359</v>
      </c>
      <c r="J408" s="53">
        <v>2</v>
      </c>
      <c r="K408" s="78" t="str">
        <f>VLOOKUP(J408,Ruimtegroepen[],2,FALSE)</f>
        <v>Kantoren</v>
      </c>
      <c r="L408" s="53" t="s">
        <v>283</v>
      </c>
      <c r="M408" s="53" t="s">
        <v>576</v>
      </c>
      <c r="N408" s="92">
        <v>13.27</v>
      </c>
      <c r="O408" s="92"/>
      <c r="P408" s="80" t="str">
        <f>LEFT(VLOOKUP(Ruimtestaat[[#This Row],[Ruimte code]],Ruimtegroepen[#All],4,1),2)</f>
        <v xml:space="preserve">B </v>
      </c>
      <c r="Q408" s="93"/>
      <c r="R408" s="81">
        <v>40</v>
      </c>
      <c r="S408" s="81" t="s">
        <v>298</v>
      </c>
      <c r="T408" s="82">
        <f>IF(R408&gt;0,IF(RIGHT(Ruimtestaat[[#This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8" s="82">
        <f>IF(T408&gt;0,VLOOKUP($J408,Ruimtegroepen[],3,FALSE)*VLOOKUP($L408,Vloersoorten[],3,FALSE)*VLOOKUP($S408,Frequenties[],3,FALSE)*VLOOKUP($A408,Locaties[],3,FALSE),0)</f>
        <v>0</v>
      </c>
      <c r="V408" s="83">
        <f>Ruimtestaat[[#This Row],[Uitvoeringen werkdagen]]*Ruimtestaat[[#This Row],[Oppervlak (netto)]]</f>
        <v>2654</v>
      </c>
      <c r="W408" s="84">
        <f>IF(U408&gt;0,Ruimtestaat[[#This Row],[Prest. (m2 /jaar) werkdagen]]/Ruimtestaat[[#This Row],[Norm (m2/uur) werkdagen]],0)</f>
        <v>0</v>
      </c>
      <c r="X408" s="85">
        <f>Ruimtestaat[[#This Row],[uren / jaar werkdagen]]*Tariefsopbouw!$E$35</f>
        <v>0</v>
      </c>
      <c r="Y408" s="82"/>
      <c r="Z408" s="86">
        <f>IF(Ruimtestaat[[#This Row],[Frequentie weekend]]&gt;0,VALUE(LEFT(Y408,1))*R408,0)</f>
        <v>0</v>
      </c>
      <c r="AA408" s="82">
        <f>IF($Z408&gt;0,VLOOKUP($J408,Ruimtegroepen[],3,FALSE)*VLOOKUP($L408,Vloersoorten[],3,FALSE)*VLOOKUP($Y408,Frequenties[],3,FALSE)*VLOOKUP($A404,Locaties[],3,FALSE),0)</f>
        <v>0</v>
      </c>
      <c r="AB408" s="84">
        <f>Ruimtestaat[[#This Row],[Uitvoeringen weekend]]*Ruimtestaat[[#This Row],[Oppervlak (netto)]]</f>
        <v>0</v>
      </c>
      <c r="AC408" s="87">
        <f>IF(AB408&gt;0,Ruimtestaat[[#This Row],[Prest. (m2 /jaar) weekend]]/Ruimtestaat[[#This Row],[Norm (m2/uur) weekend]],0)</f>
        <v>0</v>
      </c>
      <c r="AD408" s="88">
        <f>Ruimtestaat[[#This Row],[uren / jaar weekend]]*Tariefsopbouw!$D$40</f>
        <v>0</v>
      </c>
      <c r="AE408" s="89">
        <f>Ruimtestaat[[#This Row],[Prest. (m2 /jaar) weekend]]+Ruimtestaat[[#This Row],[Prest. (m2 /jaar) werkdagen]]</f>
        <v>2654</v>
      </c>
      <c r="AF408" s="89">
        <f>Ruimtestaat[[#This Row],[uren / jaar weekend]]+Ruimtestaat[[#This Row],[uren / jaar werkdagen]]</f>
        <v>0</v>
      </c>
      <c r="AG408" s="90">
        <f>Ruimtestaat[[#This Row],[kosten / jaar weekend]]+Ruimtestaat[[#This Row],[kosten / jaar werkdagen]]</f>
        <v>0</v>
      </c>
    </row>
    <row r="409" spans="1:33" ht="15" customHeight="1">
      <c r="A409" s="53">
        <v>2</v>
      </c>
      <c r="B409" s="53" t="str">
        <f>VLOOKUP(Ruimtestaat[[#This Row],[Code]],Locaties[#All],2,FALSE)</f>
        <v>Open Schoolgemeenschap Bijlmer</v>
      </c>
      <c r="C409" s="53" t="str">
        <f>VLOOKUP(Ruimtestaat[[#This Row],[Code]],Locaties[#All],4,FALSE)</f>
        <v>Gulden Kruis 5</v>
      </c>
      <c r="D409" s="53" t="str">
        <f>VLOOKUP(Ruimtestaat[[#This Row],[Code]],Locaties[#All],5,FALSE)</f>
        <v>1103 BE</v>
      </c>
      <c r="E409" s="53" t="str">
        <f>VLOOKUP(Ruimtestaat[[#This Row],[Code]],Locaties[#All],6,FALSE)</f>
        <v>Amsterdam Zuidoost</v>
      </c>
      <c r="F409" s="78"/>
      <c r="G409" s="53" t="s">
        <v>787</v>
      </c>
      <c r="H409" s="53" t="s">
        <v>807</v>
      </c>
      <c r="I409" s="78" t="s">
        <v>359</v>
      </c>
      <c r="J409" s="53">
        <v>2</v>
      </c>
      <c r="K409" s="78" t="str">
        <f>VLOOKUP(J409,Ruimtegroepen[],2,FALSE)</f>
        <v>Kantoren</v>
      </c>
      <c r="L409" s="53" t="s">
        <v>283</v>
      </c>
      <c r="M409" s="53" t="s">
        <v>576</v>
      </c>
      <c r="N409" s="92">
        <v>13.27</v>
      </c>
      <c r="O409" s="92"/>
      <c r="P409" s="80" t="str">
        <f>LEFT(VLOOKUP(Ruimtestaat[[#This Row],[Ruimte code]],Ruimtegroepen[#All],4,1),2)</f>
        <v xml:space="preserve">B </v>
      </c>
      <c r="Q409" s="93"/>
      <c r="R409" s="81">
        <v>40</v>
      </c>
      <c r="S409" s="81" t="s">
        <v>298</v>
      </c>
      <c r="T409" s="82">
        <f>IF(R409&gt;0,IF(RIGHT(Ruimtestaat[[#This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09" s="82">
        <f>IF(T409&gt;0,VLOOKUP($J409,Ruimtegroepen[],3,FALSE)*VLOOKUP($L409,Vloersoorten[],3,FALSE)*VLOOKUP($S409,Frequenties[],3,FALSE)*VLOOKUP($A409,Locaties[],3,FALSE),0)</f>
        <v>0</v>
      </c>
      <c r="V409" s="83">
        <f>Ruimtestaat[[#This Row],[Uitvoeringen werkdagen]]*Ruimtestaat[[#This Row],[Oppervlak (netto)]]</f>
        <v>2654</v>
      </c>
      <c r="W409" s="84">
        <f>IF(U409&gt;0,Ruimtestaat[[#This Row],[Prest. (m2 /jaar) werkdagen]]/Ruimtestaat[[#This Row],[Norm (m2/uur) werkdagen]],0)</f>
        <v>0</v>
      </c>
      <c r="X409" s="85">
        <f>Ruimtestaat[[#This Row],[uren / jaar werkdagen]]*Tariefsopbouw!$E$35</f>
        <v>0</v>
      </c>
      <c r="Y409" s="82"/>
      <c r="Z409" s="86">
        <f>IF(Ruimtestaat[[#This Row],[Frequentie weekend]]&gt;0,VALUE(LEFT(Y409,1))*R409,0)</f>
        <v>0</v>
      </c>
      <c r="AA409" s="82">
        <f>IF($Z409&gt;0,VLOOKUP($J409,Ruimtegroepen[],3,FALSE)*VLOOKUP($L409,Vloersoorten[],3,FALSE)*VLOOKUP($Y409,Frequenties[],3,FALSE)*VLOOKUP($A405,Locaties[],3,FALSE),0)</f>
        <v>0</v>
      </c>
      <c r="AB409" s="84">
        <f>Ruimtestaat[[#This Row],[Uitvoeringen weekend]]*Ruimtestaat[[#This Row],[Oppervlak (netto)]]</f>
        <v>0</v>
      </c>
      <c r="AC409" s="87">
        <f>IF(AB409&gt;0,Ruimtestaat[[#This Row],[Prest. (m2 /jaar) weekend]]/Ruimtestaat[[#This Row],[Norm (m2/uur) weekend]],0)</f>
        <v>0</v>
      </c>
      <c r="AD409" s="88">
        <f>Ruimtestaat[[#This Row],[uren / jaar weekend]]*Tariefsopbouw!$D$40</f>
        <v>0</v>
      </c>
      <c r="AE409" s="89">
        <f>Ruimtestaat[[#This Row],[Prest. (m2 /jaar) weekend]]+Ruimtestaat[[#This Row],[Prest. (m2 /jaar) werkdagen]]</f>
        <v>2654</v>
      </c>
      <c r="AF409" s="89">
        <f>Ruimtestaat[[#This Row],[uren / jaar weekend]]+Ruimtestaat[[#This Row],[uren / jaar werkdagen]]</f>
        <v>0</v>
      </c>
      <c r="AG409" s="90">
        <f>Ruimtestaat[[#This Row],[kosten / jaar weekend]]+Ruimtestaat[[#This Row],[kosten / jaar werkdagen]]</f>
        <v>0</v>
      </c>
    </row>
    <row r="410" spans="1:33" ht="15" customHeight="1">
      <c r="A410" s="53">
        <v>2</v>
      </c>
      <c r="B410" s="53" t="str">
        <f>VLOOKUP(Ruimtestaat[[#This Row],[Code]],Locaties[#All],2,FALSE)</f>
        <v>Open Schoolgemeenschap Bijlmer</v>
      </c>
      <c r="C410" s="53" t="str">
        <f>VLOOKUP(Ruimtestaat[[#This Row],[Code]],Locaties[#All],4,FALSE)</f>
        <v>Gulden Kruis 5</v>
      </c>
      <c r="D410" s="53" t="str">
        <f>VLOOKUP(Ruimtestaat[[#This Row],[Code]],Locaties[#All],5,FALSE)</f>
        <v>1103 BE</v>
      </c>
      <c r="E410" s="53" t="str">
        <f>VLOOKUP(Ruimtestaat[[#This Row],[Code]],Locaties[#All],6,FALSE)</f>
        <v>Amsterdam Zuidoost</v>
      </c>
      <c r="F410" s="78"/>
      <c r="G410" s="53" t="s">
        <v>787</v>
      </c>
      <c r="H410" s="53" t="s">
        <v>808</v>
      </c>
      <c r="I410" s="78" t="s">
        <v>359</v>
      </c>
      <c r="J410" s="53">
        <v>2</v>
      </c>
      <c r="K410" s="78" t="str">
        <f>VLOOKUP(J410,Ruimtegroepen[],2,FALSE)</f>
        <v>Kantoren</v>
      </c>
      <c r="L410" s="53" t="s">
        <v>283</v>
      </c>
      <c r="M410" s="53" t="s">
        <v>576</v>
      </c>
      <c r="N410" s="92">
        <v>18.97</v>
      </c>
      <c r="O410" s="92"/>
      <c r="P410" s="80" t="str">
        <f>LEFT(VLOOKUP(Ruimtestaat[[#This Row],[Ruimte code]],Ruimtegroepen[#All],4,1),2)</f>
        <v xml:space="preserve">B </v>
      </c>
      <c r="Q410" s="93"/>
      <c r="R410" s="81">
        <v>40</v>
      </c>
      <c r="S410" s="81" t="s">
        <v>298</v>
      </c>
      <c r="T410" s="82">
        <f>IF(R410&gt;0,IF(RIGHT(Ruimtestaat[[#This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0" s="82">
        <f>IF(T410&gt;0,VLOOKUP($J410,Ruimtegroepen[],3,FALSE)*VLOOKUP($L410,Vloersoorten[],3,FALSE)*VLOOKUP($S410,Frequenties[],3,FALSE)*VLOOKUP($A410,Locaties[],3,FALSE),0)</f>
        <v>0</v>
      </c>
      <c r="V410" s="83">
        <f>Ruimtestaat[[#This Row],[Uitvoeringen werkdagen]]*Ruimtestaat[[#This Row],[Oppervlak (netto)]]</f>
        <v>3794</v>
      </c>
      <c r="W410" s="84">
        <f>IF(U410&gt;0,Ruimtestaat[[#This Row],[Prest. (m2 /jaar) werkdagen]]/Ruimtestaat[[#This Row],[Norm (m2/uur) werkdagen]],0)</f>
        <v>0</v>
      </c>
      <c r="X410" s="85">
        <f>Ruimtestaat[[#This Row],[uren / jaar werkdagen]]*Tariefsopbouw!$E$35</f>
        <v>0</v>
      </c>
      <c r="Y410" s="82"/>
      <c r="Z410" s="86">
        <f>IF(Ruimtestaat[[#This Row],[Frequentie weekend]]&gt;0,VALUE(LEFT(Y410,1))*R410,0)</f>
        <v>0</v>
      </c>
      <c r="AA410" s="82">
        <f>IF($Z410&gt;0,VLOOKUP($J410,Ruimtegroepen[],3,FALSE)*VLOOKUP($L410,Vloersoorten[],3,FALSE)*VLOOKUP($Y410,Frequenties[],3,FALSE)*VLOOKUP($A406,Locaties[],3,FALSE),0)</f>
        <v>0</v>
      </c>
      <c r="AB410" s="84">
        <f>Ruimtestaat[[#This Row],[Uitvoeringen weekend]]*Ruimtestaat[[#This Row],[Oppervlak (netto)]]</f>
        <v>0</v>
      </c>
      <c r="AC410" s="87">
        <f>IF(AB410&gt;0,Ruimtestaat[[#This Row],[Prest. (m2 /jaar) weekend]]/Ruimtestaat[[#This Row],[Norm (m2/uur) weekend]],0)</f>
        <v>0</v>
      </c>
      <c r="AD410" s="88">
        <f>Ruimtestaat[[#This Row],[uren / jaar weekend]]*Tariefsopbouw!$D$40</f>
        <v>0</v>
      </c>
      <c r="AE410" s="89">
        <f>Ruimtestaat[[#This Row],[Prest. (m2 /jaar) weekend]]+Ruimtestaat[[#This Row],[Prest. (m2 /jaar) werkdagen]]</f>
        <v>3794</v>
      </c>
      <c r="AF410" s="89">
        <f>Ruimtestaat[[#This Row],[uren / jaar weekend]]+Ruimtestaat[[#This Row],[uren / jaar werkdagen]]</f>
        <v>0</v>
      </c>
      <c r="AG410" s="90">
        <f>Ruimtestaat[[#This Row],[kosten / jaar weekend]]+Ruimtestaat[[#This Row],[kosten / jaar werkdagen]]</f>
        <v>0</v>
      </c>
    </row>
    <row r="411" spans="1:33" ht="15" customHeight="1">
      <c r="A411" s="53">
        <v>2</v>
      </c>
      <c r="B411" s="53" t="str">
        <f>VLOOKUP(Ruimtestaat[[#This Row],[Code]],Locaties[#All],2,FALSE)</f>
        <v>Open Schoolgemeenschap Bijlmer</v>
      </c>
      <c r="C411" s="53" t="str">
        <f>VLOOKUP(Ruimtestaat[[#This Row],[Code]],Locaties[#All],4,FALSE)</f>
        <v>Gulden Kruis 5</v>
      </c>
      <c r="D411" s="53" t="str">
        <f>VLOOKUP(Ruimtestaat[[#This Row],[Code]],Locaties[#All],5,FALSE)</f>
        <v>1103 BE</v>
      </c>
      <c r="E411" s="53" t="str">
        <f>VLOOKUP(Ruimtestaat[[#This Row],[Code]],Locaties[#All],6,FALSE)</f>
        <v>Amsterdam Zuidoost</v>
      </c>
      <c r="F411" s="78"/>
      <c r="G411" s="53" t="s">
        <v>787</v>
      </c>
      <c r="H411" s="53" t="s">
        <v>809</v>
      </c>
      <c r="I411" s="78" t="s">
        <v>527</v>
      </c>
      <c r="J411" s="53">
        <v>20</v>
      </c>
      <c r="K411" s="78" t="str">
        <f>VLOOKUP(J411,Ruimtegroepen[],2,FALSE)</f>
        <v>Niet in onderhoud</v>
      </c>
      <c r="L411" s="53" t="s">
        <v>280</v>
      </c>
      <c r="M411" s="53" t="s">
        <v>566</v>
      </c>
      <c r="O411" s="92">
        <v>16.18</v>
      </c>
      <c r="P411" s="80" t="str">
        <f>LEFT(VLOOKUP(Ruimtestaat[[#This Row],[Ruimte code]],Ruimtegroepen[#All],4,1),2)</f>
        <v/>
      </c>
      <c r="Q411" s="93"/>
      <c r="R411" s="81"/>
      <c r="S411" s="81"/>
      <c r="T411" s="82">
        <f>IF(R411&gt;0,IF(RIGHT(Ruimtestaat[[#This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1" s="82">
        <f>IF(T411&gt;0,VLOOKUP($J411,Ruimtegroepen[],3,FALSE)*VLOOKUP($L411,Vloersoorten[],3,FALSE)*VLOOKUP($S411,Frequenties[],3,FALSE)*VLOOKUP($A411,Locaties[],3,FALSE),0)</f>
        <v>0</v>
      </c>
      <c r="V411" s="83">
        <f>Ruimtestaat[[#This Row],[Uitvoeringen werkdagen]]*Ruimtestaat[[#This Row],[Oppervlak (netto)]]</f>
        <v>0</v>
      </c>
      <c r="W411" s="84">
        <f>IF(U411&gt;0,Ruimtestaat[[#This Row],[Prest. (m2 /jaar) werkdagen]]/Ruimtestaat[[#This Row],[Norm (m2/uur) werkdagen]],0)</f>
        <v>0</v>
      </c>
      <c r="X411" s="85">
        <f>Ruimtestaat[[#This Row],[uren / jaar werkdagen]]*Tariefsopbouw!$E$35</f>
        <v>0</v>
      </c>
      <c r="Y411" s="82"/>
      <c r="Z411" s="86">
        <f>IF(Ruimtestaat[[#This Row],[Frequentie weekend]]&gt;0,VALUE(LEFT(Y411,1))*R411,0)</f>
        <v>0</v>
      </c>
      <c r="AA411" s="82">
        <f>IF($Z411&gt;0,VLOOKUP($J411,Ruimtegroepen[],3,FALSE)*VLOOKUP($L411,Vloersoorten[],3,FALSE)*VLOOKUP($Y411,Frequenties[],3,FALSE)*VLOOKUP($A407,Locaties[],3,FALSE),0)</f>
        <v>0</v>
      </c>
      <c r="AB411" s="84">
        <f>Ruimtestaat[[#This Row],[Uitvoeringen weekend]]*Ruimtestaat[[#This Row],[Oppervlak (netto)]]</f>
        <v>0</v>
      </c>
      <c r="AC411" s="87">
        <f>IF(AB411&gt;0,Ruimtestaat[[#This Row],[Prest. (m2 /jaar) weekend]]/Ruimtestaat[[#This Row],[Norm (m2/uur) weekend]],0)</f>
        <v>0</v>
      </c>
      <c r="AD411" s="88">
        <f>Ruimtestaat[[#This Row],[uren / jaar weekend]]*Tariefsopbouw!$D$40</f>
        <v>0</v>
      </c>
      <c r="AE411" s="89">
        <f>Ruimtestaat[[#This Row],[Prest. (m2 /jaar) weekend]]+Ruimtestaat[[#This Row],[Prest. (m2 /jaar) werkdagen]]</f>
        <v>0</v>
      </c>
      <c r="AF411" s="89">
        <f>Ruimtestaat[[#This Row],[uren / jaar weekend]]+Ruimtestaat[[#This Row],[uren / jaar werkdagen]]</f>
        <v>0</v>
      </c>
      <c r="AG411" s="90">
        <f>Ruimtestaat[[#This Row],[kosten / jaar weekend]]+Ruimtestaat[[#This Row],[kosten / jaar werkdagen]]</f>
        <v>0</v>
      </c>
    </row>
    <row r="412" spans="1:33" ht="15" customHeight="1">
      <c r="A412" s="53">
        <v>2</v>
      </c>
      <c r="B412" s="53" t="str">
        <f>VLOOKUP(Ruimtestaat[[#This Row],[Code]],Locaties[#All],2,FALSE)</f>
        <v>Open Schoolgemeenschap Bijlmer</v>
      </c>
      <c r="C412" s="53" t="str">
        <f>VLOOKUP(Ruimtestaat[[#This Row],[Code]],Locaties[#All],4,FALSE)</f>
        <v>Gulden Kruis 5</v>
      </c>
      <c r="D412" s="53" t="str">
        <f>VLOOKUP(Ruimtestaat[[#This Row],[Code]],Locaties[#All],5,FALSE)</f>
        <v>1103 BE</v>
      </c>
      <c r="E412" s="53" t="str">
        <f>VLOOKUP(Ruimtestaat[[#This Row],[Code]],Locaties[#All],6,FALSE)</f>
        <v>Amsterdam Zuidoost</v>
      </c>
      <c r="F412" s="78"/>
      <c r="G412" s="53" t="s">
        <v>787</v>
      </c>
      <c r="H412" s="53" t="s">
        <v>810</v>
      </c>
      <c r="I412" s="78" t="s">
        <v>527</v>
      </c>
      <c r="J412" s="53">
        <v>20</v>
      </c>
      <c r="K412" s="78" t="str">
        <f>VLOOKUP(J412,Ruimtegroepen[],2,FALSE)</f>
        <v>Niet in onderhoud</v>
      </c>
      <c r="L412" s="53" t="s">
        <v>280</v>
      </c>
      <c r="M412" s="53" t="s">
        <v>566</v>
      </c>
      <c r="O412" s="92">
        <v>12.74</v>
      </c>
      <c r="P412" s="80" t="str">
        <f>LEFT(VLOOKUP(Ruimtestaat[[#This Row],[Ruimte code]],Ruimtegroepen[#All],4,1),2)</f>
        <v/>
      </c>
      <c r="Q412" s="93"/>
      <c r="R412" s="81"/>
      <c r="S412" s="81"/>
      <c r="T412" s="82">
        <f>IF(R412&gt;0,IF(RIGHT(Ruimtestaat[[#This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12" s="82">
        <f>IF(T412&gt;0,VLOOKUP($J412,Ruimtegroepen[],3,FALSE)*VLOOKUP($L412,Vloersoorten[],3,FALSE)*VLOOKUP($S412,Frequenties[],3,FALSE)*VLOOKUP($A412,Locaties[],3,FALSE),0)</f>
        <v>0</v>
      </c>
      <c r="V412" s="83">
        <f>Ruimtestaat[[#This Row],[Uitvoeringen werkdagen]]*Ruimtestaat[[#This Row],[Oppervlak (netto)]]</f>
        <v>0</v>
      </c>
      <c r="W412" s="84">
        <f>IF(U412&gt;0,Ruimtestaat[[#This Row],[Prest. (m2 /jaar) werkdagen]]/Ruimtestaat[[#This Row],[Norm (m2/uur) werkdagen]],0)</f>
        <v>0</v>
      </c>
      <c r="X412" s="85">
        <f>Ruimtestaat[[#This Row],[uren / jaar werkdagen]]*Tariefsopbouw!$E$35</f>
        <v>0</v>
      </c>
      <c r="Y412" s="82"/>
      <c r="Z412" s="86">
        <f>IF(Ruimtestaat[[#This Row],[Frequentie weekend]]&gt;0,VALUE(LEFT(Y412,1))*R412,0)</f>
        <v>0</v>
      </c>
      <c r="AA412" s="82">
        <f>IF($Z412&gt;0,VLOOKUP($J412,Ruimtegroepen[],3,FALSE)*VLOOKUP($L412,Vloersoorten[],3,FALSE)*VLOOKUP($Y412,Frequenties[],3,FALSE)*VLOOKUP($A408,Locaties[],3,FALSE),0)</f>
        <v>0</v>
      </c>
      <c r="AB412" s="84">
        <f>Ruimtestaat[[#This Row],[Uitvoeringen weekend]]*Ruimtestaat[[#This Row],[Oppervlak (netto)]]</f>
        <v>0</v>
      </c>
      <c r="AC412" s="87">
        <f>IF(AB412&gt;0,Ruimtestaat[[#This Row],[Prest. (m2 /jaar) weekend]]/Ruimtestaat[[#This Row],[Norm (m2/uur) weekend]],0)</f>
        <v>0</v>
      </c>
      <c r="AD412" s="88">
        <f>Ruimtestaat[[#This Row],[uren / jaar weekend]]*Tariefsopbouw!$D$40</f>
        <v>0</v>
      </c>
      <c r="AE412" s="89">
        <f>Ruimtestaat[[#This Row],[Prest. (m2 /jaar) weekend]]+Ruimtestaat[[#This Row],[Prest. (m2 /jaar) werkdagen]]</f>
        <v>0</v>
      </c>
      <c r="AF412" s="89">
        <f>Ruimtestaat[[#This Row],[uren / jaar weekend]]+Ruimtestaat[[#This Row],[uren / jaar werkdagen]]</f>
        <v>0</v>
      </c>
      <c r="AG412" s="90">
        <f>Ruimtestaat[[#This Row],[kosten / jaar weekend]]+Ruimtestaat[[#This Row],[kosten / jaar werkdagen]]</f>
        <v>0</v>
      </c>
    </row>
    <row r="413" spans="1:33" ht="15" customHeight="1">
      <c r="A413" s="53">
        <v>2</v>
      </c>
      <c r="B413" s="53" t="str">
        <f>VLOOKUP(Ruimtestaat[[#This Row],[Code]],Locaties[#All],2,FALSE)</f>
        <v>Open Schoolgemeenschap Bijlmer</v>
      </c>
      <c r="C413" s="53" t="str">
        <f>VLOOKUP(Ruimtestaat[[#This Row],[Code]],Locaties[#All],4,FALSE)</f>
        <v>Gulden Kruis 5</v>
      </c>
      <c r="D413" s="53" t="str">
        <f>VLOOKUP(Ruimtestaat[[#This Row],[Code]],Locaties[#All],5,FALSE)</f>
        <v>1103 BE</v>
      </c>
      <c r="E413" s="53" t="str">
        <f>VLOOKUP(Ruimtestaat[[#This Row],[Code]],Locaties[#All],6,FALSE)</f>
        <v>Amsterdam Zuidoost</v>
      </c>
      <c r="F413" s="78"/>
      <c r="G413" s="53" t="s">
        <v>787</v>
      </c>
      <c r="H413" s="53" t="s">
        <v>811</v>
      </c>
      <c r="I413" s="78" t="s">
        <v>812</v>
      </c>
      <c r="J413" s="53">
        <v>4</v>
      </c>
      <c r="K413" s="78" t="str">
        <f>VLOOKUP(J413,Ruimtegroepen[],2,FALSE)</f>
        <v>Vergader/spreekkamers</v>
      </c>
      <c r="L413" s="53" t="s">
        <v>283</v>
      </c>
      <c r="M413" s="53" t="s">
        <v>576</v>
      </c>
      <c r="N413" s="92">
        <v>46.52</v>
      </c>
      <c r="O413" s="92"/>
      <c r="P413" s="80" t="str">
        <f>LEFT(VLOOKUP(Ruimtestaat[[#This Row],[Ruimte code]],Ruimtegroepen[#All],4,1),2)</f>
        <v xml:space="preserve">B </v>
      </c>
      <c r="Q413" s="93"/>
      <c r="R413" s="81">
        <v>40</v>
      </c>
      <c r="S413" s="81" t="s">
        <v>298</v>
      </c>
      <c r="T413" s="82">
        <f>IF(R413&gt;0,IF(RIGHT(Ruimtestaat[[#This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3" s="82">
        <f>IF(T413&gt;0,VLOOKUP($J413,Ruimtegroepen[],3,FALSE)*VLOOKUP($L413,Vloersoorten[],3,FALSE)*VLOOKUP($S413,Frequenties[],3,FALSE)*VLOOKUP($A413,Locaties[],3,FALSE),0)</f>
        <v>0</v>
      </c>
      <c r="V413" s="83">
        <f>Ruimtestaat[[#This Row],[Uitvoeringen werkdagen]]*Ruimtestaat[[#This Row],[Oppervlak (netto)]]</f>
        <v>9304</v>
      </c>
      <c r="W413" s="84">
        <f>IF(U413&gt;0,Ruimtestaat[[#This Row],[Prest. (m2 /jaar) werkdagen]]/Ruimtestaat[[#This Row],[Norm (m2/uur) werkdagen]],0)</f>
        <v>0</v>
      </c>
      <c r="X413" s="85">
        <f>Ruimtestaat[[#This Row],[uren / jaar werkdagen]]*Tariefsopbouw!$E$35</f>
        <v>0</v>
      </c>
      <c r="Y413" s="82"/>
      <c r="Z413" s="86">
        <f>IF(Ruimtestaat[[#This Row],[Frequentie weekend]]&gt;0,VALUE(LEFT(Y413,1))*R413,0)</f>
        <v>0</v>
      </c>
      <c r="AA413" s="82">
        <f>IF($Z413&gt;0,VLOOKUP($J413,Ruimtegroepen[],3,FALSE)*VLOOKUP($L413,Vloersoorten[],3,FALSE)*VLOOKUP($Y413,Frequenties[],3,FALSE)*VLOOKUP($A409,Locaties[],3,FALSE),0)</f>
        <v>0</v>
      </c>
      <c r="AB413" s="84">
        <f>Ruimtestaat[[#This Row],[Uitvoeringen weekend]]*Ruimtestaat[[#This Row],[Oppervlak (netto)]]</f>
        <v>0</v>
      </c>
      <c r="AC413" s="87">
        <f>IF(AB413&gt;0,Ruimtestaat[[#This Row],[Prest. (m2 /jaar) weekend]]/Ruimtestaat[[#This Row],[Norm (m2/uur) weekend]],0)</f>
        <v>0</v>
      </c>
      <c r="AD413" s="88">
        <f>Ruimtestaat[[#This Row],[uren / jaar weekend]]*Tariefsopbouw!$D$40</f>
        <v>0</v>
      </c>
      <c r="AE413" s="89">
        <f>Ruimtestaat[[#This Row],[Prest. (m2 /jaar) weekend]]+Ruimtestaat[[#This Row],[Prest. (m2 /jaar) werkdagen]]</f>
        <v>9304</v>
      </c>
      <c r="AF413" s="89">
        <f>Ruimtestaat[[#This Row],[uren / jaar weekend]]+Ruimtestaat[[#This Row],[uren / jaar werkdagen]]</f>
        <v>0</v>
      </c>
      <c r="AG413" s="90">
        <f>Ruimtestaat[[#This Row],[kosten / jaar weekend]]+Ruimtestaat[[#This Row],[kosten / jaar werkdagen]]</f>
        <v>0</v>
      </c>
    </row>
    <row r="414" spans="1:33" ht="15" customHeight="1">
      <c r="A414" s="53">
        <v>2</v>
      </c>
      <c r="B414" s="53" t="str">
        <f>VLOOKUP(Ruimtestaat[[#This Row],[Code]],Locaties[#All],2,FALSE)</f>
        <v>Open Schoolgemeenschap Bijlmer</v>
      </c>
      <c r="C414" s="53" t="str">
        <f>VLOOKUP(Ruimtestaat[[#This Row],[Code]],Locaties[#All],4,FALSE)</f>
        <v>Gulden Kruis 5</v>
      </c>
      <c r="D414" s="53" t="str">
        <f>VLOOKUP(Ruimtestaat[[#This Row],[Code]],Locaties[#All],5,FALSE)</f>
        <v>1103 BE</v>
      </c>
      <c r="E414" s="53" t="str">
        <f>VLOOKUP(Ruimtestaat[[#This Row],[Code]],Locaties[#All],6,FALSE)</f>
        <v>Amsterdam Zuidoost</v>
      </c>
      <c r="F414" s="78"/>
      <c r="G414" s="53" t="s">
        <v>787</v>
      </c>
      <c r="H414" s="53" t="s">
        <v>813</v>
      </c>
      <c r="I414" s="78" t="s">
        <v>359</v>
      </c>
      <c r="J414" s="53">
        <v>2</v>
      </c>
      <c r="K414" s="78" t="str">
        <f>VLOOKUP(J414,Ruimtegroepen[],2,FALSE)</f>
        <v>Kantoren</v>
      </c>
      <c r="L414" s="53" t="s">
        <v>283</v>
      </c>
      <c r="M414" s="53" t="s">
        <v>576</v>
      </c>
      <c r="N414" s="92">
        <v>17.98</v>
      </c>
      <c r="O414" s="92"/>
      <c r="P414" s="80" t="str">
        <f>LEFT(VLOOKUP(Ruimtestaat[[#This Row],[Ruimte code]],Ruimtegroepen[#All],4,1),2)</f>
        <v xml:space="preserve">B </v>
      </c>
      <c r="Q414" s="93"/>
      <c r="R414" s="81">
        <v>40</v>
      </c>
      <c r="S414" s="81" t="s">
        <v>298</v>
      </c>
      <c r="T414" s="82">
        <f>IF(R414&gt;0,IF(RIGHT(Ruimtestaat[[#This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4" s="82">
        <f>IF(T414&gt;0,VLOOKUP($J414,Ruimtegroepen[],3,FALSE)*VLOOKUP($L414,Vloersoorten[],3,FALSE)*VLOOKUP($S414,Frequenties[],3,FALSE)*VLOOKUP($A414,Locaties[],3,FALSE),0)</f>
        <v>0</v>
      </c>
      <c r="V414" s="83">
        <f>Ruimtestaat[[#This Row],[Uitvoeringen werkdagen]]*Ruimtestaat[[#This Row],[Oppervlak (netto)]]</f>
        <v>3596</v>
      </c>
      <c r="W414" s="84">
        <f>IF(U414&gt;0,Ruimtestaat[[#This Row],[Prest. (m2 /jaar) werkdagen]]/Ruimtestaat[[#This Row],[Norm (m2/uur) werkdagen]],0)</f>
        <v>0</v>
      </c>
      <c r="X414" s="85">
        <f>Ruimtestaat[[#This Row],[uren / jaar werkdagen]]*Tariefsopbouw!$E$35</f>
        <v>0</v>
      </c>
      <c r="Y414" s="82"/>
      <c r="Z414" s="86">
        <f>IF(Ruimtestaat[[#This Row],[Frequentie weekend]]&gt;0,VALUE(LEFT(Y414,1))*R414,0)</f>
        <v>0</v>
      </c>
      <c r="AA414" s="82">
        <f>IF($Z414&gt;0,VLOOKUP($J414,Ruimtegroepen[],3,FALSE)*VLOOKUP($L414,Vloersoorten[],3,FALSE)*VLOOKUP($Y414,Frequenties[],3,FALSE)*VLOOKUP($A410,Locaties[],3,FALSE),0)</f>
        <v>0</v>
      </c>
      <c r="AB414" s="84">
        <f>Ruimtestaat[[#This Row],[Uitvoeringen weekend]]*Ruimtestaat[[#This Row],[Oppervlak (netto)]]</f>
        <v>0</v>
      </c>
      <c r="AC414" s="87">
        <f>IF(AB414&gt;0,Ruimtestaat[[#This Row],[Prest. (m2 /jaar) weekend]]/Ruimtestaat[[#This Row],[Norm (m2/uur) weekend]],0)</f>
        <v>0</v>
      </c>
      <c r="AD414" s="88">
        <f>Ruimtestaat[[#This Row],[uren / jaar weekend]]*Tariefsopbouw!$D$40</f>
        <v>0</v>
      </c>
      <c r="AE414" s="89">
        <f>Ruimtestaat[[#This Row],[Prest. (m2 /jaar) weekend]]+Ruimtestaat[[#This Row],[Prest. (m2 /jaar) werkdagen]]</f>
        <v>3596</v>
      </c>
      <c r="AF414" s="89">
        <f>Ruimtestaat[[#This Row],[uren / jaar weekend]]+Ruimtestaat[[#This Row],[uren / jaar werkdagen]]</f>
        <v>0</v>
      </c>
      <c r="AG414" s="90">
        <f>Ruimtestaat[[#This Row],[kosten / jaar weekend]]+Ruimtestaat[[#This Row],[kosten / jaar werkdagen]]</f>
        <v>0</v>
      </c>
    </row>
    <row r="415" spans="1:33" ht="15" customHeight="1">
      <c r="A415" s="53">
        <v>2</v>
      </c>
      <c r="B415" s="53" t="str">
        <f>VLOOKUP(Ruimtestaat[[#This Row],[Code]],Locaties[#All],2,FALSE)</f>
        <v>Open Schoolgemeenschap Bijlmer</v>
      </c>
      <c r="C415" s="53" t="str">
        <f>VLOOKUP(Ruimtestaat[[#This Row],[Code]],Locaties[#All],4,FALSE)</f>
        <v>Gulden Kruis 5</v>
      </c>
      <c r="D415" s="53" t="str">
        <f>VLOOKUP(Ruimtestaat[[#This Row],[Code]],Locaties[#All],5,FALSE)</f>
        <v>1103 BE</v>
      </c>
      <c r="E415" s="53" t="str">
        <f>VLOOKUP(Ruimtestaat[[#This Row],[Code]],Locaties[#All],6,FALSE)</f>
        <v>Amsterdam Zuidoost</v>
      </c>
      <c r="F415" s="78"/>
      <c r="G415" s="53" t="s">
        <v>787</v>
      </c>
      <c r="H415" s="53" t="s">
        <v>814</v>
      </c>
      <c r="I415" s="78" t="s">
        <v>359</v>
      </c>
      <c r="J415" s="53">
        <v>2</v>
      </c>
      <c r="K415" s="78" t="str">
        <f>VLOOKUP(J415,Ruimtegroepen[],2,FALSE)</f>
        <v>Kantoren</v>
      </c>
      <c r="L415" s="53" t="s">
        <v>283</v>
      </c>
      <c r="M415" s="53" t="s">
        <v>576</v>
      </c>
      <c r="N415" s="92">
        <v>12.67</v>
      </c>
      <c r="O415" s="92"/>
      <c r="P415" s="80" t="str">
        <f>LEFT(VLOOKUP(Ruimtestaat[[#This Row],[Ruimte code]],Ruimtegroepen[#All],4,1),2)</f>
        <v xml:space="preserve">B </v>
      </c>
      <c r="Q415" s="93"/>
      <c r="R415" s="81">
        <v>40</v>
      </c>
      <c r="S415" s="81" t="s">
        <v>298</v>
      </c>
      <c r="T415" s="82">
        <f>IF(R415&gt;0,IF(RIGHT(Ruimtestaat[[#This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5" s="82">
        <f>IF(T415&gt;0,VLOOKUP($J415,Ruimtegroepen[],3,FALSE)*VLOOKUP($L415,Vloersoorten[],3,FALSE)*VLOOKUP($S415,Frequenties[],3,FALSE)*VLOOKUP($A415,Locaties[],3,FALSE),0)</f>
        <v>0</v>
      </c>
      <c r="V415" s="83">
        <f>Ruimtestaat[[#This Row],[Uitvoeringen werkdagen]]*Ruimtestaat[[#This Row],[Oppervlak (netto)]]</f>
        <v>2534</v>
      </c>
      <c r="W415" s="84">
        <f>IF(U415&gt;0,Ruimtestaat[[#This Row],[Prest. (m2 /jaar) werkdagen]]/Ruimtestaat[[#This Row],[Norm (m2/uur) werkdagen]],0)</f>
        <v>0</v>
      </c>
      <c r="X415" s="85">
        <f>Ruimtestaat[[#This Row],[uren / jaar werkdagen]]*Tariefsopbouw!$E$35</f>
        <v>0</v>
      </c>
      <c r="Y415" s="82"/>
      <c r="Z415" s="86">
        <f>IF(Ruimtestaat[[#This Row],[Frequentie weekend]]&gt;0,VALUE(LEFT(Y415,1))*R415,0)</f>
        <v>0</v>
      </c>
      <c r="AA415" s="82">
        <f>IF($Z415&gt;0,VLOOKUP($J415,Ruimtegroepen[],3,FALSE)*VLOOKUP($L415,Vloersoorten[],3,FALSE)*VLOOKUP($Y415,Frequenties[],3,FALSE)*VLOOKUP($A411,Locaties[],3,FALSE),0)</f>
        <v>0</v>
      </c>
      <c r="AB415" s="84">
        <f>Ruimtestaat[[#This Row],[Uitvoeringen weekend]]*Ruimtestaat[[#This Row],[Oppervlak (netto)]]</f>
        <v>0</v>
      </c>
      <c r="AC415" s="87">
        <f>IF(AB415&gt;0,Ruimtestaat[[#This Row],[Prest. (m2 /jaar) weekend]]/Ruimtestaat[[#This Row],[Norm (m2/uur) weekend]],0)</f>
        <v>0</v>
      </c>
      <c r="AD415" s="88">
        <f>Ruimtestaat[[#This Row],[uren / jaar weekend]]*Tariefsopbouw!$D$40</f>
        <v>0</v>
      </c>
      <c r="AE415" s="89">
        <f>Ruimtestaat[[#This Row],[Prest. (m2 /jaar) weekend]]+Ruimtestaat[[#This Row],[Prest. (m2 /jaar) werkdagen]]</f>
        <v>2534</v>
      </c>
      <c r="AF415" s="89">
        <f>Ruimtestaat[[#This Row],[uren / jaar weekend]]+Ruimtestaat[[#This Row],[uren / jaar werkdagen]]</f>
        <v>0</v>
      </c>
      <c r="AG415" s="90">
        <f>Ruimtestaat[[#This Row],[kosten / jaar weekend]]+Ruimtestaat[[#This Row],[kosten / jaar werkdagen]]</f>
        <v>0</v>
      </c>
    </row>
    <row r="416" spans="1:33" ht="15" customHeight="1">
      <c r="A416" s="53">
        <v>2</v>
      </c>
      <c r="B416" s="53" t="str">
        <f>VLOOKUP(Ruimtestaat[[#This Row],[Code]],Locaties[#All],2,FALSE)</f>
        <v>Open Schoolgemeenschap Bijlmer</v>
      </c>
      <c r="C416" s="53" t="str">
        <f>VLOOKUP(Ruimtestaat[[#This Row],[Code]],Locaties[#All],4,FALSE)</f>
        <v>Gulden Kruis 5</v>
      </c>
      <c r="D416" s="53" t="str">
        <f>VLOOKUP(Ruimtestaat[[#This Row],[Code]],Locaties[#All],5,FALSE)</f>
        <v>1103 BE</v>
      </c>
      <c r="E416" s="53" t="str">
        <f>VLOOKUP(Ruimtestaat[[#This Row],[Code]],Locaties[#All],6,FALSE)</f>
        <v>Amsterdam Zuidoost</v>
      </c>
      <c r="F416" s="78"/>
      <c r="G416" s="53" t="s">
        <v>787</v>
      </c>
      <c r="H416" s="53" t="s">
        <v>815</v>
      </c>
      <c r="I416" s="78" t="s">
        <v>359</v>
      </c>
      <c r="J416" s="53">
        <v>2</v>
      </c>
      <c r="K416" s="78" t="str">
        <f>VLOOKUP(J416,Ruimtegroepen[],2,FALSE)</f>
        <v>Kantoren</v>
      </c>
      <c r="L416" s="53" t="s">
        <v>283</v>
      </c>
      <c r="M416" s="53" t="s">
        <v>576</v>
      </c>
      <c r="N416" s="92">
        <v>42.35</v>
      </c>
      <c r="O416" s="92"/>
      <c r="P416" s="80" t="str">
        <f>LEFT(VLOOKUP(Ruimtestaat[[#This Row],[Ruimte code]],Ruimtegroepen[#All],4,1),2)</f>
        <v xml:space="preserve">B </v>
      </c>
      <c r="Q416" s="93"/>
      <c r="R416" s="81">
        <v>40</v>
      </c>
      <c r="S416" s="81" t="s">
        <v>298</v>
      </c>
      <c r="T416" s="82">
        <f>IF(R416&gt;0,IF(RIGHT(Ruimtestaat[[#This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6" s="82">
        <f>IF(T416&gt;0,VLOOKUP($J416,Ruimtegroepen[],3,FALSE)*VLOOKUP($L416,Vloersoorten[],3,FALSE)*VLOOKUP($S416,Frequenties[],3,FALSE)*VLOOKUP($A416,Locaties[],3,FALSE),0)</f>
        <v>0</v>
      </c>
      <c r="V416" s="83">
        <f>Ruimtestaat[[#This Row],[Uitvoeringen werkdagen]]*Ruimtestaat[[#This Row],[Oppervlak (netto)]]</f>
        <v>8470</v>
      </c>
      <c r="W416" s="84">
        <f>IF(U416&gt;0,Ruimtestaat[[#This Row],[Prest. (m2 /jaar) werkdagen]]/Ruimtestaat[[#This Row],[Norm (m2/uur) werkdagen]],0)</f>
        <v>0</v>
      </c>
      <c r="X416" s="85">
        <f>Ruimtestaat[[#This Row],[uren / jaar werkdagen]]*Tariefsopbouw!$E$35</f>
        <v>0</v>
      </c>
      <c r="Y416" s="82"/>
      <c r="Z416" s="86">
        <f>IF(Ruimtestaat[[#This Row],[Frequentie weekend]]&gt;0,VALUE(LEFT(Y416,1))*R416,0)</f>
        <v>0</v>
      </c>
      <c r="AA416" s="82">
        <f>IF($Z416&gt;0,VLOOKUP($J416,Ruimtegroepen[],3,FALSE)*VLOOKUP($L416,Vloersoorten[],3,FALSE)*VLOOKUP($Y416,Frequenties[],3,FALSE)*VLOOKUP($A412,Locaties[],3,FALSE),0)</f>
        <v>0</v>
      </c>
      <c r="AB416" s="84">
        <f>Ruimtestaat[[#This Row],[Uitvoeringen weekend]]*Ruimtestaat[[#This Row],[Oppervlak (netto)]]</f>
        <v>0</v>
      </c>
      <c r="AC416" s="87">
        <f>IF(AB416&gt;0,Ruimtestaat[[#This Row],[Prest. (m2 /jaar) weekend]]/Ruimtestaat[[#This Row],[Norm (m2/uur) weekend]],0)</f>
        <v>0</v>
      </c>
      <c r="AD416" s="88">
        <f>Ruimtestaat[[#This Row],[uren / jaar weekend]]*Tariefsopbouw!$D$40</f>
        <v>0</v>
      </c>
      <c r="AE416" s="89">
        <f>Ruimtestaat[[#This Row],[Prest. (m2 /jaar) weekend]]+Ruimtestaat[[#This Row],[Prest. (m2 /jaar) werkdagen]]</f>
        <v>8470</v>
      </c>
      <c r="AF416" s="89">
        <f>Ruimtestaat[[#This Row],[uren / jaar weekend]]+Ruimtestaat[[#This Row],[uren / jaar werkdagen]]</f>
        <v>0</v>
      </c>
      <c r="AG416" s="90">
        <f>Ruimtestaat[[#This Row],[kosten / jaar weekend]]+Ruimtestaat[[#This Row],[kosten / jaar werkdagen]]</f>
        <v>0</v>
      </c>
    </row>
    <row r="417" spans="1:33" ht="15" customHeight="1">
      <c r="A417" s="53">
        <v>2</v>
      </c>
      <c r="B417" s="53" t="str">
        <f>VLOOKUP(Ruimtestaat[[#This Row],[Code]],Locaties[#All],2,FALSE)</f>
        <v>Open Schoolgemeenschap Bijlmer</v>
      </c>
      <c r="C417" s="53" t="str">
        <f>VLOOKUP(Ruimtestaat[[#This Row],[Code]],Locaties[#All],4,FALSE)</f>
        <v>Gulden Kruis 5</v>
      </c>
      <c r="D417" s="53" t="str">
        <f>VLOOKUP(Ruimtestaat[[#This Row],[Code]],Locaties[#All],5,FALSE)</f>
        <v>1103 BE</v>
      </c>
      <c r="E417" s="53" t="str">
        <f>VLOOKUP(Ruimtestaat[[#This Row],[Code]],Locaties[#All],6,FALSE)</f>
        <v>Amsterdam Zuidoost</v>
      </c>
      <c r="F417" s="78"/>
      <c r="G417" s="53" t="s">
        <v>787</v>
      </c>
      <c r="H417" s="53" t="s">
        <v>816</v>
      </c>
      <c r="I417" s="78" t="s">
        <v>359</v>
      </c>
      <c r="J417" s="53">
        <v>2</v>
      </c>
      <c r="K417" s="78" t="str">
        <f>VLOOKUP(J417,Ruimtegroepen[],2,FALSE)</f>
        <v>Kantoren</v>
      </c>
      <c r="L417" s="53" t="s">
        <v>283</v>
      </c>
      <c r="M417" s="53" t="s">
        <v>576</v>
      </c>
      <c r="N417" s="92">
        <v>45.8</v>
      </c>
      <c r="O417" s="92"/>
      <c r="P417" s="80" t="str">
        <f>LEFT(VLOOKUP(Ruimtestaat[[#This Row],[Ruimte code]],Ruimtegroepen[#All],4,1),2)</f>
        <v xml:space="preserve">B </v>
      </c>
      <c r="Q417" s="93"/>
      <c r="R417" s="81">
        <v>40</v>
      </c>
      <c r="S417" s="81" t="s">
        <v>298</v>
      </c>
      <c r="T417" s="82">
        <f>IF(R417&gt;0,IF(RIGHT(Ruimtestaat[[#This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7" s="82">
        <f>IF(T417&gt;0,VLOOKUP($J417,Ruimtegroepen[],3,FALSE)*VLOOKUP($L417,Vloersoorten[],3,FALSE)*VLOOKUP($S417,Frequenties[],3,FALSE)*VLOOKUP($A417,Locaties[],3,FALSE),0)</f>
        <v>0</v>
      </c>
      <c r="V417" s="83">
        <f>Ruimtestaat[[#This Row],[Uitvoeringen werkdagen]]*Ruimtestaat[[#This Row],[Oppervlak (netto)]]</f>
        <v>9160</v>
      </c>
      <c r="W417" s="84">
        <f>IF(U417&gt;0,Ruimtestaat[[#This Row],[Prest. (m2 /jaar) werkdagen]]/Ruimtestaat[[#This Row],[Norm (m2/uur) werkdagen]],0)</f>
        <v>0</v>
      </c>
      <c r="X417" s="85">
        <f>Ruimtestaat[[#This Row],[uren / jaar werkdagen]]*Tariefsopbouw!$E$35</f>
        <v>0</v>
      </c>
      <c r="Y417" s="82"/>
      <c r="Z417" s="86">
        <f>IF(Ruimtestaat[[#This Row],[Frequentie weekend]]&gt;0,VALUE(LEFT(Y417,1))*R417,0)</f>
        <v>0</v>
      </c>
      <c r="AA417" s="82">
        <f>IF($Z417&gt;0,VLOOKUP($J417,Ruimtegroepen[],3,FALSE)*VLOOKUP($L417,Vloersoorten[],3,FALSE)*VLOOKUP($Y417,Frequenties[],3,FALSE)*VLOOKUP($A413,Locaties[],3,FALSE),0)</f>
        <v>0</v>
      </c>
      <c r="AB417" s="84">
        <f>Ruimtestaat[[#This Row],[Uitvoeringen weekend]]*Ruimtestaat[[#This Row],[Oppervlak (netto)]]</f>
        <v>0</v>
      </c>
      <c r="AC417" s="87">
        <f>IF(AB417&gt;0,Ruimtestaat[[#This Row],[Prest. (m2 /jaar) weekend]]/Ruimtestaat[[#This Row],[Norm (m2/uur) weekend]],0)</f>
        <v>0</v>
      </c>
      <c r="AD417" s="88">
        <f>Ruimtestaat[[#This Row],[uren / jaar weekend]]*Tariefsopbouw!$D$40</f>
        <v>0</v>
      </c>
      <c r="AE417" s="89">
        <f>Ruimtestaat[[#This Row],[Prest. (m2 /jaar) weekend]]+Ruimtestaat[[#This Row],[Prest. (m2 /jaar) werkdagen]]</f>
        <v>9160</v>
      </c>
      <c r="AF417" s="89">
        <f>Ruimtestaat[[#This Row],[uren / jaar weekend]]+Ruimtestaat[[#This Row],[uren / jaar werkdagen]]</f>
        <v>0</v>
      </c>
      <c r="AG417" s="90">
        <f>Ruimtestaat[[#This Row],[kosten / jaar weekend]]+Ruimtestaat[[#This Row],[kosten / jaar werkdagen]]</f>
        <v>0</v>
      </c>
    </row>
    <row r="418" spans="1:33" ht="15" customHeight="1">
      <c r="A418" s="53">
        <v>2</v>
      </c>
      <c r="B418" s="53" t="str">
        <f>VLOOKUP(Ruimtestaat[[#This Row],[Code]],Locaties[#All],2,FALSE)</f>
        <v>Open Schoolgemeenschap Bijlmer</v>
      </c>
      <c r="C418" s="53" t="str">
        <f>VLOOKUP(Ruimtestaat[[#This Row],[Code]],Locaties[#All],4,FALSE)</f>
        <v>Gulden Kruis 5</v>
      </c>
      <c r="D418" s="53" t="str">
        <f>VLOOKUP(Ruimtestaat[[#This Row],[Code]],Locaties[#All],5,FALSE)</f>
        <v>1103 BE</v>
      </c>
      <c r="E418" s="53" t="str">
        <f>VLOOKUP(Ruimtestaat[[#This Row],[Code]],Locaties[#All],6,FALSE)</f>
        <v>Amsterdam Zuidoost</v>
      </c>
      <c r="F418" s="78"/>
      <c r="G418" s="53" t="s">
        <v>787</v>
      </c>
      <c r="H418" s="53" t="s">
        <v>817</v>
      </c>
      <c r="I418" s="78" t="s">
        <v>359</v>
      </c>
      <c r="J418" s="53">
        <v>2</v>
      </c>
      <c r="K418" s="78" t="str">
        <f>VLOOKUP(J418,Ruimtegroepen[],2,FALSE)</f>
        <v>Kantoren</v>
      </c>
      <c r="L418" s="53" t="s">
        <v>283</v>
      </c>
      <c r="M418" s="53" t="s">
        <v>576</v>
      </c>
      <c r="N418" s="92">
        <v>30.351050000000001</v>
      </c>
      <c r="O418" s="92"/>
      <c r="P418" s="80" t="str">
        <f>LEFT(VLOOKUP(Ruimtestaat[[#This Row],[Ruimte code]],Ruimtegroepen[#All],4,1),2)</f>
        <v xml:space="preserve">B </v>
      </c>
      <c r="Q418" s="93"/>
      <c r="R418" s="81">
        <v>40</v>
      </c>
      <c r="S418" s="81" t="s">
        <v>298</v>
      </c>
      <c r="T418" s="82">
        <f>IF(R418&gt;0,IF(RIGHT(Ruimtestaat[[#This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8" s="82">
        <f>IF(T418&gt;0,VLOOKUP($J418,Ruimtegroepen[],3,FALSE)*VLOOKUP($L418,Vloersoorten[],3,FALSE)*VLOOKUP($S418,Frequenties[],3,FALSE)*VLOOKUP($A418,Locaties[],3,FALSE),0)</f>
        <v>0</v>
      </c>
      <c r="V418" s="83">
        <f>Ruimtestaat[[#This Row],[Uitvoeringen werkdagen]]*Ruimtestaat[[#This Row],[Oppervlak (netto)]]</f>
        <v>6070.21</v>
      </c>
      <c r="W418" s="84">
        <f>IF(U418&gt;0,Ruimtestaat[[#This Row],[Prest. (m2 /jaar) werkdagen]]/Ruimtestaat[[#This Row],[Norm (m2/uur) werkdagen]],0)</f>
        <v>0</v>
      </c>
      <c r="X418" s="85">
        <f>Ruimtestaat[[#This Row],[uren / jaar werkdagen]]*Tariefsopbouw!$E$35</f>
        <v>0</v>
      </c>
      <c r="Y418" s="82"/>
      <c r="Z418" s="86">
        <f>IF(Ruimtestaat[[#This Row],[Frequentie weekend]]&gt;0,VALUE(LEFT(Y418,1))*R418,0)</f>
        <v>0</v>
      </c>
      <c r="AA418" s="82">
        <f>IF($Z418&gt;0,VLOOKUP($J418,Ruimtegroepen[],3,FALSE)*VLOOKUP($L418,Vloersoorten[],3,FALSE)*VLOOKUP($Y418,Frequenties[],3,FALSE)*VLOOKUP($A414,Locaties[],3,FALSE),0)</f>
        <v>0</v>
      </c>
      <c r="AB418" s="84">
        <f>Ruimtestaat[[#This Row],[Uitvoeringen weekend]]*Ruimtestaat[[#This Row],[Oppervlak (netto)]]</f>
        <v>0</v>
      </c>
      <c r="AC418" s="87">
        <f>IF(AB418&gt;0,Ruimtestaat[[#This Row],[Prest. (m2 /jaar) weekend]]/Ruimtestaat[[#This Row],[Norm (m2/uur) weekend]],0)</f>
        <v>0</v>
      </c>
      <c r="AD418" s="88">
        <f>Ruimtestaat[[#This Row],[uren / jaar weekend]]*Tariefsopbouw!$D$40</f>
        <v>0</v>
      </c>
      <c r="AE418" s="89">
        <f>Ruimtestaat[[#This Row],[Prest. (m2 /jaar) weekend]]+Ruimtestaat[[#This Row],[Prest. (m2 /jaar) werkdagen]]</f>
        <v>6070.21</v>
      </c>
      <c r="AF418" s="89">
        <f>Ruimtestaat[[#This Row],[uren / jaar weekend]]+Ruimtestaat[[#This Row],[uren / jaar werkdagen]]</f>
        <v>0</v>
      </c>
      <c r="AG418" s="90">
        <f>Ruimtestaat[[#This Row],[kosten / jaar weekend]]+Ruimtestaat[[#This Row],[kosten / jaar werkdagen]]</f>
        <v>0</v>
      </c>
    </row>
    <row r="419" spans="1:33" ht="15" customHeight="1">
      <c r="A419" s="53">
        <v>2</v>
      </c>
      <c r="B419" s="53" t="str">
        <f>VLOOKUP(Ruimtestaat[[#This Row],[Code]],Locaties[#All],2,FALSE)</f>
        <v>Open Schoolgemeenschap Bijlmer</v>
      </c>
      <c r="C419" s="53" t="str">
        <f>VLOOKUP(Ruimtestaat[[#This Row],[Code]],Locaties[#All],4,FALSE)</f>
        <v>Gulden Kruis 5</v>
      </c>
      <c r="D419" s="53" t="str">
        <f>VLOOKUP(Ruimtestaat[[#This Row],[Code]],Locaties[#All],5,FALSE)</f>
        <v>1103 BE</v>
      </c>
      <c r="E419" s="53" t="str">
        <f>VLOOKUP(Ruimtestaat[[#This Row],[Code]],Locaties[#All],6,FALSE)</f>
        <v>Amsterdam Zuidoost</v>
      </c>
      <c r="F419" s="78"/>
      <c r="G419" s="53" t="s">
        <v>787</v>
      </c>
      <c r="H419" s="53" t="s">
        <v>818</v>
      </c>
      <c r="I419" s="78" t="s">
        <v>359</v>
      </c>
      <c r="J419" s="53">
        <v>2</v>
      </c>
      <c r="K419" s="78" t="str">
        <f>VLOOKUP(J419,Ruimtegroepen[],2,FALSE)</f>
        <v>Kantoren</v>
      </c>
      <c r="L419" s="53" t="s">
        <v>283</v>
      </c>
      <c r="M419" s="53" t="s">
        <v>576</v>
      </c>
      <c r="N419" s="92">
        <v>13.27</v>
      </c>
      <c r="O419" s="92"/>
      <c r="P419" s="80" t="str">
        <f>LEFT(VLOOKUP(Ruimtestaat[[#This Row],[Ruimte code]],Ruimtegroepen[#All],4,1),2)</f>
        <v xml:space="preserve">B </v>
      </c>
      <c r="Q419" s="93"/>
      <c r="R419" s="81">
        <v>40</v>
      </c>
      <c r="S419" s="81" t="s">
        <v>298</v>
      </c>
      <c r="T419" s="82">
        <f>IF(R419&gt;0,IF(RIGHT(Ruimtestaat[[#This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19" s="82">
        <f>IF(T419&gt;0,VLOOKUP($J419,Ruimtegroepen[],3,FALSE)*VLOOKUP($L419,Vloersoorten[],3,FALSE)*VLOOKUP($S419,Frequenties[],3,FALSE)*VLOOKUP($A419,Locaties[],3,FALSE),0)</f>
        <v>0</v>
      </c>
      <c r="V419" s="83">
        <f>Ruimtestaat[[#This Row],[Uitvoeringen werkdagen]]*Ruimtestaat[[#This Row],[Oppervlak (netto)]]</f>
        <v>2654</v>
      </c>
      <c r="W419" s="84">
        <f>IF(U419&gt;0,Ruimtestaat[[#This Row],[Prest. (m2 /jaar) werkdagen]]/Ruimtestaat[[#This Row],[Norm (m2/uur) werkdagen]],0)</f>
        <v>0</v>
      </c>
      <c r="X419" s="85">
        <f>Ruimtestaat[[#This Row],[uren / jaar werkdagen]]*Tariefsopbouw!$E$35</f>
        <v>0</v>
      </c>
      <c r="Y419" s="82"/>
      <c r="Z419" s="86">
        <f>IF(Ruimtestaat[[#This Row],[Frequentie weekend]]&gt;0,VALUE(LEFT(Y419,1))*R419,0)</f>
        <v>0</v>
      </c>
      <c r="AA419" s="82">
        <f>IF($Z419&gt;0,VLOOKUP($J419,Ruimtegroepen[],3,FALSE)*VLOOKUP($L419,Vloersoorten[],3,FALSE)*VLOOKUP($Y419,Frequenties[],3,FALSE)*VLOOKUP($A415,Locaties[],3,FALSE),0)</f>
        <v>0</v>
      </c>
      <c r="AB419" s="84">
        <f>Ruimtestaat[[#This Row],[Uitvoeringen weekend]]*Ruimtestaat[[#This Row],[Oppervlak (netto)]]</f>
        <v>0</v>
      </c>
      <c r="AC419" s="87">
        <f>IF(AB419&gt;0,Ruimtestaat[[#This Row],[Prest. (m2 /jaar) weekend]]/Ruimtestaat[[#This Row],[Norm (m2/uur) weekend]],0)</f>
        <v>0</v>
      </c>
      <c r="AD419" s="88">
        <f>Ruimtestaat[[#This Row],[uren / jaar weekend]]*Tariefsopbouw!$D$40</f>
        <v>0</v>
      </c>
      <c r="AE419" s="89">
        <f>Ruimtestaat[[#This Row],[Prest. (m2 /jaar) weekend]]+Ruimtestaat[[#This Row],[Prest. (m2 /jaar) werkdagen]]</f>
        <v>2654</v>
      </c>
      <c r="AF419" s="89">
        <f>Ruimtestaat[[#This Row],[uren / jaar weekend]]+Ruimtestaat[[#This Row],[uren / jaar werkdagen]]</f>
        <v>0</v>
      </c>
      <c r="AG419" s="90">
        <f>Ruimtestaat[[#This Row],[kosten / jaar weekend]]+Ruimtestaat[[#This Row],[kosten / jaar werkdagen]]</f>
        <v>0</v>
      </c>
    </row>
    <row r="420" spans="1:33" ht="15" customHeight="1">
      <c r="A420" s="53">
        <v>2</v>
      </c>
      <c r="B420" s="53" t="str">
        <f>VLOOKUP(Ruimtestaat[[#This Row],[Code]],Locaties[#All],2,FALSE)</f>
        <v>Open Schoolgemeenschap Bijlmer</v>
      </c>
      <c r="C420" s="53" t="str">
        <f>VLOOKUP(Ruimtestaat[[#This Row],[Code]],Locaties[#All],4,FALSE)</f>
        <v>Gulden Kruis 5</v>
      </c>
      <c r="D420" s="53" t="str">
        <f>VLOOKUP(Ruimtestaat[[#This Row],[Code]],Locaties[#All],5,FALSE)</f>
        <v>1103 BE</v>
      </c>
      <c r="E420" s="53" t="str">
        <f>VLOOKUP(Ruimtestaat[[#This Row],[Code]],Locaties[#All],6,FALSE)</f>
        <v>Amsterdam Zuidoost</v>
      </c>
      <c r="F420" s="78"/>
      <c r="G420" s="53" t="s">
        <v>787</v>
      </c>
      <c r="H420" s="53" t="s">
        <v>819</v>
      </c>
      <c r="I420" s="78" t="s">
        <v>359</v>
      </c>
      <c r="J420" s="53">
        <v>2</v>
      </c>
      <c r="K420" s="78" t="str">
        <f>VLOOKUP(J420,Ruimtegroepen[],2,FALSE)</f>
        <v>Kantoren</v>
      </c>
      <c r="L420" s="53" t="s">
        <v>283</v>
      </c>
      <c r="M420" s="53" t="s">
        <v>576</v>
      </c>
      <c r="N420" s="92">
        <v>15.67</v>
      </c>
      <c r="O420" s="92"/>
      <c r="P420" s="80" t="str">
        <f>LEFT(VLOOKUP(Ruimtestaat[[#This Row],[Ruimte code]],Ruimtegroepen[#All],4,1),2)</f>
        <v xml:space="preserve">B </v>
      </c>
      <c r="Q420" s="93"/>
      <c r="R420" s="81">
        <v>40</v>
      </c>
      <c r="S420" s="81" t="s">
        <v>298</v>
      </c>
      <c r="T420" s="82">
        <f>IF(R420&gt;0,IF(RIGHT(Ruimtestaat[[#This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0" s="82">
        <f>IF(T420&gt;0,VLOOKUP($J420,Ruimtegroepen[],3,FALSE)*VLOOKUP($L420,Vloersoorten[],3,FALSE)*VLOOKUP($S420,Frequenties[],3,FALSE)*VLOOKUP($A420,Locaties[],3,FALSE),0)</f>
        <v>0</v>
      </c>
      <c r="V420" s="83">
        <f>Ruimtestaat[[#This Row],[Uitvoeringen werkdagen]]*Ruimtestaat[[#This Row],[Oppervlak (netto)]]</f>
        <v>3134</v>
      </c>
      <c r="W420" s="84">
        <f>IF(U420&gt;0,Ruimtestaat[[#This Row],[Prest. (m2 /jaar) werkdagen]]/Ruimtestaat[[#This Row],[Norm (m2/uur) werkdagen]],0)</f>
        <v>0</v>
      </c>
      <c r="X420" s="85">
        <f>Ruimtestaat[[#This Row],[uren / jaar werkdagen]]*Tariefsopbouw!$E$35</f>
        <v>0</v>
      </c>
      <c r="Y420" s="82"/>
      <c r="Z420" s="86">
        <f>IF(Ruimtestaat[[#This Row],[Frequentie weekend]]&gt;0,VALUE(LEFT(Y420,1))*R420,0)</f>
        <v>0</v>
      </c>
      <c r="AA420" s="82">
        <f>IF($Z420&gt;0,VLOOKUP($J420,Ruimtegroepen[],3,FALSE)*VLOOKUP($L420,Vloersoorten[],3,FALSE)*VLOOKUP($Y420,Frequenties[],3,FALSE)*VLOOKUP($A416,Locaties[],3,FALSE),0)</f>
        <v>0</v>
      </c>
      <c r="AB420" s="84">
        <f>Ruimtestaat[[#This Row],[Uitvoeringen weekend]]*Ruimtestaat[[#This Row],[Oppervlak (netto)]]</f>
        <v>0</v>
      </c>
      <c r="AC420" s="87">
        <f>IF(AB420&gt;0,Ruimtestaat[[#This Row],[Prest. (m2 /jaar) weekend]]/Ruimtestaat[[#This Row],[Norm (m2/uur) weekend]],0)</f>
        <v>0</v>
      </c>
      <c r="AD420" s="88">
        <f>Ruimtestaat[[#This Row],[uren / jaar weekend]]*Tariefsopbouw!$D$40</f>
        <v>0</v>
      </c>
      <c r="AE420" s="89">
        <f>Ruimtestaat[[#This Row],[Prest. (m2 /jaar) weekend]]+Ruimtestaat[[#This Row],[Prest. (m2 /jaar) werkdagen]]</f>
        <v>3134</v>
      </c>
      <c r="AF420" s="89">
        <f>Ruimtestaat[[#This Row],[uren / jaar weekend]]+Ruimtestaat[[#This Row],[uren / jaar werkdagen]]</f>
        <v>0</v>
      </c>
      <c r="AG420" s="90">
        <f>Ruimtestaat[[#This Row],[kosten / jaar weekend]]+Ruimtestaat[[#This Row],[kosten / jaar werkdagen]]</f>
        <v>0</v>
      </c>
    </row>
    <row r="421" spans="1:33" ht="15" customHeight="1">
      <c r="A421" s="53">
        <v>2</v>
      </c>
      <c r="B421" s="53" t="str">
        <f>VLOOKUP(Ruimtestaat[[#This Row],[Code]],Locaties[#All],2,FALSE)</f>
        <v>Open Schoolgemeenschap Bijlmer</v>
      </c>
      <c r="C421" s="53" t="str">
        <f>VLOOKUP(Ruimtestaat[[#This Row],[Code]],Locaties[#All],4,FALSE)</f>
        <v>Gulden Kruis 5</v>
      </c>
      <c r="D421" s="53" t="str">
        <f>VLOOKUP(Ruimtestaat[[#This Row],[Code]],Locaties[#All],5,FALSE)</f>
        <v>1103 BE</v>
      </c>
      <c r="E421" s="53" t="str">
        <f>VLOOKUP(Ruimtestaat[[#This Row],[Code]],Locaties[#All],6,FALSE)</f>
        <v>Amsterdam Zuidoost</v>
      </c>
      <c r="F421" s="78"/>
      <c r="G421" s="53" t="s">
        <v>787</v>
      </c>
      <c r="H421" s="53" t="s">
        <v>820</v>
      </c>
      <c r="I421" s="78" t="s">
        <v>359</v>
      </c>
      <c r="J421" s="53">
        <v>2</v>
      </c>
      <c r="K421" s="78" t="str">
        <f>VLOOKUP(J421,Ruimtegroepen[],2,FALSE)</f>
        <v>Kantoren</v>
      </c>
      <c r="L421" s="53" t="s">
        <v>283</v>
      </c>
      <c r="M421" s="53" t="s">
        <v>576</v>
      </c>
      <c r="N421" s="92">
        <v>20.7</v>
      </c>
      <c r="O421" s="92"/>
      <c r="P421" s="80" t="str">
        <f>LEFT(VLOOKUP(Ruimtestaat[[#This Row],[Ruimte code]],Ruimtegroepen[#All],4,1),2)</f>
        <v xml:space="preserve">B </v>
      </c>
      <c r="Q421" s="93"/>
      <c r="R421" s="81">
        <v>40</v>
      </c>
      <c r="S421" s="81" t="s">
        <v>298</v>
      </c>
      <c r="T421" s="82">
        <f>IF(R421&gt;0,IF(RIGHT(Ruimtestaat[[#This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1" s="82">
        <f>IF(T421&gt;0,VLOOKUP($J421,Ruimtegroepen[],3,FALSE)*VLOOKUP($L421,Vloersoorten[],3,FALSE)*VLOOKUP($S421,Frequenties[],3,FALSE)*VLOOKUP($A421,Locaties[],3,FALSE),0)</f>
        <v>0</v>
      </c>
      <c r="V421" s="83">
        <f>Ruimtestaat[[#This Row],[Uitvoeringen werkdagen]]*Ruimtestaat[[#This Row],[Oppervlak (netto)]]</f>
        <v>4140</v>
      </c>
      <c r="W421" s="84">
        <f>IF(U421&gt;0,Ruimtestaat[[#This Row],[Prest. (m2 /jaar) werkdagen]]/Ruimtestaat[[#This Row],[Norm (m2/uur) werkdagen]],0)</f>
        <v>0</v>
      </c>
      <c r="X421" s="85">
        <f>Ruimtestaat[[#This Row],[uren / jaar werkdagen]]*Tariefsopbouw!$E$35</f>
        <v>0</v>
      </c>
      <c r="Y421" s="82"/>
      <c r="Z421" s="86">
        <f>IF(Ruimtestaat[[#This Row],[Frequentie weekend]]&gt;0,VALUE(LEFT(Y421,1))*R421,0)</f>
        <v>0</v>
      </c>
      <c r="AA421" s="82">
        <f>IF($Z421&gt;0,VLOOKUP($J421,Ruimtegroepen[],3,FALSE)*VLOOKUP($L421,Vloersoorten[],3,FALSE)*VLOOKUP($Y421,Frequenties[],3,FALSE)*VLOOKUP($A417,Locaties[],3,FALSE),0)</f>
        <v>0</v>
      </c>
      <c r="AB421" s="84">
        <f>Ruimtestaat[[#This Row],[Uitvoeringen weekend]]*Ruimtestaat[[#This Row],[Oppervlak (netto)]]</f>
        <v>0</v>
      </c>
      <c r="AC421" s="87">
        <f>IF(AB421&gt;0,Ruimtestaat[[#This Row],[Prest. (m2 /jaar) weekend]]/Ruimtestaat[[#This Row],[Norm (m2/uur) weekend]],0)</f>
        <v>0</v>
      </c>
      <c r="AD421" s="88">
        <f>Ruimtestaat[[#This Row],[uren / jaar weekend]]*Tariefsopbouw!$D$40</f>
        <v>0</v>
      </c>
      <c r="AE421" s="89">
        <f>Ruimtestaat[[#This Row],[Prest. (m2 /jaar) weekend]]+Ruimtestaat[[#This Row],[Prest. (m2 /jaar) werkdagen]]</f>
        <v>4140</v>
      </c>
      <c r="AF421" s="89">
        <f>Ruimtestaat[[#This Row],[uren / jaar weekend]]+Ruimtestaat[[#This Row],[uren / jaar werkdagen]]</f>
        <v>0</v>
      </c>
      <c r="AG421" s="90">
        <f>Ruimtestaat[[#This Row],[kosten / jaar weekend]]+Ruimtestaat[[#This Row],[kosten / jaar werkdagen]]</f>
        <v>0</v>
      </c>
    </row>
    <row r="422" spans="1:33" ht="15" customHeight="1">
      <c r="A422" s="53">
        <v>2</v>
      </c>
      <c r="B422" s="53" t="str">
        <f>VLOOKUP(Ruimtestaat[[#This Row],[Code]],Locaties[#All],2,FALSE)</f>
        <v>Open Schoolgemeenschap Bijlmer</v>
      </c>
      <c r="C422" s="53" t="str">
        <f>VLOOKUP(Ruimtestaat[[#This Row],[Code]],Locaties[#All],4,FALSE)</f>
        <v>Gulden Kruis 5</v>
      </c>
      <c r="D422" s="53" t="str">
        <f>VLOOKUP(Ruimtestaat[[#This Row],[Code]],Locaties[#All],5,FALSE)</f>
        <v>1103 BE</v>
      </c>
      <c r="E422" s="53" t="str">
        <f>VLOOKUP(Ruimtestaat[[#This Row],[Code]],Locaties[#All],6,FALSE)</f>
        <v>Amsterdam Zuidoost</v>
      </c>
      <c r="F422" s="78"/>
      <c r="G422" s="53" t="s">
        <v>787</v>
      </c>
      <c r="H422" s="53" t="s">
        <v>821</v>
      </c>
      <c r="I422" s="78" t="s">
        <v>456</v>
      </c>
      <c r="J422" s="53">
        <v>6</v>
      </c>
      <c r="K422" s="78" t="str">
        <f>VLOOKUP(J422,Ruimtegroepen[],2,FALSE)</f>
        <v>Gangen/hallen</v>
      </c>
      <c r="L422" s="53" t="s">
        <v>285</v>
      </c>
      <c r="M422" s="53" t="s">
        <v>580</v>
      </c>
      <c r="N422" s="92">
        <v>72.48</v>
      </c>
      <c r="O422" s="92"/>
      <c r="P422" s="80" t="str">
        <f>LEFT(VLOOKUP(Ruimtestaat[[#This Row],[Ruimte code]],Ruimtegroepen[#All],4,1),2)</f>
        <v xml:space="preserve">V </v>
      </c>
      <c r="Q422" s="93"/>
      <c r="R422" s="81">
        <v>40</v>
      </c>
      <c r="S422" s="81" t="s">
        <v>298</v>
      </c>
      <c r="T422" s="82">
        <f>IF(R422&gt;0,IF(RIGHT(Ruimtestaat[[#This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2" s="82">
        <f>IF(T422&gt;0,VLOOKUP($J422,Ruimtegroepen[],3,FALSE)*VLOOKUP($L422,Vloersoorten[],3,FALSE)*VLOOKUP($S422,Frequenties[],3,FALSE)*VLOOKUP($A422,Locaties[],3,FALSE),0)</f>
        <v>0</v>
      </c>
      <c r="V422" s="83">
        <f>Ruimtestaat[[#This Row],[Uitvoeringen werkdagen]]*Ruimtestaat[[#This Row],[Oppervlak (netto)]]</f>
        <v>14496</v>
      </c>
      <c r="W422" s="84">
        <f>IF(U422&gt;0,Ruimtestaat[[#This Row],[Prest. (m2 /jaar) werkdagen]]/Ruimtestaat[[#This Row],[Norm (m2/uur) werkdagen]],0)</f>
        <v>0</v>
      </c>
      <c r="X422" s="85">
        <f>Ruimtestaat[[#This Row],[uren / jaar werkdagen]]*Tariefsopbouw!$E$35</f>
        <v>0</v>
      </c>
      <c r="Y422" s="82"/>
      <c r="Z422" s="86">
        <f>IF(Ruimtestaat[[#This Row],[Frequentie weekend]]&gt;0,VALUE(LEFT(Y422,1))*R422,0)</f>
        <v>0</v>
      </c>
      <c r="AA422" s="82">
        <f>IF($Z422&gt;0,VLOOKUP($J422,Ruimtegroepen[],3,FALSE)*VLOOKUP($L422,Vloersoorten[],3,FALSE)*VLOOKUP($Y422,Frequenties[],3,FALSE)*VLOOKUP($A418,Locaties[],3,FALSE),0)</f>
        <v>0</v>
      </c>
      <c r="AB422" s="84">
        <f>Ruimtestaat[[#This Row],[Uitvoeringen weekend]]*Ruimtestaat[[#This Row],[Oppervlak (netto)]]</f>
        <v>0</v>
      </c>
      <c r="AC422" s="87">
        <f>IF(AB422&gt;0,Ruimtestaat[[#This Row],[Prest. (m2 /jaar) weekend]]/Ruimtestaat[[#This Row],[Norm (m2/uur) weekend]],0)</f>
        <v>0</v>
      </c>
      <c r="AD422" s="88">
        <f>Ruimtestaat[[#This Row],[uren / jaar weekend]]*Tariefsopbouw!$D$40</f>
        <v>0</v>
      </c>
      <c r="AE422" s="89">
        <f>Ruimtestaat[[#This Row],[Prest. (m2 /jaar) weekend]]+Ruimtestaat[[#This Row],[Prest. (m2 /jaar) werkdagen]]</f>
        <v>14496</v>
      </c>
      <c r="AF422" s="89">
        <f>Ruimtestaat[[#This Row],[uren / jaar weekend]]+Ruimtestaat[[#This Row],[uren / jaar werkdagen]]</f>
        <v>0</v>
      </c>
      <c r="AG422" s="90">
        <f>Ruimtestaat[[#This Row],[kosten / jaar weekend]]+Ruimtestaat[[#This Row],[kosten / jaar werkdagen]]</f>
        <v>0</v>
      </c>
    </row>
    <row r="423" spans="1:33" ht="15" customHeight="1">
      <c r="A423" s="53">
        <v>2</v>
      </c>
      <c r="B423" s="53" t="str">
        <f>VLOOKUP(Ruimtestaat[[#This Row],[Code]],Locaties[#All],2,FALSE)</f>
        <v>Open Schoolgemeenschap Bijlmer</v>
      </c>
      <c r="C423" s="53" t="str">
        <f>VLOOKUP(Ruimtestaat[[#This Row],[Code]],Locaties[#All],4,FALSE)</f>
        <v>Gulden Kruis 5</v>
      </c>
      <c r="D423" s="53" t="str">
        <f>VLOOKUP(Ruimtestaat[[#This Row],[Code]],Locaties[#All],5,FALSE)</f>
        <v>1103 BE</v>
      </c>
      <c r="E423" s="53" t="str">
        <f>VLOOKUP(Ruimtestaat[[#This Row],[Code]],Locaties[#All],6,FALSE)</f>
        <v>Amsterdam Zuidoost</v>
      </c>
      <c r="F423" s="78"/>
      <c r="G423" s="53" t="s">
        <v>787</v>
      </c>
      <c r="H423" s="53" t="s">
        <v>822</v>
      </c>
      <c r="I423" s="78" t="s">
        <v>378</v>
      </c>
      <c r="J423" s="53">
        <v>10</v>
      </c>
      <c r="K423" s="78" t="str">
        <f>VLOOKUP(J423,Ruimtegroepen[],2,FALSE)</f>
        <v>Trappenhuizen/lift</v>
      </c>
      <c r="L423" s="53" t="s">
        <v>285</v>
      </c>
      <c r="M423" s="53" t="s">
        <v>823</v>
      </c>
      <c r="N423" s="92">
        <v>82.08</v>
      </c>
      <c r="O423" s="92"/>
      <c r="P423" s="80" t="str">
        <f>LEFT(VLOOKUP(Ruimtestaat[[#This Row],[Ruimte code]],Ruimtegroepen[#All],4,1),2)</f>
        <v xml:space="preserve">V </v>
      </c>
      <c r="Q423" s="93"/>
      <c r="R423" s="81">
        <v>40</v>
      </c>
      <c r="S423" s="81" t="s">
        <v>298</v>
      </c>
      <c r="T423" s="82">
        <f>IF(R423&gt;0,IF(RIGHT(Ruimtestaat[[#This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3" s="82">
        <f>IF(T423&gt;0,VLOOKUP($J423,Ruimtegroepen[],3,FALSE)*VLOOKUP($L423,Vloersoorten[],3,FALSE)*VLOOKUP($S423,Frequenties[],3,FALSE)*VLOOKUP($A423,Locaties[],3,FALSE),0)</f>
        <v>0</v>
      </c>
      <c r="V423" s="83">
        <f>Ruimtestaat[[#This Row],[Uitvoeringen werkdagen]]*Ruimtestaat[[#This Row],[Oppervlak (netto)]]</f>
        <v>16416</v>
      </c>
      <c r="W423" s="84">
        <f>IF(U423&gt;0,Ruimtestaat[[#This Row],[Prest. (m2 /jaar) werkdagen]]/Ruimtestaat[[#This Row],[Norm (m2/uur) werkdagen]],0)</f>
        <v>0</v>
      </c>
      <c r="X423" s="85">
        <f>Ruimtestaat[[#This Row],[uren / jaar werkdagen]]*Tariefsopbouw!$E$35</f>
        <v>0</v>
      </c>
      <c r="Y423" s="82"/>
      <c r="Z423" s="86">
        <f>IF(Ruimtestaat[[#This Row],[Frequentie weekend]]&gt;0,VALUE(LEFT(Y423,1))*R423,0)</f>
        <v>0</v>
      </c>
      <c r="AA423" s="82">
        <f>IF($Z423&gt;0,VLOOKUP($J423,Ruimtegroepen[],3,FALSE)*VLOOKUP($L423,Vloersoorten[],3,FALSE)*VLOOKUP($Y423,Frequenties[],3,FALSE)*VLOOKUP($A419,Locaties[],3,FALSE),0)</f>
        <v>0</v>
      </c>
      <c r="AB423" s="84">
        <f>Ruimtestaat[[#This Row],[Uitvoeringen weekend]]*Ruimtestaat[[#This Row],[Oppervlak (netto)]]</f>
        <v>0</v>
      </c>
      <c r="AC423" s="87">
        <f>IF(AB423&gt;0,Ruimtestaat[[#This Row],[Prest. (m2 /jaar) weekend]]/Ruimtestaat[[#This Row],[Norm (m2/uur) weekend]],0)</f>
        <v>0</v>
      </c>
      <c r="AD423" s="88">
        <f>Ruimtestaat[[#This Row],[uren / jaar weekend]]*Tariefsopbouw!$D$40</f>
        <v>0</v>
      </c>
      <c r="AE423" s="89">
        <f>Ruimtestaat[[#This Row],[Prest. (m2 /jaar) weekend]]+Ruimtestaat[[#This Row],[Prest. (m2 /jaar) werkdagen]]</f>
        <v>16416</v>
      </c>
      <c r="AF423" s="89">
        <f>Ruimtestaat[[#This Row],[uren / jaar weekend]]+Ruimtestaat[[#This Row],[uren / jaar werkdagen]]</f>
        <v>0</v>
      </c>
      <c r="AG423" s="90">
        <f>Ruimtestaat[[#This Row],[kosten / jaar weekend]]+Ruimtestaat[[#This Row],[kosten / jaar werkdagen]]</f>
        <v>0</v>
      </c>
    </row>
    <row r="424" spans="1:33" ht="15" customHeight="1">
      <c r="A424" s="53">
        <v>2</v>
      </c>
      <c r="B424" s="53" t="str">
        <f>VLOOKUP(Ruimtestaat[[#This Row],[Code]],Locaties[#All],2,FALSE)</f>
        <v>Open Schoolgemeenschap Bijlmer</v>
      </c>
      <c r="C424" s="53" t="str">
        <f>VLOOKUP(Ruimtestaat[[#This Row],[Code]],Locaties[#All],4,FALSE)</f>
        <v>Gulden Kruis 5</v>
      </c>
      <c r="D424" s="53" t="str">
        <f>VLOOKUP(Ruimtestaat[[#This Row],[Code]],Locaties[#All],5,FALSE)</f>
        <v>1103 BE</v>
      </c>
      <c r="E424" s="53" t="str">
        <f>VLOOKUP(Ruimtestaat[[#This Row],[Code]],Locaties[#All],6,FALSE)</f>
        <v>Amsterdam Zuidoost</v>
      </c>
      <c r="F424" s="78" t="s">
        <v>272</v>
      </c>
      <c r="G424" s="53" t="s">
        <v>348</v>
      </c>
      <c r="H424" s="53" t="s">
        <v>824</v>
      </c>
      <c r="I424" s="78" t="s">
        <v>825</v>
      </c>
      <c r="J424" s="53">
        <v>19</v>
      </c>
      <c r="K424" s="78" t="str">
        <f>VLOOKUP(J424,Ruimtegroepen[],2,FALSE)</f>
        <v>Kleedruimten</v>
      </c>
      <c r="L424" s="53" t="s">
        <v>280</v>
      </c>
      <c r="M424" s="53" t="s">
        <v>566</v>
      </c>
      <c r="N424" s="92">
        <v>23.78</v>
      </c>
      <c r="O424" s="92"/>
      <c r="P424" s="80" t="str">
        <f>LEFT(VLOOKUP(Ruimtestaat[[#This Row],[Ruimte code]],Ruimtegroepen[#All],4,1),2)</f>
        <v xml:space="preserve">V </v>
      </c>
      <c r="Q424" s="93"/>
      <c r="R424" s="81">
        <v>40</v>
      </c>
      <c r="S424" s="81" t="s">
        <v>298</v>
      </c>
      <c r="T424" s="82">
        <f>IF(R424&gt;0,IF(RIGHT(Ruimtestaat[[#This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4" s="82">
        <f>IF(T424&gt;0,VLOOKUP($J424,Ruimtegroepen[],3,FALSE)*VLOOKUP($L424,Vloersoorten[],3,FALSE)*VLOOKUP($S424,Frequenties[],3,FALSE)*VLOOKUP($A424,Locaties[],3,FALSE),0)</f>
        <v>0</v>
      </c>
      <c r="V424" s="83">
        <f>Ruimtestaat[[#This Row],[Uitvoeringen werkdagen]]*Ruimtestaat[[#This Row],[Oppervlak (netto)]]</f>
        <v>4756</v>
      </c>
      <c r="W424" s="84">
        <f>IF(U424&gt;0,Ruimtestaat[[#This Row],[Prest. (m2 /jaar) werkdagen]]/Ruimtestaat[[#This Row],[Norm (m2/uur) werkdagen]],0)</f>
        <v>0</v>
      </c>
      <c r="X424" s="85">
        <f>Ruimtestaat[[#This Row],[uren / jaar werkdagen]]*Tariefsopbouw!$E$35</f>
        <v>0</v>
      </c>
      <c r="Y424" s="82"/>
      <c r="Z424" s="86">
        <f>IF(Ruimtestaat[[#This Row],[Frequentie weekend]]&gt;0,VALUE(LEFT(Y424,1))*R424,0)</f>
        <v>0</v>
      </c>
      <c r="AA424" s="82">
        <f>IF($Z424&gt;0,VLOOKUP($J424,Ruimtegroepen[],3,FALSE)*VLOOKUP($L424,Vloersoorten[],3,FALSE)*VLOOKUP($Y424,Frequenties[],3,FALSE)*VLOOKUP($A420,Locaties[],3,FALSE),0)</f>
        <v>0</v>
      </c>
      <c r="AB424" s="84">
        <f>Ruimtestaat[[#This Row],[Uitvoeringen weekend]]*Ruimtestaat[[#This Row],[Oppervlak (netto)]]</f>
        <v>0</v>
      </c>
      <c r="AC424" s="87">
        <f>IF(AB424&gt;0,Ruimtestaat[[#This Row],[Prest. (m2 /jaar) weekend]]/Ruimtestaat[[#This Row],[Norm (m2/uur) weekend]],0)</f>
        <v>0</v>
      </c>
      <c r="AD424" s="88">
        <f>Ruimtestaat[[#This Row],[uren / jaar weekend]]*Tariefsopbouw!$D$40</f>
        <v>0</v>
      </c>
      <c r="AE424" s="89">
        <f>Ruimtestaat[[#This Row],[Prest. (m2 /jaar) weekend]]+Ruimtestaat[[#This Row],[Prest. (m2 /jaar) werkdagen]]</f>
        <v>4756</v>
      </c>
      <c r="AF424" s="89">
        <f>Ruimtestaat[[#This Row],[uren / jaar weekend]]+Ruimtestaat[[#This Row],[uren / jaar werkdagen]]</f>
        <v>0</v>
      </c>
      <c r="AG424" s="90">
        <f>Ruimtestaat[[#This Row],[kosten / jaar weekend]]+Ruimtestaat[[#This Row],[kosten / jaar werkdagen]]</f>
        <v>0</v>
      </c>
    </row>
    <row r="425" spans="1:33" ht="15" customHeight="1">
      <c r="A425" s="53">
        <v>2</v>
      </c>
      <c r="B425" s="53" t="str">
        <f>VLOOKUP(Ruimtestaat[[#This Row],[Code]],Locaties[#All],2,FALSE)</f>
        <v>Open Schoolgemeenschap Bijlmer</v>
      </c>
      <c r="C425" s="53" t="str">
        <f>VLOOKUP(Ruimtestaat[[#This Row],[Code]],Locaties[#All],4,FALSE)</f>
        <v>Gulden Kruis 5</v>
      </c>
      <c r="D425" s="53" t="str">
        <f>VLOOKUP(Ruimtestaat[[#This Row],[Code]],Locaties[#All],5,FALSE)</f>
        <v>1103 BE</v>
      </c>
      <c r="E425" s="53" t="str">
        <f>VLOOKUP(Ruimtestaat[[#This Row],[Code]],Locaties[#All],6,FALSE)</f>
        <v>Amsterdam Zuidoost</v>
      </c>
      <c r="F425" s="78" t="s">
        <v>272</v>
      </c>
      <c r="G425" s="53" t="s">
        <v>348</v>
      </c>
      <c r="H425" s="53" t="s">
        <v>826</v>
      </c>
      <c r="I425" s="78" t="s">
        <v>621</v>
      </c>
      <c r="J425" s="53">
        <v>5</v>
      </c>
      <c r="K425" s="78" t="str">
        <f>VLOOKUP(J425,Ruimtegroepen[],2,FALSE)</f>
        <v>Sanitair</v>
      </c>
      <c r="L425" s="53" t="s">
        <v>285</v>
      </c>
      <c r="M425" s="53" t="s">
        <v>580</v>
      </c>
      <c r="N425" s="92">
        <v>9.86</v>
      </c>
      <c r="O425" s="92"/>
      <c r="P425" s="80" t="str">
        <f>LEFT(VLOOKUP(Ruimtestaat[[#This Row],[Ruimte code]],Ruimtegroepen[#All],4,1),2)</f>
        <v xml:space="preserve">S </v>
      </c>
      <c r="Q425" s="93"/>
      <c r="R425" s="81">
        <v>40</v>
      </c>
      <c r="S425" s="81" t="s">
        <v>296</v>
      </c>
      <c r="T425" s="82">
        <f>IF(R425&gt;0,IF(RIGHT(Ruimtestaat[[#This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25" s="82">
        <f>IF(T425&gt;0,VLOOKUP($J425,Ruimtegroepen[],3,FALSE)*VLOOKUP($L425,Vloersoorten[],3,FALSE)*VLOOKUP($S425,Frequenties[],3,FALSE)*VLOOKUP($A425,Locaties[],3,FALSE),0)</f>
        <v>0</v>
      </c>
      <c r="V425" s="83">
        <f>Ruimtestaat[[#This Row],[Uitvoeringen werkdagen]]*Ruimtestaat[[#This Row],[Oppervlak (netto)]]</f>
        <v>3944</v>
      </c>
      <c r="W425" s="84">
        <f>IF(U425&gt;0,Ruimtestaat[[#This Row],[Prest. (m2 /jaar) werkdagen]]/Ruimtestaat[[#This Row],[Norm (m2/uur) werkdagen]],0)</f>
        <v>0</v>
      </c>
      <c r="X425" s="85">
        <f>Ruimtestaat[[#This Row],[uren / jaar werkdagen]]*Tariefsopbouw!$E$35</f>
        <v>0</v>
      </c>
      <c r="Y425" s="82"/>
      <c r="Z425" s="86">
        <f>IF(Ruimtestaat[[#This Row],[Frequentie weekend]]&gt;0,VALUE(LEFT(Y425,1))*R425,0)</f>
        <v>0</v>
      </c>
      <c r="AA425" s="82">
        <f>IF($Z425&gt;0,VLOOKUP($J425,Ruimtegroepen[],3,FALSE)*VLOOKUP($L425,Vloersoorten[],3,FALSE)*VLOOKUP($Y425,Frequenties[],3,FALSE)*VLOOKUP($A421,Locaties[],3,FALSE),0)</f>
        <v>0</v>
      </c>
      <c r="AB425" s="84">
        <f>Ruimtestaat[[#This Row],[Uitvoeringen weekend]]*Ruimtestaat[[#This Row],[Oppervlak (netto)]]</f>
        <v>0</v>
      </c>
      <c r="AC425" s="87">
        <f>IF(AB425&gt;0,Ruimtestaat[[#This Row],[Prest. (m2 /jaar) weekend]]/Ruimtestaat[[#This Row],[Norm (m2/uur) weekend]],0)</f>
        <v>0</v>
      </c>
      <c r="AD425" s="88">
        <f>Ruimtestaat[[#This Row],[uren / jaar weekend]]*Tariefsopbouw!$D$40</f>
        <v>0</v>
      </c>
      <c r="AE425" s="89">
        <f>Ruimtestaat[[#This Row],[Prest. (m2 /jaar) weekend]]+Ruimtestaat[[#This Row],[Prest. (m2 /jaar) werkdagen]]</f>
        <v>3944</v>
      </c>
      <c r="AF425" s="89">
        <f>Ruimtestaat[[#This Row],[uren / jaar weekend]]+Ruimtestaat[[#This Row],[uren / jaar werkdagen]]</f>
        <v>0</v>
      </c>
      <c r="AG425" s="90">
        <f>Ruimtestaat[[#This Row],[kosten / jaar weekend]]+Ruimtestaat[[#This Row],[kosten / jaar werkdagen]]</f>
        <v>0</v>
      </c>
    </row>
    <row r="426" spans="1:33" ht="15" customHeight="1">
      <c r="A426" s="53">
        <v>2</v>
      </c>
      <c r="B426" s="53" t="str">
        <f>VLOOKUP(Ruimtestaat[[#This Row],[Code]],Locaties[#All],2,FALSE)</f>
        <v>Open Schoolgemeenschap Bijlmer</v>
      </c>
      <c r="C426" s="53" t="str">
        <f>VLOOKUP(Ruimtestaat[[#This Row],[Code]],Locaties[#All],4,FALSE)</f>
        <v>Gulden Kruis 5</v>
      </c>
      <c r="D426" s="53" t="str">
        <f>VLOOKUP(Ruimtestaat[[#This Row],[Code]],Locaties[#All],5,FALSE)</f>
        <v>1103 BE</v>
      </c>
      <c r="E426" s="53" t="str">
        <f>VLOOKUP(Ruimtestaat[[#This Row],[Code]],Locaties[#All],6,FALSE)</f>
        <v>Amsterdam Zuidoost</v>
      </c>
      <c r="F426" s="78" t="s">
        <v>272</v>
      </c>
      <c r="G426" s="53" t="s">
        <v>348</v>
      </c>
      <c r="H426" s="53" t="s">
        <v>827</v>
      </c>
      <c r="I426" s="78" t="s">
        <v>825</v>
      </c>
      <c r="J426" s="53">
        <v>19</v>
      </c>
      <c r="K426" s="78" t="str">
        <f>VLOOKUP(J426,Ruimtegroepen[],2,FALSE)</f>
        <v>Kleedruimten</v>
      </c>
      <c r="L426" s="53" t="s">
        <v>280</v>
      </c>
      <c r="M426" s="53" t="s">
        <v>566</v>
      </c>
      <c r="N426" s="92">
        <v>23.78</v>
      </c>
      <c r="O426" s="92"/>
      <c r="P426" s="80" t="str">
        <f>LEFT(VLOOKUP(Ruimtestaat[[#This Row],[Ruimte code]],Ruimtegroepen[#All],4,1),2)</f>
        <v xml:space="preserve">V </v>
      </c>
      <c r="Q426" s="93"/>
      <c r="R426" s="81">
        <v>40</v>
      </c>
      <c r="S426" s="81" t="s">
        <v>298</v>
      </c>
      <c r="T426" s="82">
        <f>IF(R426&gt;0,IF(RIGHT(Ruimtestaat[[#This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6" s="82">
        <f>IF(T426&gt;0,VLOOKUP($J426,Ruimtegroepen[],3,FALSE)*VLOOKUP($L426,Vloersoorten[],3,FALSE)*VLOOKUP($S426,Frequenties[],3,FALSE)*VLOOKUP($A426,Locaties[],3,FALSE),0)</f>
        <v>0</v>
      </c>
      <c r="V426" s="83">
        <f>Ruimtestaat[[#This Row],[Uitvoeringen werkdagen]]*Ruimtestaat[[#This Row],[Oppervlak (netto)]]</f>
        <v>4756</v>
      </c>
      <c r="W426" s="84">
        <f>IF(U426&gt;0,Ruimtestaat[[#This Row],[Prest. (m2 /jaar) werkdagen]]/Ruimtestaat[[#This Row],[Norm (m2/uur) werkdagen]],0)</f>
        <v>0</v>
      </c>
      <c r="X426" s="85">
        <f>Ruimtestaat[[#This Row],[uren / jaar werkdagen]]*Tariefsopbouw!$E$35</f>
        <v>0</v>
      </c>
      <c r="Y426" s="82"/>
      <c r="Z426" s="86">
        <f>IF(Ruimtestaat[[#This Row],[Frequentie weekend]]&gt;0,VALUE(LEFT(Y426,1))*R426,0)</f>
        <v>0</v>
      </c>
      <c r="AA426" s="82">
        <f>IF($Z426&gt;0,VLOOKUP($J426,Ruimtegroepen[],3,FALSE)*VLOOKUP($L426,Vloersoorten[],3,FALSE)*VLOOKUP($Y426,Frequenties[],3,FALSE)*VLOOKUP($A422,Locaties[],3,FALSE),0)</f>
        <v>0</v>
      </c>
      <c r="AB426" s="84">
        <f>Ruimtestaat[[#This Row],[Uitvoeringen weekend]]*Ruimtestaat[[#This Row],[Oppervlak (netto)]]</f>
        <v>0</v>
      </c>
      <c r="AC426" s="87">
        <f>IF(AB426&gt;0,Ruimtestaat[[#This Row],[Prest. (m2 /jaar) weekend]]/Ruimtestaat[[#This Row],[Norm (m2/uur) weekend]],0)</f>
        <v>0</v>
      </c>
      <c r="AD426" s="88">
        <f>Ruimtestaat[[#This Row],[uren / jaar weekend]]*Tariefsopbouw!$D$40</f>
        <v>0</v>
      </c>
      <c r="AE426" s="89">
        <f>Ruimtestaat[[#This Row],[Prest. (m2 /jaar) weekend]]+Ruimtestaat[[#This Row],[Prest. (m2 /jaar) werkdagen]]</f>
        <v>4756</v>
      </c>
      <c r="AF426" s="89">
        <f>Ruimtestaat[[#This Row],[uren / jaar weekend]]+Ruimtestaat[[#This Row],[uren / jaar werkdagen]]</f>
        <v>0</v>
      </c>
      <c r="AG426" s="90">
        <f>Ruimtestaat[[#This Row],[kosten / jaar weekend]]+Ruimtestaat[[#This Row],[kosten / jaar werkdagen]]</f>
        <v>0</v>
      </c>
    </row>
    <row r="427" spans="1:33" ht="15" customHeight="1">
      <c r="A427" s="53">
        <v>2</v>
      </c>
      <c r="B427" s="53" t="str">
        <f>VLOOKUP(Ruimtestaat[[#This Row],[Code]],Locaties[#All],2,FALSE)</f>
        <v>Open Schoolgemeenschap Bijlmer</v>
      </c>
      <c r="C427" s="53" t="str">
        <f>VLOOKUP(Ruimtestaat[[#This Row],[Code]],Locaties[#All],4,FALSE)</f>
        <v>Gulden Kruis 5</v>
      </c>
      <c r="D427" s="53" t="str">
        <f>VLOOKUP(Ruimtestaat[[#This Row],[Code]],Locaties[#All],5,FALSE)</f>
        <v>1103 BE</v>
      </c>
      <c r="E427" s="53" t="str">
        <f>VLOOKUP(Ruimtestaat[[#This Row],[Code]],Locaties[#All],6,FALSE)</f>
        <v>Amsterdam Zuidoost</v>
      </c>
      <c r="F427" s="78" t="s">
        <v>272</v>
      </c>
      <c r="G427" s="53" t="s">
        <v>348</v>
      </c>
      <c r="H427" s="53" t="s">
        <v>828</v>
      </c>
      <c r="I427" s="78" t="s">
        <v>621</v>
      </c>
      <c r="J427" s="53">
        <v>5</v>
      </c>
      <c r="K427" s="78" t="str">
        <f>VLOOKUP(J427,Ruimtegroepen[],2,FALSE)</f>
        <v>Sanitair</v>
      </c>
      <c r="L427" s="53" t="s">
        <v>285</v>
      </c>
      <c r="M427" s="53" t="s">
        <v>580</v>
      </c>
      <c r="N427" s="92">
        <v>9.86</v>
      </c>
      <c r="O427" s="92"/>
      <c r="P427" s="80" t="str">
        <f>LEFT(VLOOKUP(Ruimtestaat[[#This Row],[Ruimte code]],Ruimtegroepen[#All],4,1),2)</f>
        <v xml:space="preserve">S </v>
      </c>
      <c r="Q427" s="93"/>
      <c r="R427" s="81">
        <v>40</v>
      </c>
      <c r="S427" s="81" t="s">
        <v>296</v>
      </c>
      <c r="T427" s="82">
        <f>IF(R427&gt;0,IF(RIGHT(Ruimtestaat[[#This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27" s="82">
        <f>IF(T427&gt;0,VLOOKUP($J427,Ruimtegroepen[],3,FALSE)*VLOOKUP($L427,Vloersoorten[],3,FALSE)*VLOOKUP($S427,Frequenties[],3,FALSE)*VLOOKUP($A427,Locaties[],3,FALSE),0)</f>
        <v>0</v>
      </c>
      <c r="V427" s="83">
        <f>Ruimtestaat[[#This Row],[Uitvoeringen werkdagen]]*Ruimtestaat[[#This Row],[Oppervlak (netto)]]</f>
        <v>3944</v>
      </c>
      <c r="W427" s="84">
        <f>IF(U427&gt;0,Ruimtestaat[[#This Row],[Prest. (m2 /jaar) werkdagen]]/Ruimtestaat[[#This Row],[Norm (m2/uur) werkdagen]],0)</f>
        <v>0</v>
      </c>
      <c r="X427" s="85">
        <f>Ruimtestaat[[#This Row],[uren / jaar werkdagen]]*Tariefsopbouw!$E$35</f>
        <v>0</v>
      </c>
      <c r="Y427" s="82"/>
      <c r="Z427" s="86">
        <f>IF(Ruimtestaat[[#This Row],[Frequentie weekend]]&gt;0,VALUE(LEFT(Y427,1))*R427,0)</f>
        <v>0</v>
      </c>
      <c r="AA427" s="82">
        <f>IF($Z427&gt;0,VLOOKUP($J427,Ruimtegroepen[],3,FALSE)*VLOOKUP($L427,Vloersoorten[],3,FALSE)*VLOOKUP($Y427,Frequenties[],3,FALSE)*VLOOKUP($A423,Locaties[],3,FALSE),0)</f>
        <v>0</v>
      </c>
      <c r="AB427" s="84">
        <f>Ruimtestaat[[#This Row],[Uitvoeringen weekend]]*Ruimtestaat[[#This Row],[Oppervlak (netto)]]</f>
        <v>0</v>
      </c>
      <c r="AC427" s="87">
        <f>IF(AB427&gt;0,Ruimtestaat[[#This Row],[Prest. (m2 /jaar) weekend]]/Ruimtestaat[[#This Row],[Norm (m2/uur) weekend]],0)</f>
        <v>0</v>
      </c>
      <c r="AD427" s="88">
        <f>Ruimtestaat[[#This Row],[uren / jaar weekend]]*Tariefsopbouw!$D$40</f>
        <v>0</v>
      </c>
      <c r="AE427" s="89">
        <f>Ruimtestaat[[#This Row],[Prest. (m2 /jaar) weekend]]+Ruimtestaat[[#This Row],[Prest. (m2 /jaar) werkdagen]]</f>
        <v>3944</v>
      </c>
      <c r="AF427" s="89">
        <f>Ruimtestaat[[#This Row],[uren / jaar weekend]]+Ruimtestaat[[#This Row],[uren / jaar werkdagen]]</f>
        <v>0</v>
      </c>
      <c r="AG427" s="90">
        <f>Ruimtestaat[[#This Row],[kosten / jaar weekend]]+Ruimtestaat[[#This Row],[kosten / jaar werkdagen]]</f>
        <v>0</v>
      </c>
    </row>
    <row r="428" spans="1:33" ht="15" customHeight="1">
      <c r="A428" s="53">
        <v>2</v>
      </c>
      <c r="B428" s="53" t="str">
        <f>VLOOKUP(Ruimtestaat[[#This Row],[Code]],Locaties[#All],2,FALSE)</f>
        <v>Open Schoolgemeenschap Bijlmer</v>
      </c>
      <c r="C428" s="53" t="str">
        <f>VLOOKUP(Ruimtestaat[[#This Row],[Code]],Locaties[#All],4,FALSE)</f>
        <v>Gulden Kruis 5</v>
      </c>
      <c r="D428" s="53" t="str">
        <f>VLOOKUP(Ruimtestaat[[#This Row],[Code]],Locaties[#All],5,FALSE)</f>
        <v>1103 BE</v>
      </c>
      <c r="E428" s="53" t="str">
        <f>VLOOKUP(Ruimtestaat[[#This Row],[Code]],Locaties[#All],6,FALSE)</f>
        <v>Amsterdam Zuidoost</v>
      </c>
      <c r="F428" s="78" t="s">
        <v>272</v>
      </c>
      <c r="G428" s="53" t="s">
        <v>348</v>
      </c>
      <c r="H428" s="53" t="s">
        <v>829</v>
      </c>
      <c r="I428" s="78" t="s">
        <v>825</v>
      </c>
      <c r="J428" s="53">
        <v>19</v>
      </c>
      <c r="K428" s="78" t="str">
        <f>VLOOKUP(J428,Ruimtegroepen[],2,FALSE)</f>
        <v>Kleedruimten</v>
      </c>
      <c r="L428" s="53" t="s">
        <v>280</v>
      </c>
      <c r="M428" s="53" t="s">
        <v>566</v>
      </c>
      <c r="N428" s="92">
        <v>23.78</v>
      </c>
      <c r="O428" s="92"/>
      <c r="P428" s="80" t="str">
        <f>LEFT(VLOOKUP(Ruimtestaat[[#This Row],[Ruimte code]],Ruimtegroepen[#All],4,1),2)</f>
        <v xml:space="preserve">V </v>
      </c>
      <c r="Q428" s="93"/>
      <c r="R428" s="81">
        <v>40</v>
      </c>
      <c r="S428" s="81" t="s">
        <v>298</v>
      </c>
      <c r="T428" s="82">
        <f>IF(R428&gt;0,IF(RIGHT(Ruimtestaat[[#This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28" s="82">
        <f>IF(T428&gt;0,VLOOKUP($J428,Ruimtegroepen[],3,FALSE)*VLOOKUP($L428,Vloersoorten[],3,FALSE)*VLOOKUP($S428,Frequenties[],3,FALSE)*VLOOKUP($A428,Locaties[],3,FALSE),0)</f>
        <v>0</v>
      </c>
      <c r="V428" s="83">
        <f>Ruimtestaat[[#This Row],[Uitvoeringen werkdagen]]*Ruimtestaat[[#This Row],[Oppervlak (netto)]]</f>
        <v>4756</v>
      </c>
      <c r="W428" s="84">
        <f>IF(U428&gt;0,Ruimtestaat[[#This Row],[Prest. (m2 /jaar) werkdagen]]/Ruimtestaat[[#This Row],[Norm (m2/uur) werkdagen]],0)</f>
        <v>0</v>
      </c>
      <c r="X428" s="85">
        <f>Ruimtestaat[[#This Row],[uren / jaar werkdagen]]*Tariefsopbouw!$E$35</f>
        <v>0</v>
      </c>
      <c r="Y428" s="82"/>
      <c r="Z428" s="86">
        <f>IF(Ruimtestaat[[#This Row],[Frequentie weekend]]&gt;0,VALUE(LEFT(Y428,1))*R428,0)</f>
        <v>0</v>
      </c>
      <c r="AA428" s="82">
        <f>IF($Z428&gt;0,VLOOKUP($J428,Ruimtegroepen[],3,FALSE)*VLOOKUP($L428,Vloersoorten[],3,FALSE)*VLOOKUP($Y428,Frequenties[],3,FALSE)*VLOOKUP($A424,Locaties[],3,FALSE),0)</f>
        <v>0</v>
      </c>
      <c r="AB428" s="84">
        <f>Ruimtestaat[[#This Row],[Uitvoeringen weekend]]*Ruimtestaat[[#This Row],[Oppervlak (netto)]]</f>
        <v>0</v>
      </c>
      <c r="AC428" s="87">
        <f>IF(AB428&gt;0,Ruimtestaat[[#This Row],[Prest. (m2 /jaar) weekend]]/Ruimtestaat[[#This Row],[Norm (m2/uur) weekend]],0)</f>
        <v>0</v>
      </c>
      <c r="AD428" s="88">
        <f>Ruimtestaat[[#This Row],[uren / jaar weekend]]*Tariefsopbouw!$D$40</f>
        <v>0</v>
      </c>
      <c r="AE428" s="89">
        <f>Ruimtestaat[[#This Row],[Prest. (m2 /jaar) weekend]]+Ruimtestaat[[#This Row],[Prest. (m2 /jaar) werkdagen]]</f>
        <v>4756</v>
      </c>
      <c r="AF428" s="89">
        <f>Ruimtestaat[[#This Row],[uren / jaar weekend]]+Ruimtestaat[[#This Row],[uren / jaar werkdagen]]</f>
        <v>0</v>
      </c>
      <c r="AG428" s="90">
        <f>Ruimtestaat[[#This Row],[kosten / jaar weekend]]+Ruimtestaat[[#This Row],[kosten / jaar werkdagen]]</f>
        <v>0</v>
      </c>
    </row>
    <row r="429" spans="1:33" ht="15" customHeight="1">
      <c r="A429" s="53">
        <v>2</v>
      </c>
      <c r="B429" s="53" t="str">
        <f>VLOOKUP(Ruimtestaat[[#This Row],[Code]],Locaties[#All],2,FALSE)</f>
        <v>Open Schoolgemeenschap Bijlmer</v>
      </c>
      <c r="C429" s="53" t="str">
        <f>VLOOKUP(Ruimtestaat[[#This Row],[Code]],Locaties[#All],4,FALSE)</f>
        <v>Gulden Kruis 5</v>
      </c>
      <c r="D429" s="53" t="str">
        <f>VLOOKUP(Ruimtestaat[[#This Row],[Code]],Locaties[#All],5,FALSE)</f>
        <v>1103 BE</v>
      </c>
      <c r="E429" s="53" t="str">
        <f>VLOOKUP(Ruimtestaat[[#This Row],[Code]],Locaties[#All],6,FALSE)</f>
        <v>Amsterdam Zuidoost</v>
      </c>
      <c r="F429" s="78" t="s">
        <v>272</v>
      </c>
      <c r="G429" s="53" t="s">
        <v>348</v>
      </c>
      <c r="H429" s="53" t="s">
        <v>830</v>
      </c>
      <c r="I429" s="78" t="s">
        <v>621</v>
      </c>
      <c r="J429" s="53">
        <v>5</v>
      </c>
      <c r="K429" s="78" t="str">
        <f>VLOOKUP(J429,Ruimtegroepen[],2,FALSE)</f>
        <v>Sanitair</v>
      </c>
      <c r="L429" s="53" t="s">
        <v>285</v>
      </c>
      <c r="M429" s="53" t="s">
        <v>580</v>
      </c>
      <c r="N429" s="92">
        <v>9.86</v>
      </c>
      <c r="O429" s="92"/>
      <c r="P429" s="80" t="str">
        <f>LEFT(VLOOKUP(Ruimtestaat[[#This Row],[Ruimte code]],Ruimtegroepen[#All],4,1),2)</f>
        <v xml:space="preserve">S </v>
      </c>
      <c r="Q429" s="93"/>
      <c r="R429" s="81">
        <v>40</v>
      </c>
      <c r="S429" s="81" t="s">
        <v>296</v>
      </c>
      <c r="T429" s="82">
        <f>IF(R429&gt;0,IF(RIGHT(Ruimtestaat[[#This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29" s="82">
        <f>IF(T429&gt;0,VLOOKUP($J429,Ruimtegroepen[],3,FALSE)*VLOOKUP($L429,Vloersoorten[],3,FALSE)*VLOOKUP($S429,Frequenties[],3,FALSE)*VLOOKUP($A429,Locaties[],3,FALSE),0)</f>
        <v>0</v>
      </c>
      <c r="V429" s="83">
        <f>Ruimtestaat[[#This Row],[Uitvoeringen werkdagen]]*Ruimtestaat[[#This Row],[Oppervlak (netto)]]</f>
        <v>3944</v>
      </c>
      <c r="W429" s="84">
        <f>IF(U429&gt;0,Ruimtestaat[[#This Row],[Prest. (m2 /jaar) werkdagen]]/Ruimtestaat[[#This Row],[Norm (m2/uur) werkdagen]],0)</f>
        <v>0</v>
      </c>
      <c r="X429" s="85">
        <f>Ruimtestaat[[#This Row],[uren / jaar werkdagen]]*Tariefsopbouw!$E$35</f>
        <v>0</v>
      </c>
      <c r="Y429" s="82"/>
      <c r="Z429" s="86">
        <f>IF(Ruimtestaat[[#This Row],[Frequentie weekend]]&gt;0,VALUE(LEFT(Y429,1))*R429,0)</f>
        <v>0</v>
      </c>
      <c r="AA429" s="82">
        <f>IF($Z429&gt;0,VLOOKUP($J429,Ruimtegroepen[],3,FALSE)*VLOOKUP($L429,Vloersoorten[],3,FALSE)*VLOOKUP($Y429,Frequenties[],3,FALSE)*VLOOKUP($A425,Locaties[],3,FALSE),0)</f>
        <v>0</v>
      </c>
      <c r="AB429" s="84">
        <f>Ruimtestaat[[#This Row],[Uitvoeringen weekend]]*Ruimtestaat[[#This Row],[Oppervlak (netto)]]</f>
        <v>0</v>
      </c>
      <c r="AC429" s="87">
        <f>IF(AB429&gt;0,Ruimtestaat[[#This Row],[Prest. (m2 /jaar) weekend]]/Ruimtestaat[[#This Row],[Norm (m2/uur) weekend]],0)</f>
        <v>0</v>
      </c>
      <c r="AD429" s="88">
        <f>Ruimtestaat[[#This Row],[uren / jaar weekend]]*Tariefsopbouw!$D$40</f>
        <v>0</v>
      </c>
      <c r="AE429" s="89">
        <f>Ruimtestaat[[#This Row],[Prest. (m2 /jaar) weekend]]+Ruimtestaat[[#This Row],[Prest. (m2 /jaar) werkdagen]]</f>
        <v>3944</v>
      </c>
      <c r="AF429" s="89">
        <f>Ruimtestaat[[#This Row],[uren / jaar weekend]]+Ruimtestaat[[#This Row],[uren / jaar werkdagen]]</f>
        <v>0</v>
      </c>
      <c r="AG429" s="90">
        <f>Ruimtestaat[[#This Row],[kosten / jaar weekend]]+Ruimtestaat[[#This Row],[kosten / jaar werkdagen]]</f>
        <v>0</v>
      </c>
    </row>
    <row r="430" spans="1:33" ht="15" customHeight="1">
      <c r="A430" s="53">
        <v>2</v>
      </c>
      <c r="B430" s="53" t="str">
        <f>VLOOKUP(Ruimtestaat[[#This Row],[Code]],Locaties[#All],2,FALSE)</f>
        <v>Open Schoolgemeenschap Bijlmer</v>
      </c>
      <c r="C430" s="53" t="str">
        <f>VLOOKUP(Ruimtestaat[[#This Row],[Code]],Locaties[#All],4,FALSE)</f>
        <v>Gulden Kruis 5</v>
      </c>
      <c r="D430" s="53" t="str">
        <f>VLOOKUP(Ruimtestaat[[#This Row],[Code]],Locaties[#All],5,FALSE)</f>
        <v>1103 BE</v>
      </c>
      <c r="E430" s="53" t="str">
        <f>VLOOKUP(Ruimtestaat[[#This Row],[Code]],Locaties[#All],6,FALSE)</f>
        <v>Amsterdam Zuidoost</v>
      </c>
      <c r="F430" s="78" t="s">
        <v>272</v>
      </c>
      <c r="G430" s="53" t="s">
        <v>348</v>
      </c>
      <c r="H430" s="53" t="s">
        <v>831</v>
      </c>
      <c r="I430" s="78" t="s">
        <v>825</v>
      </c>
      <c r="J430" s="53">
        <v>19</v>
      </c>
      <c r="K430" s="78" t="str">
        <f>VLOOKUP(J430,Ruimtegroepen[],2,FALSE)</f>
        <v>Kleedruimten</v>
      </c>
      <c r="L430" s="53" t="s">
        <v>280</v>
      </c>
      <c r="M430" s="53" t="s">
        <v>566</v>
      </c>
      <c r="N430" s="92">
        <v>23.78</v>
      </c>
      <c r="O430" s="92"/>
      <c r="P430" s="80" t="str">
        <f>LEFT(VLOOKUP(Ruimtestaat[[#This Row],[Ruimte code]],Ruimtegroepen[#All],4,1),2)</f>
        <v xml:space="preserve">V </v>
      </c>
      <c r="Q430" s="93"/>
      <c r="R430" s="81">
        <v>40</v>
      </c>
      <c r="S430" s="81" t="s">
        <v>298</v>
      </c>
      <c r="T430" s="82">
        <f>IF(R430&gt;0,IF(RIGHT(Ruimtestaat[[#This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0" s="82">
        <f>IF(T430&gt;0,VLOOKUP($J430,Ruimtegroepen[],3,FALSE)*VLOOKUP($L430,Vloersoorten[],3,FALSE)*VLOOKUP($S430,Frequenties[],3,FALSE)*VLOOKUP($A430,Locaties[],3,FALSE),0)</f>
        <v>0</v>
      </c>
      <c r="V430" s="83">
        <f>Ruimtestaat[[#This Row],[Uitvoeringen werkdagen]]*Ruimtestaat[[#This Row],[Oppervlak (netto)]]</f>
        <v>4756</v>
      </c>
      <c r="W430" s="84">
        <f>IF(U430&gt;0,Ruimtestaat[[#This Row],[Prest. (m2 /jaar) werkdagen]]/Ruimtestaat[[#This Row],[Norm (m2/uur) werkdagen]],0)</f>
        <v>0</v>
      </c>
      <c r="X430" s="85">
        <f>Ruimtestaat[[#This Row],[uren / jaar werkdagen]]*Tariefsopbouw!$E$35</f>
        <v>0</v>
      </c>
      <c r="Y430" s="82"/>
      <c r="Z430" s="86">
        <f>IF(Ruimtestaat[[#This Row],[Frequentie weekend]]&gt;0,VALUE(LEFT(Y430,1))*R430,0)</f>
        <v>0</v>
      </c>
      <c r="AA430" s="82">
        <f>IF($Z430&gt;0,VLOOKUP($J430,Ruimtegroepen[],3,FALSE)*VLOOKUP($L430,Vloersoorten[],3,FALSE)*VLOOKUP($Y430,Frequenties[],3,FALSE)*VLOOKUP($A426,Locaties[],3,FALSE),0)</f>
        <v>0</v>
      </c>
      <c r="AB430" s="84">
        <f>Ruimtestaat[[#This Row],[Uitvoeringen weekend]]*Ruimtestaat[[#This Row],[Oppervlak (netto)]]</f>
        <v>0</v>
      </c>
      <c r="AC430" s="87">
        <f>IF(AB430&gt;0,Ruimtestaat[[#This Row],[Prest. (m2 /jaar) weekend]]/Ruimtestaat[[#This Row],[Norm (m2/uur) weekend]],0)</f>
        <v>0</v>
      </c>
      <c r="AD430" s="88">
        <f>Ruimtestaat[[#This Row],[uren / jaar weekend]]*Tariefsopbouw!$D$40</f>
        <v>0</v>
      </c>
      <c r="AE430" s="89">
        <f>Ruimtestaat[[#This Row],[Prest. (m2 /jaar) weekend]]+Ruimtestaat[[#This Row],[Prest. (m2 /jaar) werkdagen]]</f>
        <v>4756</v>
      </c>
      <c r="AF430" s="89">
        <f>Ruimtestaat[[#This Row],[uren / jaar weekend]]+Ruimtestaat[[#This Row],[uren / jaar werkdagen]]</f>
        <v>0</v>
      </c>
      <c r="AG430" s="90">
        <f>Ruimtestaat[[#This Row],[kosten / jaar weekend]]+Ruimtestaat[[#This Row],[kosten / jaar werkdagen]]</f>
        <v>0</v>
      </c>
    </row>
    <row r="431" spans="1:33" ht="15" customHeight="1">
      <c r="A431" s="53">
        <v>2</v>
      </c>
      <c r="B431" s="53" t="str">
        <f>VLOOKUP(Ruimtestaat[[#This Row],[Code]],Locaties[#All],2,FALSE)</f>
        <v>Open Schoolgemeenschap Bijlmer</v>
      </c>
      <c r="C431" s="53" t="str">
        <f>VLOOKUP(Ruimtestaat[[#This Row],[Code]],Locaties[#All],4,FALSE)</f>
        <v>Gulden Kruis 5</v>
      </c>
      <c r="D431" s="53" t="str">
        <f>VLOOKUP(Ruimtestaat[[#This Row],[Code]],Locaties[#All],5,FALSE)</f>
        <v>1103 BE</v>
      </c>
      <c r="E431" s="53" t="str">
        <f>VLOOKUP(Ruimtestaat[[#This Row],[Code]],Locaties[#All],6,FALSE)</f>
        <v>Amsterdam Zuidoost</v>
      </c>
      <c r="F431" s="78" t="s">
        <v>272</v>
      </c>
      <c r="G431" s="53" t="s">
        <v>348</v>
      </c>
      <c r="H431" s="53" t="s">
        <v>832</v>
      </c>
      <c r="I431" s="78" t="s">
        <v>621</v>
      </c>
      <c r="J431" s="53">
        <v>5</v>
      </c>
      <c r="K431" s="78" t="str">
        <f>VLOOKUP(J431,Ruimtegroepen[],2,FALSE)</f>
        <v>Sanitair</v>
      </c>
      <c r="L431" s="53" t="s">
        <v>285</v>
      </c>
      <c r="M431" s="53" t="s">
        <v>580</v>
      </c>
      <c r="N431" s="92">
        <v>9.86</v>
      </c>
      <c r="O431" s="92"/>
      <c r="P431" s="80" t="str">
        <f>LEFT(VLOOKUP(Ruimtestaat[[#This Row],[Ruimte code]],Ruimtegroepen[#All],4,1),2)</f>
        <v xml:space="preserve">S </v>
      </c>
      <c r="Q431" s="93"/>
      <c r="R431" s="81">
        <v>40</v>
      </c>
      <c r="S431" s="81" t="s">
        <v>296</v>
      </c>
      <c r="T431" s="82">
        <f>IF(R431&gt;0,IF(RIGHT(Ruimtestaat[[#This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31" s="82">
        <f>IF(T431&gt;0,VLOOKUP($J431,Ruimtegroepen[],3,FALSE)*VLOOKUP($L431,Vloersoorten[],3,FALSE)*VLOOKUP($S431,Frequenties[],3,FALSE)*VLOOKUP($A431,Locaties[],3,FALSE),0)</f>
        <v>0</v>
      </c>
      <c r="V431" s="83">
        <f>Ruimtestaat[[#This Row],[Uitvoeringen werkdagen]]*Ruimtestaat[[#This Row],[Oppervlak (netto)]]</f>
        <v>3944</v>
      </c>
      <c r="W431" s="84">
        <f>IF(U431&gt;0,Ruimtestaat[[#This Row],[Prest. (m2 /jaar) werkdagen]]/Ruimtestaat[[#This Row],[Norm (m2/uur) werkdagen]],0)</f>
        <v>0</v>
      </c>
      <c r="X431" s="85">
        <f>Ruimtestaat[[#This Row],[uren / jaar werkdagen]]*Tariefsopbouw!$E$35</f>
        <v>0</v>
      </c>
      <c r="Y431" s="82"/>
      <c r="Z431" s="86">
        <f>IF(Ruimtestaat[[#This Row],[Frequentie weekend]]&gt;0,VALUE(LEFT(Y431,1))*R431,0)</f>
        <v>0</v>
      </c>
      <c r="AA431" s="82">
        <f>IF($Z431&gt;0,VLOOKUP($J431,Ruimtegroepen[],3,FALSE)*VLOOKUP($L431,Vloersoorten[],3,FALSE)*VLOOKUP($Y431,Frequenties[],3,FALSE)*VLOOKUP($A427,Locaties[],3,FALSE),0)</f>
        <v>0</v>
      </c>
      <c r="AB431" s="84">
        <f>Ruimtestaat[[#This Row],[Uitvoeringen weekend]]*Ruimtestaat[[#This Row],[Oppervlak (netto)]]</f>
        <v>0</v>
      </c>
      <c r="AC431" s="87">
        <f>IF(AB431&gt;0,Ruimtestaat[[#This Row],[Prest. (m2 /jaar) weekend]]/Ruimtestaat[[#This Row],[Norm (m2/uur) weekend]],0)</f>
        <v>0</v>
      </c>
      <c r="AD431" s="88">
        <f>Ruimtestaat[[#This Row],[uren / jaar weekend]]*Tariefsopbouw!$D$40</f>
        <v>0</v>
      </c>
      <c r="AE431" s="89">
        <f>Ruimtestaat[[#This Row],[Prest. (m2 /jaar) weekend]]+Ruimtestaat[[#This Row],[Prest. (m2 /jaar) werkdagen]]</f>
        <v>3944</v>
      </c>
      <c r="AF431" s="89">
        <f>Ruimtestaat[[#This Row],[uren / jaar weekend]]+Ruimtestaat[[#This Row],[uren / jaar werkdagen]]</f>
        <v>0</v>
      </c>
      <c r="AG431" s="90">
        <f>Ruimtestaat[[#This Row],[kosten / jaar weekend]]+Ruimtestaat[[#This Row],[kosten / jaar werkdagen]]</f>
        <v>0</v>
      </c>
    </row>
    <row r="432" spans="1:33" ht="15" customHeight="1">
      <c r="A432" s="53">
        <v>2</v>
      </c>
      <c r="B432" s="53" t="str">
        <f>VLOOKUP(Ruimtestaat[[#This Row],[Code]],Locaties[#All],2,FALSE)</f>
        <v>Open Schoolgemeenschap Bijlmer</v>
      </c>
      <c r="C432" s="53" t="str">
        <f>VLOOKUP(Ruimtestaat[[#This Row],[Code]],Locaties[#All],4,FALSE)</f>
        <v>Gulden Kruis 5</v>
      </c>
      <c r="D432" s="53" t="str">
        <f>VLOOKUP(Ruimtestaat[[#This Row],[Code]],Locaties[#All],5,FALSE)</f>
        <v>1103 BE</v>
      </c>
      <c r="E432" s="53" t="str">
        <f>VLOOKUP(Ruimtestaat[[#This Row],[Code]],Locaties[#All],6,FALSE)</f>
        <v>Amsterdam Zuidoost</v>
      </c>
      <c r="F432" s="78" t="s">
        <v>272</v>
      </c>
      <c r="G432" s="53" t="s">
        <v>348</v>
      </c>
      <c r="H432" s="53" t="s">
        <v>833</v>
      </c>
      <c r="I432" s="78" t="s">
        <v>834</v>
      </c>
      <c r="J432" s="53">
        <v>9</v>
      </c>
      <c r="K432" s="78" t="str">
        <f>VLOOKUP(J432,Ruimtegroepen[],2,FALSE)</f>
        <v>Publieksruimte</v>
      </c>
      <c r="L432" s="53" t="s">
        <v>288</v>
      </c>
      <c r="M432" s="53" t="s">
        <v>634</v>
      </c>
      <c r="N432" s="92">
        <v>303.45999999999998</v>
      </c>
      <c r="O432" s="92"/>
      <c r="P432" s="80" t="str">
        <f>LEFT(VLOOKUP(Ruimtestaat[[#This Row],[Ruimte code]],Ruimtegroepen[#All],4,1),2)</f>
        <v xml:space="preserve">V </v>
      </c>
      <c r="Q432" s="93"/>
      <c r="R432" s="81">
        <v>40</v>
      </c>
      <c r="S432" s="81" t="s">
        <v>298</v>
      </c>
      <c r="T432" s="82">
        <f>IF(R432&gt;0,IF(RIGHT(Ruimtestaat[[#This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2" s="82">
        <f>IF(T432&gt;0,VLOOKUP($J432,Ruimtegroepen[],3,FALSE)*VLOOKUP($L432,Vloersoorten[],3,FALSE)*VLOOKUP($S432,Frequenties[],3,FALSE)*VLOOKUP($A432,Locaties[],3,FALSE),0)</f>
        <v>0</v>
      </c>
      <c r="V432" s="83">
        <f>Ruimtestaat[[#This Row],[Uitvoeringen werkdagen]]*Ruimtestaat[[#This Row],[Oppervlak (netto)]]</f>
        <v>60691.999999999993</v>
      </c>
      <c r="W432" s="84">
        <f>IF(U432&gt;0,Ruimtestaat[[#This Row],[Prest. (m2 /jaar) werkdagen]]/Ruimtestaat[[#This Row],[Norm (m2/uur) werkdagen]],0)</f>
        <v>0</v>
      </c>
      <c r="X432" s="85">
        <f>Ruimtestaat[[#This Row],[uren / jaar werkdagen]]*Tariefsopbouw!$E$35</f>
        <v>0</v>
      </c>
      <c r="Y432" s="82"/>
      <c r="Z432" s="86">
        <f>IF(Ruimtestaat[[#This Row],[Frequentie weekend]]&gt;0,VALUE(LEFT(Y432,1))*R432,0)</f>
        <v>0</v>
      </c>
      <c r="AA432" s="82">
        <f>IF($Z432&gt;0,VLOOKUP($J432,Ruimtegroepen[],3,FALSE)*VLOOKUP($L432,Vloersoorten[],3,FALSE)*VLOOKUP($Y432,Frequenties[],3,FALSE)*VLOOKUP($A428,Locaties[],3,FALSE),0)</f>
        <v>0</v>
      </c>
      <c r="AB432" s="84">
        <f>Ruimtestaat[[#This Row],[Uitvoeringen weekend]]*Ruimtestaat[[#This Row],[Oppervlak (netto)]]</f>
        <v>0</v>
      </c>
      <c r="AC432" s="87">
        <f>IF(AB432&gt;0,Ruimtestaat[[#This Row],[Prest. (m2 /jaar) weekend]]/Ruimtestaat[[#This Row],[Norm (m2/uur) weekend]],0)</f>
        <v>0</v>
      </c>
      <c r="AD432" s="88">
        <f>Ruimtestaat[[#This Row],[uren / jaar weekend]]*Tariefsopbouw!$D$40</f>
        <v>0</v>
      </c>
      <c r="AE432" s="89">
        <f>Ruimtestaat[[#This Row],[Prest. (m2 /jaar) weekend]]+Ruimtestaat[[#This Row],[Prest. (m2 /jaar) werkdagen]]</f>
        <v>60691.999999999993</v>
      </c>
      <c r="AF432" s="89">
        <f>Ruimtestaat[[#This Row],[uren / jaar weekend]]+Ruimtestaat[[#This Row],[uren / jaar werkdagen]]</f>
        <v>0</v>
      </c>
      <c r="AG432" s="90">
        <f>Ruimtestaat[[#This Row],[kosten / jaar weekend]]+Ruimtestaat[[#This Row],[kosten / jaar werkdagen]]</f>
        <v>0</v>
      </c>
    </row>
    <row r="433" spans="1:33" ht="15" customHeight="1">
      <c r="A433" s="53">
        <v>2</v>
      </c>
      <c r="B433" s="53" t="str">
        <f>VLOOKUP(Ruimtestaat[[#This Row],[Code]],Locaties[#All],2,FALSE)</f>
        <v>Open Schoolgemeenschap Bijlmer</v>
      </c>
      <c r="C433" s="53" t="str">
        <f>VLOOKUP(Ruimtestaat[[#This Row],[Code]],Locaties[#All],4,FALSE)</f>
        <v>Gulden Kruis 5</v>
      </c>
      <c r="D433" s="53" t="str">
        <f>VLOOKUP(Ruimtestaat[[#This Row],[Code]],Locaties[#All],5,FALSE)</f>
        <v>1103 BE</v>
      </c>
      <c r="E433" s="53" t="str">
        <f>VLOOKUP(Ruimtestaat[[#This Row],[Code]],Locaties[#All],6,FALSE)</f>
        <v>Amsterdam Zuidoost</v>
      </c>
      <c r="F433" s="78" t="s">
        <v>272</v>
      </c>
      <c r="G433" s="53" t="s">
        <v>348</v>
      </c>
      <c r="H433" s="53" t="s">
        <v>835</v>
      </c>
      <c r="I433" s="78" t="s">
        <v>836</v>
      </c>
      <c r="J433" s="53">
        <v>9</v>
      </c>
      <c r="K433" s="78" t="str">
        <f>VLOOKUP(J433,Ruimtegroepen[],2,FALSE)</f>
        <v>Publieksruimte</v>
      </c>
      <c r="L433" s="53" t="s">
        <v>288</v>
      </c>
      <c r="M433" s="53" t="s">
        <v>634</v>
      </c>
      <c r="N433" s="92">
        <v>306.45999999999998</v>
      </c>
      <c r="O433" s="92"/>
      <c r="P433" s="80" t="str">
        <f>LEFT(VLOOKUP(Ruimtestaat[[#This Row],[Ruimte code]],Ruimtegroepen[#All],4,1),2)</f>
        <v xml:space="preserve">V </v>
      </c>
      <c r="Q433" s="93"/>
      <c r="R433" s="81">
        <v>40</v>
      </c>
      <c r="S433" s="81" t="s">
        <v>298</v>
      </c>
      <c r="T433" s="82">
        <f>IF(R433&gt;0,IF(RIGHT(Ruimtestaat[[#This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3" s="82">
        <f>IF(T433&gt;0,VLOOKUP($J433,Ruimtegroepen[],3,FALSE)*VLOOKUP($L433,Vloersoorten[],3,FALSE)*VLOOKUP($S433,Frequenties[],3,FALSE)*VLOOKUP($A433,Locaties[],3,FALSE),0)</f>
        <v>0</v>
      </c>
      <c r="V433" s="83">
        <f>Ruimtestaat[[#This Row],[Uitvoeringen werkdagen]]*Ruimtestaat[[#This Row],[Oppervlak (netto)]]</f>
        <v>61291.999999999993</v>
      </c>
      <c r="W433" s="84">
        <f>IF(U433&gt;0,Ruimtestaat[[#This Row],[Prest. (m2 /jaar) werkdagen]]/Ruimtestaat[[#This Row],[Norm (m2/uur) werkdagen]],0)</f>
        <v>0</v>
      </c>
      <c r="X433" s="85">
        <f>Ruimtestaat[[#This Row],[uren / jaar werkdagen]]*Tariefsopbouw!$E$35</f>
        <v>0</v>
      </c>
      <c r="Y433" s="82"/>
      <c r="Z433" s="86">
        <f>IF(Ruimtestaat[[#This Row],[Frequentie weekend]]&gt;0,VALUE(LEFT(Y433,1))*R433,0)</f>
        <v>0</v>
      </c>
      <c r="AA433" s="82">
        <f>IF($Z433&gt;0,VLOOKUP($J433,Ruimtegroepen[],3,FALSE)*VLOOKUP($L433,Vloersoorten[],3,FALSE)*VLOOKUP($Y433,Frequenties[],3,FALSE)*VLOOKUP($A429,Locaties[],3,FALSE),0)</f>
        <v>0</v>
      </c>
      <c r="AB433" s="84">
        <f>Ruimtestaat[[#This Row],[Uitvoeringen weekend]]*Ruimtestaat[[#This Row],[Oppervlak (netto)]]</f>
        <v>0</v>
      </c>
      <c r="AC433" s="87">
        <f>IF(AB433&gt;0,Ruimtestaat[[#This Row],[Prest. (m2 /jaar) weekend]]/Ruimtestaat[[#This Row],[Norm (m2/uur) weekend]],0)</f>
        <v>0</v>
      </c>
      <c r="AD433" s="88">
        <f>Ruimtestaat[[#This Row],[uren / jaar weekend]]*Tariefsopbouw!$D$40</f>
        <v>0</v>
      </c>
      <c r="AE433" s="89">
        <f>Ruimtestaat[[#This Row],[Prest. (m2 /jaar) weekend]]+Ruimtestaat[[#This Row],[Prest. (m2 /jaar) werkdagen]]</f>
        <v>61291.999999999993</v>
      </c>
      <c r="AF433" s="89">
        <f>Ruimtestaat[[#This Row],[uren / jaar weekend]]+Ruimtestaat[[#This Row],[uren / jaar werkdagen]]</f>
        <v>0</v>
      </c>
      <c r="AG433" s="90">
        <f>Ruimtestaat[[#This Row],[kosten / jaar weekend]]+Ruimtestaat[[#This Row],[kosten / jaar werkdagen]]</f>
        <v>0</v>
      </c>
    </row>
    <row r="434" spans="1:33" ht="15" customHeight="1">
      <c r="A434" s="53">
        <v>2</v>
      </c>
      <c r="B434" s="53" t="str">
        <f>VLOOKUP(Ruimtestaat[[#This Row],[Code]],Locaties[#All],2,FALSE)</f>
        <v>Open Schoolgemeenschap Bijlmer</v>
      </c>
      <c r="C434" s="53" t="str">
        <f>VLOOKUP(Ruimtestaat[[#This Row],[Code]],Locaties[#All],4,FALSE)</f>
        <v>Gulden Kruis 5</v>
      </c>
      <c r="D434" s="53" t="str">
        <f>VLOOKUP(Ruimtestaat[[#This Row],[Code]],Locaties[#All],5,FALSE)</f>
        <v>1103 BE</v>
      </c>
      <c r="E434" s="53" t="str">
        <f>VLOOKUP(Ruimtestaat[[#This Row],[Code]],Locaties[#All],6,FALSE)</f>
        <v>Amsterdam Zuidoost</v>
      </c>
      <c r="F434" s="78" t="s">
        <v>272</v>
      </c>
      <c r="G434" s="53" t="s">
        <v>348</v>
      </c>
      <c r="H434" s="53" t="s">
        <v>837</v>
      </c>
      <c r="I434" s="78" t="s">
        <v>270</v>
      </c>
      <c r="J434" s="53">
        <v>17</v>
      </c>
      <c r="K434" s="78" t="str">
        <f>VLOOKUP(J434,Ruimtegroepen[],2,FALSE)</f>
        <v>Toestelberging</v>
      </c>
      <c r="L434" s="53" t="s">
        <v>288</v>
      </c>
      <c r="M434" s="53" t="s">
        <v>634</v>
      </c>
      <c r="N434" s="92">
        <v>68.45</v>
      </c>
      <c r="O434" s="92"/>
      <c r="P434" s="80" t="str">
        <f>LEFT(VLOOKUP(Ruimtestaat[[#This Row],[Ruimte code]],Ruimtegroepen[#All],4,1),2)</f>
        <v>Sp</v>
      </c>
      <c r="Q434" s="93"/>
      <c r="R434" s="81">
        <v>40</v>
      </c>
      <c r="S434" s="81" t="s">
        <v>298</v>
      </c>
      <c r="T434" s="82">
        <f>IF(R434&gt;0,IF(RIGHT(Ruimtestaat[[#This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4" s="82">
        <f>IF(T434&gt;0,VLOOKUP($J434,Ruimtegroepen[],3,FALSE)*VLOOKUP($L434,Vloersoorten[],3,FALSE)*VLOOKUP($S434,Frequenties[],3,FALSE)*VLOOKUP($A434,Locaties[],3,FALSE),0)</f>
        <v>0</v>
      </c>
      <c r="V434" s="83">
        <f>Ruimtestaat[[#This Row],[Uitvoeringen werkdagen]]*Ruimtestaat[[#This Row],[Oppervlak (netto)]]</f>
        <v>13690</v>
      </c>
      <c r="W434" s="84">
        <f>IF(U434&gt;0,Ruimtestaat[[#This Row],[Prest. (m2 /jaar) werkdagen]]/Ruimtestaat[[#This Row],[Norm (m2/uur) werkdagen]],0)</f>
        <v>0</v>
      </c>
      <c r="X434" s="85">
        <f>Ruimtestaat[[#This Row],[uren / jaar werkdagen]]*Tariefsopbouw!$E$35</f>
        <v>0</v>
      </c>
      <c r="Y434" s="82"/>
      <c r="Z434" s="86">
        <f>IF(Ruimtestaat[[#This Row],[Frequentie weekend]]&gt;0,VALUE(LEFT(Y434,1))*R434,0)</f>
        <v>0</v>
      </c>
      <c r="AA434" s="82">
        <f>IF($Z434&gt;0,VLOOKUP($J434,Ruimtegroepen[],3,FALSE)*VLOOKUP($L434,Vloersoorten[],3,FALSE)*VLOOKUP($Y434,Frequenties[],3,FALSE)*VLOOKUP($A430,Locaties[],3,FALSE),0)</f>
        <v>0</v>
      </c>
      <c r="AB434" s="84">
        <f>Ruimtestaat[[#This Row],[Uitvoeringen weekend]]*Ruimtestaat[[#This Row],[Oppervlak (netto)]]</f>
        <v>0</v>
      </c>
      <c r="AC434" s="87">
        <f>IF(AB434&gt;0,Ruimtestaat[[#This Row],[Prest. (m2 /jaar) weekend]]/Ruimtestaat[[#This Row],[Norm (m2/uur) weekend]],0)</f>
        <v>0</v>
      </c>
      <c r="AD434" s="88">
        <f>Ruimtestaat[[#This Row],[uren / jaar weekend]]*Tariefsopbouw!$D$40</f>
        <v>0</v>
      </c>
      <c r="AE434" s="89">
        <f>Ruimtestaat[[#This Row],[Prest. (m2 /jaar) weekend]]+Ruimtestaat[[#This Row],[Prest. (m2 /jaar) werkdagen]]</f>
        <v>13690</v>
      </c>
      <c r="AF434" s="89">
        <f>Ruimtestaat[[#This Row],[uren / jaar weekend]]+Ruimtestaat[[#This Row],[uren / jaar werkdagen]]</f>
        <v>0</v>
      </c>
      <c r="AG434" s="90">
        <f>Ruimtestaat[[#This Row],[kosten / jaar weekend]]+Ruimtestaat[[#This Row],[kosten / jaar werkdagen]]</f>
        <v>0</v>
      </c>
    </row>
    <row r="435" spans="1:33" ht="15" customHeight="1">
      <c r="A435" s="53">
        <v>2</v>
      </c>
      <c r="B435" s="53" t="str">
        <f>VLOOKUP(Ruimtestaat[[#This Row],[Code]],Locaties[#All],2,FALSE)</f>
        <v>Open Schoolgemeenschap Bijlmer</v>
      </c>
      <c r="C435" s="53" t="str">
        <f>VLOOKUP(Ruimtestaat[[#This Row],[Code]],Locaties[#All],4,FALSE)</f>
        <v>Gulden Kruis 5</v>
      </c>
      <c r="D435" s="53" t="str">
        <f>VLOOKUP(Ruimtestaat[[#This Row],[Code]],Locaties[#All],5,FALSE)</f>
        <v>1103 BE</v>
      </c>
      <c r="E435" s="53" t="str">
        <f>VLOOKUP(Ruimtestaat[[#This Row],[Code]],Locaties[#All],6,FALSE)</f>
        <v>Amsterdam Zuidoost</v>
      </c>
      <c r="F435" s="78" t="s">
        <v>272</v>
      </c>
      <c r="G435" s="53" t="s">
        <v>348</v>
      </c>
      <c r="H435" s="53" t="s">
        <v>838</v>
      </c>
      <c r="I435" s="78" t="s">
        <v>456</v>
      </c>
      <c r="J435" s="53">
        <v>6</v>
      </c>
      <c r="K435" s="78" t="str">
        <f>VLOOKUP(J435,Ruimtegroepen[],2,FALSE)</f>
        <v>Gangen/hallen</v>
      </c>
      <c r="L435" s="53" t="s">
        <v>280</v>
      </c>
      <c r="M435" s="53" t="s">
        <v>566</v>
      </c>
      <c r="N435" s="92">
        <v>100.21</v>
      </c>
      <c r="O435" s="92"/>
      <c r="P435" s="80" t="str">
        <f>LEFT(VLOOKUP(Ruimtestaat[[#This Row],[Ruimte code]],Ruimtegroepen[#All],4,1),2)</f>
        <v xml:space="preserve">V </v>
      </c>
      <c r="Q435" s="93"/>
      <c r="R435" s="81">
        <v>40</v>
      </c>
      <c r="S435" s="81" t="s">
        <v>298</v>
      </c>
      <c r="T435" s="82">
        <f>IF(R435&gt;0,IF(RIGHT(Ruimtestaat[[#This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5" s="82">
        <f>IF(T435&gt;0,VLOOKUP($J435,Ruimtegroepen[],3,FALSE)*VLOOKUP($L435,Vloersoorten[],3,FALSE)*VLOOKUP($S435,Frequenties[],3,FALSE)*VLOOKUP($A435,Locaties[],3,FALSE),0)</f>
        <v>0</v>
      </c>
      <c r="V435" s="83">
        <f>Ruimtestaat[[#This Row],[Uitvoeringen werkdagen]]*Ruimtestaat[[#This Row],[Oppervlak (netto)]]</f>
        <v>20042</v>
      </c>
      <c r="W435" s="84">
        <f>IF(U435&gt;0,Ruimtestaat[[#This Row],[Prest. (m2 /jaar) werkdagen]]/Ruimtestaat[[#This Row],[Norm (m2/uur) werkdagen]],0)</f>
        <v>0</v>
      </c>
      <c r="X435" s="85">
        <f>Ruimtestaat[[#This Row],[uren / jaar werkdagen]]*Tariefsopbouw!$E$35</f>
        <v>0</v>
      </c>
      <c r="Y435" s="82"/>
      <c r="Z435" s="86">
        <f>IF(Ruimtestaat[[#This Row],[Frequentie weekend]]&gt;0,VALUE(LEFT(Y435,1))*R435,0)</f>
        <v>0</v>
      </c>
      <c r="AA435" s="82">
        <f>IF($Z435&gt;0,VLOOKUP($J435,Ruimtegroepen[],3,FALSE)*VLOOKUP($L435,Vloersoorten[],3,FALSE)*VLOOKUP($Y435,Frequenties[],3,FALSE)*VLOOKUP($A431,Locaties[],3,FALSE),0)</f>
        <v>0</v>
      </c>
      <c r="AB435" s="84">
        <f>Ruimtestaat[[#This Row],[Uitvoeringen weekend]]*Ruimtestaat[[#This Row],[Oppervlak (netto)]]</f>
        <v>0</v>
      </c>
      <c r="AC435" s="87">
        <f>IF(AB435&gt;0,Ruimtestaat[[#This Row],[Prest. (m2 /jaar) weekend]]/Ruimtestaat[[#This Row],[Norm (m2/uur) weekend]],0)</f>
        <v>0</v>
      </c>
      <c r="AD435" s="88">
        <f>Ruimtestaat[[#This Row],[uren / jaar weekend]]*Tariefsopbouw!$D$40</f>
        <v>0</v>
      </c>
      <c r="AE435" s="89">
        <f>Ruimtestaat[[#This Row],[Prest. (m2 /jaar) weekend]]+Ruimtestaat[[#This Row],[Prest. (m2 /jaar) werkdagen]]</f>
        <v>20042</v>
      </c>
      <c r="AF435" s="89">
        <f>Ruimtestaat[[#This Row],[uren / jaar weekend]]+Ruimtestaat[[#This Row],[uren / jaar werkdagen]]</f>
        <v>0</v>
      </c>
      <c r="AG435" s="90">
        <f>Ruimtestaat[[#This Row],[kosten / jaar weekend]]+Ruimtestaat[[#This Row],[kosten / jaar werkdagen]]</f>
        <v>0</v>
      </c>
    </row>
    <row r="436" spans="1:33" ht="15" customHeight="1">
      <c r="A436" s="53">
        <v>2</v>
      </c>
      <c r="B436" s="53" t="str">
        <f>VLOOKUP(Ruimtestaat[[#This Row],[Code]],Locaties[#All],2,FALSE)</f>
        <v>Open Schoolgemeenschap Bijlmer</v>
      </c>
      <c r="C436" s="53" t="str">
        <f>VLOOKUP(Ruimtestaat[[#This Row],[Code]],Locaties[#All],4,FALSE)</f>
        <v>Gulden Kruis 5</v>
      </c>
      <c r="D436" s="53" t="str">
        <f>VLOOKUP(Ruimtestaat[[#This Row],[Code]],Locaties[#All],5,FALSE)</f>
        <v>1103 BE</v>
      </c>
      <c r="E436" s="53" t="str">
        <f>VLOOKUP(Ruimtestaat[[#This Row],[Code]],Locaties[#All],6,FALSE)</f>
        <v>Amsterdam Zuidoost</v>
      </c>
      <c r="F436" s="78" t="s">
        <v>272</v>
      </c>
      <c r="G436" s="53" t="s">
        <v>348</v>
      </c>
      <c r="H436" s="53" t="s">
        <v>839</v>
      </c>
      <c r="I436" s="78" t="s">
        <v>840</v>
      </c>
      <c r="J436" s="53">
        <v>2</v>
      </c>
      <c r="K436" s="78" t="str">
        <f>VLOOKUP(J436,Ruimtegroepen[],2,FALSE)</f>
        <v>Kantoren</v>
      </c>
      <c r="L436" s="53" t="s">
        <v>280</v>
      </c>
      <c r="M436" s="53" t="s">
        <v>566</v>
      </c>
      <c r="N436" s="92">
        <v>9.17</v>
      </c>
      <c r="O436" s="92"/>
      <c r="P436" s="80" t="str">
        <f>LEFT(VLOOKUP(Ruimtestaat[[#This Row],[Ruimte code]],Ruimtegroepen[#All],4,1),2)</f>
        <v xml:space="preserve">B </v>
      </c>
      <c r="Q436" s="93"/>
      <c r="R436" s="81">
        <v>40</v>
      </c>
      <c r="S436" s="81" t="s">
        <v>298</v>
      </c>
      <c r="T436" s="82">
        <f>IF(R436&gt;0,IF(RIGHT(Ruimtestaat[[#This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6" s="82">
        <f>IF(T436&gt;0,VLOOKUP($J436,Ruimtegroepen[],3,FALSE)*VLOOKUP($L436,Vloersoorten[],3,FALSE)*VLOOKUP($S436,Frequenties[],3,FALSE)*VLOOKUP($A436,Locaties[],3,FALSE),0)</f>
        <v>0</v>
      </c>
      <c r="V436" s="83">
        <f>Ruimtestaat[[#This Row],[Uitvoeringen werkdagen]]*Ruimtestaat[[#This Row],[Oppervlak (netto)]]</f>
        <v>1834</v>
      </c>
      <c r="W436" s="84">
        <f>IF(U436&gt;0,Ruimtestaat[[#This Row],[Prest. (m2 /jaar) werkdagen]]/Ruimtestaat[[#This Row],[Norm (m2/uur) werkdagen]],0)</f>
        <v>0</v>
      </c>
      <c r="X436" s="85">
        <f>Ruimtestaat[[#This Row],[uren / jaar werkdagen]]*Tariefsopbouw!$E$35</f>
        <v>0</v>
      </c>
      <c r="Y436" s="82"/>
      <c r="Z436" s="86">
        <f>IF(Ruimtestaat[[#This Row],[Frequentie weekend]]&gt;0,VALUE(LEFT(Y436,1))*R436,0)</f>
        <v>0</v>
      </c>
      <c r="AA436" s="82">
        <f>IF($Z436&gt;0,VLOOKUP($J436,Ruimtegroepen[],3,FALSE)*VLOOKUP($L436,Vloersoorten[],3,FALSE)*VLOOKUP($Y436,Frequenties[],3,FALSE)*VLOOKUP($A432,Locaties[],3,FALSE),0)</f>
        <v>0</v>
      </c>
      <c r="AB436" s="84">
        <f>Ruimtestaat[[#This Row],[Uitvoeringen weekend]]*Ruimtestaat[[#This Row],[Oppervlak (netto)]]</f>
        <v>0</v>
      </c>
      <c r="AC436" s="87">
        <f>IF(AB436&gt;0,Ruimtestaat[[#This Row],[Prest. (m2 /jaar) weekend]]/Ruimtestaat[[#This Row],[Norm (m2/uur) weekend]],0)</f>
        <v>0</v>
      </c>
      <c r="AD436" s="88">
        <f>Ruimtestaat[[#This Row],[uren / jaar weekend]]*Tariefsopbouw!$D$40</f>
        <v>0</v>
      </c>
      <c r="AE436" s="89">
        <f>Ruimtestaat[[#This Row],[Prest. (m2 /jaar) weekend]]+Ruimtestaat[[#This Row],[Prest. (m2 /jaar) werkdagen]]</f>
        <v>1834</v>
      </c>
      <c r="AF436" s="89">
        <f>Ruimtestaat[[#This Row],[uren / jaar weekend]]+Ruimtestaat[[#This Row],[uren / jaar werkdagen]]</f>
        <v>0</v>
      </c>
      <c r="AG436" s="90">
        <f>Ruimtestaat[[#This Row],[kosten / jaar weekend]]+Ruimtestaat[[#This Row],[kosten / jaar werkdagen]]</f>
        <v>0</v>
      </c>
    </row>
    <row r="437" spans="1:33" ht="15" customHeight="1">
      <c r="A437" s="53">
        <v>2</v>
      </c>
      <c r="B437" s="53" t="str">
        <f>VLOOKUP(Ruimtestaat[[#This Row],[Code]],Locaties[#All],2,FALSE)</f>
        <v>Open Schoolgemeenschap Bijlmer</v>
      </c>
      <c r="C437" s="53" t="str">
        <f>VLOOKUP(Ruimtestaat[[#This Row],[Code]],Locaties[#All],4,FALSE)</f>
        <v>Gulden Kruis 5</v>
      </c>
      <c r="D437" s="53" t="str">
        <f>VLOOKUP(Ruimtestaat[[#This Row],[Code]],Locaties[#All],5,FALSE)</f>
        <v>1103 BE</v>
      </c>
      <c r="E437" s="53" t="str">
        <f>VLOOKUP(Ruimtestaat[[#This Row],[Code]],Locaties[#All],6,FALSE)</f>
        <v>Amsterdam Zuidoost</v>
      </c>
      <c r="F437" s="78" t="s">
        <v>272</v>
      </c>
      <c r="G437" s="53" t="s">
        <v>348</v>
      </c>
      <c r="H437" s="53" t="s">
        <v>841</v>
      </c>
      <c r="I437" s="78" t="s">
        <v>378</v>
      </c>
      <c r="J437" s="53">
        <v>10</v>
      </c>
      <c r="K437" s="78" t="str">
        <f>VLOOKUP(J437,Ruimtegroepen[],2,FALSE)</f>
        <v>Trappenhuizen/lift</v>
      </c>
      <c r="L437" s="53" t="s">
        <v>285</v>
      </c>
      <c r="M437" s="53" t="s">
        <v>842</v>
      </c>
      <c r="N437" s="92">
        <v>29.17</v>
      </c>
      <c r="O437" s="92"/>
      <c r="P437" s="80" t="str">
        <f>LEFT(VLOOKUP(Ruimtestaat[[#This Row],[Ruimte code]],Ruimtegroepen[#All],4,1),2)</f>
        <v xml:space="preserve">V </v>
      </c>
      <c r="Q437" s="93"/>
      <c r="R437" s="81">
        <v>40</v>
      </c>
      <c r="S437" s="81" t="s">
        <v>298</v>
      </c>
      <c r="T437" s="82">
        <f>IF(R437&gt;0,IF(RIGHT(Ruimtestaat[[#This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7" s="82">
        <f>IF(T437&gt;0,VLOOKUP($J437,Ruimtegroepen[],3,FALSE)*VLOOKUP($L437,Vloersoorten[],3,FALSE)*VLOOKUP($S437,Frequenties[],3,FALSE)*VLOOKUP($A437,Locaties[],3,FALSE),0)</f>
        <v>0</v>
      </c>
      <c r="V437" s="83">
        <f>Ruimtestaat[[#This Row],[Uitvoeringen werkdagen]]*Ruimtestaat[[#This Row],[Oppervlak (netto)]]</f>
        <v>5834</v>
      </c>
      <c r="W437" s="84">
        <f>IF(U437&gt;0,Ruimtestaat[[#This Row],[Prest. (m2 /jaar) werkdagen]]/Ruimtestaat[[#This Row],[Norm (m2/uur) werkdagen]],0)</f>
        <v>0</v>
      </c>
      <c r="X437" s="85">
        <f>Ruimtestaat[[#This Row],[uren / jaar werkdagen]]*Tariefsopbouw!$E$35</f>
        <v>0</v>
      </c>
      <c r="Y437" s="82"/>
      <c r="Z437" s="86">
        <f>IF(Ruimtestaat[[#This Row],[Frequentie weekend]]&gt;0,VALUE(LEFT(Y437,1))*R437,0)</f>
        <v>0</v>
      </c>
      <c r="AA437" s="82">
        <f>IF($Z437&gt;0,VLOOKUP($J437,Ruimtegroepen[],3,FALSE)*VLOOKUP($L437,Vloersoorten[],3,FALSE)*VLOOKUP($Y437,Frequenties[],3,FALSE)*VLOOKUP($A433,Locaties[],3,FALSE),0)</f>
        <v>0</v>
      </c>
      <c r="AB437" s="84">
        <f>Ruimtestaat[[#This Row],[Uitvoeringen weekend]]*Ruimtestaat[[#This Row],[Oppervlak (netto)]]</f>
        <v>0</v>
      </c>
      <c r="AC437" s="87">
        <f>IF(AB437&gt;0,Ruimtestaat[[#This Row],[Prest. (m2 /jaar) weekend]]/Ruimtestaat[[#This Row],[Norm (m2/uur) weekend]],0)</f>
        <v>0</v>
      </c>
      <c r="AD437" s="88">
        <f>Ruimtestaat[[#This Row],[uren / jaar weekend]]*Tariefsopbouw!$D$40</f>
        <v>0</v>
      </c>
      <c r="AE437" s="89">
        <f>Ruimtestaat[[#This Row],[Prest. (m2 /jaar) weekend]]+Ruimtestaat[[#This Row],[Prest. (m2 /jaar) werkdagen]]</f>
        <v>5834</v>
      </c>
      <c r="AF437" s="89">
        <f>Ruimtestaat[[#This Row],[uren / jaar weekend]]+Ruimtestaat[[#This Row],[uren / jaar werkdagen]]</f>
        <v>0</v>
      </c>
      <c r="AG437" s="90">
        <f>Ruimtestaat[[#This Row],[kosten / jaar weekend]]+Ruimtestaat[[#This Row],[kosten / jaar werkdagen]]</f>
        <v>0</v>
      </c>
    </row>
    <row r="438" spans="1:33" ht="15" customHeight="1">
      <c r="A438" s="53">
        <v>2</v>
      </c>
      <c r="B438" s="53" t="str">
        <f>VLOOKUP(Ruimtestaat[[#This Row],[Code]],Locaties[#All],2,FALSE)</f>
        <v>Open Schoolgemeenschap Bijlmer</v>
      </c>
      <c r="C438" s="53" t="str">
        <f>VLOOKUP(Ruimtestaat[[#This Row],[Code]],Locaties[#All],4,FALSE)</f>
        <v>Gulden Kruis 5</v>
      </c>
      <c r="D438" s="53" t="str">
        <f>VLOOKUP(Ruimtestaat[[#This Row],[Code]],Locaties[#All],5,FALSE)</f>
        <v>1103 BE</v>
      </c>
      <c r="E438" s="53" t="str">
        <f>VLOOKUP(Ruimtestaat[[#This Row],[Code]],Locaties[#All],6,FALSE)</f>
        <v>Amsterdam Zuidoost</v>
      </c>
      <c r="F438" s="78" t="s">
        <v>272</v>
      </c>
      <c r="G438" s="53" t="s">
        <v>450</v>
      </c>
      <c r="H438" s="53" t="s">
        <v>843</v>
      </c>
      <c r="I438" s="78" t="s">
        <v>456</v>
      </c>
      <c r="J438" s="53">
        <v>6</v>
      </c>
      <c r="K438" s="78" t="str">
        <f>VLOOKUP(J438,Ruimtegroepen[],2,FALSE)</f>
        <v>Gangen/hallen</v>
      </c>
      <c r="L438" s="53" t="s">
        <v>280</v>
      </c>
      <c r="M438" s="53" t="s">
        <v>566</v>
      </c>
      <c r="N438" s="92">
        <v>41.31</v>
      </c>
      <c r="O438" s="92"/>
      <c r="P438" s="80" t="str">
        <f>LEFT(VLOOKUP(Ruimtestaat[[#This Row],[Ruimte code]],Ruimtegroepen[#All],4,1),2)</f>
        <v xml:space="preserve">V </v>
      </c>
      <c r="Q438" s="93"/>
      <c r="R438" s="81">
        <v>40</v>
      </c>
      <c r="S438" s="81" t="s">
        <v>298</v>
      </c>
      <c r="T438" s="82">
        <f>IF(R438&gt;0,IF(RIGHT(Ruimtestaat[[#This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8" s="82">
        <f>IF(T438&gt;0,VLOOKUP($J438,Ruimtegroepen[],3,FALSE)*VLOOKUP($L438,Vloersoorten[],3,FALSE)*VLOOKUP($S438,Frequenties[],3,FALSE)*VLOOKUP($A438,Locaties[],3,FALSE),0)</f>
        <v>0</v>
      </c>
      <c r="V438" s="83">
        <f>Ruimtestaat[[#This Row],[Uitvoeringen werkdagen]]*Ruimtestaat[[#This Row],[Oppervlak (netto)]]</f>
        <v>8262</v>
      </c>
      <c r="W438" s="84">
        <f>IF(U438&gt;0,Ruimtestaat[[#This Row],[Prest. (m2 /jaar) werkdagen]]/Ruimtestaat[[#This Row],[Norm (m2/uur) werkdagen]],0)</f>
        <v>0</v>
      </c>
      <c r="X438" s="85">
        <f>Ruimtestaat[[#This Row],[uren / jaar werkdagen]]*Tariefsopbouw!$E$35</f>
        <v>0</v>
      </c>
      <c r="Y438" s="82"/>
      <c r="Z438" s="86">
        <f>IF(Ruimtestaat[[#This Row],[Frequentie weekend]]&gt;0,VALUE(LEFT(Y438,1))*R438,0)</f>
        <v>0</v>
      </c>
      <c r="AA438" s="82">
        <f>IF($Z438&gt;0,VLOOKUP($J438,Ruimtegroepen[],3,FALSE)*VLOOKUP($L438,Vloersoorten[],3,FALSE)*VLOOKUP($Y438,Frequenties[],3,FALSE)*VLOOKUP($A434,Locaties[],3,FALSE),0)</f>
        <v>0</v>
      </c>
      <c r="AB438" s="84">
        <f>Ruimtestaat[[#This Row],[Uitvoeringen weekend]]*Ruimtestaat[[#This Row],[Oppervlak (netto)]]</f>
        <v>0</v>
      </c>
      <c r="AC438" s="87">
        <f>IF(AB438&gt;0,Ruimtestaat[[#This Row],[Prest. (m2 /jaar) weekend]]/Ruimtestaat[[#This Row],[Norm (m2/uur) weekend]],0)</f>
        <v>0</v>
      </c>
      <c r="AD438" s="88">
        <f>Ruimtestaat[[#This Row],[uren / jaar weekend]]*Tariefsopbouw!$D$40</f>
        <v>0</v>
      </c>
      <c r="AE438" s="89">
        <f>Ruimtestaat[[#This Row],[Prest. (m2 /jaar) weekend]]+Ruimtestaat[[#This Row],[Prest. (m2 /jaar) werkdagen]]</f>
        <v>8262</v>
      </c>
      <c r="AF438" s="89">
        <f>Ruimtestaat[[#This Row],[uren / jaar weekend]]+Ruimtestaat[[#This Row],[uren / jaar werkdagen]]</f>
        <v>0</v>
      </c>
      <c r="AG438" s="90">
        <f>Ruimtestaat[[#This Row],[kosten / jaar weekend]]+Ruimtestaat[[#This Row],[kosten / jaar werkdagen]]</f>
        <v>0</v>
      </c>
    </row>
    <row r="439" spans="1:33" ht="15" customHeight="1">
      <c r="A439" s="53">
        <v>2</v>
      </c>
      <c r="B439" s="53" t="str">
        <f>VLOOKUP(Ruimtestaat[[#This Row],[Code]],Locaties[#All],2,FALSE)</f>
        <v>Open Schoolgemeenschap Bijlmer</v>
      </c>
      <c r="C439" s="53" t="str">
        <f>VLOOKUP(Ruimtestaat[[#This Row],[Code]],Locaties[#All],4,FALSE)</f>
        <v>Gulden Kruis 5</v>
      </c>
      <c r="D439" s="53" t="str">
        <f>VLOOKUP(Ruimtestaat[[#This Row],[Code]],Locaties[#All],5,FALSE)</f>
        <v>1103 BE</v>
      </c>
      <c r="E439" s="53" t="str">
        <f>VLOOKUP(Ruimtestaat[[#This Row],[Code]],Locaties[#All],6,FALSE)</f>
        <v>Amsterdam Zuidoost</v>
      </c>
      <c r="F439" s="78" t="s">
        <v>272</v>
      </c>
      <c r="G439" s="53" t="s">
        <v>450</v>
      </c>
      <c r="H439" s="53" t="s">
        <v>844</v>
      </c>
      <c r="I439" s="78" t="s">
        <v>825</v>
      </c>
      <c r="J439" s="53">
        <v>19</v>
      </c>
      <c r="K439" s="78" t="str">
        <f>VLOOKUP(J439,Ruimtegroepen[],2,FALSE)</f>
        <v>Kleedruimten</v>
      </c>
      <c r="L439" s="53" t="s">
        <v>280</v>
      </c>
      <c r="M439" s="53" t="s">
        <v>566</v>
      </c>
      <c r="N439" s="92">
        <v>20.8</v>
      </c>
      <c r="O439" s="92"/>
      <c r="P439" s="80" t="str">
        <f>LEFT(VLOOKUP(Ruimtestaat[[#This Row],[Ruimte code]],Ruimtegroepen[#All],4,1),2)</f>
        <v xml:space="preserve">V </v>
      </c>
      <c r="Q439" s="93"/>
      <c r="R439" s="81">
        <v>40</v>
      </c>
      <c r="S439" s="81" t="s">
        <v>298</v>
      </c>
      <c r="T439" s="82">
        <f>IF(R439&gt;0,IF(RIGHT(Ruimtestaat[[#This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39" s="82">
        <f>IF(T439&gt;0,VLOOKUP($J439,Ruimtegroepen[],3,FALSE)*VLOOKUP($L439,Vloersoorten[],3,FALSE)*VLOOKUP($S439,Frequenties[],3,FALSE)*VLOOKUP($A439,Locaties[],3,FALSE),0)</f>
        <v>0</v>
      </c>
      <c r="V439" s="83">
        <f>Ruimtestaat[[#This Row],[Uitvoeringen werkdagen]]*Ruimtestaat[[#This Row],[Oppervlak (netto)]]</f>
        <v>4160</v>
      </c>
      <c r="W439" s="84">
        <f>IF(U439&gt;0,Ruimtestaat[[#This Row],[Prest. (m2 /jaar) werkdagen]]/Ruimtestaat[[#This Row],[Norm (m2/uur) werkdagen]],0)</f>
        <v>0</v>
      </c>
      <c r="X439" s="85">
        <f>Ruimtestaat[[#This Row],[uren / jaar werkdagen]]*Tariefsopbouw!$E$35</f>
        <v>0</v>
      </c>
      <c r="Y439" s="82"/>
      <c r="Z439" s="86">
        <f>IF(Ruimtestaat[[#This Row],[Frequentie weekend]]&gt;0,VALUE(LEFT(Y439,1))*R439,0)</f>
        <v>0</v>
      </c>
      <c r="AA439" s="82">
        <f>IF($Z439&gt;0,VLOOKUP($J439,Ruimtegroepen[],3,FALSE)*VLOOKUP($L439,Vloersoorten[],3,FALSE)*VLOOKUP($Y439,Frequenties[],3,FALSE)*VLOOKUP($A435,Locaties[],3,FALSE),0)</f>
        <v>0</v>
      </c>
      <c r="AB439" s="84">
        <f>Ruimtestaat[[#This Row],[Uitvoeringen weekend]]*Ruimtestaat[[#This Row],[Oppervlak (netto)]]</f>
        <v>0</v>
      </c>
      <c r="AC439" s="87">
        <f>IF(AB439&gt;0,Ruimtestaat[[#This Row],[Prest. (m2 /jaar) weekend]]/Ruimtestaat[[#This Row],[Norm (m2/uur) weekend]],0)</f>
        <v>0</v>
      </c>
      <c r="AD439" s="88">
        <f>Ruimtestaat[[#This Row],[uren / jaar weekend]]*Tariefsopbouw!$D$40</f>
        <v>0</v>
      </c>
      <c r="AE439" s="89">
        <f>Ruimtestaat[[#This Row],[Prest. (m2 /jaar) weekend]]+Ruimtestaat[[#This Row],[Prest. (m2 /jaar) werkdagen]]</f>
        <v>4160</v>
      </c>
      <c r="AF439" s="89">
        <f>Ruimtestaat[[#This Row],[uren / jaar weekend]]+Ruimtestaat[[#This Row],[uren / jaar werkdagen]]</f>
        <v>0</v>
      </c>
      <c r="AG439" s="90">
        <f>Ruimtestaat[[#This Row],[kosten / jaar weekend]]+Ruimtestaat[[#This Row],[kosten / jaar werkdagen]]</f>
        <v>0</v>
      </c>
    </row>
    <row r="440" spans="1:33" ht="15" customHeight="1">
      <c r="A440" s="53">
        <v>2</v>
      </c>
      <c r="B440" s="53" t="str">
        <f>VLOOKUP(Ruimtestaat[[#This Row],[Code]],Locaties[#All],2,FALSE)</f>
        <v>Open Schoolgemeenschap Bijlmer</v>
      </c>
      <c r="C440" s="53" t="str">
        <f>VLOOKUP(Ruimtestaat[[#This Row],[Code]],Locaties[#All],4,FALSE)</f>
        <v>Gulden Kruis 5</v>
      </c>
      <c r="D440" s="53" t="str">
        <f>VLOOKUP(Ruimtestaat[[#This Row],[Code]],Locaties[#All],5,FALSE)</f>
        <v>1103 BE</v>
      </c>
      <c r="E440" s="53" t="str">
        <f>VLOOKUP(Ruimtestaat[[#This Row],[Code]],Locaties[#All],6,FALSE)</f>
        <v>Amsterdam Zuidoost</v>
      </c>
      <c r="F440" s="78" t="s">
        <v>272</v>
      </c>
      <c r="G440" s="53" t="s">
        <v>450</v>
      </c>
      <c r="H440" s="53" t="s">
        <v>845</v>
      </c>
      <c r="I440" s="78" t="s">
        <v>621</v>
      </c>
      <c r="J440" s="53">
        <v>5</v>
      </c>
      <c r="K440" s="78" t="str">
        <f>VLOOKUP(J440,Ruimtegroepen[],2,FALSE)</f>
        <v>Sanitair</v>
      </c>
      <c r="L440" s="53" t="s">
        <v>285</v>
      </c>
      <c r="M440" s="53" t="s">
        <v>580</v>
      </c>
      <c r="N440" s="92">
        <v>15.19</v>
      </c>
      <c r="O440" s="92"/>
      <c r="P440" s="80" t="str">
        <f>LEFT(VLOOKUP(Ruimtestaat[[#This Row],[Ruimte code]],Ruimtegroepen[#All],4,1),2)</f>
        <v xml:space="preserve">S </v>
      </c>
      <c r="Q440" s="93"/>
      <c r="R440" s="81">
        <v>40</v>
      </c>
      <c r="S440" s="81" t="s">
        <v>296</v>
      </c>
      <c r="T440" s="82">
        <f>IF(R440&gt;0,IF(RIGHT(Ruimtestaat[[#This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40" s="82">
        <f>IF(T440&gt;0,VLOOKUP($J440,Ruimtegroepen[],3,FALSE)*VLOOKUP($L440,Vloersoorten[],3,FALSE)*VLOOKUP($S440,Frequenties[],3,FALSE)*VLOOKUP($A440,Locaties[],3,FALSE),0)</f>
        <v>0</v>
      </c>
      <c r="V440" s="83">
        <f>Ruimtestaat[[#This Row],[Uitvoeringen werkdagen]]*Ruimtestaat[[#This Row],[Oppervlak (netto)]]</f>
        <v>6076</v>
      </c>
      <c r="W440" s="84">
        <f>IF(U440&gt;0,Ruimtestaat[[#This Row],[Prest. (m2 /jaar) werkdagen]]/Ruimtestaat[[#This Row],[Norm (m2/uur) werkdagen]],0)</f>
        <v>0</v>
      </c>
      <c r="X440" s="85">
        <f>Ruimtestaat[[#This Row],[uren / jaar werkdagen]]*Tariefsopbouw!$E$35</f>
        <v>0</v>
      </c>
      <c r="Y440" s="82"/>
      <c r="Z440" s="86">
        <f>IF(Ruimtestaat[[#This Row],[Frequentie weekend]]&gt;0,VALUE(LEFT(Y440,1))*R440,0)</f>
        <v>0</v>
      </c>
      <c r="AA440" s="82">
        <f>IF($Z440&gt;0,VLOOKUP($J440,Ruimtegroepen[],3,FALSE)*VLOOKUP($L440,Vloersoorten[],3,FALSE)*VLOOKUP($Y440,Frequenties[],3,FALSE)*VLOOKUP($A436,Locaties[],3,FALSE),0)</f>
        <v>0</v>
      </c>
      <c r="AB440" s="84">
        <f>Ruimtestaat[[#This Row],[Uitvoeringen weekend]]*Ruimtestaat[[#This Row],[Oppervlak (netto)]]</f>
        <v>0</v>
      </c>
      <c r="AC440" s="87">
        <f>IF(AB440&gt;0,Ruimtestaat[[#This Row],[Prest. (m2 /jaar) weekend]]/Ruimtestaat[[#This Row],[Norm (m2/uur) weekend]],0)</f>
        <v>0</v>
      </c>
      <c r="AD440" s="88">
        <f>Ruimtestaat[[#This Row],[uren / jaar weekend]]*Tariefsopbouw!$D$40</f>
        <v>0</v>
      </c>
      <c r="AE440" s="89">
        <f>Ruimtestaat[[#This Row],[Prest. (m2 /jaar) weekend]]+Ruimtestaat[[#This Row],[Prest. (m2 /jaar) werkdagen]]</f>
        <v>6076</v>
      </c>
      <c r="AF440" s="89">
        <f>Ruimtestaat[[#This Row],[uren / jaar weekend]]+Ruimtestaat[[#This Row],[uren / jaar werkdagen]]</f>
        <v>0</v>
      </c>
      <c r="AG440" s="90">
        <f>Ruimtestaat[[#This Row],[kosten / jaar weekend]]+Ruimtestaat[[#This Row],[kosten / jaar werkdagen]]</f>
        <v>0</v>
      </c>
    </row>
    <row r="441" spans="1:33" ht="15" customHeight="1">
      <c r="A441" s="53">
        <v>2</v>
      </c>
      <c r="B441" s="53" t="str">
        <f>VLOOKUP(Ruimtestaat[[#This Row],[Code]],Locaties[#All],2,FALSE)</f>
        <v>Open Schoolgemeenschap Bijlmer</v>
      </c>
      <c r="C441" s="53" t="str">
        <f>VLOOKUP(Ruimtestaat[[#This Row],[Code]],Locaties[#All],4,FALSE)</f>
        <v>Gulden Kruis 5</v>
      </c>
      <c r="D441" s="53" t="str">
        <f>VLOOKUP(Ruimtestaat[[#This Row],[Code]],Locaties[#All],5,FALSE)</f>
        <v>1103 BE</v>
      </c>
      <c r="E441" s="53" t="str">
        <f>VLOOKUP(Ruimtestaat[[#This Row],[Code]],Locaties[#All],6,FALSE)</f>
        <v>Amsterdam Zuidoost</v>
      </c>
      <c r="F441" s="78" t="s">
        <v>272</v>
      </c>
      <c r="G441" s="53" t="s">
        <v>450</v>
      </c>
      <c r="H441" s="53" t="s">
        <v>846</v>
      </c>
      <c r="I441" s="78" t="s">
        <v>825</v>
      </c>
      <c r="J441" s="53">
        <v>19</v>
      </c>
      <c r="K441" s="78" t="str">
        <f>VLOOKUP(J441,Ruimtegroepen[],2,FALSE)</f>
        <v>Kleedruimten</v>
      </c>
      <c r="L441" s="53" t="s">
        <v>280</v>
      </c>
      <c r="M441" s="53" t="s">
        <v>566</v>
      </c>
      <c r="N441" s="92">
        <v>20.8</v>
      </c>
      <c r="O441" s="92"/>
      <c r="P441" s="80" t="str">
        <f>LEFT(VLOOKUP(Ruimtestaat[[#This Row],[Ruimte code]],Ruimtegroepen[#All],4,1),2)</f>
        <v xml:space="preserve">V </v>
      </c>
      <c r="Q441" s="93"/>
      <c r="R441" s="81">
        <v>40</v>
      </c>
      <c r="S441" s="81" t="s">
        <v>298</v>
      </c>
      <c r="T441" s="82">
        <f>IF(R441&gt;0,IF(RIGHT(Ruimtestaat[[#This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1" s="82">
        <f>IF(T441&gt;0,VLOOKUP($J441,Ruimtegroepen[],3,FALSE)*VLOOKUP($L441,Vloersoorten[],3,FALSE)*VLOOKUP($S441,Frequenties[],3,FALSE)*VLOOKUP($A441,Locaties[],3,FALSE),0)</f>
        <v>0</v>
      </c>
      <c r="V441" s="83">
        <f>Ruimtestaat[[#This Row],[Uitvoeringen werkdagen]]*Ruimtestaat[[#This Row],[Oppervlak (netto)]]</f>
        <v>4160</v>
      </c>
      <c r="W441" s="84">
        <f>IF(U441&gt;0,Ruimtestaat[[#This Row],[Prest. (m2 /jaar) werkdagen]]/Ruimtestaat[[#This Row],[Norm (m2/uur) werkdagen]],0)</f>
        <v>0</v>
      </c>
      <c r="X441" s="85">
        <f>Ruimtestaat[[#This Row],[uren / jaar werkdagen]]*Tariefsopbouw!$E$35</f>
        <v>0</v>
      </c>
      <c r="Y441" s="82"/>
      <c r="Z441" s="86">
        <f>IF(Ruimtestaat[[#This Row],[Frequentie weekend]]&gt;0,VALUE(LEFT(Y441,1))*R441,0)</f>
        <v>0</v>
      </c>
      <c r="AA441" s="82">
        <f>IF($Z441&gt;0,VLOOKUP($J441,Ruimtegroepen[],3,FALSE)*VLOOKUP($L441,Vloersoorten[],3,FALSE)*VLOOKUP($Y441,Frequenties[],3,FALSE)*VLOOKUP($A437,Locaties[],3,FALSE),0)</f>
        <v>0</v>
      </c>
      <c r="AB441" s="84">
        <f>Ruimtestaat[[#This Row],[Uitvoeringen weekend]]*Ruimtestaat[[#This Row],[Oppervlak (netto)]]</f>
        <v>0</v>
      </c>
      <c r="AC441" s="87">
        <f>IF(AB441&gt;0,Ruimtestaat[[#This Row],[Prest. (m2 /jaar) weekend]]/Ruimtestaat[[#This Row],[Norm (m2/uur) weekend]],0)</f>
        <v>0</v>
      </c>
      <c r="AD441" s="88">
        <f>Ruimtestaat[[#This Row],[uren / jaar weekend]]*Tariefsopbouw!$D$40</f>
        <v>0</v>
      </c>
      <c r="AE441" s="89">
        <f>Ruimtestaat[[#This Row],[Prest. (m2 /jaar) weekend]]+Ruimtestaat[[#This Row],[Prest. (m2 /jaar) werkdagen]]</f>
        <v>4160</v>
      </c>
      <c r="AF441" s="89">
        <f>Ruimtestaat[[#This Row],[uren / jaar weekend]]+Ruimtestaat[[#This Row],[uren / jaar werkdagen]]</f>
        <v>0</v>
      </c>
      <c r="AG441" s="90">
        <f>Ruimtestaat[[#This Row],[kosten / jaar weekend]]+Ruimtestaat[[#This Row],[kosten / jaar werkdagen]]</f>
        <v>0</v>
      </c>
    </row>
    <row r="442" spans="1:33" ht="15" customHeight="1">
      <c r="A442" s="53">
        <v>2</v>
      </c>
      <c r="B442" s="53" t="str">
        <f>VLOOKUP(Ruimtestaat[[#This Row],[Code]],Locaties[#All],2,FALSE)</f>
        <v>Open Schoolgemeenschap Bijlmer</v>
      </c>
      <c r="C442" s="53" t="str">
        <f>VLOOKUP(Ruimtestaat[[#This Row],[Code]],Locaties[#All],4,FALSE)</f>
        <v>Gulden Kruis 5</v>
      </c>
      <c r="D442" s="53" t="str">
        <f>VLOOKUP(Ruimtestaat[[#This Row],[Code]],Locaties[#All],5,FALSE)</f>
        <v>1103 BE</v>
      </c>
      <c r="E442" s="53" t="str">
        <f>VLOOKUP(Ruimtestaat[[#This Row],[Code]],Locaties[#All],6,FALSE)</f>
        <v>Amsterdam Zuidoost</v>
      </c>
      <c r="F442" s="78" t="s">
        <v>272</v>
      </c>
      <c r="G442" s="53" t="s">
        <v>450</v>
      </c>
      <c r="H442" s="53" t="s">
        <v>847</v>
      </c>
      <c r="I442" s="78" t="s">
        <v>621</v>
      </c>
      <c r="J442" s="53">
        <v>5</v>
      </c>
      <c r="K442" s="78" t="str">
        <f>VLOOKUP(J442,Ruimtegroepen[],2,FALSE)</f>
        <v>Sanitair</v>
      </c>
      <c r="L442" s="53" t="s">
        <v>285</v>
      </c>
      <c r="M442" s="53" t="s">
        <v>580</v>
      </c>
      <c r="N442" s="92">
        <v>15.19</v>
      </c>
      <c r="O442" s="92"/>
      <c r="P442" s="80" t="str">
        <f>LEFT(VLOOKUP(Ruimtestaat[[#This Row],[Ruimte code]],Ruimtegroepen[#All],4,1),2)</f>
        <v xml:space="preserve">S </v>
      </c>
      <c r="Q442" s="93"/>
      <c r="R442" s="81">
        <v>40</v>
      </c>
      <c r="S442" s="81" t="s">
        <v>296</v>
      </c>
      <c r="T442" s="82">
        <f>IF(R442&gt;0,IF(RIGHT(Ruimtestaat[[#This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42" s="82">
        <f>IF(T442&gt;0,VLOOKUP($J442,Ruimtegroepen[],3,FALSE)*VLOOKUP($L442,Vloersoorten[],3,FALSE)*VLOOKUP($S442,Frequenties[],3,FALSE)*VLOOKUP($A442,Locaties[],3,FALSE),0)</f>
        <v>0</v>
      </c>
      <c r="V442" s="83">
        <f>Ruimtestaat[[#This Row],[Uitvoeringen werkdagen]]*Ruimtestaat[[#This Row],[Oppervlak (netto)]]</f>
        <v>6076</v>
      </c>
      <c r="W442" s="84">
        <f>IF(U442&gt;0,Ruimtestaat[[#This Row],[Prest. (m2 /jaar) werkdagen]]/Ruimtestaat[[#This Row],[Norm (m2/uur) werkdagen]],0)</f>
        <v>0</v>
      </c>
      <c r="X442" s="85">
        <f>Ruimtestaat[[#This Row],[uren / jaar werkdagen]]*Tariefsopbouw!$E$35</f>
        <v>0</v>
      </c>
      <c r="Y442" s="82"/>
      <c r="Z442" s="86">
        <f>IF(Ruimtestaat[[#This Row],[Frequentie weekend]]&gt;0,VALUE(LEFT(Y442,1))*R442,0)</f>
        <v>0</v>
      </c>
      <c r="AA442" s="82">
        <f>IF($Z442&gt;0,VLOOKUP($J442,Ruimtegroepen[],3,FALSE)*VLOOKUP($L442,Vloersoorten[],3,FALSE)*VLOOKUP($Y442,Frequenties[],3,FALSE)*VLOOKUP($A438,Locaties[],3,FALSE),0)</f>
        <v>0</v>
      </c>
      <c r="AB442" s="84">
        <f>Ruimtestaat[[#This Row],[Uitvoeringen weekend]]*Ruimtestaat[[#This Row],[Oppervlak (netto)]]</f>
        <v>0</v>
      </c>
      <c r="AC442" s="87">
        <f>IF(AB442&gt;0,Ruimtestaat[[#This Row],[Prest. (m2 /jaar) weekend]]/Ruimtestaat[[#This Row],[Norm (m2/uur) weekend]],0)</f>
        <v>0</v>
      </c>
      <c r="AD442" s="88">
        <f>Ruimtestaat[[#This Row],[uren / jaar weekend]]*Tariefsopbouw!$D$40</f>
        <v>0</v>
      </c>
      <c r="AE442" s="89">
        <f>Ruimtestaat[[#This Row],[Prest. (m2 /jaar) weekend]]+Ruimtestaat[[#This Row],[Prest. (m2 /jaar) werkdagen]]</f>
        <v>6076</v>
      </c>
      <c r="AF442" s="89">
        <f>Ruimtestaat[[#This Row],[uren / jaar weekend]]+Ruimtestaat[[#This Row],[uren / jaar werkdagen]]</f>
        <v>0</v>
      </c>
      <c r="AG442" s="90">
        <f>Ruimtestaat[[#This Row],[kosten / jaar weekend]]+Ruimtestaat[[#This Row],[kosten / jaar werkdagen]]</f>
        <v>0</v>
      </c>
    </row>
    <row r="443" spans="1:33" ht="15" customHeight="1">
      <c r="A443" s="53">
        <v>2</v>
      </c>
      <c r="B443" s="53" t="str">
        <f>VLOOKUP(Ruimtestaat[[#This Row],[Code]],Locaties[#All],2,FALSE)</f>
        <v>Open Schoolgemeenschap Bijlmer</v>
      </c>
      <c r="C443" s="53" t="str">
        <f>VLOOKUP(Ruimtestaat[[#This Row],[Code]],Locaties[#All],4,FALSE)</f>
        <v>Gulden Kruis 5</v>
      </c>
      <c r="D443" s="53" t="str">
        <f>VLOOKUP(Ruimtestaat[[#This Row],[Code]],Locaties[#All],5,FALSE)</f>
        <v>1103 BE</v>
      </c>
      <c r="E443" s="53" t="str">
        <f>VLOOKUP(Ruimtestaat[[#This Row],[Code]],Locaties[#All],6,FALSE)</f>
        <v>Amsterdam Zuidoost</v>
      </c>
      <c r="F443" s="78" t="s">
        <v>272</v>
      </c>
      <c r="G443" s="53" t="s">
        <v>450</v>
      </c>
      <c r="H443" s="53" t="s">
        <v>848</v>
      </c>
      <c r="I443" s="78" t="s">
        <v>849</v>
      </c>
      <c r="J443" s="53">
        <v>18</v>
      </c>
      <c r="K443" s="78" t="str">
        <f>VLOOKUP(J443,Ruimtegroepen[],2,FALSE)</f>
        <v>Gymzaal</v>
      </c>
      <c r="L443" s="53" t="s">
        <v>288</v>
      </c>
      <c r="M443" s="53" t="s">
        <v>634</v>
      </c>
      <c r="N443" s="92">
        <v>241.06</v>
      </c>
      <c r="O443" s="92"/>
      <c r="P443" s="80" t="str">
        <f>LEFT(VLOOKUP(Ruimtestaat[[#This Row],[Ruimte code]],Ruimtegroepen[#All],4,1),2)</f>
        <v>Sp</v>
      </c>
      <c r="Q443" s="93"/>
      <c r="R443" s="81">
        <v>40</v>
      </c>
      <c r="S443" s="81" t="s">
        <v>298</v>
      </c>
      <c r="T443" s="82">
        <f>IF(R443&gt;0,IF(RIGHT(Ruimtestaat[[#This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3" s="82">
        <f>IF(T443&gt;0,VLOOKUP($J443,Ruimtegroepen[],3,FALSE)*VLOOKUP($L443,Vloersoorten[],3,FALSE)*VLOOKUP($S443,Frequenties[],3,FALSE)*VLOOKUP($A443,Locaties[],3,FALSE),0)</f>
        <v>0</v>
      </c>
      <c r="V443" s="83">
        <f>Ruimtestaat[[#This Row],[Uitvoeringen werkdagen]]*Ruimtestaat[[#This Row],[Oppervlak (netto)]]</f>
        <v>48212</v>
      </c>
      <c r="W443" s="84">
        <f>IF(U443&gt;0,Ruimtestaat[[#This Row],[Prest. (m2 /jaar) werkdagen]]/Ruimtestaat[[#This Row],[Norm (m2/uur) werkdagen]],0)</f>
        <v>0</v>
      </c>
      <c r="X443" s="85">
        <f>Ruimtestaat[[#This Row],[uren / jaar werkdagen]]*Tariefsopbouw!$E$35</f>
        <v>0</v>
      </c>
      <c r="Y443" s="82"/>
      <c r="Z443" s="86">
        <f>IF(Ruimtestaat[[#This Row],[Frequentie weekend]]&gt;0,VALUE(LEFT(Y443,1))*R443,0)</f>
        <v>0</v>
      </c>
      <c r="AA443" s="82">
        <f>IF($Z443&gt;0,VLOOKUP($J443,Ruimtegroepen[],3,FALSE)*VLOOKUP($L443,Vloersoorten[],3,FALSE)*VLOOKUP($Y443,Frequenties[],3,FALSE)*VLOOKUP($A439,Locaties[],3,FALSE),0)</f>
        <v>0</v>
      </c>
      <c r="AB443" s="84">
        <f>Ruimtestaat[[#This Row],[Uitvoeringen weekend]]*Ruimtestaat[[#This Row],[Oppervlak (netto)]]</f>
        <v>0</v>
      </c>
      <c r="AC443" s="87">
        <f>IF(AB443&gt;0,Ruimtestaat[[#This Row],[Prest. (m2 /jaar) weekend]]/Ruimtestaat[[#This Row],[Norm (m2/uur) weekend]],0)</f>
        <v>0</v>
      </c>
      <c r="AD443" s="88">
        <f>Ruimtestaat[[#This Row],[uren / jaar weekend]]*Tariefsopbouw!$D$40</f>
        <v>0</v>
      </c>
      <c r="AE443" s="89">
        <f>Ruimtestaat[[#This Row],[Prest. (m2 /jaar) weekend]]+Ruimtestaat[[#This Row],[Prest. (m2 /jaar) werkdagen]]</f>
        <v>48212</v>
      </c>
      <c r="AF443" s="89">
        <f>Ruimtestaat[[#This Row],[uren / jaar weekend]]+Ruimtestaat[[#This Row],[uren / jaar werkdagen]]</f>
        <v>0</v>
      </c>
      <c r="AG443" s="90">
        <f>Ruimtestaat[[#This Row],[kosten / jaar weekend]]+Ruimtestaat[[#This Row],[kosten / jaar werkdagen]]</f>
        <v>0</v>
      </c>
    </row>
    <row r="444" spans="1:33" ht="15" customHeight="1">
      <c r="A444" s="53">
        <v>2</v>
      </c>
      <c r="B444" s="53" t="str">
        <f>VLOOKUP(Ruimtestaat[[#This Row],[Code]],Locaties[#All],2,FALSE)</f>
        <v>Open Schoolgemeenschap Bijlmer</v>
      </c>
      <c r="C444" s="53" t="str">
        <f>VLOOKUP(Ruimtestaat[[#This Row],[Code]],Locaties[#All],4,FALSE)</f>
        <v>Gulden Kruis 5</v>
      </c>
      <c r="D444" s="53" t="str">
        <f>VLOOKUP(Ruimtestaat[[#This Row],[Code]],Locaties[#All],5,FALSE)</f>
        <v>1103 BE</v>
      </c>
      <c r="E444" s="53" t="str">
        <f>VLOOKUP(Ruimtestaat[[#This Row],[Code]],Locaties[#All],6,FALSE)</f>
        <v>Amsterdam Zuidoost</v>
      </c>
      <c r="F444" s="78" t="s">
        <v>850</v>
      </c>
      <c r="G444" s="53" t="s">
        <v>348</v>
      </c>
      <c r="H444" s="53" t="s">
        <v>851</v>
      </c>
      <c r="I444" s="78" t="s">
        <v>852</v>
      </c>
      <c r="J444" s="53">
        <v>19</v>
      </c>
      <c r="K444" s="78" t="str">
        <f>VLOOKUP(J444,Ruimtegroepen[],2,FALSE)</f>
        <v>Kleedruimten</v>
      </c>
      <c r="L444" s="53" t="s">
        <v>288</v>
      </c>
      <c r="M444" s="53" t="s">
        <v>648</v>
      </c>
      <c r="N444" s="92">
        <v>92.2</v>
      </c>
      <c r="O444" s="92"/>
      <c r="P444" s="80" t="str">
        <f>LEFT(VLOOKUP(Ruimtestaat[[#This Row],[Ruimte code]],Ruimtegroepen[#All],4,1),2)</f>
        <v xml:space="preserve">V </v>
      </c>
      <c r="Q444" s="93"/>
      <c r="R444" s="81">
        <v>40</v>
      </c>
      <c r="S444" s="81" t="s">
        <v>298</v>
      </c>
      <c r="T444" s="82">
        <f>IF(R444&gt;0,IF(RIGHT(Ruimtestaat[[#This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4" s="82">
        <f>IF(T444&gt;0,VLOOKUP($J444,Ruimtegroepen[],3,FALSE)*VLOOKUP($L444,Vloersoorten[],3,FALSE)*VLOOKUP($S444,Frequenties[],3,FALSE)*VLOOKUP($A444,Locaties[],3,FALSE),0)</f>
        <v>0</v>
      </c>
      <c r="V444" s="83">
        <f>Ruimtestaat[[#This Row],[Uitvoeringen werkdagen]]*Ruimtestaat[[#This Row],[Oppervlak (netto)]]</f>
        <v>18440</v>
      </c>
      <c r="W444" s="84">
        <f>IF(U444&gt;0,Ruimtestaat[[#This Row],[Prest. (m2 /jaar) werkdagen]]/Ruimtestaat[[#This Row],[Norm (m2/uur) werkdagen]],0)</f>
        <v>0</v>
      </c>
      <c r="X444" s="85">
        <f>Ruimtestaat[[#This Row],[uren / jaar werkdagen]]*Tariefsopbouw!$E$35</f>
        <v>0</v>
      </c>
      <c r="Y444" s="82"/>
      <c r="Z444" s="86">
        <f>IF(Ruimtestaat[[#This Row],[Frequentie weekend]]&gt;0,VALUE(LEFT(Y444,1))*R444,0)</f>
        <v>0</v>
      </c>
      <c r="AA444" s="82">
        <f>IF($Z444&gt;0,VLOOKUP($J444,Ruimtegroepen[],3,FALSE)*VLOOKUP($L444,Vloersoorten[],3,FALSE)*VLOOKUP($Y444,Frequenties[],3,FALSE)*VLOOKUP($A440,Locaties[],3,FALSE),0)</f>
        <v>0</v>
      </c>
      <c r="AB444" s="84">
        <f>Ruimtestaat[[#This Row],[Uitvoeringen weekend]]*Ruimtestaat[[#This Row],[Oppervlak (netto)]]</f>
        <v>0</v>
      </c>
      <c r="AC444" s="87">
        <f>IF(AB444&gt;0,Ruimtestaat[[#This Row],[Prest. (m2 /jaar) weekend]]/Ruimtestaat[[#This Row],[Norm (m2/uur) weekend]],0)</f>
        <v>0</v>
      </c>
      <c r="AD444" s="88">
        <f>Ruimtestaat[[#This Row],[uren / jaar weekend]]*Tariefsopbouw!$D$40</f>
        <v>0</v>
      </c>
      <c r="AE444" s="89">
        <f>Ruimtestaat[[#This Row],[Prest. (m2 /jaar) weekend]]+Ruimtestaat[[#This Row],[Prest. (m2 /jaar) werkdagen]]</f>
        <v>18440</v>
      </c>
      <c r="AF444" s="89">
        <f>Ruimtestaat[[#This Row],[uren / jaar weekend]]+Ruimtestaat[[#This Row],[uren / jaar werkdagen]]</f>
        <v>0</v>
      </c>
      <c r="AG444" s="90">
        <f>Ruimtestaat[[#This Row],[kosten / jaar weekend]]+Ruimtestaat[[#This Row],[kosten / jaar werkdagen]]</f>
        <v>0</v>
      </c>
    </row>
    <row r="445" spans="1:33" ht="15" customHeight="1">
      <c r="A445" s="53">
        <v>2</v>
      </c>
      <c r="B445" s="53" t="str">
        <f>VLOOKUP(Ruimtestaat[[#This Row],[Code]],Locaties[#All],2,FALSE)</f>
        <v>Open Schoolgemeenschap Bijlmer</v>
      </c>
      <c r="C445" s="53" t="str">
        <f>VLOOKUP(Ruimtestaat[[#This Row],[Code]],Locaties[#All],4,FALSE)</f>
        <v>Gulden Kruis 5</v>
      </c>
      <c r="D445" s="53" t="str">
        <f>VLOOKUP(Ruimtestaat[[#This Row],[Code]],Locaties[#All],5,FALSE)</f>
        <v>1103 BE</v>
      </c>
      <c r="E445" s="53" t="str">
        <f>VLOOKUP(Ruimtestaat[[#This Row],[Code]],Locaties[#All],6,FALSE)</f>
        <v>Amsterdam Zuidoost</v>
      </c>
      <c r="F445" s="78" t="s">
        <v>850</v>
      </c>
      <c r="G445" s="53" t="s">
        <v>348</v>
      </c>
      <c r="H445" s="53" t="s">
        <v>853</v>
      </c>
      <c r="I445" s="78" t="s">
        <v>854</v>
      </c>
      <c r="J445" s="53">
        <v>12</v>
      </c>
      <c r="K445" s="78" t="str">
        <f>VLOOKUP(J445,Ruimtegroepen[],2,FALSE)</f>
        <v>Kantine</v>
      </c>
      <c r="L445" s="53" t="s">
        <v>288</v>
      </c>
      <c r="M445" s="53" t="s">
        <v>648</v>
      </c>
      <c r="N445" s="92">
        <v>53.3</v>
      </c>
      <c r="O445" s="92"/>
      <c r="P445" s="80" t="str">
        <f>LEFT(VLOOKUP(Ruimtestaat[[#This Row],[Ruimte code]],Ruimtegroepen[#All],4,1),2)</f>
        <v xml:space="preserve">V </v>
      </c>
      <c r="Q445" s="93"/>
      <c r="R445" s="81">
        <v>40</v>
      </c>
      <c r="S445" s="81" t="s">
        <v>298</v>
      </c>
      <c r="T445" s="82">
        <f>IF(R445&gt;0,IF(RIGHT(Ruimtestaat[[#This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5" s="82">
        <f>IF(T445&gt;0,VLOOKUP($J445,Ruimtegroepen[],3,FALSE)*VLOOKUP($L445,Vloersoorten[],3,FALSE)*VLOOKUP($S445,Frequenties[],3,FALSE)*VLOOKUP($A445,Locaties[],3,FALSE),0)</f>
        <v>0</v>
      </c>
      <c r="V445" s="83">
        <f>Ruimtestaat[[#This Row],[Uitvoeringen werkdagen]]*Ruimtestaat[[#This Row],[Oppervlak (netto)]]</f>
        <v>10660</v>
      </c>
      <c r="W445" s="84">
        <f>IF(U445&gt;0,Ruimtestaat[[#This Row],[Prest. (m2 /jaar) werkdagen]]/Ruimtestaat[[#This Row],[Norm (m2/uur) werkdagen]],0)</f>
        <v>0</v>
      </c>
      <c r="X445" s="85">
        <f>Ruimtestaat[[#This Row],[uren / jaar werkdagen]]*Tariefsopbouw!$E$35</f>
        <v>0</v>
      </c>
      <c r="Y445" s="82"/>
      <c r="Z445" s="86">
        <f>IF(Ruimtestaat[[#This Row],[Frequentie weekend]]&gt;0,VALUE(LEFT(Y445,1))*R445,0)</f>
        <v>0</v>
      </c>
      <c r="AA445" s="82">
        <f>IF($Z445&gt;0,VLOOKUP($J445,Ruimtegroepen[],3,FALSE)*VLOOKUP($L445,Vloersoorten[],3,FALSE)*VLOOKUP($Y445,Frequenties[],3,FALSE)*VLOOKUP($A441,Locaties[],3,FALSE),0)</f>
        <v>0</v>
      </c>
      <c r="AB445" s="84">
        <f>Ruimtestaat[[#This Row],[Uitvoeringen weekend]]*Ruimtestaat[[#This Row],[Oppervlak (netto)]]</f>
        <v>0</v>
      </c>
      <c r="AC445" s="87">
        <f>IF(AB445&gt;0,Ruimtestaat[[#This Row],[Prest. (m2 /jaar) weekend]]/Ruimtestaat[[#This Row],[Norm (m2/uur) weekend]],0)</f>
        <v>0</v>
      </c>
      <c r="AD445" s="88">
        <f>Ruimtestaat[[#This Row],[uren / jaar weekend]]*Tariefsopbouw!$D$40</f>
        <v>0</v>
      </c>
      <c r="AE445" s="89">
        <f>Ruimtestaat[[#This Row],[Prest. (m2 /jaar) weekend]]+Ruimtestaat[[#This Row],[Prest. (m2 /jaar) werkdagen]]</f>
        <v>10660</v>
      </c>
      <c r="AF445" s="89">
        <f>Ruimtestaat[[#This Row],[uren / jaar weekend]]+Ruimtestaat[[#This Row],[uren / jaar werkdagen]]</f>
        <v>0</v>
      </c>
      <c r="AG445" s="90">
        <f>Ruimtestaat[[#This Row],[kosten / jaar weekend]]+Ruimtestaat[[#This Row],[kosten / jaar werkdagen]]</f>
        <v>0</v>
      </c>
    </row>
    <row r="446" spans="1:33" ht="15" customHeight="1">
      <c r="A446" s="53">
        <v>2</v>
      </c>
      <c r="B446" s="53" t="str">
        <f>VLOOKUP(Ruimtestaat[[#This Row],[Code]],Locaties[#All],2,FALSE)</f>
        <v>Open Schoolgemeenschap Bijlmer</v>
      </c>
      <c r="C446" s="53" t="str">
        <f>VLOOKUP(Ruimtestaat[[#This Row],[Code]],Locaties[#All],4,FALSE)</f>
        <v>Gulden Kruis 5</v>
      </c>
      <c r="D446" s="53" t="str">
        <f>VLOOKUP(Ruimtestaat[[#This Row],[Code]],Locaties[#All],5,FALSE)</f>
        <v>1103 BE</v>
      </c>
      <c r="E446" s="53" t="str">
        <f>VLOOKUP(Ruimtestaat[[#This Row],[Code]],Locaties[#All],6,FALSE)</f>
        <v>Amsterdam Zuidoost</v>
      </c>
      <c r="F446" s="78" t="s">
        <v>850</v>
      </c>
      <c r="G446" s="53" t="s">
        <v>348</v>
      </c>
      <c r="H446" s="53" t="s">
        <v>855</v>
      </c>
      <c r="I446" s="78" t="s">
        <v>856</v>
      </c>
      <c r="J446" s="53">
        <v>12</v>
      </c>
      <c r="K446" s="78" t="str">
        <f>VLOOKUP(J446,Ruimtegroepen[],2,FALSE)</f>
        <v>Kantine</v>
      </c>
      <c r="L446" s="53" t="s">
        <v>288</v>
      </c>
      <c r="M446" s="53" t="s">
        <v>648</v>
      </c>
      <c r="N446" s="92">
        <v>78.599999999999994</v>
      </c>
      <c r="O446" s="92"/>
      <c r="P446" s="80" t="str">
        <f>LEFT(VLOOKUP(Ruimtestaat[[#This Row],[Ruimte code]],Ruimtegroepen[#All],4,1),2)</f>
        <v xml:space="preserve">V </v>
      </c>
      <c r="Q446" s="93"/>
      <c r="R446" s="81">
        <v>40</v>
      </c>
      <c r="S446" s="81" t="s">
        <v>298</v>
      </c>
      <c r="T446" s="82">
        <f>IF(R446&gt;0,IF(RIGHT(Ruimtestaat[[#This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6" s="82">
        <f>IF(T446&gt;0,VLOOKUP($J446,Ruimtegroepen[],3,FALSE)*VLOOKUP($L446,Vloersoorten[],3,FALSE)*VLOOKUP($S446,Frequenties[],3,FALSE)*VLOOKUP($A446,Locaties[],3,FALSE),0)</f>
        <v>0</v>
      </c>
      <c r="V446" s="83">
        <f>Ruimtestaat[[#This Row],[Uitvoeringen werkdagen]]*Ruimtestaat[[#This Row],[Oppervlak (netto)]]</f>
        <v>15719.999999999998</v>
      </c>
      <c r="W446" s="84">
        <f>IF(U446&gt;0,Ruimtestaat[[#This Row],[Prest. (m2 /jaar) werkdagen]]/Ruimtestaat[[#This Row],[Norm (m2/uur) werkdagen]],0)</f>
        <v>0</v>
      </c>
      <c r="X446" s="85">
        <f>Ruimtestaat[[#This Row],[uren / jaar werkdagen]]*Tariefsopbouw!$E$35</f>
        <v>0</v>
      </c>
      <c r="Y446" s="82"/>
      <c r="Z446" s="86">
        <f>IF(Ruimtestaat[[#This Row],[Frequentie weekend]]&gt;0,VALUE(LEFT(Y446,1))*R446,0)</f>
        <v>0</v>
      </c>
      <c r="AA446" s="82">
        <f>IF($Z446&gt;0,VLOOKUP($J446,Ruimtegroepen[],3,FALSE)*VLOOKUP($L446,Vloersoorten[],3,FALSE)*VLOOKUP($Y446,Frequenties[],3,FALSE)*VLOOKUP($A442,Locaties[],3,FALSE),0)</f>
        <v>0</v>
      </c>
      <c r="AB446" s="84">
        <f>Ruimtestaat[[#This Row],[Uitvoeringen weekend]]*Ruimtestaat[[#This Row],[Oppervlak (netto)]]</f>
        <v>0</v>
      </c>
      <c r="AC446" s="87">
        <f>IF(AB446&gt;0,Ruimtestaat[[#This Row],[Prest. (m2 /jaar) weekend]]/Ruimtestaat[[#This Row],[Norm (m2/uur) weekend]],0)</f>
        <v>0</v>
      </c>
      <c r="AD446" s="88">
        <f>Ruimtestaat[[#This Row],[uren / jaar weekend]]*Tariefsopbouw!$D$40</f>
        <v>0</v>
      </c>
      <c r="AE446" s="89">
        <f>Ruimtestaat[[#This Row],[Prest. (m2 /jaar) weekend]]+Ruimtestaat[[#This Row],[Prest. (m2 /jaar) werkdagen]]</f>
        <v>15719.999999999998</v>
      </c>
      <c r="AF446" s="89">
        <f>Ruimtestaat[[#This Row],[uren / jaar weekend]]+Ruimtestaat[[#This Row],[uren / jaar werkdagen]]</f>
        <v>0</v>
      </c>
      <c r="AG446" s="90">
        <f>Ruimtestaat[[#This Row],[kosten / jaar weekend]]+Ruimtestaat[[#This Row],[kosten / jaar werkdagen]]</f>
        <v>0</v>
      </c>
    </row>
    <row r="447" spans="1:33" ht="15" customHeight="1">
      <c r="A447" s="53">
        <v>2</v>
      </c>
      <c r="B447" s="53" t="str">
        <f>VLOOKUP(Ruimtestaat[[#This Row],[Code]],Locaties[#All],2,FALSE)</f>
        <v>Open Schoolgemeenschap Bijlmer</v>
      </c>
      <c r="C447" s="53" t="str">
        <f>VLOOKUP(Ruimtestaat[[#This Row],[Code]],Locaties[#All],4,FALSE)</f>
        <v>Gulden Kruis 5</v>
      </c>
      <c r="D447" s="53" t="str">
        <f>VLOOKUP(Ruimtestaat[[#This Row],[Code]],Locaties[#All],5,FALSE)</f>
        <v>1103 BE</v>
      </c>
      <c r="E447" s="53" t="str">
        <f>VLOOKUP(Ruimtestaat[[#This Row],[Code]],Locaties[#All],6,FALSE)</f>
        <v>Amsterdam Zuidoost</v>
      </c>
      <c r="F447" s="78" t="s">
        <v>850</v>
      </c>
      <c r="G447" s="53" t="s">
        <v>348</v>
      </c>
      <c r="H447" s="53" t="s">
        <v>857</v>
      </c>
      <c r="I447" s="78" t="s">
        <v>858</v>
      </c>
      <c r="J447" s="53">
        <v>9</v>
      </c>
      <c r="K447" s="78" t="str">
        <f>VLOOKUP(J447,Ruimtegroepen[],2,FALSE)</f>
        <v>Publieksruimte</v>
      </c>
      <c r="L447" s="53" t="s">
        <v>288</v>
      </c>
      <c r="M447" s="53" t="s">
        <v>648</v>
      </c>
      <c r="N447" s="92">
        <v>45.2</v>
      </c>
      <c r="O447" s="92"/>
      <c r="P447" s="80" t="str">
        <f>LEFT(VLOOKUP(Ruimtestaat[[#This Row],[Ruimte code]],Ruimtegroepen[#All],4,1),2)</f>
        <v xml:space="preserve">V </v>
      </c>
      <c r="Q447" s="93"/>
      <c r="R447" s="81">
        <v>40</v>
      </c>
      <c r="S447" s="81" t="s">
        <v>298</v>
      </c>
      <c r="T447" s="82">
        <f>IF(R447&gt;0,IF(RIGHT(Ruimtestaat[[#This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7" s="82">
        <f>IF(T447&gt;0,VLOOKUP($J447,Ruimtegroepen[],3,FALSE)*VLOOKUP($L447,Vloersoorten[],3,FALSE)*VLOOKUP($S447,Frequenties[],3,FALSE)*VLOOKUP($A447,Locaties[],3,FALSE),0)</f>
        <v>0</v>
      </c>
      <c r="V447" s="83">
        <f>Ruimtestaat[[#This Row],[Uitvoeringen werkdagen]]*Ruimtestaat[[#This Row],[Oppervlak (netto)]]</f>
        <v>9040</v>
      </c>
      <c r="W447" s="84">
        <f>IF(U447&gt;0,Ruimtestaat[[#This Row],[Prest. (m2 /jaar) werkdagen]]/Ruimtestaat[[#This Row],[Norm (m2/uur) werkdagen]],0)</f>
        <v>0</v>
      </c>
      <c r="X447" s="85">
        <f>Ruimtestaat[[#This Row],[uren / jaar werkdagen]]*Tariefsopbouw!$E$35</f>
        <v>0</v>
      </c>
      <c r="Y447" s="82"/>
      <c r="Z447" s="86">
        <f>IF(Ruimtestaat[[#This Row],[Frequentie weekend]]&gt;0,VALUE(LEFT(Y447,1))*R447,0)</f>
        <v>0</v>
      </c>
      <c r="AA447" s="82">
        <f>IF($Z447&gt;0,VLOOKUP($J447,Ruimtegroepen[],3,FALSE)*VLOOKUP($L447,Vloersoorten[],3,FALSE)*VLOOKUP($Y447,Frequenties[],3,FALSE)*VLOOKUP($A443,Locaties[],3,FALSE),0)</f>
        <v>0</v>
      </c>
      <c r="AB447" s="84">
        <f>Ruimtestaat[[#This Row],[Uitvoeringen weekend]]*Ruimtestaat[[#This Row],[Oppervlak (netto)]]</f>
        <v>0</v>
      </c>
      <c r="AC447" s="87">
        <f>IF(AB447&gt;0,Ruimtestaat[[#This Row],[Prest. (m2 /jaar) weekend]]/Ruimtestaat[[#This Row],[Norm (m2/uur) weekend]],0)</f>
        <v>0</v>
      </c>
      <c r="AD447" s="88">
        <f>Ruimtestaat[[#This Row],[uren / jaar weekend]]*Tariefsopbouw!$D$40</f>
        <v>0</v>
      </c>
      <c r="AE447" s="89">
        <f>Ruimtestaat[[#This Row],[Prest. (m2 /jaar) weekend]]+Ruimtestaat[[#This Row],[Prest. (m2 /jaar) werkdagen]]</f>
        <v>9040</v>
      </c>
      <c r="AF447" s="89">
        <f>Ruimtestaat[[#This Row],[uren / jaar weekend]]+Ruimtestaat[[#This Row],[uren / jaar werkdagen]]</f>
        <v>0</v>
      </c>
      <c r="AG447" s="90">
        <f>Ruimtestaat[[#This Row],[kosten / jaar weekend]]+Ruimtestaat[[#This Row],[kosten / jaar werkdagen]]</f>
        <v>0</v>
      </c>
    </row>
    <row r="448" spans="1:33" ht="15" customHeight="1">
      <c r="A448" s="53">
        <v>2</v>
      </c>
      <c r="B448" s="53" t="str">
        <f>VLOOKUP(Ruimtestaat[[#This Row],[Code]],Locaties[#All],2,FALSE)</f>
        <v>Open Schoolgemeenschap Bijlmer</v>
      </c>
      <c r="C448" s="53" t="str">
        <f>VLOOKUP(Ruimtestaat[[#This Row],[Code]],Locaties[#All],4,FALSE)</f>
        <v>Gulden Kruis 5</v>
      </c>
      <c r="D448" s="53" t="str">
        <f>VLOOKUP(Ruimtestaat[[#This Row],[Code]],Locaties[#All],5,FALSE)</f>
        <v>1103 BE</v>
      </c>
      <c r="E448" s="53" t="str">
        <f>VLOOKUP(Ruimtestaat[[#This Row],[Code]],Locaties[#All],6,FALSE)</f>
        <v>Amsterdam Zuidoost</v>
      </c>
      <c r="F448" s="78" t="s">
        <v>850</v>
      </c>
      <c r="G448" s="53" t="s">
        <v>348</v>
      </c>
      <c r="H448" s="53" t="s">
        <v>859</v>
      </c>
      <c r="I448" s="78" t="s">
        <v>383</v>
      </c>
      <c r="J448" s="53">
        <v>2</v>
      </c>
      <c r="K448" s="78" t="str">
        <f>VLOOKUP(J448,Ruimtegroepen[],2,FALSE)</f>
        <v>Kantoren</v>
      </c>
      <c r="L448" s="53" t="s">
        <v>288</v>
      </c>
      <c r="M448" s="53" t="s">
        <v>648</v>
      </c>
      <c r="N448" s="92">
        <v>24.7</v>
      </c>
      <c r="O448" s="92"/>
      <c r="P448" s="80" t="str">
        <f>LEFT(VLOOKUP(Ruimtestaat[[#This Row],[Ruimte code]],Ruimtegroepen[#All],4,1),2)</f>
        <v xml:space="preserve">B </v>
      </c>
      <c r="Q448" s="93"/>
      <c r="R448" s="81">
        <v>40</v>
      </c>
      <c r="S448" s="81" t="s">
        <v>298</v>
      </c>
      <c r="T448" s="82">
        <f>IF(R448&gt;0,IF(RIGHT(Ruimtestaat[[#This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48" s="82">
        <f>IF(T448&gt;0,VLOOKUP($J448,Ruimtegroepen[],3,FALSE)*VLOOKUP($L448,Vloersoorten[],3,FALSE)*VLOOKUP($S448,Frequenties[],3,FALSE)*VLOOKUP($A448,Locaties[],3,FALSE),0)</f>
        <v>0</v>
      </c>
      <c r="V448" s="83">
        <f>Ruimtestaat[[#This Row],[Uitvoeringen werkdagen]]*Ruimtestaat[[#This Row],[Oppervlak (netto)]]</f>
        <v>4940</v>
      </c>
      <c r="W448" s="84">
        <f>IF(U448&gt;0,Ruimtestaat[[#This Row],[Prest. (m2 /jaar) werkdagen]]/Ruimtestaat[[#This Row],[Norm (m2/uur) werkdagen]],0)</f>
        <v>0</v>
      </c>
      <c r="X448" s="85">
        <f>Ruimtestaat[[#This Row],[uren / jaar werkdagen]]*Tariefsopbouw!$E$35</f>
        <v>0</v>
      </c>
      <c r="Y448" s="82"/>
      <c r="Z448" s="86">
        <f>IF(Ruimtestaat[[#This Row],[Frequentie weekend]]&gt;0,VALUE(LEFT(Y448,1))*R448,0)</f>
        <v>0</v>
      </c>
      <c r="AA448" s="82">
        <f>IF($Z448&gt;0,VLOOKUP($J448,Ruimtegroepen[],3,FALSE)*VLOOKUP($L448,Vloersoorten[],3,FALSE)*VLOOKUP($Y448,Frequenties[],3,FALSE)*VLOOKUP($A444,Locaties[],3,FALSE),0)</f>
        <v>0</v>
      </c>
      <c r="AB448" s="84">
        <f>Ruimtestaat[[#This Row],[Uitvoeringen weekend]]*Ruimtestaat[[#This Row],[Oppervlak (netto)]]</f>
        <v>0</v>
      </c>
      <c r="AC448" s="87">
        <f>IF(AB448&gt;0,Ruimtestaat[[#This Row],[Prest. (m2 /jaar) weekend]]/Ruimtestaat[[#This Row],[Norm (m2/uur) weekend]],0)</f>
        <v>0</v>
      </c>
      <c r="AD448" s="88">
        <f>Ruimtestaat[[#This Row],[uren / jaar weekend]]*Tariefsopbouw!$D$40</f>
        <v>0</v>
      </c>
      <c r="AE448" s="89">
        <f>Ruimtestaat[[#This Row],[Prest. (m2 /jaar) weekend]]+Ruimtestaat[[#This Row],[Prest. (m2 /jaar) werkdagen]]</f>
        <v>4940</v>
      </c>
      <c r="AF448" s="89">
        <f>Ruimtestaat[[#This Row],[uren / jaar weekend]]+Ruimtestaat[[#This Row],[uren / jaar werkdagen]]</f>
        <v>0</v>
      </c>
      <c r="AG448" s="90">
        <f>Ruimtestaat[[#This Row],[kosten / jaar weekend]]+Ruimtestaat[[#This Row],[kosten / jaar werkdagen]]</f>
        <v>0</v>
      </c>
    </row>
    <row r="449" spans="1:33" ht="15" customHeight="1">
      <c r="A449" s="53">
        <v>2</v>
      </c>
      <c r="B449" s="53" t="str">
        <f>VLOOKUP(Ruimtestaat[[#This Row],[Code]],Locaties[#All],2,FALSE)</f>
        <v>Open Schoolgemeenschap Bijlmer</v>
      </c>
      <c r="C449" s="53" t="str">
        <f>VLOOKUP(Ruimtestaat[[#This Row],[Code]],Locaties[#All],4,FALSE)</f>
        <v>Gulden Kruis 5</v>
      </c>
      <c r="D449" s="53" t="str">
        <f>VLOOKUP(Ruimtestaat[[#This Row],[Code]],Locaties[#All],5,FALSE)</f>
        <v>1103 BE</v>
      </c>
      <c r="E449" s="53" t="str">
        <f>VLOOKUP(Ruimtestaat[[#This Row],[Code]],Locaties[#All],6,FALSE)</f>
        <v>Amsterdam Zuidoost</v>
      </c>
      <c r="F449" s="78" t="s">
        <v>850</v>
      </c>
      <c r="G449" s="53" t="s">
        <v>348</v>
      </c>
      <c r="H449" s="53" t="s">
        <v>860</v>
      </c>
      <c r="I449" s="78" t="s">
        <v>861</v>
      </c>
      <c r="J449" s="53">
        <v>5</v>
      </c>
      <c r="K449" s="78" t="str">
        <f>VLOOKUP(J449,Ruimtegroepen[],2,FALSE)</f>
        <v>Sanitair</v>
      </c>
      <c r="L449" s="53" t="s">
        <v>285</v>
      </c>
      <c r="M449" s="53" t="s">
        <v>580</v>
      </c>
      <c r="N449" s="92">
        <v>6.8</v>
      </c>
      <c r="O449" s="92"/>
      <c r="P449" s="80" t="str">
        <f>LEFT(VLOOKUP(Ruimtestaat[[#This Row],[Ruimte code]],Ruimtegroepen[#All],4,1),2)</f>
        <v xml:space="preserve">S </v>
      </c>
      <c r="Q449" s="93"/>
      <c r="R449" s="81">
        <v>40</v>
      </c>
      <c r="S449" s="81" t="s">
        <v>296</v>
      </c>
      <c r="T449" s="82">
        <f>IF(R449&gt;0,IF(RIGHT(Ruimtestaat[[#This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49" s="82">
        <f>IF(T449&gt;0,VLOOKUP($J449,Ruimtegroepen[],3,FALSE)*VLOOKUP($L449,Vloersoorten[],3,FALSE)*VLOOKUP($S449,Frequenties[],3,FALSE)*VLOOKUP($A449,Locaties[],3,FALSE),0)</f>
        <v>0</v>
      </c>
      <c r="V449" s="83">
        <f>Ruimtestaat[[#This Row],[Uitvoeringen werkdagen]]*Ruimtestaat[[#This Row],[Oppervlak (netto)]]</f>
        <v>2720</v>
      </c>
      <c r="W449" s="84">
        <f>IF(U449&gt;0,Ruimtestaat[[#This Row],[Prest. (m2 /jaar) werkdagen]]/Ruimtestaat[[#This Row],[Norm (m2/uur) werkdagen]],0)</f>
        <v>0</v>
      </c>
      <c r="X449" s="85">
        <f>Ruimtestaat[[#This Row],[uren / jaar werkdagen]]*Tariefsopbouw!$E$35</f>
        <v>0</v>
      </c>
      <c r="Y449" s="82"/>
      <c r="Z449" s="86">
        <f>IF(Ruimtestaat[[#This Row],[Frequentie weekend]]&gt;0,VALUE(LEFT(Y449,1))*R449,0)</f>
        <v>0</v>
      </c>
      <c r="AA449" s="82">
        <f>IF($Z449&gt;0,VLOOKUP($J449,Ruimtegroepen[],3,FALSE)*VLOOKUP($L449,Vloersoorten[],3,FALSE)*VLOOKUP($Y449,Frequenties[],3,FALSE)*VLOOKUP($A445,Locaties[],3,FALSE),0)</f>
        <v>0</v>
      </c>
      <c r="AB449" s="84">
        <f>Ruimtestaat[[#This Row],[Uitvoeringen weekend]]*Ruimtestaat[[#This Row],[Oppervlak (netto)]]</f>
        <v>0</v>
      </c>
      <c r="AC449" s="87">
        <f>IF(AB449&gt;0,Ruimtestaat[[#This Row],[Prest. (m2 /jaar) weekend]]/Ruimtestaat[[#This Row],[Norm (m2/uur) weekend]],0)</f>
        <v>0</v>
      </c>
      <c r="AD449" s="88">
        <f>Ruimtestaat[[#This Row],[uren / jaar weekend]]*Tariefsopbouw!$D$40</f>
        <v>0</v>
      </c>
      <c r="AE449" s="89">
        <f>Ruimtestaat[[#This Row],[Prest. (m2 /jaar) weekend]]+Ruimtestaat[[#This Row],[Prest. (m2 /jaar) werkdagen]]</f>
        <v>2720</v>
      </c>
      <c r="AF449" s="89">
        <f>Ruimtestaat[[#This Row],[uren / jaar weekend]]+Ruimtestaat[[#This Row],[uren / jaar werkdagen]]</f>
        <v>0</v>
      </c>
      <c r="AG449" s="90">
        <f>Ruimtestaat[[#This Row],[kosten / jaar weekend]]+Ruimtestaat[[#This Row],[kosten / jaar werkdagen]]</f>
        <v>0</v>
      </c>
    </row>
    <row r="450" spans="1:33" ht="15" customHeight="1">
      <c r="A450" s="53">
        <v>2</v>
      </c>
      <c r="B450" s="53" t="str">
        <f>VLOOKUP(Ruimtestaat[[#This Row],[Code]],Locaties[#All],2,FALSE)</f>
        <v>Open Schoolgemeenschap Bijlmer</v>
      </c>
      <c r="C450" s="53" t="str">
        <f>VLOOKUP(Ruimtestaat[[#This Row],[Code]],Locaties[#All],4,FALSE)</f>
        <v>Gulden Kruis 5</v>
      </c>
      <c r="D450" s="53" t="str">
        <f>VLOOKUP(Ruimtestaat[[#This Row],[Code]],Locaties[#All],5,FALSE)</f>
        <v>1103 BE</v>
      </c>
      <c r="E450" s="53" t="str">
        <f>VLOOKUP(Ruimtestaat[[#This Row],[Code]],Locaties[#All],6,FALSE)</f>
        <v>Amsterdam Zuidoost</v>
      </c>
      <c r="F450" s="78" t="s">
        <v>850</v>
      </c>
      <c r="G450" s="53" t="s">
        <v>348</v>
      </c>
      <c r="H450" s="53" t="s">
        <v>862</v>
      </c>
      <c r="I450" s="78" t="s">
        <v>863</v>
      </c>
      <c r="J450" s="53">
        <v>5</v>
      </c>
      <c r="K450" s="78" t="str">
        <f>VLOOKUP(J450,Ruimtegroepen[],2,FALSE)</f>
        <v>Sanitair</v>
      </c>
      <c r="L450" s="53" t="s">
        <v>285</v>
      </c>
      <c r="M450" s="53" t="s">
        <v>580</v>
      </c>
      <c r="N450" s="92">
        <v>5.7</v>
      </c>
      <c r="O450" s="92"/>
      <c r="P450" s="80" t="str">
        <f>LEFT(VLOOKUP(Ruimtestaat[[#This Row],[Ruimte code]],Ruimtegroepen[#All],4,1),2)</f>
        <v xml:space="preserve">S </v>
      </c>
      <c r="Q450" s="93"/>
      <c r="R450" s="81">
        <v>40</v>
      </c>
      <c r="S450" s="81" t="s">
        <v>296</v>
      </c>
      <c r="T450" s="82">
        <f>IF(R450&gt;0,IF(RIGHT(Ruimtestaat[[#This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400</v>
      </c>
      <c r="U450" s="82">
        <f>IF(T450&gt;0,VLOOKUP($J450,Ruimtegroepen[],3,FALSE)*VLOOKUP($L450,Vloersoorten[],3,FALSE)*VLOOKUP($S450,Frequenties[],3,FALSE)*VLOOKUP($A450,Locaties[],3,FALSE),0)</f>
        <v>0</v>
      </c>
      <c r="V450" s="83">
        <f>Ruimtestaat[[#This Row],[Uitvoeringen werkdagen]]*Ruimtestaat[[#This Row],[Oppervlak (netto)]]</f>
        <v>2280</v>
      </c>
      <c r="W450" s="84">
        <f>IF(U450&gt;0,Ruimtestaat[[#This Row],[Prest. (m2 /jaar) werkdagen]]/Ruimtestaat[[#This Row],[Norm (m2/uur) werkdagen]],0)</f>
        <v>0</v>
      </c>
      <c r="X450" s="85">
        <f>Ruimtestaat[[#This Row],[uren / jaar werkdagen]]*Tariefsopbouw!$E$35</f>
        <v>0</v>
      </c>
      <c r="Y450" s="82"/>
      <c r="Z450" s="86">
        <f>IF(Ruimtestaat[[#This Row],[Frequentie weekend]]&gt;0,VALUE(LEFT(Y450,1))*R450,0)</f>
        <v>0</v>
      </c>
      <c r="AA450" s="82">
        <f>IF($Z450&gt;0,VLOOKUP($J450,Ruimtegroepen[],3,FALSE)*VLOOKUP($L450,Vloersoorten[],3,FALSE)*VLOOKUP($Y450,Frequenties[],3,FALSE)*VLOOKUP($A446,Locaties[],3,FALSE),0)</f>
        <v>0</v>
      </c>
      <c r="AB450" s="84">
        <f>Ruimtestaat[[#This Row],[Uitvoeringen weekend]]*Ruimtestaat[[#This Row],[Oppervlak (netto)]]</f>
        <v>0</v>
      </c>
      <c r="AC450" s="87">
        <f>IF(AB450&gt;0,Ruimtestaat[[#This Row],[Prest. (m2 /jaar) weekend]]/Ruimtestaat[[#This Row],[Norm (m2/uur) weekend]],0)</f>
        <v>0</v>
      </c>
      <c r="AD450" s="88">
        <f>Ruimtestaat[[#This Row],[uren / jaar weekend]]*Tariefsopbouw!$D$40</f>
        <v>0</v>
      </c>
      <c r="AE450" s="89">
        <f>Ruimtestaat[[#This Row],[Prest. (m2 /jaar) weekend]]+Ruimtestaat[[#This Row],[Prest. (m2 /jaar) werkdagen]]</f>
        <v>2280</v>
      </c>
      <c r="AF450" s="89">
        <f>Ruimtestaat[[#This Row],[uren / jaar weekend]]+Ruimtestaat[[#This Row],[uren / jaar werkdagen]]</f>
        <v>0</v>
      </c>
      <c r="AG450" s="90">
        <f>Ruimtestaat[[#This Row],[kosten / jaar weekend]]+Ruimtestaat[[#This Row],[kosten / jaar werkdagen]]</f>
        <v>0</v>
      </c>
    </row>
    <row r="451" spans="1:33" ht="15" customHeight="1">
      <c r="A451" s="53">
        <v>2</v>
      </c>
      <c r="B451" s="53" t="str">
        <f>VLOOKUP(Ruimtestaat[[#This Row],[Code]],Locaties[#All],2,FALSE)</f>
        <v>Open Schoolgemeenschap Bijlmer</v>
      </c>
      <c r="C451" s="53" t="str">
        <f>VLOOKUP(Ruimtestaat[[#This Row],[Code]],Locaties[#All],4,FALSE)</f>
        <v>Gulden Kruis 5</v>
      </c>
      <c r="D451" s="53" t="str">
        <f>VLOOKUP(Ruimtestaat[[#This Row],[Code]],Locaties[#All],5,FALSE)</f>
        <v>1103 BE</v>
      </c>
      <c r="E451" s="53" t="str">
        <f>VLOOKUP(Ruimtestaat[[#This Row],[Code]],Locaties[#All],6,FALSE)</f>
        <v>Amsterdam Zuidoost</v>
      </c>
      <c r="F451" s="78" t="s">
        <v>850</v>
      </c>
      <c r="G451" s="53" t="s">
        <v>348</v>
      </c>
      <c r="H451" s="53" t="s">
        <v>864</v>
      </c>
      <c r="I451" s="78" t="s">
        <v>865</v>
      </c>
      <c r="J451" s="53">
        <v>20</v>
      </c>
      <c r="K451" s="78" t="str">
        <f>VLOOKUP(J451,Ruimtegroepen[],2,FALSE)</f>
        <v>Niet in onderhoud</v>
      </c>
      <c r="L451" s="53" t="s">
        <v>285</v>
      </c>
      <c r="M451" s="53" t="s">
        <v>597</v>
      </c>
      <c r="O451" s="92">
        <v>6.9</v>
      </c>
      <c r="P451" s="80" t="str">
        <f>LEFT(VLOOKUP(Ruimtestaat[[#This Row],[Ruimte code]],Ruimtegroepen[#All],4,1),2)</f>
        <v/>
      </c>
      <c r="Q451" s="93"/>
      <c r="R451" s="81"/>
      <c r="S451" s="81"/>
      <c r="T451" s="82">
        <f>IF(R451&gt;0,IF(RIGHT(Ruimtestaat[[#This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1" s="82">
        <f>IF(T451&gt;0,VLOOKUP($J451,Ruimtegroepen[],3,FALSE)*VLOOKUP($L451,Vloersoorten[],3,FALSE)*VLOOKUP($S451,Frequenties[],3,FALSE)*VLOOKUP($A451,Locaties[],3,FALSE),0)</f>
        <v>0</v>
      </c>
      <c r="V451" s="83">
        <f>Ruimtestaat[[#This Row],[Uitvoeringen werkdagen]]*Ruimtestaat[[#This Row],[Oppervlak (netto)]]</f>
        <v>0</v>
      </c>
      <c r="W451" s="84">
        <f>IF(U451&gt;0,Ruimtestaat[[#This Row],[Prest. (m2 /jaar) werkdagen]]/Ruimtestaat[[#This Row],[Norm (m2/uur) werkdagen]],0)</f>
        <v>0</v>
      </c>
      <c r="X451" s="85">
        <f>Ruimtestaat[[#This Row],[uren / jaar werkdagen]]*Tariefsopbouw!$E$35</f>
        <v>0</v>
      </c>
      <c r="Y451" s="82"/>
      <c r="Z451" s="86">
        <f>IF(Ruimtestaat[[#This Row],[Frequentie weekend]]&gt;0,VALUE(LEFT(Y451,1))*R451,0)</f>
        <v>0</v>
      </c>
      <c r="AA451" s="82">
        <f>IF($Z451&gt;0,VLOOKUP($J451,Ruimtegroepen[],3,FALSE)*VLOOKUP($L451,Vloersoorten[],3,FALSE)*VLOOKUP($Y451,Frequenties[],3,FALSE)*VLOOKUP($A447,Locaties[],3,FALSE),0)</f>
        <v>0</v>
      </c>
      <c r="AB451" s="84">
        <f>Ruimtestaat[[#This Row],[Uitvoeringen weekend]]*Ruimtestaat[[#This Row],[Oppervlak (netto)]]</f>
        <v>0</v>
      </c>
      <c r="AC451" s="87">
        <f>IF(AB451&gt;0,Ruimtestaat[[#This Row],[Prest. (m2 /jaar) weekend]]/Ruimtestaat[[#This Row],[Norm (m2/uur) weekend]],0)</f>
        <v>0</v>
      </c>
      <c r="AD451" s="88">
        <f>Ruimtestaat[[#This Row],[uren / jaar weekend]]*Tariefsopbouw!$D$40</f>
        <v>0</v>
      </c>
      <c r="AE451" s="89">
        <f>Ruimtestaat[[#This Row],[Prest. (m2 /jaar) weekend]]+Ruimtestaat[[#This Row],[Prest. (m2 /jaar) werkdagen]]</f>
        <v>0</v>
      </c>
      <c r="AF451" s="89">
        <f>Ruimtestaat[[#This Row],[uren / jaar weekend]]+Ruimtestaat[[#This Row],[uren / jaar werkdagen]]</f>
        <v>0</v>
      </c>
      <c r="AG451" s="90">
        <f>Ruimtestaat[[#This Row],[kosten / jaar weekend]]+Ruimtestaat[[#This Row],[kosten / jaar werkdagen]]</f>
        <v>0</v>
      </c>
    </row>
    <row r="452" spans="1:33" ht="15" customHeight="1">
      <c r="A452" s="53">
        <v>2</v>
      </c>
      <c r="B452" s="53" t="str">
        <f>VLOOKUP(Ruimtestaat[[#This Row],[Code]],Locaties[#All],2,FALSE)</f>
        <v>Open Schoolgemeenschap Bijlmer</v>
      </c>
      <c r="C452" s="53" t="str">
        <f>VLOOKUP(Ruimtestaat[[#This Row],[Code]],Locaties[#All],4,FALSE)</f>
        <v>Gulden Kruis 5</v>
      </c>
      <c r="D452" s="53" t="str">
        <f>VLOOKUP(Ruimtestaat[[#This Row],[Code]],Locaties[#All],5,FALSE)</f>
        <v>1103 BE</v>
      </c>
      <c r="E452" s="53" t="str">
        <f>VLOOKUP(Ruimtestaat[[#This Row],[Code]],Locaties[#All],6,FALSE)</f>
        <v>Amsterdam Zuidoost</v>
      </c>
      <c r="F452" s="78" t="s">
        <v>850</v>
      </c>
      <c r="G452" s="53" t="s">
        <v>348</v>
      </c>
      <c r="H452" s="53" t="s">
        <v>866</v>
      </c>
      <c r="I452" s="78" t="s">
        <v>867</v>
      </c>
      <c r="J452" s="53">
        <v>20</v>
      </c>
      <c r="K452" s="78" t="str">
        <f>VLOOKUP(J452,Ruimtegroepen[],2,FALSE)</f>
        <v>Niet in onderhoud</v>
      </c>
      <c r="L452" s="53" t="s">
        <v>285</v>
      </c>
      <c r="M452" s="53" t="s">
        <v>441</v>
      </c>
      <c r="O452" s="92">
        <v>2.2000000000000002</v>
      </c>
      <c r="P452" s="80" t="str">
        <f>LEFT(VLOOKUP(Ruimtestaat[[#This Row],[Ruimte code]],Ruimtegroepen[#All],4,1),2)</f>
        <v/>
      </c>
      <c r="Q452" s="93"/>
      <c r="R452" s="81"/>
      <c r="S452" s="81"/>
      <c r="T452" s="82">
        <f>IF(R452&gt;0,IF(RIGHT(Ruimtestaat[[#This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U452" s="82">
        <f>IF(T452&gt;0,VLOOKUP($J452,Ruimtegroepen[],3,FALSE)*VLOOKUP($L452,Vloersoorten[],3,FALSE)*VLOOKUP($S452,Frequenties[],3,FALSE)*VLOOKUP($A452,Locaties[],3,FALSE),0)</f>
        <v>0</v>
      </c>
      <c r="V452" s="83">
        <f>Ruimtestaat[[#This Row],[Uitvoeringen werkdagen]]*Ruimtestaat[[#This Row],[Oppervlak (netto)]]</f>
        <v>0</v>
      </c>
      <c r="W452" s="84">
        <f>IF(U452&gt;0,Ruimtestaat[[#This Row],[Prest. (m2 /jaar) werkdagen]]/Ruimtestaat[[#This Row],[Norm (m2/uur) werkdagen]],0)</f>
        <v>0</v>
      </c>
      <c r="X452" s="85">
        <f>Ruimtestaat[[#This Row],[uren / jaar werkdagen]]*Tariefsopbouw!$E$35</f>
        <v>0</v>
      </c>
      <c r="Y452" s="82"/>
      <c r="Z452" s="86">
        <f>IF(Ruimtestaat[[#This Row],[Frequentie weekend]]&gt;0,VALUE(LEFT(Y452,1))*R452,0)</f>
        <v>0</v>
      </c>
      <c r="AA452" s="82">
        <f>IF($Z452&gt;0,VLOOKUP($J452,Ruimtegroepen[],3,FALSE)*VLOOKUP($L452,Vloersoorten[],3,FALSE)*VLOOKUP($Y452,Frequenties[],3,FALSE)*VLOOKUP($A448,Locaties[],3,FALSE),0)</f>
        <v>0</v>
      </c>
      <c r="AB452" s="84">
        <f>Ruimtestaat[[#This Row],[Uitvoeringen weekend]]*Ruimtestaat[[#This Row],[Oppervlak (netto)]]</f>
        <v>0</v>
      </c>
      <c r="AC452" s="87">
        <f>IF(AB452&gt;0,Ruimtestaat[[#This Row],[Prest. (m2 /jaar) weekend]]/Ruimtestaat[[#This Row],[Norm (m2/uur) weekend]],0)</f>
        <v>0</v>
      </c>
      <c r="AD452" s="88">
        <f>Ruimtestaat[[#This Row],[uren / jaar weekend]]*Tariefsopbouw!$D$40</f>
        <v>0</v>
      </c>
      <c r="AE452" s="89">
        <f>Ruimtestaat[[#This Row],[Prest. (m2 /jaar) weekend]]+Ruimtestaat[[#This Row],[Prest. (m2 /jaar) werkdagen]]</f>
        <v>0</v>
      </c>
      <c r="AF452" s="89">
        <f>Ruimtestaat[[#This Row],[uren / jaar weekend]]+Ruimtestaat[[#This Row],[uren / jaar werkdagen]]</f>
        <v>0</v>
      </c>
      <c r="AG452" s="90">
        <f>Ruimtestaat[[#This Row],[kosten / jaar weekend]]+Ruimtestaat[[#This Row],[kosten / jaar werkdagen]]</f>
        <v>0</v>
      </c>
    </row>
    <row r="453" spans="1:33" ht="15" customHeight="1">
      <c r="A453" s="53">
        <v>2</v>
      </c>
      <c r="B453" s="53" t="str">
        <f>VLOOKUP(Ruimtestaat[[#This Row],[Code]],Locaties[#All],2,FALSE)</f>
        <v>Open Schoolgemeenschap Bijlmer</v>
      </c>
      <c r="C453" s="53" t="str">
        <f>VLOOKUP(Ruimtestaat[[#This Row],[Code]],Locaties[#All],4,FALSE)</f>
        <v>Gulden Kruis 5</v>
      </c>
      <c r="D453" s="53" t="str">
        <f>VLOOKUP(Ruimtestaat[[#This Row],[Code]],Locaties[#All],5,FALSE)</f>
        <v>1103 BE</v>
      </c>
      <c r="E453" s="53" t="str">
        <f>VLOOKUP(Ruimtestaat[[#This Row],[Code]],Locaties[#All],6,FALSE)</f>
        <v>Amsterdam Zuidoost</v>
      </c>
      <c r="F453" s="78" t="s">
        <v>850</v>
      </c>
      <c r="G453" s="53" t="s">
        <v>348</v>
      </c>
      <c r="H453" s="53" t="s">
        <v>868</v>
      </c>
      <c r="I453" s="78" t="s">
        <v>869</v>
      </c>
      <c r="J453" s="53">
        <v>1</v>
      </c>
      <c r="K453" s="78" t="str">
        <f>VLOOKUP(J453,Ruimtegroepen[],2,FALSE)</f>
        <v>Magazijnen/bergingen</v>
      </c>
      <c r="L453" s="53" t="s">
        <v>285</v>
      </c>
      <c r="M453" s="53" t="s">
        <v>870</v>
      </c>
      <c r="N453" s="92">
        <v>5.9</v>
      </c>
      <c r="O453" s="92"/>
      <c r="P453" s="80" t="str">
        <f>LEFT(VLOOKUP(Ruimtestaat[[#This Row],[Ruimte code]],Ruimtegroepen[#All],4,1),2)</f>
        <v xml:space="preserve">V </v>
      </c>
      <c r="Q453" s="93"/>
      <c r="R453" s="81">
        <v>40</v>
      </c>
      <c r="S453" s="81" t="s">
        <v>298</v>
      </c>
      <c r="T453" s="82">
        <f>IF(R453&gt;0,IF(RIGHT(Ruimtestaat[[#This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3" s="82">
        <f>IF(T453&gt;0,VLOOKUP($J453,Ruimtegroepen[],3,FALSE)*VLOOKUP($L453,Vloersoorten[],3,FALSE)*VLOOKUP($S453,Frequenties[],3,FALSE)*VLOOKUP($A453,Locaties[],3,FALSE),0)</f>
        <v>0</v>
      </c>
      <c r="V453" s="83">
        <f>Ruimtestaat[[#This Row],[Uitvoeringen werkdagen]]*Ruimtestaat[[#This Row],[Oppervlak (netto)]]</f>
        <v>1180</v>
      </c>
      <c r="W453" s="84">
        <f>IF(U453&gt;0,Ruimtestaat[[#This Row],[Prest. (m2 /jaar) werkdagen]]/Ruimtestaat[[#This Row],[Norm (m2/uur) werkdagen]],0)</f>
        <v>0</v>
      </c>
      <c r="X453" s="85">
        <f>Ruimtestaat[[#This Row],[uren / jaar werkdagen]]*Tariefsopbouw!$E$35</f>
        <v>0</v>
      </c>
      <c r="Y453" s="82"/>
      <c r="Z453" s="86">
        <f>IF(Ruimtestaat[[#This Row],[Frequentie weekend]]&gt;0,VALUE(LEFT(Y453,1))*R453,0)</f>
        <v>0</v>
      </c>
      <c r="AA453" s="82">
        <f>IF($Z453&gt;0,VLOOKUP($J453,Ruimtegroepen[],3,FALSE)*VLOOKUP($L453,Vloersoorten[],3,FALSE)*VLOOKUP($Y453,Frequenties[],3,FALSE)*VLOOKUP($A449,Locaties[],3,FALSE),0)</f>
        <v>0</v>
      </c>
      <c r="AB453" s="84">
        <f>Ruimtestaat[[#This Row],[Uitvoeringen weekend]]*Ruimtestaat[[#This Row],[Oppervlak (netto)]]</f>
        <v>0</v>
      </c>
      <c r="AC453" s="87">
        <f>IF(AB453&gt;0,Ruimtestaat[[#This Row],[Prest. (m2 /jaar) weekend]]/Ruimtestaat[[#This Row],[Norm (m2/uur) weekend]],0)</f>
        <v>0</v>
      </c>
      <c r="AD453" s="88">
        <f>Ruimtestaat[[#This Row],[uren / jaar weekend]]*Tariefsopbouw!$D$40</f>
        <v>0</v>
      </c>
      <c r="AE453" s="89">
        <f>Ruimtestaat[[#This Row],[Prest. (m2 /jaar) weekend]]+Ruimtestaat[[#This Row],[Prest. (m2 /jaar) werkdagen]]</f>
        <v>1180</v>
      </c>
      <c r="AF453" s="89">
        <f>Ruimtestaat[[#This Row],[uren / jaar weekend]]+Ruimtestaat[[#This Row],[uren / jaar werkdagen]]</f>
        <v>0</v>
      </c>
      <c r="AG453" s="90">
        <f>Ruimtestaat[[#This Row],[kosten / jaar weekend]]+Ruimtestaat[[#This Row],[kosten / jaar werkdagen]]</f>
        <v>0</v>
      </c>
    </row>
    <row r="454" spans="1:33" ht="15" customHeight="1">
      <c r="A454" s="53">
        <v>2</v>
      </c>
      <c r="B454" s="53" t="str">
        <f>VLOOKUP(Ruimtestaat[[#This Row],[Code]],Locaties[#All],2,FALSE)</f>
        <v>Open Schoolgemeenschap Bijlmer</v>
      </c>
      <c r="C454" s="53" t="str">
        <f>VLOOKUP(Ruimtestaat[[#This Row],[Code]],Locaties[#All],4,FALSE)</f>
        <v>Gulden Kruis 5</v>
      </c>
      <c r="D454" s="53" t="str">
        <f>VLOOKUP(Ruimtestaat[[#This Row],[Code]],Locaties[#All],5,FALSE)</f>
        <v>1103 BE</v>
      </c>
      <c r="E454" s="53" t="str">
        <f>VLOOKUP(Ruimtestaat[[#This Row],[Code]],Locaties[#All],6,FALSE)</f>
        <v>Amsterdam Zuidoost</v>
      </c>
      <c r="F454" s="78" t="s">
        <v>850</v>
      </c>
      <c r="G454" s="53" t="s">
        <v>348</v>
      </c>
      <c r="H454" s="53" t="s">
        <v>871</v>
      </c>
      <c r="I454" s="78" t="s">
        <v>869</v>
      </c>
      <c r="J454" s="53">
        <v>1</v>
      </c>
      <c r="K454" s="78" t="str">
        <f>VLOOKUP(J454,Ruimtegroepen[],2,FALSE)</f>
        <v>Magazijnen/bergingen</v>
      </c>
      <c r="L454" s="53" t="s">
        <v>285</v>
      </c>
      <c r="M454" s="53" t="s">
        <v>870</v>
      </c>
      <c r="N454" s="92">
        <v>3</v>
      </c>
      <c r="O454" s="92"/>
      <c r="P454" s="80" t="str">
        <f>LEFT(VLOOKUP(Ruimtestaat[[#This Row],[Ruimte code]],Ruimtegroepen[#All],4,1),2)</f>
        <v xml:space="preserve">V </v>
      </c>
      <c r="Q454" s="93"/>
      <c r="R454" s="81">
        <v>40</v>
      </c>
      <c r="S454" s="81" t="s">
        <v>298</v>
      </c>
      <c r="T454" s="82">
        <f>IF(R454&gt;0,IF(RIGHT(Ruimtestaat[[#This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4" s="82">
        <f>IF(T454&gt;0,VLOOKUP($J454,Ruimtegroepen[],3,FALSE)*VLOOKUP($L454,Vloersoorten[],3,FALSE)*VLOOKUP($S454,Frequenties[],3,FALSE)*VLOOKUP($A454,Locaties[],3,FALSE),0)</f>
        <v>0</v>
      </c>
      <c r="V454" s="83">
        <f>Ruimtestaat[[#This Row],[Uitvoeringen werkdagen]]*Ruimtestaat[[#This Row],[Oppervlak (netto)]]</f>
        <v>600</v>
      </c>
      <c r="W454" s="84">
        <f>IF(U454&gt;0,Ruimtestaat[[#This Row],[Prest. (m2 /jaar) werkdagen]]/Ruimtestaat[[#This Row],[Norm (m2/uur) werkdagen]],0)</f>
        <v>0</v>
      </c>
      <c r="X454" s="85">
        <f>Ruimtestaat[[#This Row],[uren / jaar werkdagen]]*Tariefsopbouw!$E$35</f>
        <v>0</v>
      </c>
      <c r="Y454" s="82"/>
      <c r="Z454" s="86">
        <f>IF(Ruimtestaat[[#This Row],[Frequentie weekend]]&gt;0,VALUE(LEFT(Y454,1))*R454,0)</f>
        <v>0</v>
      </c>
      <c r="AA454" s="82">
        <f>IF($Z454&gt;0,VLOOKUP($J454,Ruimtegroepen[],3,FALSE)*VLOOKUP($L454,Vloersoorten[],3,FALSE)*VLOOKUP($Y454,Frequenties[],3,FALSE)*VLOOKUP($A450,Locaties[],3,FALSE),0)</f>
        <v>0</v>
      </c>
      <c r="AB454" s="84">
        <f>Ruimtestaat[[#This Row],[Uitvoeringen weekend]]*Ruimtestaat[[#This Row],[Oppervlak (netto)]]</f>
        <v>0</v>
      </c>
      <c r="AC454" s="87">
        <f>IF(AB454&gt;0,Ruimtestaat[[#This Row],[Prest. (m2 /jaar) weekend]]/Ruimtestaat[[#This Row],[Norm (m2/uur) weekend]],0)</f>
        <v>0</v>
      </c>
      <c r="AD454" s="88">
        <f>Ruimtestaat[[#This Row],[uren / jaar weekend]]*Tariefsopbouw!$D$40</f>
        <v>0</v>
      </c>
      <c r="AE454" s="89">
        <f>Ruimtestaat[[#This Row],[Prest. (m2 /jaar) weekend]]+Ruimtestaat[[#This Row],[Prest. (m2 /jaar) werkdagen]]</f>
        <v>600</v>
      </c>
      <c r="AF454" s="89">
        <f>Ruimtestaat[[#This Row],[uren / jaar weekend]]+Ruimtestaat[[#This Row],[uren / jaar werkdagen]]</f>
        <v>0</v>
      </c>
      <c r="AG454" s="90">
        <f>Ruimtestaat[[#This Row],[kosten / jaar weekend]]+Ruimtestaat[[#This Row],[kosten / jaar werkdagen]]</f>
        <v>0</v>
      </c>
    </row>
    <row r="455" spans="1:33" ht="15" customHeight="1">
      <c r="A455" s="53">
        <v>2</v>
      </c>
      <c r="B455" s="53" t="str">
        <f>VLOOKUP(Ruimtestaat[[#This Row],[Code]],Locaties[#All],2,FALSE)</f>
        <v>Open Schoolgemeenschap Bijlmer</v>
      </c>
      <c r="C455" s="53" t="str">
        <f>VLOOKUP(Ruimtestaat[[#This Row],[Code]],Locaties[#All],4,FALSE)</f>
        <v>Gulden Kruis 5</v>
      </c>
      <c r="D455" s="53" t="str">
        <f>VLOOKUP(Ruimtestaat[[#This Row],[Code]],Locaties[#All],5,FALSE)</f>
        <v>1103 BE</v>
      </c>
      <c r="E455" s="53" t="str">
        <f>VLOOKUP(Ruimtestaat[[#This Row],[Code]],Locaties[#All],6,FALSE)</f>
        <v>Amsterdam Zuidoost</v>
      </c>
      <c r="F455" s="78" t="s">
        <v>850</v>
      </c>
      <c r="G455" s="53" t="s">
        <v>348</v>
      </c>
      <c r="H455" s="53" t="s">
        <v>872</v>
      </c>
      <c r="I455" s="78" t="s">
        <v>406</v>
      </c>
      <c r="J455" s="53">
        <v>15</v>
      </c>
      <c r="K455" s="78" t="str">
        <f>VLOOKUP(J455,Ruimtegroepen[],2,FALSE)</f>
        <v>Keuken/pantry</v>
      </c>
      <c r="L455" s="53" t="s">
        <v>285</v>
      </c>
      <c r="M455" s="53" t="s">
        <v>870</v>
      </c>
      <c r="N455" s="92">
        <v>14.6</v>
      </c>
      <c r="O455" s="92"/>
      <c r="P455" s="80" t="str">
        <f>LEFT(VLOOKUP(Ruimtestaat[[#This Row],[Ruimte code]],Ruimtegroepen[#All],4,1),2)</f>
        <v xml:space="preserve">V </v>
      </c>
      <c r="Q455" s="93"/>
      <c r="R455" s="81">
        <v>40</v>
      </c>
      <c r="S455" s="81" t="s">
        <v>298</v>
      </c>
      <c r="T455" s="82">
        <f>IF(R455&gt;0,IF(RIGHT(Ruimtestaat[[#This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U455" s="82">
        <f>IF(T455&gt;0,VLOOKUP($J455,Ruimtegroepen[],3,FALSE)*VLOOKUP($L455,Vloersoorten[],3,FALSE)*VLOOKUP($S455,Frequenties[],3,FALSE)*VLOOKUP($A455,Locaties[],3,FALSE),0)</f>
        <v>0</v>
      </c>
      <c r="V455" s="83">
        <f>Ruimtestaat[[#This Row],[Uitvoeringen werkdagen]]*Ruimtestaat[[#This Row],[Oppervlak (netto)]]</f>
        <v>2920</v>
      </c>
      <c r="W455" s="84">
        <f>IF(U455&gt;0,Ruimtestaat[[#This Row],[Prest. (m2 /jaar) werkdagen]]/Ruimtestaat[[#This Row],[Norm (m2/uur) werkdagen]],0)</f>
        <v>0</v>
      </c>
      <c r="X455" s="85">
        <f>Ruimtestaat[[#This Row],[uren / jaar werkdagen]]*Tariefsopbouw!$E$35</f>
        <v>0</v>
      </c>
      <c r="Y455" s="82"/>
      <c r="Z455" s="86">
        <f>IF(Ruimtestaat[[#This Row],[Frequentie weekend]]&gt;0,VALUE(LEFT(Y455,1))*R455,0)</f>
        <v>0</v>
      </c>
      <c r="AA455" s="82">
        <f>IF($Z455&gt;0,VLOOKUP($J455,Ruimtegroepen[],3,FALSE)*VLOOKUP($L455,Vloersoorten[],3,FALSE)*VLOOKUP($Y455,Frequenties[],3,FALSE)*VLOOKUP($A451,Locaties[],3,FALSE),0)</f>
        <v>0</v>
      </c>
      <c r="AB455" s="84">
        <f>Ruimtestaat[[#This Row],[Uitvoeringen weekend]]*Ruimtestaat[[#This Row],[Oppervlak (netto)]]</f>
        <v>0</v>
      </c>
      <c r="AC455" s="87">
        <f>IF(AB455&gt;0,Ruimtestaat[[#This Row],[Prest. (m2 /jaar) weekend]]/Ruimtestaat[[#This Row],[Norm (m2/uur) weekend]],0)</f>
        <v>0</v>
      </c>
      <c r="AD455" s="88">
        <f>Ruimtestaat[[#This Row],[uren / jaar weekend]]*Tariefsopbouw!$D$40</f>
        <v>0</v>
      </c>
      <c r="AE455" s="89">
        <f>Ruimtestaat[[#This Row],[Prest. (m2 /jaar) weekend]]+Ruimtestaat[[#This Row],[Prest. (m2 /jaar) werkdagen]]</f>
        <v>2920</v>
      </c>
      <c r="AF455" s="89">
        <f>Ruimtestaat[[#This Row],[uren / jaar weekend]]+Ruimtestaat[[#This Row],[uren / jaar werkdagen]]</f>
        <v>0</v>
      </c>
      <c r="AG455" s="90">
        <f>Ruimtestaat[[#This Row],[kosten / jaar weekend]]+Ruimtestaat[[#This Row],[kosten / jaar werkdagen]]</f>
        <v>0</v>
      </c>
    </row>
  </sheetData>
  <sortState xmlns:xlrd2="http://schemas.microsoft.com/office/spreadsheetml/2017/richdata2" ref="B7:T1336">
    <sortCondition ref="B7:B1336"/>
    <sortCondition ref="F7:F1336"/>
  </sortState>
  <mergeCells count="5">
    <mergeCell ref="A1:Q1"/>
    <mergeCell ref="R1:AG1"/>
    <mergeCell ref="S3:X3"/>
    <mergeCell ref="Y3:AD3"/>
    <mergeCell ref="AE3:AG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J35"/>
  <sheetViews>
    <sheetView showGridLines="0" view="pageBreakPreview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23" customWidth="1"/>
    <col min="2" max="2" width="47.85546875" style="23" customWidth="1"/>
    <col min="3" max="3" width="14.85546875" style="53" customWidth="1"/>
    <col min="4" max="4" width="66.85546875" style="23" customWidth="1"/>
    <col min="5" max="5" width="17.7109375" style="23" bestFit="1" customWidth="1"/>
    <col min="6" max="6" width="17.7109375" style="201" bestFit="1" customWidth="1"/>
    <col min="7" max="7" width="17.7109375" style="23" bestFit="1" customWidth="1"/>
    <col min="8" max="8" width="20.5703125" style="23" customWidth="1"/>
    <col min="9" max="9" width="17.7109375" style="23" bestFit="1" customWidth="1"/>
    <col min="10" max="10" width="5.140625" style="23" customWidth="1"/>
    <col min="11" max="16384" width="9.140625" style="23"/>
  </cols>
  <sheetData>
    <row r="1" spans="1:10" s="21" customFormat="1" ht="26.25" customHeight="1">
      <c r="A1" s="290" t="s">
        <v>873</v>
      </c>
      <c r="B1" s="290"/>
      <c r="C1" s="290"/>
      <c r="D1" s="290"/>
      <c r="E1" s="290"/>
      <c r="F1" s="290"/>
      <c r="G1" s="290"/>
      <c r="H1" s="290"/>
    </row>
    <row r="2" spans="1:10" s="21" customFormat="1" ht="15" customHeight="1">
      <c r="A2" s="318" t="s">
        <v>874</v>
      </c>
      <c r="B2" s="291"/>
      <c r="C2" s="291"/>
      <c r="D2" s="291"/>
      <c r="E2" s="291"/>
      <c r="F2" s="291"/>
      <c r="G2" s="291"/>
      <c r="H2" s="291"/>
    </row>
    <row r="3" spans="1:10" ht="15" customHeight="1">
      <c r="B3" s="53"/>
      <c r="C3" s="23"/>
    </row>
    <row r="4" spans="1:10" ht="15" customHeight="1">
      <c r="A4" s="23" t="s">
        <v>875</v>
      </c>
      <c r="B4" s="186"/>
      <c r="C4" s="186"/>
      <c r="D4" s="186"/>
      <c r="E4" s="186"/>
      <c r="F4" s="202"/>
      <c r="G4" s="203"/>
    </row>
    <row r="5" spans="1:10" ht="15" customHeight="1">
      <c r="A5" s="23" t="s">
        <v>876</v>
      </c>
      <c r="B5" s="186"/>
      <c r="C5" s="186"/>
      <c r="D5" s="186"/>
      <c r="E5" s="186"/>
      <c r="F5" s="202"/>
      <c r="G5" s="203"/>
    </row>
    <row r="6" spans="1:10" ht="15" customHeight="1">
      <c r="A6" s="23" t="s">
        <v>877</v>
      </c>
      <c r="B6" s="95"/>
      <c r="C6" s="178"/>
      <c r="D6" s="178"/>
      <c r="E6" s="178"/>
      <c r="F6" s="204"/>
    </row>
    <row r="7" spans="1:10" ht="15" customHeight="1">
      <c r="B7" s="95"/>
      <c r="C7" s="95"/>
      <c r="D7" s="177"/>
      <c r="E7" s="177"/>
      <c r="F7" s="205"/>
      <c r="G7" s="178"/>
    </row>
    <row r="8" spans="1:10" s="206" customFormat="1" ht="26.25" customHeight="1">
      <c r="A8" s="156" t="s">
        <v>878</v>
      </c>
      <c r="B8" s="179" t="s">
        <v>879</v>
      </c>
      <c r="C8" s="180" t="s">
        <v>880</v>
      </c>
      <c r="D8" s="156" t="s">
        <v>881</v>
      </c>
      <c r="E8" s="156" t="s">
        <v>882</v>
      </c>
      <c r="F8" s="156" t="s">
        <v>883</v>
      </c>
      <c r="G8" s="156" t="s">
        <v>884</v>
      </c>
      <c r="H8" s="156" t="s">
        <v>885</v>
      </c>
      <c r="I8" s="156" t="s">
        <v>886</v>
      </c>
      <c r="J8" s="23"/>
    </row>
    <row r="9" spans="1:10" ht="15" customHeight="1">
      <c r="A9" s="207">
        <v>1</v>
      </c>
      <c r="B9" s="208" t="s">
        <v>887</v>
      </c>
      <c r="C9" s="183">
        <v>0</v>
      </c>
      <c r="D9" s="209" t="s">
        <v>888</v>
      </c>
      <c r="E9" s="100" t="e">
        <f>InvulVloer[[#This Row],[Prijs]]*Tariefsopbouw!$I$37+InvulVloer[[#This Row],[Prijs]]</f>
        <v>#DIV/0!</v>
      </c>
      <c r="F9" s="210" t="e">
        <f>InvulVloer[[#This Row],[2026]]*Tariefsopbouw!$K$37+InvulVloer[[#This Row],[2026]]</f>
        <v>#DIV/0!</v>
      </c>
      <c r="G9" s="210" t="e">
        <f>InvulVloer[[#This Row],[2027]]*Tariefsopbouw!$M$37+InvulVloer[[#This Row],[2027]]</f>
        <v>#DIV/0!</v>
      </c>
      <c r="H9" s="210" t="e">
        <f>InvulVloer[[#This Row],[2028]]*Tariefsopbouw!$O$37+InvulVloer[[#This Row],[2028]]</f>
        <v>#DIV/0!</v>
      </c>
      <c r="I9" s="210" t="e">
        <f>InvulVloer[[#This Row],[2029]]*Tariefsopbouw!$Q$37+InvulVloer[[#This Row],[2029]]</f>
        <v>#DIV/0!</v>
      </c>
    </row>
    <row r="10" spans="1:10" ht="15" customHeight="1">
      <c r="A10" s="211">
        <v>2</v>
      </c>
      <c r="B10" s="212" t="s">
        <v>889</v>
      </c>
      <c r="C10" s="183">
        <v>0</v>
      </c>
      <c r="D10" s="213" t="s">
        <v>890</v>
      </c>
      <c r="E10" s="100" t="e">
        <f>InvulVloer[[#This Row],[Prijs]]*Tariefsopbouw!$I$37+InvulVloer[[#This Row],[Prijs]]</f>
        <v>#DIV/0!</v>
      </c>
      <c r="F10" s="214" t="e">
        <f>InvulVloer[[#This Row],[2026]]*Tariefsopbouw!$K$37+InvulVloer[[#This Row],[2026]]</f>
        <v>#DIV/0!</v>
      </c>
      <c r="G10" s="214" t="e">
        <f>InvulVloer[[#This Row],[2027]]*Tariefsopbouw!$M$37+InvulVloer[[#This Row],[2027]]</f>
        <v>#DIV/0!</v>
      </c>
      <c r="H10" s="214" t="e">
        <f>InvulVloer[[#This Row],[2028]]*Tariefsopbouw!$O$37+InvulVloer[[#This Row],[2028]]</f>
        <v>#DIV/0!</v>
      </c>
      <c r="I10" s="214" t="e">
        <f>InvulVloer[[#This Row],[2029]]*Tariefsopbouw!$Q$37+InvulVloer[[#This Row],[2029]]</f>
        <v>#DIV/0!</v>
      </c>
    </row>
    <row r="11" spans="1:10" ht="15" customHeight="1">
      <c r="A11" s="207">
        <v>3</v>
      </c>
      <c r="B11" s="208" t="s">
        <v>891</v>
      </c>
      <c r="C11" s="183">
        <v>0</v>
      </c>
      <c r="D11" s="209" t="s">
        <v>890</v>
      </c>
      <c r="E11" s="100" t="e">
        <f>InvulVloer[[#This Row],[Prijs]]*Tariefsopbouw!$I$37+InvulVloer[[#This Row],[Prijs]]</f>
        <v>#DIV/0!</v>
      </c>
      <c r="F11" s="215" t="e">
        <f>InvulVloer[[#This Row],[2026]]*Tariefsopbouw!$K$37+InvulVloer[[#This Row],[2026]]</f>
        <v>#DIV/0!</v>
      </c>
      <c r="G11" s="215" t="e">
        <f>InvulVloer[[#This Row],[2027]]*Tariefsopbouw!$M$37+InvulVloer[[#This Row],[2027]]</f>
        <v>#DIV/0!</v>
      </c>
      <c r="H11" s="215" t="e">
        <f>InvulVloer[[#This Row],[2028]]*Tariefsopbouw!$O$37+InvulVloer[[#This Row],[2028]]</f>
        <v>#DIV/0!</v>
      </c>
      <c r="I11" s="215" t="e">
        <f>InvulVloer[[#This Row],[2029]]*Tariefsopbouw!$Q$37+InvulVloer[[#This Row],[2029]]</f>
        <v>#DIV/0!</v>
      </c>
    </row>
    <row r="12" spans="1:10" ht="15" customHeight="1">
      <c r="A12" s="211">
        <v>4</v>
      </c>
      <c r="B12" s="212" t="s">
        <v>892</v>
      </c>
      <c r="C12" s="183">
        <v>0</v>
      </c>
      <c r="D12" s="213" t="s">
        <v>888</v>
      </c>
      <c r="E12" s="100" t="e">
        <f>InvulVloer[[#This Row],[Prijs]]*Tariefsopbouw!$I$37+InvulVloer[[#This Row],[Prijs]]</f>
        <v>#DIV/0!</v>
      </c>
      <c r="F12" s="214" t="e">
        <f>InvulVloer[[#This Row],[2026]]*Tariefsopbouw!$K$37+InvulVloer[[#This Row],[2026]]</f>
        <v>#DIV/0!</v>
      </c>
      <c r="G12" s="214" t="e">
        <f>InvulVloer[[#This Row],[2027]]*Tariefsopbouw!$M$37+InvulVloer[[#This Row],[2027]]</f>
        <v>#DIV/0!</v>
      </c>
      <c r="H12" s="214" t="e">
        <f>InvulVloer[[#This Row],[2028]]*Tariefsopbouw!$O$37+InvulVloer[[#This Row],[2028]]</f>
        <v>#DIV/0!</v>
      </c>
      <c r="I12" s="214" t="e">
        <f>InvulVloer[[#This Row],[2029]]*Tariefsopbouw!$Q$37+InvulVloer[[#This Row],[2029]]</f>
        <v>#DIV/0!</v>
      </c>
    </row>
    <row r="13" spans="1:10" ht="15" customHeight="1">
      <c r="A13" s="207">
        <v>5</v>
      </c>
      <c r="B13" s="208" t="s">
        <v>893</v>
      </c>
      <c r="C13" s="183">
        <v>0</v>
      </c>
      <c r="D13" s="209" t="s">
        <v>888</v>
      </c>
      <c r="E13" s="100" t="e">
        <f>InvulVloer[[#This Row],[Prijs]]*Tariefsopbouw!$I$37+InvulVloer[[#This Row],[Prijs]]</f>
        <v>#DIV/0!</v>
      </c>
      <c r="F13" s="215" t="e">
        <f>InvulVloer[[#This Row],[2026]]*Tariefsopbouw!$K$37+InvulVloer[[#This Row],[2026]]</f>
        <v>#DIV/0!</v>
      </c>
      <c r="G13" s="215" t="e">
        <f>InvulVloer[[#This Row],[2027]]*Tariefsopbouw!$M$37+InvulVloer[[#This Row],[2027]]</f>
        <v>#DIV/0!</v>
      </c>
      <c r="H13" s="215" t="e">
        <f>InvulVloer[[#This Row],[2028]]*Tariefsopbouw!$O$37+InvulVloer[[#This Row],[2028]]</f>
        <v>#DIV/0!</v>
      </c>
      <c r="I13" s="215" t="e">
        <f>InvulVloer[[#This Row],[2029]]*Tariefsopbouw!$Q$37+InvulVloer[[#This Row],[2029]]</f>
        <v>#DIV/0!</v>
      </c>
    </row>
    <row r="14" spans="1:10" ht="15" customHeight="1">
      <c r="A14" s="211">
        <v>6</v>
      </c>
      <c r="B14" s="212" t="s">
        <v>894</v>
      </c>
      <c r="C14" s="183">
        <v>0</v>
      </c>
      <c r="D14" s="213" t="s">
        <v>888</v>
      </c>
      <c r="E14" s="100" t="e">
        <f>InvulVloer[[#This Row],[Prijs]]*Tariefsopbouw!$I$37+InvulVloer[[#This Row],[Prijs]]</f>
        <v>#DIV/0!</v>
      </c>
      <c r="F14" s="214" t="e">
        <f>InvulVloer[[#This Row],[2026]]*Tariefsopbouw!$K$37+InvulVloer[[#This Row],[2026]]</f>
        <v>#DIV/0!</v>
      </c>
      <c r="G14" s="214" t="e">
        <f>InvulVloer[[#This Row],[2027]]*Tariefsopbouw!$M$37+InvulVloer[[#This Row],[2027]]</f>
        <v>#DIV/0!</v>
      </c>
      <c r="H14" s="214" t="e">
        <f>InvulVloer[[#This Row],[2028]]*Tariefsopbouw!$O$37+InvulVloer[[#This Row],[2028]]</f>
        <v>#DIV/0!</v>
      </c>
      <c r="I14" s="214" t="e">
        <f>InvulVloer[[#This Row],[2029]]*Tariefsopbouw!$Q$37+InvulVloer[[#This Row],[2029]]</f>
        <v>#DIV/0!</v>
      </c>
    </row>
    <row r="15" spans="1:10" ht="15" customHeight="1">
      <c r="A15" s="207">
        <v>7</v>
      </c>
      <c r="B15" s="209" t="s">
        <v>895</v>
      </c>
      <c r="C15" s="183">
        <v>0</v>
      </c>
      <c r="D15" s="209" t="s">
        <v>888</v>
      </c>
      <c r="E15" s="100" t="e">
        <f>InvulVloer[[#This Row],[Prijs]]*Tariefsopbouw!$I$37+InvulVloer[[#This Row],[Prijs]]</f>
        <v>#DIV/0!</v>
      </c>
      <c r="F15" s="215" t="e">
        <f>InvulVloer[[#This Row],[2026]]*Tariefsopbouw!$K$37+InvulVloer[[#This Row],[2026]]</f>
        <v>#DIV/0!</v>
      </c>
      <c r="G15" s="215" t="e">
        <f>InvulVloer[[#This Row],[2027]]*Tariefsopbouw!$M$37+InvulVloer[[#This Row],[2027]]</f>
        <v>#DIV/0!</v>
      </c>
      <c r="H15" s="215" t="e">
        <f>InvulVloer[[#This Row],[2028]]*Tariefsopbouw!$O$37+InvulVloer[[#This Row],[2028]]</f>
        <v>#DIV/0!</v>
      </c>
      <c r="I15" s="215" t="e">
        <f>InvulVloer[[#This Row],[2029]]*Tariefsopbouw!$Q$37+InvulVloer[[#This Row],[2029]]</f>
        <v>#DIV/0!</v>
      </c>
    </row>
    <row r="16" spans="1:10" ht="15" customHeight="1">
      <c r="A16" s="211">
        <v>8</v>
      </c>
      <c r="B16" s="216" t="s">
        <v>896</v>
      </c>
      <c r="C16" s="183">
        <v>0</v>
      </c>
      <c r="D16" s="213" t="s">
        <v>888</v>
      </c>
      <c r="E16" s="100" t="e">
        <f>InvulVloer[[#This Row],[Prijs]]*Tariefsopbouw!$I$37+InvulVloer[[#This Row],[Prijs]]</f>
        <v>#DIV/0!</v>
      </c>
      <c r="F16" s="214" t="e">
        <f>InvulVloer[[#This Row],[2026]]*Tariefsopbouw!$K$37+InvulVloer[[#This Row],[2026]]</f>
        <v>#DIV/0!</v>
      </c>
      <c r="G16" s="214" t="e">
        <f>InvulVloer[[#This Row],[2027]]*Tariefsopbouw!$M$37+InvulVloer[[#This Row],[2027]]</f>
        <v>#DIV/0!</v>
      </c>
      <c r="H16" s="214" t="e">
        <f>InvulVloer[[#This Row],[2028]]*Tariefsopbouw!$O$37+InvulVloer[[#This Row],[2028]]</f>
        <v>#DIV/0!</v>
      </c>
      <c r="I16" s="214" t="e">
        <f>InvulVloer[[#This Row],[2029]]*Tariefsopbouw!$Q$37+InvulVloer[[#This Row],[2029]]</f>
        <v>#DIV/0!</v>
      </c>
    </row>
    <row r="17" spans="1:9" ht="15" customHeight="1">
      <c r="A17" s="207">
        <v>9</v>
      </c>
      <c r="B17" s="217" t="s">
        <v>897</v>
      </c>
      <c r="C17" s="183">
        <v>0</v>
      </c>
      <c r="D17" s="209" t="s">
        <v>888</v>
      </c>
      <c r="E17" s="161" t="e">
        <f>InvulVloer[[#This Row],[Prijs]]*Tariefsopbouw!$I$37+InvulVloer[[#This Row],[Prijs]]</f>
        <v>#DIV/0!</v>
      </c>
      <c r="F17" s="161" t="e">
        <f>InvulVloer[[#This Row],[2026]]*Tariefsopbouw!$K$37+InvulVloer[[#This Row],[2026]]</f>
        <v>#DIV/0!</v>
      </c>
      <c r="G17" s="161" t="e">
        <f>InvulVloer[[#This Row],[2027]]*Tariefsopbouw!$M$37+InvulVloer[[#This Row],[2027]]</f>
        <v>#DIV/0!</v>
      </c>
      <c r="H17" s="161" t="e">
        <f>InvulVloer[[#This Row],[2028]]*Tariefsopbouw!$O$37+InvulVloer[[#This Row],[2028]]</f>
        <v>#DIV/0!</v>
      </c>
      <c r="I17" s="161" t="e">
        <f>InvulVloer[[#This Row],[2029]]*Tariefsopbouw!$Q$37+InvulVloer[[#This Row],[2029]]</f>
        <v>#DIV/0!</v>
      </c>
    </row>
    <row r="18" spans="1:9" ht="15" customHeight="1">
      <c r="A18" s="211">
        <v>10</v>
      </c>
      <c r="B18" s="78" t="s">
        <v>898</v>
      </c>
      <c r="C18" s="183">
        <v>0</v>
      </c>
      <c r="D18" s="213" t="s">
        <v>888</v>
      </c>
      <c r="E18" s="100" t="e">
        <f>InvulVloer[[#This Row],[Prijs]]*Tariefsopbouw!$I$37+InvulVloer[[#This Row],[Prijs]]</f>
        <v>#DIV/0!</v>
      </c>
      <c r="F18" s="214" t="e">
        <f>InvulVloer[[#This Row],[2026]]*Tariefsopbouw!$K$37+InvulVloer[[#This Row],[2026]]</f>
        <v>#DIV/0!</v>
      </c>
      <c r="G18" s="214" t="e">
        <f>InvulVloer[[#This Row],[2027]]*Tariefsopbouw!$M$37+InvulVloer[[#This Row],[2027]]</f>
        <v>#DIV/0!</v>
      </c>
      <c r="H18" s="214" t="e">
        <f>InvulVloer[[#This Row],[2028]]*Tariefsopbouw!$O$37+InvulVloer[[#This Row],[2028]]</f>
        <v>#DIV/0!</v>
      </c>
      <c r="I18" s="214" t="e">
        <f>InvulVloer[[#This Row],[2029]]*Tariefsopbouw!$Q$37+InvulVloer[[#This Row],[2029]]</f>
        <v>#DIV/0!</v>
      </c>
    </row>
    <row r="19" spans="1:9" ht="15" customHeight="1">
      <c r="C19" s="186"/>
      <c r="D19" s="186"/>
    </row>
    <row r="20" spans="1:9" s="218" customFormat="1" ht="26.25" customHeight="1">
      <c r="A20" s="187" t="s">
        <v>899</v>
      </c>
      <c r="B20" s="187" t="s">
        <v>16</v>
      </c>
      <c r="C20" s="187" t="s">
        <v>878</v>
      </c>
      <c r="D20" s="188" t="s">
        <v>879</v>
      </c>
      <c r="E20" s="188" t="s">
        <v>900</v>
      </c>
      <c r="F20" s="188" t="s">
        <v>901</v>
      </c>
      <c r="G20" s="189" t="s">
        <v>902</v>
      </c>
      <c r="H20" s="190" t="s">
        <v>903</v>
      </c>
    </row>
    <row r="21" spans="1:9" ht="15" customHeight="1">
      <c r="A21" s="181">
        <v>1</v>
      </c>
      <c r="B21" s="184" t="str">
        <f>VLOOKUP(OverzichtVloer[[#This Row],[Code Locatie]],Locaties[],2,0)</f>
        <v>Ir. Lely Lyceum</v>
      </c>
      <c r="C21" s="181">
        <v>1</v>
      </c>
      <c r="D21" s="219" t="str">
        <f>IF(Vloeronderhoud!$C21&gt;0,VLOOKUP(Vloeronderhoud!$C21,$A$8:$B$18,2,FALSE),"")</f>
        <v>Sprayen/opblokken</v>
      </c>
      <c r="E21" s="194" t="s">
        <v>280</v>
      </c>
      <c r="F21" s="220">
        <f>SUMIFS('Ruimtestaat'!$N:$N,'Ruimtestaat'!L:L,Vloeronderhoud!E21,'Ruimtestaat'!A:A,Vloeronderhoud!A21)</f>
        <v>7761.0499999999993</v>
      </c>
      <c r="G21" s="194">
        <v>1</v>
      </c>
      <c r="H21" s="195">
        <f>VLOOKUP(OverzichtVloer[[#This Row],[Code Taak]],InvulVloer[],3,3)*F21*G21</f>
        <v>0</v>
      </c>
    </row>
    <row r="22" spans="1:9" ht="15.75" customHeight="1">
      <c r="A22" s="181">
        <v>1</v>
      </c>
      <c r="B22" s="184" t="str">
        <f>VLOOKUP(OverzichtVloer[[#This Row],[Code Locatie]],Locaties[],2,0)</f>
        <v>Ir. Lely Lyceum</v>
      </c>
      <c r="C22" s="181">
        <v>2</v>
      </c>
      <c r="D22" s="219" t="str">
        <f>IF(Vloeronderhoud!$C22&gt;0,VLOOKUP(Vloeronderhoud!$C22,$A$8:$B$18,2,FALSE),"")</f>
        <v>Topstrippen en conserveren</v>
      </c>
      <c r="E22" s="194" t="s">
        <v>280</v>
      </c>
      <c r="F22" s="220">
        <f>SUMIFS('Ruimtestaat'!$N:$N,'Ruimtestaat'!L:L,Vloeronderhoud!E22,'Ruimtestaat'!A:A,Vloeronderhoud!A22)</f>
        <v>7761.0499999999993</v>
      </c>
      <c r="G22" s="194">
        <v>1</v>
      </c>
      <c r="H22" s="195">
        <f>VLOOKUP(OverzichtVloer[[#This Row],[Code Taak]],InvulVloer[],3,3)*F22*G22</f>
        <v>0</v>
      </c>
    </row>
    <row r="23" spans="1:9" ht="15.75" customHeight="1">
      <c r="A23" s="181">
        <v>1</v>
      </c>
      <c r="B23" s="184" t="str">
        <f>VLOOKUP(OverzichtVloer[[#This Row],[Code Locatie]],Locaties[],2,0)</f>
        <v>Ir. Lely Lyceum</v>
      </c>
      <c r="C23" s="181">
        <v>3</v>
      </c>
      <c r="D23" s="219" t="str">
        <f>IF(Vloeronderhoud!$C23&gt;0,VLOOKUP(Vloeronderhoud!$C23,$A$8:$B$18,2,FALSE),"")</f>
        <v>Diepstrippen, sealen en conserveren</v>
      </c>
      <c r="E23" s="194" t="s">
        <v>280</v>
      </c>
      <c r="F23" s="220">
        <f>SUMIFS('Ruimtestaat'!$N:$N,'Ruimtestaat'!L:L,Vloeronderhoud!E23,'Ruimtestaat'!A:A,Vloeronderhoud!A23)</f>
        <v>7761.0499999999993</v>
      </c>
      <c r="G23" s="194">
        <v>0.25</v>
      </c>
      <c r="H23" s="195">
        <f>VLOOKUP(OverzichtVloer[[#This Row],[Code Taak]],InvulVloer[],3,3)*F23*G23</f>
        <v>0</v>
      </c>
    </row>
    <row r="24" spans="1:9" ht="15.75" customHeight="1">
      <c r="A24" s="181">
        <v>1</v>
      </c>
      <c r="B24" s="184" t="str">
        <f>VLOOKUP(OverzichtVloer[[#This Row],[Code Locatie]],Locaties[],2,0)</f>
        <v>Ir. Lely Lyceum</v>
      </c>
      <c r="C24" s="181">
        <v>4</v>
      </c>
      <c r="D24" s="219" t="str">
        <f>IF(Vloeronderhoud!$C24&gt;0,VLOOKUP(Vloeronderhoud!$C24,$A$8:$B$18,2,FALSE),"")</f>
        <v>Tapijtreinigen, sproei-extractiemethode</v>
      </c>
      <c r="E24" s="194" t="s">
        <v>283</v>
      </c>
      <c r="F24" s="220">
        <f>SUMIFS('Ruimtestaat'!$N:$N,'Ruimtestaat'!L:L,Vloeronderhoud!E24,'Ruimtestaat'!A:A,Vloeronderhoud!A24)</f>
        <v>719.3</v>
      </c>
      <c r="G24" s="194">
        <v>1</v>
      </c>
      <c r="H24" s="195">
        <f>VLOOKUP(OverzichtVloer[[#This Row],[Code Taak]],InvulVloer[],3,3)*F24*G24</f>
        <v>0</v>
      </c>
    </row>
    <row r="25" spans="1:9" ht="15.75" customHeight="1">
      <c r="A25" s="181">
        <v>1</v>
      </c>
      <c r="B25" s="184" t="str">
        <f>VLOOKUP(OverzichtVloer[[#This Row],[Code Locatie]],Locaties[],2,0)</f>
        <v>Ir. Lely Lyceum</v>
      </c>
      <c r="C25" s="181">
        <v>9</v>
      </c>
      <c r="D25" s="219" t="str">
        <f>IF(Vloeronderhoud!$C25&gt;0,VLOOKUP(Vloeronderhoud!$C25,$A$8:$B$18,2,FALSE),"")</f>
        <v>Natuursteen conserveren, bijv. marmer, travertin of leisteen</v>
      </c>
      <c r="E25" s="194" t="s">
        <v>285</v>
      </c>
      <c r="F25" s="220">
        <f>SUMIFS('Ruimtestaat'!$N:$N,'Ruimtestaat'!L:L,Vloeronderhoud!E25,'Ruimtestaat'!A:A,Vloeronderhoud!A25)</f>
        <v>377.3</v>
      </c>
      <c r="G25" s="194">
        <v>1</v>
      </c>
      <c r="H25" s="195">
        <f>VLOOKUP(OverzichtVloer[[#This Row],[Code Taak]],InvulVloer[],3,3)*F25*G25</f>
        <v>0</v>
      </c>
    </row>
    <row r="26" spans="1:9" ht="15.75" customHeight="1">
      <c r="A26" s="181">
        <v>1</v>
      </c>
      <c r="B26" s="184" t="str">
        <f>VLOOKUP(OverzichtVloer[[#This Row],[Code Locatie]],Locaties[],2,0)</f>
        <v>Ir. Lely Lyceum</v>
      </c>
      <c r="C26" s="181">
        <v>9</v>
      </c>
      <c r="D26" s="219" t="str">
        <f>IF(Vloeronderhoud!$C26&gt;0,VLOOKUP(Vloeronderhoud!$C26,$A$8:$B$18,2,FALSE),"")</f>
        <v>Natuursteen conserveren, bijv. marmer, travertin of leisteen</v>
      </c>
      <c r="E26" s="194" t="s">
        <v>288</v>
      </c>
      <c r="F26" s="220">
        <f>SUMIFS('Ruimtestaat'!$N:$N,'Ruimtestaat'!L:L,Vloeronderhoud!E26,'Ruimtestaat'!A:A,Vloeronderhoud!A26)</f>
        <v>1004</v>
      </c>
      <c r="G26" s="194">
        <v>1</v>
      </c>
      <c r="H26" s="195">
        <f>VLOOKUP(OverzichtVloer[[#This Row],[Code Taak]],InvulVloer[],3,3)*F26*G26</f>
        <v>0</v>
      </c>
    </row>
    <row r="27" spans="1:9" ht="15.75" customHeight="1">
      <c r="A27" s="181">
        <v>2</v>
      </c>
      <c r="B27" s="184" t="str">
        <f>VLOOKUP(OverzichtVloer[[#This Row],[Code Locatie]],Locaties[],2,0)</f>
        <v>Open Schoolgemeenschap Bijlmer</v>
      </c>
      <c r="C27" s="181">
        <v>1</v>
      </c>
      <c r="D27" s="219" t="str">
        <f>IF(Vloeronderhoud!$C27&gt;0,VLOOKUP(Vloeronderhoud!$C27,$A$8:$B$18,2,FALSE),"")</f>
        <v>Sprayen/opblokken</v>
      </c>
      <c r="E27" s="194" t="s">
        <v>280</v>
      </c>
      <c r="F27" s="220">
        <f>SUMIFS('Ruimtestaat'!$N:$N,'Ruimtestaat'!L:L,Vloeronderhoud!E27,'Ruimtestaat'!A:A,Vloeronderhoud!A27)</f>
        <v>1126.7319999999997</v>
      </c>
      <c r="G27" s="194">
        <v>1</v>
      </c>
      <c r="H27" s="195">
        <f>VLOOKUP(OverzichtVloer[[#This Row],[Code Taak]],InvulVloer[],3,3)*F27*G27</f>
        <v>0</v>
      </c>
    </row>
    <row r="28" spans="1:9" ht="15.75" customHeight="1">
      <c r="A28" s="181">
        <v>2</v>
      </c>
      <c r="B28" s="184" t="str">
        <f>VLOOKUP(OverzichtVloer[[#This Row],[Code Locatie]],Locaties[],2,0)</f>
        <v>Open Schoolgemeenschap Bijlmer</v>
      </c>
      <c r="C28" s="181">
        <v>2</v>
      </c>
      <c r="D28" s="219" t="str">
        <f>IF(Vloeronderhoud!$C28&gt;0,VLOOKUP(Vloeronderhoud!$C28,$A$8:$B$18,2,FALSE),"")</f>
        <v>Topstrippen en conserveren</v>
      </c>
      <c r="E28" s="194" t="s">
        <v>280</v>
      </c>
      <c r="F28" s="220">
        <f>SUMIFS('Ruimtestaat'!$N:$N,'Ruimtestaat'!L:L,Vloeronderhoud!E28,'Ruimtestaat'!A:A,Vloeronderhoud!A28)</f>
        <v>1126.7319999999997</v>
      </c>
      <c r="G28" s="194">
        <v>1</v>
      </c>
      <c r="H28" s="195">
        <f>VLOOKUP(OverzichtVloer[[#This Row],[Code Taak]],InvulVloer[],3,3)*F28*G28</f>
        <v>0</v>
      </c>
    </row>
    <row r="29" spans="1:9" ht="15" customHeight="1">
      <c r="A29" s="181">
        <v>2</v>
      </c>
      <c r="B29" s="184" t="str">
        <f>VLOOKUP(OverzichtVloer[[#This Row],[Code Locatie]],Locaties[],2,0)</f>
        <v>Open Schoolgemeenschap Bijlmer</v>
      </c>
      <c r="C29" s="181">
        <v>3</v>
      </c>
      <c r="D29" s="219" t="str">
        <f>IF(Vloeronderhoud!$C29&gt;0,VLOOKUP(Vloeronderhoud!$C29,$A$8:$B$18,2,FALSE),"")</f>
        <v>Diepstrippen, sealen en conserveren</v>
      </c>
      <c r="E29" s="194" t="s">
        <v>280</v>
      </c>
      <c r="F29" s="220">
        <f>SUMIFS('Ruimtestaat'!$N:$N,'Ruimtestaat'!L:L,Vloeronderhoud!E29,'Ruimtestaat'!A:A,Vloeronderhoud!A29)</f>
        <v>1126.7319999999997</v>
      </c>
      <c r="G29" s="194">
        <v>0.25</v>
      </c>
      <c r="H29" s="195">
        <f>VLOOKUP(OverzichtVloer[[#This Row],[Code Taak]],InvulVloer[],3,3)*F29*G29</f>
        <v>0</v>
      </c>
    </row>
    <row r="30" spans="1:9" ht="15" customHeight="1">
      <c r="A30" s="181">
        <v>2</v>
      </c>
      <c r="B30" s="184" t="str">
        <f>VLOOKUP(OverzichtVloer[[#This Row],[Code Locatie]],Locaties[],2,0)</f>
        <v>Open Schoolgemeenschap Bijlmer</v>
      </c>
      <c r="C30" s="181">
        <v>4</v>
      </c>
      <c r="D30" s="219" t="str">
        <f>IF(Vloeronderhoud!$C30&gt;0,VLOOKUP(Vloeronderhoud!$C30,$A$8:$B$18,2,FALSE),"")</f>
        <v>Tapijtreinigen, sproei-extractiemethode</v>
      </c>
      <c r="E30" s="194" t="s">
        <v>283</v>
      </c>
      <c r="F30" s="220">
        <f>SUMIFS('Ruimtestaat'!$N:$N,'Ruimtestaat'!L:L,Vloeronderhoud!E30,'Ruimtestaat'!A:A,Vloeronderhoud!A30)</f>
        <v>1432.1058499999999</v>
      </c>
      <c r="G30" s="194">
        <v>1</v>
      </c>
      <c r="H30" s="195">
        <f>VLOOKUP(OverzichtVloer[[#This Row],[Code Taak]],InvulVloer[],3,3)*F30*G30</f>
        <v>0</v>
      </c>
    </row>
    <row r="31" spans="1:9" ht="15" customHeight="1">
      <c r="A31" s="181">
        <v>2</v>
      </c>
      <c r="B31" s="184" t="str">
        <f>VLOOKUP(OverzichtVloer[[#This Row],[Code Locatie]],Locaties[],2,0)</f>
        <v>Open Schoolgemeenschap Bijlmer</v>
      </c>
      <c r="C31" s="181">
        <v>7</v>
      </c>
      <c r="D31" s="219" t="str">
        <f>IF(Vloeronderhoud!$C31&gt;0,VLOOKUP(Vloeronderhoud!$C31,$A$8:$B$18,2,FALSE),"")</f>
        <v>Handmatig schrobben en droogzuigen</v>
      </c>
      <c r="E31" s="194" t="s">
        <v>291</v>
      </c>
      <c r="F31" s="220">
        <f>SUMIFS('Ruimtestaat'!$N:$N,'Ruimtestaat'!L:L,Vloeronderhoud!E31,'Ruimtestaat'!A:A,Vloeronderhoud!A31)</f>
        <v>529.15000000000009</v>
      </c>
      <c r="G31" s="194">
        <v>1</v>
      </c>
      <c r="H31" s="195">
        <f>VLOOKUP(OverzichtVloer[[#This Row],[Code Taak]],InvulVloer[],3,3)*F31*G31</f>
        <v>0</v>
      </c>
    </row>
    <row r="32" spans="1:9" ht="15" customHeight="1">
      <c r="A32" s="181">
        <v>2</v>
      </c>
      <c r="B32" s="184" t="str">
        <f>VLOOKUP(OverzichtVloer[[#This Row],[Code Locatie]],Locaties[],2,0)</f>
        <v>Open Schoolgemeenschap Bijlmer</v>
      </c>
      <c r="C32" s="181">
        <v>9</v>
      </c>
      <c r="D32" s="219" t="str">
        <f>IF(Vloeronderhoud!$C32&gt;0,VLOOKUP(Vloeronderhoud!$C32,$A$8:$B$18,2,FALSE),"")</f>
        <v>Natuursteen conserveren, bijv. marmer, travertin of leisteen</v>
      </c>
      <c r="E32" s="194" t="s">
        <v>285</v>
      </c>
      <c r="F32" s="220">
        <f>SUMIFS('Ruimtestaat'!$N:$N,'Ruimtestaat'!L:L,Vloeronderhoud!E32,'Ruimtestaat'!A:A,Vloeronderhoud!A32)</f>
        <v>8233.3069999999934</v>
      </c>
      <c r="G32" s="194">
        <v>1</v>
      </c>
      <c r="H32" s="195">
        <f>VLOOKUP(OverzichtVloer[[#This Row],[Code Taak]],InvulVloer[],3,3)*F32*G32</f>
        <v>0</v>
      </c>
    </row>
    <row r="33" spans="1:8" ht="15" customHeight="1">
      <c r="A33" s="181">
        <v>2</v>
      </c>
      <c r="B33" s="184" t="str">
        <f>VLOOKUP(OverzichtVloer[[#This Row],[Code Locatie]],Locaties[],2,0)</f>
        <v>Open Schoolgemeenschap Bijlmer</v>
      </c>
      <c r="C33" s="181">
        <v>9</v>
      </c>
      <c r="D33" s="219" t="str">
        <f>IF(Vloeronderhoud!$C33&gt;0,VLOOKUP(Vloeronderhoud!$C33,$A$8:$B$18,2,FALSE),"")</f>
        <v>Natuursteen conserveren, bijv. marmer, travertin of leisteen</v>
      </c>
      <c r="E33" s="194" t="s">
        <v>288</v>
      </c>
      <c r="F33" s="220">
        <f>SUMIFS('Ruimtestaat'!$N:$N,'Ruimtestaat'!L:L,Vloeronderhoud!E33,'Ruimtestaat'!A:A,Vloeronderhoud!A33)</f>
        <v>2388.4256999999998</v>
      </c>
      <c r="G33" s="194">
        <v>1</v>
      </c>
      <c r="H33" s="195">
        <f>VLOOKUP(OverzichtVloer[[#This Row],[Code Taak]],InvulVloer[],3,3)*F33*G33</f>
        <v>0</v>
      </c>
    </row>
    <row r="34" spans="1:8" ht="15" customHeight="1">
      <c r="A34" s="221"/>
      <c r="B34" s="222" t="s">
        <v>904</v>
      </c>
      <c r="C34" s="221"/>
      <c r="D34" s="223"/>
      <c r="E34" s="221"/>
      <c r="F34" s="224"/>
      <c r="G34" s="221"/>
      <c r="H34" s="225">
        <f>SUBTOTAL(109,OverzichtVloer[Kosten/jaar excl. BTW])</f>
        <v>0</v>
      </c>
    </row>
    <row r="35" spans="1:8" ht="15" customHeight="1">
      <c r="A35" s="226"/>
      <c r="C35" s="186"/>
      <c r="D35" s="186"/>
      <c r="E35" s="186"/>
      <c r="F35" s="205"/>
      <c r="G35" s="227"/>
      <c r="H35" s="203"/>
    </row>
  </sheetData>
  <mergeCells count="2">
    <mergeCell ref="A1:H1"/>
    <mergeCell ref="A2:H2"/>
  </mergeCells>
  <phoneticPr fontId="23" type="noConversion"/>
  <pageMargins left="0.70866141732283472" right="0.70866141732283472" top="0.35433070866141736" bottom="0.47244094488188981" header="0.31496062992125984" footer="0.31496062992125984"/>
  <pageSetup paperSize="9" scale="56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93"/>
  <sheetViews>
    <sheetView view="pageBreakPreview" zoomScaleNormal="100" zoomScaleSheetLayoutView="100" workbookViewId="0">
      <selection sqref="A1:G1"/>
    </sheetView>
  </sheetViews>
  <sheetFormatPr defaultColWidth="9.140625" defaultRowHeight="12"/>
  <cols>
    <col min="1" max="1" width="11.5703125" style="53" customWidth="1"/>
    <col min="2" max="2" width="47.42578125" style="23" bestFit="1" customWidth="1"/>
    <col min="3" max="3" width="12.5703125" style="23" customWidth="1"/>
    <col min="4" max="4" width="52.140625" style="53" bestFit="1" customWidth="1"/>
    <col min="5" max="5" width="19" style="23" customWidth="1"/>
    <col min="6" max="6" width="17.7109375" style="23" bestFit="1" customWidth="1"/>
    <col min="7" max="7" width="18" style="23" customWidth="1"/>
    <col min="8" max="8" width="17.5703125" style="23" customWidth="1"/>
    <col min="9" max="9" width="27.5703125" style="23" customWidth="1"/>
    <col min="10" max="16384" width="9.140625" style="23"/>
  </cols>
  <sheetData>
    <row r="1" spans="1:9" s="21" customFormat="1" ht="26.25" customHeight="1">
      <c r="A1" s="308" t="s">
        <v>905</v>
      </c>
      <c r="B1" s="308"/>
      <c r="C1" s="308"/>
      <c r="D1" s="308"/>
      <c r="E1" s="308"/>
      <c r="F1" s="308"/>
      <c r="G1" s="308"/>
      <c r="H1" s="174"/>
    </row>
    <row r="2" spans="1:9" s="21" customFormat="1" ht="15" customHeight="1">
      <c r="A2" s="306" t="s">
        <v>874</v>
      </c>
      <c r="B2" s="320"/>
      <c r="C2" s="320"/>
      <c r="D2" s="320"/>
      <c r="E2" s="320"/>
      <c r="F2" s="320"/>
      <c r="G2" s="320"/>
      <c r="H2" s="321"/>
    </row>
    <row r="3" spans="1:9" ht="15" customHeight="1">
      <c r="B3" s="53"/>
      <c r="D3" s="175"/>
      <c r="E3" s="176"/>
    </row>
    <row r="4" spans="1:9" ht="15" customHeight="1">
      <c r="A4" s="23" t="s">
        <v>906</v>
      </c>
      <c r="B4" s="53"/>
      <c r="D4" s="175"/>
      <c r="E4" s="175"/>
    </row>
    <row r="5" spans="1:9" ht="15" customHeight="1">
      <c r="A5" s="23" t="s">
        <v>876</v>
      </c>
      <c r="B5" s="53"/>
      <c r="D5" s="23"/>
    </row>
    <row r="6" spans="1:9" ht="15" customHeight="1">
      <c r="A6" s="23" t="s">
        <v>907</v>
      </c>
      <c r="B6" s="95"/>
      <c r="C6" s="95"/>
      <c r="D6" s="177"/>
      <c r="E6" s="177"/>
      <c r="F6" s="178"/>
      <c r="G6" s="178"/>
    </row>
    <row r="7" spans="1:9" ht="15" customHeight="1">
      <c r="A7" s="23"/>
      <c r="B7" s="95"/>
      <c r="C7" s="95"/>
      <c r="D7" s="177"/>
      <c r="E7" s="319" t="s">
        <v>178</v>
      </c>
      <c r="F7" s="319"/>
      <c r="G7" s="319"/>
      <c r="H7" s="319"/>
      <c r="I7" s="319"/>
    </row>
    <row r="8" spans="1:9" s="25" customFormat="1" ht="26.25" customHeight="1">
      <c r="A8" s="156" t="s">
        <v>908</v>
      </c>
      <c r="B8" s="179" t="s">
        <v>909</v>
      </c>
      <c r="C8" s="180" t="s">
        <v>910</v>
      </c>
      <c r="D8" s="156" t="s">
        <v>911</v>
      </c>
      <c r="E8" s="156" t="s">
        <v>882</v>
      </c>
      <c r="F8" s="156" t="s">
        <v>883</v>
      </c>
      <c r="G8" s="156" t="s">
        <v>884</v>
      </c>
      <c r="H8" s="156" t="s">
        <v>885</v>
      </c>
      <c r="I8" s="156" t="s">
        <v>886</v>
      </c>
    </row>
    <row r="9" spans="1:9" ht="15" customHeight="1">
      <c r="A9" s="181">
        <v>1</v>
      </c>
      <c r="B9" s="182" t="s">
        <v>912</v>
      </c>
      <c r="C9" s="183">
        <v>0</v>
      </c>
      <c r="D9" s="184" t="s">
        <v>913</v>
      </c>
      <c r="E9" s="100" t="e">
        <f>(InvulGlas[[#This Row],[Prijs excl. BTW]]*Tariefsopbouw!$I$37)+InvulGlas[[#This Row],[Prijs excl. BTW]]</f>
        <v>#DIV/0!</v>
      </c>
      <c r="F9" s="100" t="e">
        <f>(InvulGlas[[#This Row],[2026]]*Tariefsopbouw!$K$37)+InvulGlas[[#This Row],[2026]]</f>
        <v>#DIV/0!</v>
      </c>
      <c r="G9" s="100" t="e">
        <f>(InvulGlas[[#This Row],[2027]]*Tariefsopbouw!$M$37)+InvulGlas[[#This Row],[2027]]</f>
        <v>#DIV/0!</v>
      </c>
      <c r="H9" s="100" t="e">
        <f>(InvulGlas[[#This Row],[2028]]*Tariefsopbouw!$O$37)+InvulGlas[[#This Row],[2028]]</f>
        <v>#DIV/0!</v>
      </c>
      <c r="I9" s="100" t="e">
        <f>(InvulGlas[[#This Row],[2029]]*Tariefsopbouw!$Q$37)+InvulGlas[[#This Row],[2029]]</f>
        <v>#DIV/0!</v>
      </c>
    </row>
    <row r="10" spans="1:9" ht="15" customHeight="1">
      <c r="A10" s="181">
        <v>2</v>
      </c>
      <c r="B10" s="182" t="s">
        <v>914</v>
      </c>
      <c r="C10" s="183">
        <v>0</v>
      </c>
      <c r="D10" s="184" t="s">
        <v>913</v>
      </c>
      <c r="E10" s="100" t="e">
        <f>(InvulGlas[[#This Row],[Prijs excl. BTW]]*Tariefsopbouw!$I$37)+InvulGlas[[#This Row],[Prijs excl. BTW]]</f>
        <v>#DIV/0!</v>
      </c>
      <c r="F10" s="100" t="e">
        <f>(InvulGlas[[#This Row],[2026]]*Tariefsopbouw!$K$37)+InvulGlas[[#This Row],[2026]]</f>
        <v>#DIV/0!</v>
      </c>
      <c r="G10" s="100" t="e">
        <f>(InvulGlas[[#This Row],[2027]]*Tariefsopbouw!$M$37)+InvulGlas[[#This Row],[2027]]</f>
        <v>#DIV/0!</v>
      </c>
      <c r="H10" s="100" t="e">
        <f>(InvulGlas[[#This Row],[2028]]*Tariefsopbouw!$O$37)+InvulGlas[[#This Row],[2028]]</f>
        <v>#DIV/0!</v>
      </c>
      <c r="I10" s="100" t="e">
        <f>(InvulGlas[[#This Row],[2029]]*Tariefsopbouw!$Q$37)+InvulGlas[[#This Row],[2029]]</f>
        <v>#DIV/0!</v>
      </c>
    </row>
    <row r="11" spans="1:9" ht="15" customHeight="1">
      <c r="A11" s="181">
        <v>3</v>
      </c>
      <c r="B11" s="182" t="s">
        <v>915</v>
      </c>
      <c r="C11" s="183">
        <v>0</v>
      </c>
      <c r="D11" s="184" t="s">
        <v>913</v>
      </c>
      <c r="E11" s="100" t="e">
        <f>(InvulGlas[[#This Row],[Prijs excl. BTW]]*Tariefsopbouw!$I$37)+InvulGlas[[#This Row],[Prijs excl. BTW]]</f>
        <v>#DIV/0!</v>
      </c>
      <c r="F11" s="100" t="e">
        <f>(InvulGlas[[#This Row],[2026]]*Tariefsopbouw!$K$37)+InvulGlas[[#This Row],[2026]]</f>
        <v>#DIV/0!</v>
      </c>
      <c r="G11" s="100" t="e">
        <f>(InvulGlas[[#This Row],[2027]]*Tariefsopbouw!$M$37)+InvulGlas[[#This Row],[2027]]</f>
        <v>#DIV/0!</v>
      </c>
      <c r="H11" s="100" t="e">
        <f>(InvulGlas[[#This Row],[2028]]*Tariefsopbouw!$O$37)+InvulGlas[[#This Row],[2028]]</f>
        <v>#DIV/0!</v>
      </c>
      <c r="I11" s="100" t="e">
        <f>(InvulGlas[[#This Row],[2029]]*Tariefsopbouw!$Q$37)+InvulGlas[[#This Row],[2029]]</f>
        <v>#DIV/0!</v>
      </c>
    </row>
    <row r="12" spans="1:9" ht="15" customHeight="1">
      <c r="A12" s="181">
        <v>4</v>
      </c>
      <c r="B12" s="182" t="s">
        <v>916</v>
      </c>
      <c r="C12" s="183">
        <v>0</v>
      </c>
      <c r="D12" s="184" t="s">
        <v>913</v>
      </c>
      <c r="E12" s="100" t="e">
        <f>(InvulGlas[[#This Row],[Prijs excl. BTW]]*Tariefsopbouw!$I$37)+InvulGlas[[#This Row],[Prijs excl. BTW]]</f>
        <v>#DIV/0!</v>
      </c>
      <c r="F12" s="100" t="e">
        <f>(InvulGlas[[#This Row],[2026]]*Tariefsopbouw!$K$37)+InvulGlas[[#This Row],[2026]]</f>
        <v>#DIV/0!</v>
      </c>
      <c r="G12" s="100" t="e">
        <f>(InvulGlas[[#This Row],[2027]]*Tariefsopbouw!$M$37)+InvulGlas[[#This Row],[2027]]</f>
        <v>#DIV/0!</v>
      </c>
      <c r="H12" s="100" t="e">
        <f>(InvulGlas[[#This Row],[2028]]*Tariefsopbouw!$O$37)+InvulGlas[[#This Row],[2028]]</f>
        <v>#DIV/0!</v>
      </c>
      <c r="I12" s="100" t="e">
        <f>(InvulGlas[[#This Row],[2029]]*Tariefsopbouw!$Q$37)+InvulGlas[[#This Row],[2029]]</f>
        <v>#DIV/0!</v>
      </c>
    </row>
    <row r="13" spans="1:9" ht="15" customHeight="1">
      <c r="A13" s="181">
        <v>5</v>
      </c>
      <c r="B13" s="182" t="s">
        <v>917</v>
      </c>
      <c r="C13" s="183">
        <v>0</v>
      </c>
      <c r="D13" s="184" t="s">
        <v>913</v>
      </c>
      <c r="E13" s="100" t="e">
        <f>(InvulGlas[[#This Row],[Prijs excl. BTW]]*Tariefsopbouw!$I$37)+InvulGlas[[#This Row],[Prijs excl. BTW]]</f>
        <v>#DIV/0!</v>
      </c>
      <c r="F13" s="100" t="e">
        <f>(InvulGlas[[#This Row],[2026]]*Tariefsopbouw!$K$37)+InvulGlas[[#This Row],[2026]]</f>
        <v>#DIV/0!</v>
      </c>
      <c r="G13" s="100" t="e">
        <f>(InvulGlas[[#This Row],[2027]]*Tariefsopbouw!$M$37)+InvulGlas[[#This Row],[2027]]</f>
        <v>#DIV/0!</v>
      </c>
      <c r="H13" s="100" t="e">
        <f>(InvulGlas[[#This Row],[2028]]*Tariefsopbouw!$O$37)+InvulGlas[[#This Row],[2028]]</f>
        <v>#DIV/0!</v>
      </c>
      <c r="I13" s="100" t="e">
        <f>(InvulGlas[[#This Row],[2029]]*Tariefsopbouw!$Q$37)+InvulGlas[[#This Row],[2029]]</f>
        <v>#DIV/0!</v>
      </c>
    </row>
    <row r="14" spans="1:9" ht="15" customHeight="1">
      <c r="A14" s="181">
        <v>6</v>
      </c>
      <c r="B14" s="182" t="s">
        <v>918</v>
      </c>
      <c r="C14" s="183">
        <v>0</v>
      </c>
      <c r="D14" s="184" t="s">
        <v>913</v>
      </c>
      <c r="E14" s="100" t="e">
        <f>(InvulGlas[[#This Row],[Prijs excl. BTW]]*Tariefsopbouw!$I$37)+InvulGlas[[#This Row],[Prijs excl. BTW]]</f>
        <v>#DIV/0!</v>
      </c>
      <c r="F14" s="100" t="e">
        <f>(InvulGlas[[#This Row],[2026]]*Tariefsopbouw!$K$37)+InvulGlas[[#This Row],[2026]]</f>
        <v>#DIV/0!</v>
      </c>
      <c r="G14" s="100" t="e">
        <f>(InvulGlas[[#This Row],[2027]]*Tariefsopbouw!$M$37)+InvulGlas[[#This Row],[2027]]</f>
        <v>#DIV/0!</v>
      </c>
      <c r="H14" s="100" t="e">
        <f>(InvulGlas[[#This Row],[2028]]*Tariefsopbouw!$O$37)+InvulGlas[[#This Row],[2028]]</f>
        <v>#DIV/0!</v>
      </c>
      <c r="I14" s="100" t="e">
        <f>(InvulGlas[[#This Row],[2029]]*Tariefsopbouw!$Q$37)+InvulGlas[[#This Row],[2029]]</f>
        <v>#DIV/0!</v>
      </c>
    </row>
    <row r="15" spans="1:9" ht="15" customHeight="1">
      <c r="A15" s="181">
        <v>7</v>
      </c>
      <c r="B15" s="182" t="s">
        <v>919</v>
      </c>
      <c r="C15" s="183">
        <v>0</v>
      </c>
      <c r="D15" s="184" t="s">
        <v>913</v>
      </c>
      <c r="E15" s="100" t="e">
        <f>(InvulGlas[[#This Row],[Prijs excl. BTW]]*Tariefsopbouw!$I$37)+InvulGlas[[#This Row],[Prijs excl. BTW]]</f>
        <v>#DIV/0!</v>
      </c>
      <c r="F15" s="100" t="e">
        <f>(InvulGlas[[#This Row],[2026]]*Tariefsopbouw!$K$37)+InvulGlas[[#This Row],[2026]]</f>
        <v>#DIV/0!</v>
      </c>
      <c r="G15" s="100" t="e">
        <f>(InvulGlas[[#This Row],[2027]]*Tariefsopbouw!$M$37)+InvulGlas[[#This Row],[2027]]</f>
        <v>#DIV/0!</v>
      </c>
      <c r="H15" s="100" t="e">
        <f>(InvulGlas[[#This Row],[2028]]*Tariefsopbouw!$O$37)+InvulGlas[[#This Row],[2028]]</f>
        <v>#DIV/0!</v>
      </c>
      <c r="I15" s="100" t="e">
        <f>(InvulGlas[[#This Row],[2029]]*Tariefsopbouw!$Q$37)+InvulGlas[[#This Row],[2029]]</f>
        <v>#DIV/0!</v>
      </c>
    </row>
    <row r="16" spans="1:9" ht="15" customHeight="1">
      <c r="A16" s="181">
        <v>8</v>
      </c>
      <c r="B16" s="182" t="s">
        <v>920</v>
      </c>
      <c r="C16" s="183">
        <v>0</v>
      </c>
      <c r="D16" s="184" t="s">
        <v>913</v>
      </c>
      <c r="E16" s="100" t="e">
        <f>(InvulGlas[[#This Row],[Prijs excl. BTW]]*Tariefsopbouw!$I$37)+InvulGlas[[#This Row],[Prijs excl. BTW]]</f>
        <v>#DIV/0!</v>
      </c>
      <c r="F16" s="100" t="e">
        <f>(InvulGlas[[#This Row],[2026]]*Tariefsopbouw!$K$37)+InvulGlas[[#This Row],[2026]]</f>
        <v>#DIV/0!</v>
      </c>
      <c r="G16" s="100" t="e">
        <f>(InvulGlas[[#This Row],[2027]]*Tariefsopbouw!$M$37)+InvulGlas[[#This Row],[2027]]</f>
        <v>#DIV/0!</v>
      </c>
      <c r="H16" s="100" t="e">
        <f>(InvulGlas[[#This Row],[2028]]*Tariefsopbouw!$O$37)+InvulGlas[[#This Row],[2028]]</f>
        <v>#DIV/0!</v>
      </c>
      <c r="I16" s="100" t="e">
        <f>(InvulGlas[[#This Row],[2029]]*Tariefsopbouw!$Q$37)+InvulGlas[[#This Row],[2029]]</f>
        <v>#DIV/0!</v>
      </c>
    </row>
    <row r="17" spans="1:9" ht="15" customHeight="1">
      <c r="A17" s="181" t="s">
        <v>921</v>
      </c>
      <c r="B17" s="182" t="s">
        <v>922</v>
      </c>
      <c r="C17" s="183">
        <v>0</v>
      </c>
      <c r="D17" s="184" t="s">
        <v>923</v>
      </c>
      <c r="E17" s="100" t="e">
        <f>(InvulGlas[[#This Row],[Prijs excl. BTW]]*Tariefsopbouw!$I$37)+InvulGlas[[#This Row],[Prijs excl. BTW]]</f>
        <v>#DIV/0!</v>
      </c>
      <c r="F17" s="100" t="e">
        <f>(InvulGlas[[#This Row],[2026]]*Tariefsopbouw!$K$37)+InvulGlas[[#This Row],[2026]]</f>
        <v>#DIV/0!</v>
      </c>
      <c r="G17" s="100" t="e">
        <f>(InvulGlas[[#This Row],[2027]]*Tariefsopbouw!$M$37)+InvulGlas[[#This Row],[2027]]</f>
        <v>#DIV/0!</v>
      </c>
      <c r="H17" s="100" t="e">
        <f>(InvulGlas[[#This Row],[2028]]*Tariefsopbouw!$O$37)+InvulGlas[[#This Row],[2028]]</f>
        <v>#DIV/0!</v>
      </c>
      <c r="I17" s="100" t="e">
        <f>(InvulGlas[[#This Row],[2029]]*Tariefsopbouw!$Q$37)+InvulGlas[[#This Row],[2029]]</f>
        <v>#DIV/0!</v>
      </c>
    </row>
    <row r="18" spans="1:9" ht="15" customHeight="1">
      <c r="A18" s="181" t="s">
        <v>924</v>
      </c>
      <c r="B18" s="182" t="s">
        <v>925</v>
      </c>
      <c r="C18" s="183">
        <v>0</v>
      </c>
      <c r="D18" s="184" t="s">
        <v>923</v>
      </c>
      <c r="E18" s="100" t="e">
        <f>(InvulGlas[[#This Row],[Prijs excl. BTW]]*Tariefsopbouw!$I$37)+InvulGlas[[#This Row],[Prijs excl. BTW]]</f>
        <v>#DIV/0!</v>
      </c>
      <c r="F18" s="100" t="e">
        <f>(InvulGlas[[#This Row],[2026]]*Tariefsopbouw!$K$37)+InvulGlas[[#This Row],[2026]]</f>
        <v>#DIV/0!</v>
      </c>
      <c r="G18" s="100" t="e">
        <f>(InvulGlas[[#This Row],[2027]]*Tariefsopbouw!$M$37)+InvulGlas[[#This Row],[2027]]</f>
        <v>#DIV/0!</v>
      </c>
      <c r="H18" s="100" t="e">
        <f>(InvulGlas[[#This Row],[2028]]*Tariefsopbouw!$O$37)+InvulGlas[[#This Row],[2028]]</f>
        <v>#DIV/0!</v>
      </c>
      <c r="I18" s="100" t="e">
        <f>(InvulGlas[[#This Row],[2029]]*Tariefsopbouw!$Q$37)+InvulGlas[[#This Row],[2029]]</f>
        <v>#DIV/0!</v>
      </c>
    </row>
    <row r="19" spans="1:9" ht="15" customHeight="1">
      <c r="A19" s="181" t="s">
        <v>926</v>
      </c>
      <c r="B19" s="182" t="s">
        <v>927</v>
      </c>
      <c r="C19" s="183">
        <v>0</v>
      </c>
      <c r="D19" s="184" t="s">
        <v>923</v>
      </c>
      <c r="E19" s="100" t="e">
        <f>(InvulGlas[[#This Row],[Prijs excl. BTW]]*Tariefsopbouw!$I$37)+InvulGlas[[#This Row],[Prijs excl. BTW]]</f>
        <v>#DIV/0!</v>
      </c>
      <c r="F19" s="100" t="e">
        <f>(InvulGlas[[#This Row],[2026]]*Tariefsopbouw!$K$37)+InvulGlas[[#This Row],[2026]]</f>
        <v>#DIV/0!</v>
      </c>
      <c r="G19" s="100" t="e">
        <f>(InvulGlas[[#This Row],[2027]]*Tariefsopbouw!$M$37)+InvulGlas[[#This Row],[2027]]</f>
        <v>#DIV/0!</v>
      </c>
      <c r="H19" s="100" t="e">
        <f>(InvulGlas[[#This Row],[2028]]*Tariefsopbouw!$O$37)+InvulGlas[[#This Row],[2028]]</f>
        <v>#DIV/0!</v>
      </c>
      <c r="I19" s="100" t="e">
        <f>(InvulGlas[[#This Row],[2029]]*Tariefsopbouw!$Q$37)+InvulGlas[[#This Row],[2029]]</f>
        <v>#DIV/0!</v>
      </c>
    </row>
    <row r="20" spans="1:9" ht="15" customHeight="1">
      <c r="A20" s="181" t="s">
        <v>928</v>
      </c>
      <c r="B20" s="182" t="s">
        <v>929</v>
      </c>
      <c r="C20" s="183">
        <v>0</v>
      </c>
      <c r="D20" s="184" t="s">
        <v>923</v>
      </c>
      <c r="E20" s="185" t="e">
        <f>(InvulGlas[[#This Row],[Prijs excl. BTW]]*Tariefsopbouw!$I$37)+InvulGlas[[#This Row],[Prijs excl. BTW]]</f>
        <v>#DIV/0!</v>
      </c>
      <c r="F20" s="185" t="e">
        <f>(InvulGlas[[#This Row],[2026]]*Tariefsopbouw!$K$37)+InvulGlas[[#This Row],[2026]]</f>
        <v>#DIV/0!</v>
      </c>
      <c r="G20" s="185" t="e">
        <f>(InvulGlas[[#This Row],[2027]]*Tariefsopbouw!$M$37)+InvulGlas[[#This Row],[2027]]</f>
        <v>#DIV/0!</v>
      </c>
      <c r="H20" s="100" t="e">
        <f>(InvulGlas[[#This Row],[2028]]*Tariefsopbouw!$O$37)+InvulGlas[[#This Row],[2028]]</f>
        <v>#DIV/0!</v>
      </c>
      <c r="I20" s="185" t="e">
        <f>(InvulGlas[[#This Row],[2029]]*Tariefsopbouw!$Q$37)+InvulGlas[[#This Row],[2029]]</f>
        <v>#DIV/0!</v>
      </c>
    </row>
    <row r="21" spans="1:9" ht="15" customHeight="1">
      <c r="C21" s="186"/>
      <c r="D21" s="186"/>
    </row>
    <row r="22" spans="1:9" s="192" customFormat="1" ht="26.25" customHeight="1">
      <c r="A22" s="187" t="s">
        <v>899</v>
      </c>
      <c r="B22" s="187" t="s">
        <v>16</v>
      </c>
      <c r="C22" s="187" t="s">
        <v>908</v>
      </c>
      <c r="D22" s="188" t="s">
        <v>909</v>
      </c>
      <c r="E22" s="188" t="s">
        <v>930</v>
      </c>
      <c r="F22" s="188" t="s">
        <v>931</v>
      </c>
      <c r="G22" s="189" t="s">
        <v>903</v>
      </c>
      <c r="H22" s="190" t="s">
        <v>932</v>
      </c>
      <c r="I22" s="191" t="s">
        <v>933</v>
      </c>
    </row>
    <row r="23" spans="1:9" ht="15" customHeight="1">
      <c r="A23" s="181">
        <v>1</v>
      </c>
      <c r="B23" s="78" t="str">
        <f>VLOOKUP(OverzichtGlas[[#This Row],[Code Locatie]],Samenvattingschoonmaak[[#All],[Code Locatie]:[Locatie]],2,FALSE)</f>
        <v>Ir. Lely Lyceum</v>
      </c>
      <c r="C23" s="181">
        <v>1</v>
      </c>
      <c r="D23" s="193" t="s">
        <v>912</v>
      </c>
      <c r="E23" s="130">
        <v>2250</v>
      </c>
      <c r="F23" s="194">
        <v>2</v>
      </c>
      <c r="G23" s="195">
        <f>IF(C23&gt;0,VLOOKUP(OverzichtGlas[[#This Row],[Code taak]],InvulGlas[],3,0)*E23*F23,0)</f>
        <v>0</v>
      </c>
      <c r="H23" s="195">
        <f>OverzichtGlas[[#This Row],[Kosten/jaar excl. BTW]]*1.21</f>
        <v>0</v>
      </c>
      <c r="I23" s="181" t="s">
        <v>1017</v>
      </c>
    </row>
    <row r="24" spans="1:9" ht="15" customHeight="1">
      <c r="A24" s="181">
        <v>1</v>
      </c>
      <c r="B24" s="78" t="str">
        <f>VLOOKUP(OverzichtGlas[[#This Row],[Code Locatie]],Samenvattingschoonmaak[[#All],[Code Locatie]:[Locatie]],2,FALSE)</f>
        <v>Ir. Lely Lyceum</v>
      </c>
      <c r="C24" s="181">
        <v>2</v>
      </c>
      <c r="D24" s="193" t="s">
        <v>914</v>
      </c>
      <c r="E24" s="130">
        <v>2250</v>
      </c>
      <c r="F24" s="194">
        <v>2</v>
      </c>
      <c r="G24" s="195">
        <f>IF(C24&gt;0,VLOOKUP(OverzichtGlas[[#This Row],[Code taak]],InvulGlas[],3,0)*E24*F24,0)</f>
        <v>0</v>
      </c>
      <c r="H24" s="195">
        <f>OverzichtGlas[[#This Row],[Kosten/jaar excl. BTW]]*1.21</f>
        <v>0</v>
      </c>
      <c r="I24" s="181" t="s">
        <v>1017</v>
      </c>
    </row>
    <row r="25" spans="1:9" ht="15" customHeight="1">
      <c r="A25" s="181">
        <v>1</v>
      </c>
      <c r="B25" s="78" t="str">
        <f>VLOOKUP(OverzichtGlas[[#This Row],[Code Locatie]],Samenvattingschoonmaak[[#All],[Code Locatie]:[Locatie]],2,FALSE)</f>
        <v>Ir. Lely Lyceum</v>
      </c>
      <c r="C25" s="181">
        <v>3</v>
      </c>
      <c r="D25" s="193" t="s">
        <v>915</v>
      </c>
      <c r="E25" s="130">
        <v>750</v>
      </c>
      <c r="F25" s="194">
        <v>2</v>
      </c>
      <c r="G25" s="195">
        <f>IF(C25&gt;0,VLOOKUP(OverzichtGlas[[#This Row],[Code taak]],InvulGlas[],3,0)*E25*F25,0)</f>
        <v>0</v>
      </c>
      <c r="H25" s="195">
        <f>OverzichtGlas[[#This Row],[Kosten/jaar excl. BTW]]*1.21</f>
        <v>0</v>
      </c>
      <c r="I25" s="181" t="s">
        <v>1017</v>
      </c>
    </row>
    <row r="26" spans="1:9" ht="15" customHeight="1">
      <c r="A26" s="181">
        <v>1</v>
      </c>
      <c r="B26" s="78" t="str">
        <f>VLOOKUP(OverzichtGlas[[#This Row],[Code Locatie]],Samenvattingschoonmaak[[#All],[Code Locatie]:[Locatie]],2,FALSE)</f>
        <v>Ir. Lely Lyceum</v>
      </c>
      <c r="C26" s="196"/>
      <c r="D26" s="177" t="s">
        <v>934</v>
      </c>
      <c r="E26" s="269"/>
      <c r="F26" s="194">
        <v>2</v>
      </c>
      <c r="G26" s="195">
        <f>IF(C26&gt;0,VLOOKUP(OverzichtGlas[[#This Row],[Code taak]],InvulGlas[],3,0)*E26*F26,0)</f>
        <v>0</v>
      </c>
      <c r="H26" s="195">
        <f>OverzichtGlas[[#This Row],[Kosten/jaar excl. BTW]]*1.21</f>
        <v>0</v>
      </c>
      <c r="I26" s="181"/>
    </row>
    <row r="27" spans="1:9" ht="15" customHeight="1">
      <c r="A27" s="181">
        <v>1</v>
      </c>
      <c r="B27" s="78" t="str">
        <f>VLOOKUP(OverzichtGlas[[#This Row],[Code Locatie]],Samenvattingschoonmaak[[#All],[Code Locatie]:[Locatie]],2,FALSE)</f>
        <v>Ir. Lely Lyceum</v>
      </c>
      <c r="C27" s="196"/>
      <c r="D27" s="177" t="s">
        <v>934</v>
      </c>
      <c r="E27" s="269"/>
      <c r="F27" s="194">
        <v>2</v>
      </c>
      <c r="G27" s="195">
        <f>IF(C27&gt;0,VLOOKUP(OverzichtGlas[[#This Row],[Code taak]],InvulGlas[],3,0)*E27*F27,0)</f>
        <v>0</v>
      </c>
      <c r="H27" s="195">
        <f>OverzichtGlas[[#This Row],[Kosten/jaar excl. BTW]]*1.21</f>
        <v>0</v>
      </c>
      <c r="I27" s="181"/>
    </row>
    <row r="28" spans="1:9" ht="15" customHeight="1">
      <c r="A28" s="181">
        <v>2</v>
      </c>
      <c r="B28" s="78" t="str">
        <f>VLOOKUP(OverzichtGlas[[#This Row],[Code Locatie]],Samenvattingschoonmaak[[#All],[Code Locatie]:[Locatie]],2,FALSE)</f>
        <v>Open Schoolgemeenschap Bijlmer</v>
      </c>
      <c r="C28" s="181">
        <v>1</v>
      </c>
      <c r="D28" s="193" t="s">
        <v>912</v>
      </c>
      <c r="E28" s="130">
        <v>1870</v>
      </c>
      <c r="F28" s="194">
        <v>2</v>
      </c>
      <c r="G28" s="195">
        <f>IF(C28&gt;0,VLOOKUP(OverzichtGlas[[#This Row],[Code taak]],InvulGlas[],3,0)*E28*F28,0)</f>
        <v>0</v>
      </c>
      <c r="H28" s="195">
        <f>OverzichtGlas[[#This Row],[Kosten/jaar excl. BTW]]*1.21</f>
        <v>0</v>
      </c>
      <c r="I28" s="181"/>
    </row>
    <row r="29" spans="1:9" ht="15" customHeight="1">
      <c r="A29" s="181">
        <v>2</v>
      </c>
      <c r="B29" s="78" t="str">
        <f>VLOOKUP(OverzichtGlas[[#This Row],[Code Locatie]],Samenvattingschoonmaak[[#All],[Code Locatie]:[Locatie]],2,FALSE)</f>
        <v>Open Schoolgemeenschap Bijlmer</v>
      </c>
      <c r="C29" s="181">
        <v>2</v>
      </c>
      <c r="D29" s="193" t="s">
        <v>914</v>
      </c>
      <c r="E29" s="130">
        <v>1870</v>
      </c>
      <c r="F29" s="194">
        <v>2</v>
      </c>
      <c r="G29" s="195">
        <f>IF(C29&gt;0,VLOOKUP(OverzichtGlas[[#This Row],[Code taak]],InvulGlas[],3,0)*E29*F29,0)</f>
        <v>0</v>
      </c>
      <c r="H29" s="195">
        <f>OverzichtGlas[[#This Row],[Kosten/jaar excl. BTW]]*1.21</f>
        <v>0</v>
      </c>
      <c r="I29" s="181"/>
    </row>
    <row r="30" spans="1:9" ht="15" customHeight="1">
      <c r="A30" s="181">
        <v>2</v>
      </c>
      <c r="B30" s="78" t="str">
        <f>VLOOKUP(OverzichtGlas[[#This Row],[Code Locatie]],Samenvattingschoonmaak[[#All],[Code Locatie]:[Locatie]],2,FALSE)</f>
        <v>Open Schoolgemeenschap Bijlmer</v>
      </c>
      <c r="C30" s="181">
        <v>3</v>
      </c>
      <c r="D30" s="193" t="s">
        <v>915</v>
      </c>
      <c r="E30" s="130">
        <v>2016</v>
      </c>
      <c r="F30" s="194">
        <v>2</v>
      </c>
      <c r="G30" s="195">
        <f>IF(C30&gt;0,VLOOKUP(OverzichtGlas[[#This Row],[Code taak]],InvulGlas[],3,0)*E30*F30,0)</f>
        <v>0</v>
      </c>
      <c r="H30" s="195">
        <f>OverzichtGlas[[#This Row],[Kosten/jaar excl. BTW]]*1.21</f>
        <v>0</v>
      </c>
      <c r="I30" s="181"/>
    </row>
    <row r="31" spans="1:9" ht="15" customHeight="1">
      <c r="A31" s="181">
        <v>2</v>
      </c>
      <c r="B31" s="78" t="str">
        <f>VLOOKUP(OverzichtGlas[[#This Row],[Code Locatie]],Samenvattingschoonmaak[[#All],[Code Locatie]:[Locatie]],2,FALSE)</f>
        <v>Open Schoolgemeenschap Bijlmer</v>
      </c>
      <c r="C31" s="196"/>
      <c r="D31" s="177" t="s">
        <v>934</v>
      </c>
      <c r="E31" s="270"/>
      <c r="F31" s="194">
        <v>2</v>
      </c>
      <c r="G31" s="195">
        <f>IF(C31&gt;0,VLOOKUP(OverzichtGlas[[#This Row],[Code taak]],InvulGlas[],3,0)*E31*F31,0)</f>
        <v>0</v>
      </c>
      <c r="H31" s="195">
        <f>OverzichtGlas[[#This Row],[Kosten/jaar excl. BTW]]*1.21</f>
        <v>0</v>
      </c>
      <c r="I31" s="181"/>
    </row>
    <row r="32" spans="1:9" ht="15" customHeight="1">
      <c r="A32" s="181">
        <v>2</v>
      </c>
      <c r="B32" s="78" t="str">
        <f>VLOOKUP(OverzichtGlas[[#This Row],[Code Locatie]],Samenvattingschoonmaak[[#All],[Code Locatie]:[Locatie]],2,FALSE)</f>
        <v>Open Schoolgemeenschap Bijlmer</v>
      </c>
      <c r="C32" s="196"/>
      <c r="D32" s="177" t="s">
        <v>934</v>
      </c>
      <c r="E32" s="270"/>
      <c r="F32" s="194">
        <v>2</v>
      </c>
      <c r="G32" s="195">
        <f>IF(C32&gt;0,VLOOKUP(OverzichtGlas[[#This Row],[Code taak]],InvulGlas[],3,0)*E32*F32,0)</f>
        <v>0</v>
      </c>
      <c r="H32" s="195">
        <f>OverzichtGlas[[#This Row],[Kosten/jaar excl. BTW]]*1.21</f>
        <v>0</v>
      </c>
      <c r="I32" s="181"/>
    </row>
    <row r="33" spans="1:9" ht="15" customHeight="1">
      <c r="A33" s="197" t="s">
        <v>904</v>
      </c>
      <c r="B33" s="198"/>
      <c r="C33" s="197"/>
      <c r="D33" s="199"/>
      <c r="E33" s="197"/>
      <c r="F33" s="197"/>
      <c r="G33" s="200">
        <f>SUBTOTAL(109,OverzichtGlas[Kosten/jaar excl. BTW])</f>
        <v>0</v>
      </c>
      <c r="H33" s="200">
        <f>SUBTOTAL(109,OverzichtGlas[Kosten/jaar incl. BTW])</f>
        <v>0</v>
      </c>
      <c r="I33" s="197"/>
    </row>
    <row r="34" spans="1:9" ht="15" customHeight="1">
      <c r="C34" s="53"/>
      <c r="D34" s="23"/>
    </row>
    <row r="35" spans="1:9" ht="15" customHeight="1">
      <c r="C35" s="53"/>
      <c r="D35" s="23"/>
    </row>
    <row r="36" spans="1:9" ht="15" customHeight="1">
      <c r="C36" s="53"/>
      <c r="D36" s="23"/>
    </row>
    <row r="37" spans="1:9" ht="15" customHeight="1">
      <c r="C37" s="53"/>
      <c r="D37" s="23"/>
    </row>
    <row r="38" spans="1:9" ht="15" customHeight="1">
      <c r="C38" s="53"/>
      <c r="D38" s="23"/>
    </row>
    <row r="39" spans="1:9" ht="15" customHeight="1">
      <c r="C39" s="53"/>
      <c r="D39" s="23"/>
    </row>
    <row r="40" spans="1:9" ht="15" customHeight="1">
      <c r="C40" s="53"/>
      <c r="D40" s="23"/>
    </row>
    <row r="41" spans="1:9" ht="15" customHeight="1">
      <c r="C41" s="53"/>
      <c r="D41" s="23"/>
    </row>
    <row r="42" spans="1:9" ht="15" customHeight="1">
      <c r="C42" s="53"/>
      <c r="D42" s="23"/>
    </row>
    <row r="43" spans="1:9" ht="15" customHeight="1">
      <c r="C43" s="53"/>
      <c r="D43" s="23"/>
    </row>
    <row r="44" spans="1:9" ht="15" customHeight="1">
      <c r="C44" s="53"/>
      <c r="D44" s="23"/>
    </row>
    <row r="45" spans="1:9" ht="15" customHeight="1">
      <c r="C45" s="53"/>
      <c r="D45" s="23"/>
    </row>
    <row r="46" spans="1:9" ht="15" customHeight="1">
      <c r="C46" s="53"/>
      <c r="D46" s="23"/>
    </row>
    <row r="47" spans="1:9" ht="15" customHeight="1">
      <c r="C47" s="53"/>
      <c r="D47" s="23"/>
    </row>
    <row r="48" spans="1:9" ht="15" customHeight="1">
      <c r="C48" s="53"/>
      <c r="D48" s="23"/>
    </row>
    <row r="49" spans="3:4" ht="15" customHeight="1">
      <c r="C49" s="53"/>
      <c r="D49" s="23"/>
    </row>
    <row r="50" spans="3:4" ht="15" customHeight="1">
      <c r="C50" s="53"/>
      <c r="D50" s="23"/>
    </row>
    <row r="51" spans="3:4" ht="15" customHeight="1">
      <c r="C51" s="53"/>
      <c r="D51" s="23"/>
    </row>
    <row r="52" spans="3:4" ht="15" customHeight="1">
      <c r="C52" s="53"/>
      <c r="D52" s="23"/>
    </row>
    <row r="53" spans="3:4" ht="15" customHeight="1">
      <c r="C53" s="53"/>
      <c r="D53" s="23"/>
    </row>
    <row r="54" spans="3:4" ht="15" customHeight="1">
      <c r="C54" s="53"/>
      <c r="D54" s="23"/>
    </row>
    <row r="55" spans="3:4" ht="15" customHeight="1">
      <c r="C55" s="53"/>
      <c r="D55" s="23"/>
    </row>
    <row r="56" spans="3:4" ht="15" customHeight="1">
      <c r="C56" s="53"/>
      <c r="D56" s="23"/>
    </row>
    <row r="57" spans="3:4" ht="15" customHeight="1">
      <c r="C57" s="53"/>
      <c r="D57" s="23"/>
    </row>
    <row r="58" spans="3:4" ht="15" customHeight="1">
      <c r="C58" s="53"/>
      <c r="D58" s="23"/>
    </row>
    <row r="59" spans="3:4" ht="15" customHeight="1">
      <c r="C59" s="53"/>
      <c r="D59" s="23"/>
    </row>
    <row r="60" spans="3:4" ht="15" customHeight="1">
      <c r="C60" s="53"/>
      <c r="D60" s="23"/>
    </row>
    <row r="61" spans="3:4" ht="15" customHeight="1">
      <c r="C61" s="53"/>
      <c r="D61" s="23"/>
    </row>
    <row r="62" spans="3:4" ht="15" customHeight="1">
      <c r="C62" s="53"/>
      <c r="D62" s="23"/>
    </row>
    <row r="63" spans="3:4" ht="15" customHeight="1">
      <c r="C63" s="53"/>
      <c r="D63" s="23"/>
    </row>
    <row r="64" spans="3:4" ht="15" customHeight="1">
      <c r="C64" s="53"/>
      <c r="D64" s="23"/>
    </row>
    <row r="65" spans="3:4" ht="15" customHeight="1">
      <c r="C65" s="53"/>
      <c r="D65" s="23"/>
    </row>
    <row r="66" spans="3:4" ht="15" customHeight="1">
      <c r="C66" s="53"/>
      <c r="D66" s="23"/>
    </row>
    <row r="67" spans="3:4" ht="15" customHeight="1">
      <c r="C67" s="53"/>
      <c r="D67" s="23"/>
    </row>
    <row r="68" spans="3:4" ht="15" customHeight="1">
      <c r="C68" s="53"/>
      <c r="D68" s="23"/>
    </row>
    <row r="69" spans="3:4" ht="15" customHeight="1">
      <c r="C69" s="53"/>
      <c r="D69" s="23"/>
    </row>
    <row r="70" spans="3:4" ht="15" customHeight="1">
      <c r="C70" s="53"/>
      <c r="D70" s="23"/>
    </row>
    <row r="71" spans="3:4" ht="15" customHeight="1">
      <c r="C71" s="53"/>
      <c r="D71" s="23"/>
    </row>
    <row r="72" spans="3:4" ht="15" customHeight="1">
      <c r="C72" s="53"/>
      <c r="D72" s="23"/>
    </row>
    <row r="73" spans="3:4" ht="15" customHeight="1">
      <c r="C73" s="53"/>
      <c r="D73" s="23"/>
    </row>
    <row r="74" spans="3:4" ht="15" customHeight="1">
      <c r="C74" s="53"/>
      <c r="D74" s="23"/>
    </row>
    <row r="75" spans="3:4" ht="15" customHeight="1">
      <c r="C75" s="53"/>
      <c r="D75" s="23"/>
    </row>
    <row r="76" spans="3:4" ht="15" customHeight="1">
      <c r="C76" s="53"/>
      <c r="D76" s="23"/>
    </row>
    <row r="77" spans="3:4" ht="15" customHeight="1">
      <c r="C77" s="53"/>
      <c r="D77" s="23"/>
    </row>
    <row r="78" spans="3:4" ht="15" customHeight="1">
      <c r="C78" s="53"/>
      <c r="D78" s="23"/>
    </row>
    <row r="79" spans="3:4" ht="15" customHeight="1">
      <c r="C79" s="53"/>
      <c r="D79" s="23"/>
    </row>
    <row r="80" spans="3:4" ht="15" customHeight="1">
      <c r="C80" s="53"/>
      <c r="D80" s="23"/>
    </row>
    <row r="81" spans="3:4" ht="15" customHeight="1">
      <c r="C81" s="53"/>
      <c r="D81" s="23"/>
    </row>
    <row r="82" spans="3:4" ht="15" customHeight="1">
      <c r="C82" s="53"/>
      <c r="D82" s="23"/>
    </row>
    <row r="83" spans="3:4" ht="15" customHeight="1">
      <c r="C83" s="53"/>
      <c r="D83" s="23"/>
    </row>
    <row r="84" spans="3:4" ht="15" customHeight="1">
      <c r="C84" s="53"/>
      <c r="D84" s="23"/>
    </row>
    <row r="85" spans="3:4" ht="15" customHeight="1">
      <c r="C85" s="53"/>
      <c r="D85" s="23"/>
    </row>
    <row r="86" spans="3:4" ht="15" customHeight="1">
      <c r="C86" s="53"/>
      <c r="D86" s="23"/>
    </row>
    <row r="87" spans="3:4" ht="15" customHeight="1">
      <c r="C87" s="53"/>
      <c r="D87" s="23"/>
    </row>
    <row r="88" spans="3:4" ht="15" customHeight="1">
      <c r="C88" s="53"/>
      <c r="D88" s="23"/>
    </row>
    <row r="89" spans="3:4" ht="15" customHeight="1">
      <c r="C89" s="53"/>
      <c r="D89" s="23"/>
    </row>
    <row r="90" spans="3:4" ht="15" customHeight="1">
      <c r="C90" s="53"/>
      <c r="D90" s="23"/>
    </row>
    <row r="91" spans="3:4" ht="15" customHeight="1">
      <c r="C91" s="53"/>
      <c r="D91" s="23"/>
    </row>
    <row r="92" spans="3:4" ht="15" customHeight="1">
      <c r="C92" s="53"/>
      <c r="D92" s="23"/>
    </row>
    <row r="93" spans="3:4" ht="15" customHeight="1">
      <c r="C93" s="53"/>
      <c r="D93" s="23"/>
    </row>
  </sheetData>
  <mergeCells count="3">
    <mergeCell ref="A1:G1"/>
    <mergeCell ref="E7:I7"/>
    <mergeCell ref="A2:H2"/>
  </mergeCells>
  <pageMargins left="0.7" right="0.7" top="0.75" bottom="0.75" header="0.3" footer="0.3"/>
  <pageSetup paperSize="9" scale="3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5897e9ea-22b0-410d-aa63-d3b4c029cd1f-638478359500000000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5897e9ea-22b0-410d-aa63-d3b4c029cd1f</MigrationWiz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4D629737-7A83-4AF4-B30A-5D2B0B062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9</vt:i4>
      </vt:variant>
    </vt:vector>
  </HeadingPairs>
  <TitlesOfParts>
    <vt:vector size="21" baseType="lpstr">
      <vt:lpstr>Overnamegegevens</vt:lpstr>
      <vt:lpstr>Opleverstaat dagelijks</vt:lpstr>
      <vt:lpstr>Werkprogramma periodiek</vt:lpstr>
      <vt:lpstr>Werkprogramma dieptereiniging</vt:lpstr>
      <vt:lpstr>Tariefsopbouw</vt:lpstr>
      <vt:lpstr>Prestatiefactoren</vt:lpstr>
      <vt:lpstr>Ruimtestaat</vt:lpstr>
      <vt:lpstr>Vloeronderhoud</vt:lpstr>
      <vt:lpstr>Glasbewassing</vt:lpstr>
      <vt:lpstr>Extra werkzaamheden</vt:lpstr>
      <vt:lpstr>Regie en afroep</vt:lpstr>
      <vt:lpstr>Totalisatie</vt:lpstr>
      <vt:lpstr>'Extra werkzaamheden'!Afdrukbereik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dieptereiniging'!Afdrukbereik</vt:lpstr>
      <vt:lpstr>'Ruimtestaat'!Afdruktitels</vt:lpstr>
    </vt:vector>
  </TitlesOfParts>
  <Manager/>
  <Company>Facet Facilitaire Diensten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subject/>
  <dc:creator>Inkada</dc:creator>
  <cp:keywords/>
  <dc:description/>
  <cp:lastModifiedBy>Myrna Lansink | Inkada Inkoop &amp; Advies</cp:lastModifiedBy>
  <cp:revision/>
  <dcterms:created xsi:type="dcterms:W3CDTF">1999-03-23T11:24:21Z</dcterms:created>
  <dcterms:modified xsi:type="dcterms:W3CDTF">2025-01-30T13:40:45Z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