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oneu-my.sharepoint.com/personal/nina_hollander_aon_nl/Documents/Europese Aanbestedingen/Stichting/Stichting Fontys/"/>
    </mc:Choice>
  </mc:AlternateContent>
  <xr:revisionPtr revIDLastSave="1" documentId="8_{3A3264E8-5BE5-4685-9E3D-775C3FD1D1D8}" xr6:coauthVersionLast="47" xr6:coauthVersionMax="47" xr10:uidLastSave="{DFCB9DE8-AE89-4739-A1F9-AE42BD84F70F}"/>
  <bookViews>
    <workbookView xWindow="-120" yWindow="-16320" windowWidth="29040" windowHeight="15720" xr2:uid="{00000000-000D-0000-FFFF-FFFF00000000}"/>
  </bookViews>
  <sheets>
    <sheet name="specificatie" sheetId="1" r:id="rId1"/>
    <sheet name="jaarpremie per verzekeraar" sheetId="2" state="hidden" r:id="rId2"/>
  </sheets>
  <externalReferences>
    <externalReference r:id="rId3"/>
  </externalReferences>
  <definedNames>
    <definedName name="_xlnm.Print_Area" localSheetId="1">'jaarpremie per verzekeraar'!$B$4:$F$24</definedName>
    <definedName name="_xlnm.Print_Area" localSheetId="0">specificatie!$A$1:$Z$55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V20" i="1"/>
  <c r="U21" i="1"/>
  <c r="V21" i="1" s="1"/>
  <c r="V17" i="1"/>
  <c r="V16" i="1"/>
  <c r="V9" i="1"/>
  <c r="V13" i="1"/>
  <c r="V14" i="1"/>
  <c r="V15" i="1"/>
  <c r="V18" i="1"/>
  <c r="V19" i="1"/>
  <c r="V28" i="1"/>
  <c r="V29" i="1"/>
  <c r="V36" i="1"/>
  <c r="V43" i="1"/>
  <c r="V44" i="1"/>
  <c r="V48" i="1"/>
  <c r="V49" i="1"/>
  <c r="V50" i="1"/>
  <c r="S20" i="1"/>
  <c r="S21" i="1"/>
  <c r="S23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9" i="1"/>
  <c r="S10" i="1"/>
  <c r="S11" i="1"/>
  <c r="S12" i="1"/>
  <c r="S13" i="1"/>
  <c r="S14" i="1"/>
  <c r="S15" i="1"/>
  <c r="S16" i="1"/>
  <c r="S17" i="1"/>
  <c r="S18" i="1"/>
  <c r="S8" i="1"/>
  <c r="P24" i="1"/>
  <c r="P25" i="1"/>
  <c r="P26" i="1"/>
  <c r="P27" i="1"/>
  <c r="P28" i="1"/>
  <c r="P29" i="1"/>
  <c r="P35" i="1"/>
  <c r="P40" i="1"/>
  <c r="P41" i="1"/>
  <c r="P43" i="1"/>
  <c r="P44" i="1"/>
  <c r="P48" i="1"/>
  <c r="P49" i="1"/>
  <c r="Z49" i="1" s="1"/>
  <c r="P50" i="1"/>
  <c r="P51" i="1"/>
  <c r="P52" i="1"/>
  <c r="P53" i="1"/>
  <c r="P54" i="1"/>
  <c r="P16" i="1"/>
  <c r="P17" i="1"/>
  <c r="P18" i="1"/>
  <c r="P19" i="1"/>
  <c r="P20" i="1"/>
  <c r="Z20" i="1" s="1"/>
  <c r="P21" i="1"/>
  <c r="P22" i="1"/>
  <c r="P9" i="1"/>
  <c r="O8" i="1"/>
  <c r="X55" i="1"/>
  <c r="Y17" i="1"/>
  <c r="Y18" i="1"/>
  <c r="Y16" i="1"/>
  <c r="Z17" i="1" l="1"/>
  <c r="Z44" i="1"/>
  <c r="Z16" i="1"/>
  <c r="Z50" i="1"/>
  <c r="Z28" i="1"/>
  <c r="Z48" i="1"/>
  <c r="Z43" i="1"/>
  <c r="Z18" i="1"/>
  <c r="Z9" i="1"/>
  <c r="Z29" i="1"/>
  <c r="P8" i="1"/>
  <c r="W51" i="1"/>
  <c r="W52" i="1"/>
  <c r="F24" i="2"/>
  <c r="F23" i="2"/>
  <c r="E9" i="2"/>
  <c r="E10" i="2"/>
  <c r="E11" i="2"/>
  <c r="E12" i="2"/>
  <c r="E8" i="2"/>
  <c r="E13" i="2" s="1"/>
  <c r="W28" i="1"/>
  <c r="W29" i="1"/>
  <c r="W30" i="1"/>
  <c r="W31" i="1"/>
  <c r="W32" i="1"/>
  <c r="W33" i="1"/>
  <c r="W34" i="1"/>
  <c r="W35" i="1"/>
  <c r="W36" i="1"/>
  <c r="W37" i="1"/>
  <c r="W38" i="1"/>
  <c r="W39" i="1"/>
  <c r="W43" i="1"/>
  <c r="W44" i="1"/>
  <c r="W45" i="1"/>
  <c r="W46" i="1"/>
  <c r="W47" i="1"/>
  <c r="W48" i="1"/>
  <c r="W49" i="1"/>
  <c r="W50" i="1"/>
  <c r="W19" i="1"/>
  <c r="W23" i="1"/>
  <c r="W24" i="1"/>
  <c r="W25" i="1"/>
  <c r="W26" i="1"/>
  <c r="W27" i="1"/>
  <c r="U8" i="1"/>
  <c r="V8" i="1" s="1"/>
  <c r="Y9" i="1"/>
  <c r="Y20" i="1"/>
  <c r="Y28" i="1"/>
  <c r="Y29" i="1"/>
  <c r="Y43" i="1"/>
  <c r="Y44" i="1"/>
  <c r="Y48" i="1"/>
  <c r="Y49" i="1"/>
  <c r="Y50" i="1"/>
  <c r="U10" i="1"/>
  <c r="V10" i="1" s="1"/>
  <c r="U11" i="1"/>
  <c r="V11" i="1" s="1"/>
  <c r="U12" i="1"/>
  <c r="V12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U37" i="1"/>
  <c r="V37" i="1" s="1"/>
  <c r="U38" i="1"/>
  <c r="V38" i="1" s="1"/>
  <c r="U39" i="1"/>
  <c r="V39" i="1" s="1"/>
  <c r="U45" i="1"/>
  <c r="V45" i="1" s="1"/>
  <c r="U46" i="1"/>
  <c r="V46" i="1" s="1"/>
  <c r="U47" i="1"/>
  <c r="V47" i="1" s="1"/>
  <c r="R19" i="1"/>
  <c r="S19" i="1" s="1"/>
  <c r="Z19" i="1" s="1"/>
  <c r="R22" i="1"/>
  <c r="S22" i="1" s="1"/>
  <c r="R24" i="1"/>
  <c r="S24" i="1" s="1"/>
  <c r="R25" i="1"/>
  <c r="S25" i="1" s="1"/>
  <c r="R26" i="1"/>
  <c r="S26" i="1" s="1"/>
  <c r="R27" i="1"/>
  <c r="S27" i="1" s="1"/>
  <c r="O30" i="1"/>
  <c r="P30" i="1" s="1"/>
  <c r="O31" i="1"/>
  <c r="P31" i="1" s="1"/>
  <c r="O32" i="1"/>
  <c r="P32" i="1" s="1"/>
  <c r="O33" i="1"/>
  <c r="P33" i="1" s="1"/>
  <c r="Z33" i="1" s="1"/>
  <c r="O34" i="1"/>
  <c r="P34" i="1" s="1"/>
  <c r="O36" i="1"/>
  <c r="O37" i="1"/>
  <c r="P37" i="1" s="1"/>
  <c r="O38" i="1"/>
  <c r="P38" i="1" s="1"/>
  <c r="O39" i="1"/>
  <c r="P39" i="1" s="1"/>
  <c r="O45" i="1"/>
  <c r="P45" i="1" s="1"/>
  <c r="O46" i="1"/>
  <c r="P46" i="1" s="1"/>
  <c r="O47" i="1"/>
  <c r="P47" i="1" s="1"/>
  <c r="Z47" i="1" s="1"/>
  <c r="O23" i="1"/>
  <c r="P23" i="1" s="1"/>
  <c r="Z23" i="1" s="1"/>
  <c r="O14" i="1"/>
  <c r="O15" i="1"/>
  <c r="O13" i="1"/>
  <c r="O10" i="1"/>
  <c r="P10" i="1" s="1"/>
  <c r="O11" i="1"/>
  <c r="O12" i="1"/>
  <c r="P12" i="1" s="1"/>
  <c r="D24" i="2"/>
  <c r="Z46" i="1" l="1"/>
  <c r="Z32" i="1"/>
  <c r="Z26" i="1"/>
  <c r="Z22" i="1"/>
  <c r="Z45" i="1"/>
  <c r="Z31" i="1"/>
  <c r="Z39" i="1"/>
  <c r="Z24" i="1"/>
  <c r="Z25" i="1"/>
  <c r="Z27" i="1"/>
  <c r="Z38" i="1"/>
  <c r="Z10" i="1"/>
  <c r="Z8" i="1"/>
  <c r="Z37" i="1"/>
  <c r="S55" i="1"/>
  <c r="Z34" i="1"/>
  <c r="Z30" i="1"/>
  <c r="Z12" i="1"/>
  <c r="Y35" i="1"/>
  <c r="V35" i="1"/>
  <c r="Z35" i="1" s="1"/>
  <c r="Y15" i="1"/>
  <c r="Z15" i="1"/>
  <c r="Y11" i="1"/>
  <c r="P11" i="1"/>
  <c r="Z11" i="1" s="1"/>
  <c r="Y14" i="1"/>
  <c r="P14" i="1"/>
  <c r="Z14" i="1" s="1"/>
  <c r="Y36" i="1"/>
  <c r="P36" i="1"/>
  <c r="Z36" i="1" s="1"/>
  <c r="Y13" i="1"/>
  <c r="P13" i="1"/>
  <c r="Z13" i="1" s="1"/>
  <c r="Y12" i="1"/>
  <c r="Y10" i="1"/>
  <c r="Y19" i="1"/>
  <c r="R55" i="1"/>
  <c r="Y25" i="1"/>
  <c r="Y47" i="1"/>
  <c r="Y24" i="1"/>
  <c r="Y22" i="1"/>
  <c r="Y33" i="1"/>
  <c r="Y45" i="1"/>
  <c r="Y32" i="1"/>
  <c r="Y46" i="1"/>
  <c r="Y27" i="1"/>
  <c r="Y31" i="1"/>
  <c r="Y38" i="1"/>
  <c r="Y34" i="1"/>
  <c r="Y8" i="1"/>
  <c r="Y39" i="1"/>
  <c r="Y30" i="1"/>
  <c r="Y23" i="1"/>
  <c r="Y37" i="1"/>
  <c r="Y26" i="1"/>
  <c r="N20" i="1"/>
  <c r="W20" i="1" s="1"/>
  <c r="N21" i="1"/>
  <c r="N22" i="1"/>
  <c r="W22" i="1" s="1"/>
  <c r="T13" i="1"/>
  <c r="T14" i="1"/>
  <c r="T15" i="1"/>
  <c r="Q8" i="1"/>
  <c r="Q9" i="1"/>
  <c r="W9" i="1" s="1"/>
  <c r="Q10" i="1"/>
  <c r="W10" i="1" s="1"/>
  <c r="Q11" i="1"/>
  <c r="W11" i="1" s="1"/>
  <c r="Q12" i="1"/>
  <c r="W12" i="1" s="1"/>
  <c r="Q13" i="1"/>
  <c r="Q14" i="1"/>
  <c r="Q15" i="1"/>
  <c r="W8" i="1" l="1"/>
  <c r="Q55" i="1"/>
  <c r="W15" i="1"/>
  <c r="W13" i="1"/>
  <c r="W14" i="1"/>
  <c r="M12" i="1"/>
  <c r="C13" i="2"/>
  <c r="U51" i="1" l="1"/>
  <c r="T42" i="1"/>
  <c r="U42" i="1" s="1"/>
  <c r="V42" i="1" s="1"/>
  <c r="T41" i="1"/>
  <c r="T40" i="1"/>
  <c r="T21" i="1"/>
  <c r="T55" i="1" l="1"/>
  <c r="Y51" i="1"/>
  <c r="V51" i="1"/>
  <c r="Z51" i="1" s="1"/>
  <c r="U52" i="1"/>
  <c r="U54" i="1"/>
  <c r="W54" i="1"/>
  <c r="U40" i="1"/>
  <c r="W40" i="1"/>
  <c r="U41" i="1"/>
  <c r="W41" i="1"/>
  <c r="U53" i="1"/>
  <c r="W53" i="1"/>
  <c r="W21" i="1"/>
  <c r="N42" i="1"/>
  <c r="D23" i="2"/>
  <c r="Z21" i="1" l="1"/>
  <c r="Y54" i="1"/>
  <c r="V54" i="1"/>
  <c r="Z54" i="1" s="1"/>
  <c r="Y53" i="1"/>
  <c r="V53" i="1"/>
  <c r="Z53" i="1" s="1"/>
  <c r="Y41" i="1"/>
  <c r="V41" i="1"/>
  <c r="Z41" i="1" s="1"/>
  <c r="Y40" i="1"/>
  <c r="V40" i="1"/>
  <c r="Z40" i="1" s="1"/>
  <c r="Y52" i="1"/>
  <c r="V52" i="1"/>
  <c r="Z52" i="1" s="1"/>
  <c r="Y21" i="1"/>
  <c r="U55" i="1"/>
  <c r="O42" i="1"/>
  <c r="W42" i="1"/>
  <c r="W55" i="1" s="1"/>
  <c r="M27" i="1"/>
  <c r="M54" i="1"/>
  <c r="M53" i="1"/>
  <c r="M52" i="1"/>
  <c r="M51" i="1"/>
  <c r="M47" i="1"/>
  <c r="M45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6" i="1"/>
  <c r="M25" i="1"/>
  <c r="M24" i="1"/>
  <c r="M23" i="1"/>
  <c r="M22" i="1"/>
  <c r="M21" i="1"/>
  <c r="M20" i="1"/>
  <c r="M11" i="1"/>
  <c r="M10" i="1"/>
  <c r="M9" i="1"/>
  <c r="M8" i="1"/>
  <c r="V55" i="1" l="1"/>
  <c r="P42" i="1"/>
  <c r="O55" i="1"/>
  <c r="Y42" i="1"/>
  <c r="L55" i="1"/>
  <c r="I55" i="1"/>
  <c r="K55" i="1"/>
  <c r="J55" i="1"/>
  <c r="Z42" i="1" l="1"/>
  <c r="P55" i="1"/>
  <c r="Z55" i="1" s="1"/>
  <c r="Y55" i="1"/>
  <c r="F8" i="2" s="1"/>
  <c r="N55" i="1"/>
  <c r="M55" i="1"/>
  <c r="F10" i="2" l="1"/>
  <c r="F9" i="2"/>
  <c r="F11" i="2"/>
  <c r="F12" i="2"/>
  <c r="A8" i="1"/>
  <c r="A9" i="1"/>
  <c r="A10" i="1"/>
  <c r="A7" i="1"/>
  <c r="A29" i="1"/>
  <c r="A44" i="1"/>
  <c r="F13" i="2" l="1"/>
  <c r="D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Cattenstart-Pieters,Els E.</author>
  </authors>
  <commentList>
    <comment ref="A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Cattenstart-Pieters,Els E.:</t>
        </r>
        <r>
          <rPr>
            <sz val="9"/>
            <color indexed="81"/>
            <rFont val="Tahoma"/>
            <family val="2"/>
          </rPr>
          <t xml:space="preserve">
Navraag gedaan of bedrag verlaagt moet worden i.v.m. verkoop
</t>
        </r>
      </text>
    </comment>
  </commentList>
</comments>
</file>

<file path=xl/sharedStrings.xml><?xml version="1.0" encoding="utf-8"?>
<sst xmlns="http://schemas.openxmlformats.org/spreadsheetml/2006/main" count="204" uniqueCount="142">
  <si>
    <t>OMSCHRIJVING</t>
  </si>
  <si>
    <t>Totaal</t>
  </si>
  <si>
    <t>Plaats</t>
  </si>
  <si>
    <t>Postcode</t>
  </si>
  <si>
    <t>FF</t>
  </si>
  <si>
    <t xml:space="preserve">Heikensekerk </t>
  </si>
  <si>
    <t>Overige</t>
  </si>
  <si>
    <t>SLUITPOST</t>
  </si>
  <si>
    <t>Kunstvoorwerpen</t>
  </si>
  <si>
    <t>Datanet Componenten / Telefonie, Tilburg + Eindhoven</t>
  </si>
  <si>
    <t>Sporthogeschool</t>
  </si>
  <si>
    <t>De Witte Dame</t>
  </si>
  <si>
    <t>Zeyen Gebouw (knt)</t>
  </si>
  <si>
    <t>Kapel/Ziekenzaal</t>
  </si>
  <si>
    <t>Witte Villa</t>
  </si>
  <si>
    <t>Pand Frans Fransen</t>
  </si>
  <si>
    <t>Adres</t>
  </si>
  <si>
    <t>Eindhoven</t>
  </si>
  <si>
    <t xml:space="preserve">Rachelsmolen 1 </t>
  </si>
  <si>
    <t>Emmasingel 28</t>
  </si>
  <si>
    <t>Tilburg</t>
  </si>
  <si>
    <t>Den Bosch</t>
  </si>
  <si>
    <t>Prof. Goossenslaan 1-05</t>
  </si>
  <si>
    <t>BSS Zwijssenplein 1</t>
  </si>
  <si>
    <t>BSS Zwijssenstraat 7</t>
  </si>
  <si>
    <t>BSS Zwijssenstraat 5</t>
  </si>
  <si>
    <t>Frans Fransenstraat 15</t>
  </si>
  <si>
    <t>Prof. Goossenslaan 1-03</t>
  </si>
  <si>
    <t>Venlo</t>
  </si>
  <si>
    <t>Sittard</t>
  </si>
  <si>
    <t>Tegelseweg 255</t>
  </si>
  <si>
    <t>Mgr. Claessenstraat 4</t>
  </si>
  <si>
    <t>Divers</t>
  </si>
  <si>
    <t>Helmond</t>
  </si>
  <si>
    <t>Theo Koomenlaan 3</t>
  </si>
  <si>
    <t>Pand Frans Fransen / betreft kunstvoorwerpen</t>
  </si>
  <si>
    <t>inc. noodlokalen</t>
  </si>
  <si>
    <t>EK</t>
  </si>
  <si>
    <t>ES</t>
  </si>
  <si>
    <t>Prof. Goossenslaan 1-01</t>
  </si>
  <si>
    <t>P1</t>
  </si>
  <si>
    <t>Prof. Goossenslaan 1-04</t>
  </si>
  <si>
    <t>P3</t>
  </si>
  <si>
    <t>P2</t>
  </si>
  <si>
    <t>ZP</t>
  </si>
  <si>
    <t>Gebouwnaam</t>
  </si>
  <si>
    <t>P7</t>
  </si>
  <si>
    <t>CL</t>
  </si>
  <si>
    <t>Specificatie behorende bij Stichting Fontys</t>
  </si>
  <si>
    <t>Polisnummer B0100103722</t>
  </si>
  <si>
    <t xml:space="preserve">5626 DC </t>
  </si>
  <si>
    <t>Opslag bij verhuisbedrijf Convoi B.V.</t>
  </si>
  <si>
    <t xml:space="preserve">MollerGebouw </t>
  </si>
  <si>
    <t>Taxatie gebouwen</t>
  </si>
  <si>
    <t>Taxatie inventaris</t>
  </si>
  <si>
    <t>Taxatie huurdersbelang</t>
  </si>
  <si>
    <t>ZP bouwdeel A t/m F</t>
  </si>
  <si>
    <t>5708 JZ</t>
  </si>
  <si>
    <t>AC45</t>
  </si>
  <si>
    <t>Automotive Campus 45</t>
  </si>
  <si>
    <t>Prof. Goossenslaan 1</t>
  </si>
  <si>
    <t>5022 DM</t>
  </si>
  <si>
    <t>KAS SG</t>
  </si>
  <si>
    <t>R9</t>
  </si>
  <si>
    <t>parkeergarage</t>
  </si>
  <si>
    <t>Achtseweg Zuid 153-J/153-N/153-P</t>
  </si>
  <si>
    <t>5651 GW</t>
  </si>
  <si>
    <t>5612 MA</t>
  </si>
  <si>
    <t>Rondom 1</t>
  </si>
  <si>
    <t>ER</t>
  </si>
  <si>
    <t>Convoi</t>
  </si>
  <si>
    <t>TQ5</t>
  </si>
  <si>
    <t>P8</t>
  </si>
  <si>
    <t>Achtseweg Zuid 151C-159F-159G</t>
  </si>
  <si>
    <t>BIC</t>
  </si>
  <si>
    <t>BIC 1</t>
  </si>
  <si>
    <t>wordt verder ingericht en verbouwd in 2020</t>
  </si>
  <si>
    <t>5657 BX</t>
  </si>
  <si>
    <t>TQ4</t>
  </si>
  <si>
    <t>Verzekeraars verdeling en premiestelling</t>
  </si>
  <si>
    <t>Verzekeraar</t>
  </si>
  <si>
    <t>AIG</t>
  </si>
  <si>
    <t>XL Insurance SE</t>
  </si>
  <si>
    <t>Aandeel</t>
  </si>
  <si>
    <t>totaal</t>
  </si>
  <si>
    <t>premie in o/oo</t>
  </si>
  <si>
    <t>premie nominaal</t>
  </si>
  <si>
    <t>diverse locaties</t>
  </si>
  <si>
    <t>motorrijtuigen voor lesdoeleinden in opleidingscentra, incluis motorrijtuigen die door derden beschikbaar zijn gesteld</t>
  </si>
  <si>
    <t>motorrijtuigen</t>
  </si>
  <si>
    <t>Zwijsengebouw</t>
  </si>
  <si>
    <t>Indecijfers</t>
  </si>
  <si>
    <t>Gebouwen</t>
  </si>
  <si>
    <t>Inventaris</t>
  </si>
  <si>
    <t>Jaar</t>
  </si>
  <si>
    <t>indexcijfer</t>
  </si>
  <si>
    <t>verhogingspercentage</t>
  </si>
  <si>
    <t>R10</t>
  </si>
  <si>
    <t xml:space="preserve"> </t>
  </si>
  <si>
    <t>Gebouwen      Stichting Fontys:  Verzekerde som geindexeerd per 1-1-2022</t>
  </si>
  <si>
    <t>Gebouwen   Algemeen Fonds:    Verzekerde som geindexeerd per 1-1-2022</t>
  </si>
  <si>
    <t>Huurdersbelang  Verzekerde som geindexeerd per 1-1-2022</t>
  </si>
  <si>
    <t>Inventaris:  Verzekerde som geindexeerd per 1-1-2022</t>
  </si>
  <si>
    <t>totaal:             Verzekerde som per 1-1-2022 na index</t>
  </si>
  <si>
    <t>Nation -Ned</t>
  </si>
  <si>
    <t>Veerhaven</t>
  </si>
  <si>
    <t>Hooge Zijde 9 en Hooge Zijde 13</t>
  </si>
  <si>
    <t>Allianz</t>
  </si>
  <si>
    <t>Gebouwen      Stichting Fontys:  Verzekerde som geindexeerd per 1-1-2023</t>
  </si>
  <si>
    <t>Huurdersbelang  Verzekerde som geindexeerd per 1-1-2023</t>
  </si>
  <si>
    <t>Inventaris:  Verzekerde som geindexeerd per 1-1-2023</t>
  </si>
  <si>
    <t>totaal:             Verzekerde som per 1-1-2023 na index</t>
  </si>
  <si>
    <t>Vestdijk 51B</t>
  </si>
  <si>
    <t>5611 CA</t>
  </si>
  <si>
    <t>DLL</t>
  </si>
  <si>
    <t>huur 2 verdiepingen</t>
  </si>
  <si>
    <t>R11</t>
  </si>
  <si>
    <t>R12</t>
  </si>
  <si>
    <t>R13</t>
  </si>
  <si>
    <t>bouwdeel A t/m F</t>
  </si>
  <si>
    <t>gebouw en inventaris berekend bij R3</t>
  </si>
  <si>
    <t>All Weather Hall  / Circus gebouw</t>
  </si>
  <si>
    <t>Inventaris W1</t>
  </si>
  <si>
    <t>Inventaris W3</t>
  </si>
  <si>
    <t>W3</t>
  </si>
  <si>
    <t>W1</t>
  </si>
  <si>
    <t>verhogings percentage</t>
  </si>
  <si>
    <t>Gebouwen      Stichting Fontys:  Verzekerde som geindexeerd per 1-1-2024</t>
  </si>
  <si>
    <t>Gewogen gemiddelde</t>
  </si>
  <si>
    <t>R11/R12/R13</t>
  </si>
  <si>
    <t>Computerapparatuur</t>
  </si>
  <si>
    <t>niet verrekenbare BTW</t>
  </si>
  <si>
    <t>niet op vaste taxatie, inclusief BTW</t>
  </si>
  <si>
    <t>Inventaris:  Verzekerde som geïndexeerd per 18-1-2024</t>
  </si>
  <si>
    <t>Huurdersbelang  Verzekerde som geïndexeerd per 1-1-2024</t>
  </si>
  <si>
    <t>Inventaris:
Verzekerde som (geen index) per 18-1-24</t>
  </si>
  <si>
    <t>totaal:             Verzekerde som per 18-1-2024 na index</t>
  </si>
  <si>
    <t>Gebouwen      Stichting Fontys:  Verzekerde som geindexeerd per 1-1-2025</t>
  </si>
  <si>
    <t>Huurdersbelang  Verzekerde som geïndexeerd per 1-1-2025</t>
  </si>
  <si>
    <t>Inventaris:  Verzekerde som geïndexeerd per 01-1-2025</t>
  </si>
  <si>
    <t>totaal:             Verzekerde som per 1-1-2025 na index</t>
  </si>
  <si>
    <t>Stand: 1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</si>
</sst>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00000000;\-#,##0.0000000000"/>
    <numFmt numFmtId="165" formatCode="0.0%"/>
    <numFmt numFmtId="166" formatCode="0.0"/>
    <numFmt numFmtId="167" formatCode="0.0000"/>
    <numFmt numFmtId="168" formatCode="0.00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Verdana"/>
      <family val="2"/>
    </font>
    <font>
      <sz val="10"/>
      <color indexed="8"/>
      <name val="Times New Roman"/>
      <family val="1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C0C0C0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4" xfId="0" applyBorder="1"/>
    <xf numFmtId="0" fontId="13" fillId="0" borderId="0" xfId="0" applyFont="1"/>
    <xf numFmtId="0" fontId="0" fillId="0" borderId="15" xfId="0" applyBorder="1"/>
    <xf numFmtId="0" fontId="0" fillId="0" borderId="17" xfId="0" applyBorder="1"/>
    <xf numFmtId="0" fontId="0" fillId="0" borderId="18" xfId="0" applyBorder="1"/>
    <xf numFmtId="165" fontId="0" fillId="0" borderId="17" xfId="0" applyNumberFormat="1" applyBorder="1"/>
    <xf numFmtId="44" fontId="0" fillId="0" borderId="18" xfId="0" applyNumberFormat="1" applyBorder="1"/>
    <xf numFmtId="0" fontId="13" fillId="0" borderId="16" xfId="0" applyFont="1" applyBorder="1"/>
    <xf numFmtId="165" fontId="13" fillId="0" borderId="19" xfId="0" applyNumberFormat="1" applyFont="1" applyBorder="1"/>
    <xf numFmtId="0" fontId="13" fillId="0" borderId="9" xfId="0" applyFont="1" applyBorder="1"/>
    <xf numFmtId="44" fontId="13" fillId="0" borderId="20" xfId="0" applyNumberFormat="1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14" fillId="2" borderId="25" xfId="0" applyFont="1" applyFill="1" applyBorder="1" applyAlignment="1">
      <alignment vertical="top"/>
    </xf>
    <xf numFmtId="0" fontId="14" fillId="2" borderId="26" xfId="0" applyFont="1" applyFill="1" applyBorder="1" applyAlignment="1">
      <alignment vertical="top" wrapText="1"/>
    </xf>
    <xf numFmtId="0" fontId="14" fillId="2" borderId="27" xfId="0" applyFont="1" applyFill="1" applyBorder="1" applyAlignment="1">
      <alignment vertical="top" wrapText="1"/>
    </xf>
    <xf numFmtId="0" fontId="0" fillId="0" borderId="21" xfId="0" applyBorder="1" applyAlignment="1">
      <alignment vertical="top"/>
    </xf>
    <xf numFmtId="0" fontId="0" fillId="0" borderId="24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18" xfId="0" applyBorder="1" applyAlignment="1">
      <alignment vertical="top" wrapText="1"/>
    </xf>
    <xf numFmtId="14" fontId="0" fillId="0" borderId="15" xfId="0" applyNumberFormat="1" applyBorder="1" applyAlignment="1">
      <alignment horizontal="center"/>
    </xf>
    <xf numFmtId="166" fontId="0" fillId="0" borderId="15" xfId="0" applyNumberFormat="1" applyBorder="1"/>
    <xf numFmtId="167" fontId="0" fillId="0" borderId="18" xfId="0" applyNumberFormat="1" applyBorder="1"/>
    <xf numFmtId="0" fontId="0" fillId="0" borderId="28" xfId="0" applyBorder="1"/>
    <xf numFmtId="2" fontId="0" fillId="0" borderId="4" xfId="0" applyNumberFormat="1" applyBorder="1"/>
    <xf numFmtId="44" fontId="0" fillId="0" borderId="0" xfId="0" applyNumberFormat="1"/>
    <xf numFmtId="0" fontId="4" fillId="3" borderId="0" xfId="0" applyFont="1" applyFill="1"/>
    <xf numFmtId="0" fontId="0" fillId="3" borderId="0" xfId="0" applyFill="1"/>
    <xf numFmtId="0" fontId="1" fillId="3" borderId="0" xfId="0" applyFont="1" applyFill="1"/>
    <xf numFmtId="0" fontId="5" fillId="3" borderId="0" xfId="0" applyFont="1" applyFill="1" applyAlignment="1" applyProtection="1">
      <alignment vertical="top" wrapText="1"/>
      <protection locked="0"/>
    </xf>
    <xf numFmtId="1" fontId="5" fillId="3" borderId="0" xfId="0" applyNumberFormat="1" applyFont="1" applyFill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2" fillId="3" borderId="5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43" fontId="2" fillId="3" borderId="6" xfId="0" applyNumberFormat="1" applyFont="1" applyFill="1" applyBorder="1" applyAlignment="1">
      <alignment vertical="top" wrapText="1"/>
    </xf>
    <xf numFmtId="0" fontId="0" fillId="3" borderId="7" xfId="0" applyFill="1" applyBorder="1"/>
    <xf numFmtId="0" fontId="0" fillId="3" borderId="4" xfId="0" applyFill="1" applyBorder="1"/>
    <xf numFmtId="0" fontId="0" fillId="3" borderId="10" xfId="0" applyFill="1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/>
    <xf numFmtId="44" fontId="1" fillId="3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14" fontId="1" fillId="3" borderId="1" xfId="0" applyNumberFormat="1" applyFont="1" applyFill="1" applyBorder="1"/>
    <xf numFmtId="44" fontId="8" fillId="3" borderId="11" xfId="0" applyNumberFormat="1" applyFont="1" applyFill="1" applyBorder="1" applyAlignment="1">
      <alignment horizontal="right" vertical="top"/>
    </xf>
    <xf numFmtId="44" fontId="9" fillId="3" borderId="1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44" fontId="9" fillId="3" borderId="29" xfId="0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44" fontId="9" fillId="3" borderId="13" xfId="0" applyNumberFormat="1" applyFont="1" applyFill="1" applyBorder="1" applyAlignment="1">
      <alignment horizontal="right" vertical="top" wrapText="1"/>
    </xf>
    <xf numFmtId="44" fontId="9" fillId="3" borderId="1" xfId="0" applyNumberFormat="1" applyFont="1" applyFill="1" applyBorder="1" applyAlignment="1">
      <alignment horizontal="right" vertical="top" wrapText="1"/>
    </xf>
    <xf numFmtId="0" fontId="10" fillId="3" borderId="14" xfId="0" applyFont="1" applyFill="1" applyBorder="1"/>
    <xf numFmtId="0" fontId="10" fillId="3" borderId="1" xfId="0" applyFont="1" applyFill="1" applyBorder="1"/>
    <xf numFmtId="44" fontId="1" fillId="3" borderId="11" xfId="0" applyNumberFormat="1" applyFont="1" applyFill="1" applyBorder="1" applyAlignment="1">
      <alignment horizontal="right" vertical="top"/>
    </xf>
    <xf numFmtId="44" fontId="9" fillId="3" borderId="0" xfId="0" applyNumberFormat="1" applyFont="1" applyFill="1" applyAlignment="1">
      <alignment horizontal="right" vertical="top" wrapText="1"/>
    </xf>
    <xf numFmtId="49" fontId="1" fillId="3" borderId="1" xfId="0" applyNumberFormat="1" applyFont="1" applyFill="1" applyBorder="1" applyAlignment="1">
      <alignment vertical="top" wrapText="1"/>
    </xf>
    <xf numFmtId="44" fontId="9" fillId="3" borderId="12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/>
    <xf numFmtId="44" fontId="1" fillId="3" borderId="2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9" xfId="0" applyFont="1" applyFill="1" applyBorder="1"/>
    <xf numFmtId="44" fontId="2" fillId="3" borderId="9" xfId="0" applyNumberFormat="1" applyFont="1" applyFill="1" applyBorder="1" applyAlignment="1">
      <alignment horizontal="left"/>
    </xf>
    <xf numFmtId="0" fontId="3" fillId="3" borderId="0" xfId="0" applyFont="1" applyFill="1" applyAlignment="1">
      <alignment vertical="top" wrapText="1"/>
    </xf>
    <xf numFmtId="44" fontId="3" fillId="3" borderId="0" xfId="0" applyNumberFormat="1" applyFont="1" applyFill="1" applyAlignment="1">
      <alignment horizontal="right"/>
    </xf>
    <xf numFmtId="44" fontId="3" fillId="3" borderId="0" xfId="0" applyNumberFormat="1" applyFont="1" applyFill="1" applyAlignment="1">
      <alignment horizontal="left"/>
    </xf>
    <xf numFmtId="4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vertical="top" wrapText="1"/>
    </xf>
    <xf numFmtId="4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wrapText="1"/>
    </xf>
    <xf numFmtId="44" fontId="2" fillId="3" borderId="0" xfId="0" applyNumberFormat="1" applyFont="1" applyFill="1"/>
    <xf numFmtId="44" fontId="1" fillId="3" borderId="0" xfId="0" applyNumberFormat="1" applyFont="1" applyFill="1"/>
    <xf numFmtId="43" fontId="2" fillId="3" borderId="0" xfId="0" applyNumberFormat="1" applyFont="1" applyFill="1"/>
    <xf numFmtId="43" fontId="1" fillId="3" borderId="0" xfId="0" applyNumberFormat="1" applyFont="1" applyFill="1"/>
    <xf numFmtId="0" fontId="1" fillId="3" borderId="0" xfId="0" applyFont="1" applyFill="1" applyAlignment="1">
      <alignment vertical="top"/>
    </xf>
    <xf numFmtId="44" fontId="1" fillId="3" borderId="0" xfId="0" applyNumberFormat="1" applyFont="1" applyFill="1" applyAlignment="1">
      <alignment vertical="top"/>
    </xf>
    <xf numFmtId="41" fontId="1" fillId="3" borderId="0" xfId="0" applyNumberFormat="1" applyFont="1" applyFill="1" applyAlignment="1">
      <alignment vertical="top"/>
    </xf>
    <xf numFmtId="41" fontId="1" fillId="3" borderId="0" xfId="0" applyNumberFormat="1" applyFont="1" applyFill="1"/>
    <xf numFmtId="39" fontId="1" fillId="3" borderId="0" xfId="0" applyNumberFormat="1" applyFont="1" applyFill="1"/>
    <xf numFmtId="164" fontId="1" fillId="3" borderId="0" xfId="0" applyNumberFormat="1" applyFont="1" applyFill="1"/>
    <xf numFmtId="44" fontId="9" fillId="3" borderId="0" xfId="0" applyNumberFormat="1" applyFont="1" applyFill="1" applyAlignment="1">
      <alignment horizontal="right" wrapText="1"/>
    </xf>
    <xf numFmtId="4" fontId="1" fillId="3" borderId="0" xfId="0" applyNumberFormat="1" applyFont="1" applyFill="1"/>
    <xf numFmtId="14" fontId="0" fillId="0" borderId="28" xfId="0" applyNumberFormat="1" applyBorder="1" applyAlignment="1">
      <alignment horizontal="center"/>
    </xf>
    <xf numFmtId="167" fontId="0" fillId="0" borderId="30" xfId="0" applyNumberFormat="1" applyBorder="1"/>
    <xf numFmtId="44" fontId="9" fillId="0" borderId="1" xfId="0" applyNumberFormat="1" applyFont="1" applyBorder="1" applyAlignment="1">
      <alignment horizontal="right" wrapText="1"/>
    </xf>
    <xf numFmtId="44" fontId="1" fillId="0" borderId="2" xfId="0" applyNumberFormat="1" applyFont="1" applyBorder="1" applyAlignment="1">
      <alignment horizontal="right" vertical="top"/>
    </xf>
    <xf numFmtId="44" fontId="9" fillId="3" borderId="2" xfId="0" applyNumberFormat="1" applyFont="1" applyFill="1" applyBorder="1" applyAlignment="1">
      <alignment horizontal="right" wrapText="1"/>
    </xf>
    <xf numFmtId="0" fontId="13" fillId="0" borderId="31" xfId="0" applyFont="1" applyBorder="1"/>
    <xf numFmtId="0" fontId="0" fillId="0" borderId="32" xfId="0" applyBorder="1"/>
    <xf numFmtId="168" fontId="13" fillId="0" borderId="33" xfId="0" applyNumberFormat="1" applyFont="1" applyBorder="1"/>
    <xf numFmtId="168" fontId="0" fillId="0" borderId="32" xfId="0" applyNumberFormat="1" applyBorder="1"/>
    <xf numFmtId="14" fontId="1" fillId="3" borderId="2" xfId="0" applyNumberFormat="1" applyFont="1" applyFill="1" applyBorder="1"/>
    <xf numFmtId="0" fontId="8" fillId="3" borderId="2" xfId="0" applyFont="1" applyFill="1" applyBorder="1" applyAlignment="1">
      <alignment wrapText="1"/>
    </xf>
    <xf numFmtId="41" fontId="2" fillId="0" borderId="6" xfId="0" applyNumberFormat="1" applyFont="1" applyBorder="1" applyAlignment="1">
      <alignment vertical="top" wrapText="1"/>
    </xf>
    <xf numFmtId="41" fontId="2" fillId="0" borderId="6" xfId="0" applyNumberFormat="1" applyFont="1" applyBorder="1" applyAlignment="1">
      <alignment horizontal="left" vertical="top" wrapText="1"/>
    </xf>
    <xf numFmtId="1" fontId="5" fillId="0" borderId="0" xfId="0" applyNumberFormat="1" applyFont="1" applyAlignment="1" applyProtection="1">
      <alignment horizontal="center" vertical="top" wrapText="1"/>
      <protection locked="0"/>
    </xf>
    <xf numFmtId="44" fontId="1" fillId="0" borderId="1" xfId="0" applyNumberFormat="1" applyFont="1" applyBorder="1" applyAlignment="1">
      <alignment horizontal="right" vertical="top"/>
    </xf>
    <xf numFmtId="44" fontId="2" fillId="0" borderId="9" xfId="0" applyNumberFormat="1" applyFont="1" applyBorder="1" applyAlignment="1">
      <alignment horizontal="left"/>
    </xf>
    <xf numFmtId="44" fontId="3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4" fontId="2" fillId="0" borderId="0" xfId="0" applyNumberFormat="1" applyFont="1"/>
    <xf numFmtId="44" fontId="1" fillId="0" borderId="0" xfId="0" applyNumberFormat="1" applyFont="1"/>
    <xf numFmtId="44" fontId="1" fillId="0" borderId="0" xfId="0" applyNumberFormat="1" applyFont="1" applyAlignment="1">
      <alignment vertical="top"/>
    </xf>
    <xf numFmtId="41" fontId="1" fillId="0" borderId="0" xfId="0" applyNumberFormat="1" applyFont="1" applyAlignment="1">
      <alignment vertical="top"/>
    </xf>
    <xf numFmtId="43" fontId="1" fillId="0" borderId="0" xfId="0" applyNumberFormat="1" applyFont="1"/>
    <xf numFmtId="43" fontId="2" fillId="0" borderId="0" xfId="0" applyNumberFormat="1" applyFont="1"/>
    <xf numFmtId="41" fontId="1" fillId="0" borderId="0" xfId="0" applyNumberFormat="1" applyFont="1"/>
    <xf numFmtId="39" fontId="1" fillId="0" borderId="0" xfId="0" applyNumberFormat="1" applyFont="1"/>
    <xf numFmtId="0" fontId="1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44" fontId="3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left"/>
    </xf>
    <xf numFmtId="16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  <color rgb="FFCCFFCC"/>
      <color rgb="FF66FF66"/>
      <color rgb="FF30CA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eulen\AppData\Local\Microsoft\Windows\Temporary%20Internet%20Files\Content.Outlook\LX8K3YNQ\Fontys%20en%20Algemeen%20Fonds%20(polisbladen%2011%20en%206)%20per%2001-01-2015%20per%2010-06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zicht 01-01-2013"/>
    </sheetNames>
    <sheetDataSet>
      <sheetData sheetId="0">
        <row r="6">
          <cell r="A6" t="str">
            <v>Instituten Regio Eindhoven</v>
          </cell>
        </row>
        <row r="11">
          <cell r="A11" t="str">
            <v>R3</v>
          </cell>
        </row>
        <row r="12">
          <cell r="A12" t="str">
            <v>R4</v>
          </cell>
        </row>
        <row r="13">
          <cell r="A13" t="str">
            <v>R5</v>
          </cell>
        </row>
        <row r="24">
          <cell r="A24" t="str">
            <v>Instituten Regio Tilburg</v>
          </cell>
        </row>
        <row r="50">
          <cell r="A50" t="str">
            <v>Instituten Regio Limburg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"/>
  <sheetViews>
    <sheetView tabSelected="1" zoomScale="90" zoomScaleNormal="90" workbookViewId="0">
      <pane ySplit="4" topLeftCell="A33" activePane="bottomLeft" state="frozen"/>
      <selection pane="bottomLeft" activeCell="V58" sqref="V58"/>
    </sheetView>
  </sheetViews>
  <sheetFormatPr defaultColWidth="9.1796875" defaultRowHeight="13" x14ac:dyDescent="0.3"/>
  <cols>
    <col min="1" max="1" width="47.453125" style="31" bestFit="1" customWidth="1"/>
    <col min="2" max="2" width="28.1796875" style="31" bestFit="1" customWidth="1"/>
    <col min="3" max="3" width="12" style="31" bestFit="1" customWidth="1"/>
    <col min="4" max="4" width="8.453125" style="31" bestFit="1" customWidth="1"/>
    <col min="5" max="5" width="28.54296875" style="31" bestFit="1" customWidth="1"/>
    <col min="6" max="7" width="10.1796875" style="31" bestFit="1" customWidth="1"/>
    <col min="8" max="8" width="13.453125" style="31" bestFit="1" customWidth="1"/>
    <col min="9" max="12" width="17.54296875" style="31" hidden="1" customWidth="1"/>
    <col min="13" max="13" width="15.7265625" style="31" hidden="1" customWidth="1"/>
    <col min="14" max="15" width="17.54296875" style="31" hidden="1" customWidth="1"/>
    <col min="16" max="16" width="17.54296875" style="115" customWidth="1"/>
    <col min="17" max="18" width="17.54296875" style="31" hidden="1" customWidth="1"/>
    <col min="19" max="19" width="17.54296875" style="115" customWidth="1"/>
    <col min="20" max="21" width="17.54296875" style="31" hidden="1" customWidth="1"/>
    <col min="22" max="22" width="17.54296875" style="115" customWidth="1"/>
    <col min="23" max="25" width="17.26953125" style="31" customWidth="1"/>
    <col min="26" max="26" width="17.26953125" style="115" customWidth="1"/>
    <col min="27" max="16384" width="9.1796875" style="31"/>
  </cols>
  <sheetData>
    <row r="1" spans="1:26" ht="14.5" x14ac:dyDescent="0.35">
      <c r="A1" s="29" t="s">
        <v>48</v>
      </c>
      <c r="B1" s="29"/>
      <c r="C1" s="29"/>
      <c r="D1" s="29"/>
      <c r="E1" s="30"/>
      <c r="I1" s="30"/>
      <c r="J1" s="30"/>
      <c r="K1" s="30"/>
      <c r="L1" s="30"/>
      <c r="N1" s="30"/>
      <c r="O1" s="30"/>
      <c r="P1"/>
      <c r="Q1" s="30"/>
      <c r="R1" s="30"/>
      <c r="S1"/>
      <c r="T1" s="30"/>
      <c r="U1" s="30"/>
      <c r="V1"/>
    </row>
    <row r="2" spans="1:26" ht="14.5" x14ac:dyDescent="0.35">
      <c r="A2" s="29" t="s">
        <v>49</v>
      </c>
      <c r="B2" s="29"/>
      <c r="C2" s="29"/>
      <c r="D2" s="29"/>
      <c r="E2" s="30"/>
      <c r="I2" s="30"/>
      <c r="J2" s="30"/>
      <c r="K2" s="30"/>
      <c r="L2" s="30"/>
      <c r="N2" s="30"/>
      <c r="O2" s="30"/>
      <c r="P2"/>
      <c r="Q2" s="30"/>
      <c r="R2" s="30"/>
      <c r="S2"/>
      <c r="T2" s="30"/>
      <c r="U2" s="30"/>
      <c r="V2"/>
    </row>
    <row r="3" spans="1:26" ht="14" thickBot="1" x14ac:dyDescent="0.35">
      <c r="A3" s="29" t="s">
        <v>141</v>
      </c>
      <c r="B3" s="29"/>
      <c r="C3" s="29"/>
      <c r="D3" s="29"/>
      <c r="E3" s="32"/>
      <c r="I3" s="33"/>
      <c r="J3" s="33"/>
      <c r="K3" s="34"/>
      <c r="L3" s="34"/>
      <c r="N3" s="33"/>
      <c r="O3" s="33"/>
      <c r="P3" s="102"/>
      <c r="Q3" s="34"/>
      <c r="R3" s="34"/>
      <c r="S3" s="116"/>
      <c r="T3" s="34"/>
      <c r="U3" s="34"/>
      <c r="V3" s="116"/>
    </row>
    <row r="4" spans="1:26" ht="66" thickTop="1" thickBot="1" x14ac:dyDescent="0.35">
      <c r="A4" s="35" t="s">
        <v>45</v>
      </c>
      <c r="B4" s="36" t="s">
        <v>16</v>
      </c>
      <c r="C4" s="36" t="s">
        <v>2</v>
      </c>
      <c r="D4" s="36" t="s">
        <v>3</v>
      </c>
      <c r="E4" s="37" t="s">
        <v>0</v>
      </c>
      <c r="F4" s="38" t="s">
        <v>53</v>
      </c>
      <c r="G4" s="38" t="s">
        <v>54</v>
      </c>
      <c r="H4" s="38" t="s">
        <v>55</v>
      </c>
      <c r="I4" s="100" t="s">
        <v>99</v>
      </c>
      <c r="J4" s="101" t="s">
        <v>100</v>
      </c>
      <c r="K4" s="100" t="s">
        <v>102</v>
      </c>
      <c r="L4" s="100" t="s">
        <v>101</v>
      </c>
      <c r="M4" s="100" t="s">
        <v>103</v>
      </c>
      <c r="N4" s="100" t="s">
        <v>108</v>
      </c>
      <c r="O4" s="100" t="s">
        <v>127</v>
      </c>
      <c r="P4" s="100" t="s">
        <v>137</v>
      </c>
      <c r="Q4" s="100" t="s">
        <v>109</v>
      </c>
      <c r="R4" s="100" t="s">
        <v>134</v>
      </c>
      <c r="S4" s="100" t="s">
        <v>138</v>
      </c>
      <c r="T4" s="100" t="s">
        <v>110</v>
      </c>
      <c r="U4" s="100" t="s">
        <v>133</v>
      </c>
      <c r="V4" s="100" t="s">
        <v>139</v>
      </c>
      <c r="W4" s="100" t="s">
        <v>111</v>
      </c>
      <c r="X4" s="100" t="s">
        <v>135</v>
      </c>
      <c r="Y4" s="100" t="s">
        <v>136</v>
      </c>
      <c r="Z4" s="100" t="s">
        <v>140</v>
      </c>
    </row>
    <row r="5" spans="1:26" s="30" customFormat="1" ht="14.5" x14ac:dyDescent="0.35">
      <c r="B5" s="39"/>
      <c r="C5" s="39"/>
      <c r="D5" s="40"/>
      <c r="E5" s="40"/>
      <c r="F5" s="41"/>
      <c r="G5" s="41"/>
      <c r="H5" s="41"/>
      <c r="I5" s="40"/>
      <c r="J5" s="40"/>
      <c r="K5" s="40"/>
      <c r="L5" s="40"/>
      <c r="M5" s="40"/>
      <c r="N5" s="40"/>
      <c r="O5" s="40"/>
      <c r="P5" s="1"/>
      <c r="Q5" s="40"/>
      <c r="R5" s="40"/>
      <c r="S5" s="1"/>
      <c r="T5" s="40"/>
      <c r="U5" s="40"/>
      <c r="V5" s="1"/>
      <c r="W5" s="40"/>
      <c r="X5" s="40"/>
      <c r="Y5" s="40"/>
      <c r="Z5" s="1"/>
    </row>
    <row r="6" spans="1:26" x14ac:dyDescent="0.3">
      <c r="A6" s="42"/>
      <c r="B6" s="42"/>
      <c r="C6" s="42"/>
      <c r="D6" s="42"/>
      <c r="E6" s="42"/>
      <c r="F6" s="43"/>
      <c r="G6" s="43"/>
      <c r="H6" s="43"/>
      <c r="I6" s="44"/>
      <c r="J6" s="44"/>
      <c r="K6" s="44"/>
      <c r="L6" s="44"/>
      <c r="M6" s="44"/>
      <c r="N6" s="44"/>
      <c r="O6" s="44"/>
      <c r="P6" s="103"/>
      <c r="Q6" s="44"/>
      <c r="R6" s="44"/>
      <c r="S6" s="103"/>
      <c r="T6" s="44"/>
      <c r="U6" s="44"/>
      <c r="V6" s="103"/>
      <c r="W6" s="44"/>
      <c r="X6" s="44"/>
      <c r="Y6" s="44"/>
      <c r="Z6" s="103"/>
    </row>
    <row r="7" spans="1:26" x14ac:dyDescent="0.3">
      <c r="A7" s="45" t="str">
        <f>'[1]Overzicht 01-01-2013'!A6</f>
        <v>Instituten Regio Eindhoven</v>
      </c>
      <c r="B7" s="42"/>
      <c r="C7" s="42"/>
      <c r="D7" s="42"/>
      <c r="E7" s="42"/>
      <c r="F7" s="43"/>
      <c r="G7" s="43"/>
      <c r="H7" s="43"/>
      <c r="I7" s="44"/>
      <c r="J7" s="44"/>
      <c r="K7" s="44"/>
      <c r="L7" s="44"/>
      <c r="M7" s="44"/>
      <c r="N7" s="44"/>
      <c r="O7" s="44"/>
      <c r="P7" s="103"/>
      <c r="Q7" s="44"/>
      <c r="R7" s="44"/>
      <c r="S7" s="103"/>
      <c r="T7" s="44"/>
      <c r="U7" s="44"/>
      <c r="V7" s="103"/>
      <c r="W7" s="44"/>
      <c r="X7" s="44"/>
      <c r="Y7" s="44"/>
      <c r="Z7" s="103"/>
    </row>
    <row r="8" spans="1:26" x14ac:dyDescent="0.3">
      <c r="A8" s="46" t="str">
        <f>'[1]Overzicht 01-01-2013'!A11</f>
        <v>R3</v>
      </c>
      <c r="B8" s="46" t="s">
        <v>18</v>
      </c>
      <c r="C8" s="46" t="s">
        <v>17</v>
      </c>
      <c r="D8" s="46"/>
      <c r="E8" s="46"/>
      <c r="F8" s="47">
        <v>44781</v>
      </c>
      <c r="G8" s="47">
        <v>44803</v>
      </c>
      <c r="H8" s="43"/>
      <c r="I8" s="48"/>
      <c r="J8" s="49">
        <v>41222000</v>
      </c>
      <c r="K8" s="49">
        <v>4999000</v>
      </c>
      <c r="L8" s="44"/>
      <c r="M8" s="44">
        <f t="shared" ref="M8:M54" si="0">SUM(I8:L8)</f>
        <v>46221000</v>
      </c>
      <c r="N8" s="49">
        <v>62500000</v>
      </c>
      <c r="O8" s="49">
        <f>ROUNDUP(N8*128.4/124,-3)</f>
        <v>64718000</v>
      </c>
      <c r="P8" s="91">
        <f>ROUNDUP(O8/128.4*133.4,-3)</f>
        <v>67239000</v>
      </c>
      <c r="Q8" s="49">
        <f>ROUNDUP(L8*'jaarpremie per verzekeraar'!$C$23/'jaarpremie per verzekeraar'!$C$22,-3)</f>
        <v>0</v>
      </c>
      <c r="R8" s="49"/>
      <c r="S8" s="91">
        <f>ROUNDUP(R8/128.4*133.4,-3)</f>
        <v>0</v>
      </c>
      <c r="T8" s="49">
        <v>9045000</v>
      </c>
      <c r="U8" s="49">
        <f>ROUNDUP(T8*124.4/122,-3)</f>
        <v>9223000</v>
      </c>
      <c r="V8" s="91">
        <f>ROUNDUP(U8/124.4*129.6,-3)</f>
        <v>9609000</v>
      </c>
      <c r="W8" s="44">
        <f>N8+Q8+T8</f>
        <v>71545000</v>
      </c>
      <c r="X8" s="44"/>
      <c r="Y8" s="44">
        <f>(O8+R8+U8)</f>
        <v>73941000</v>
      </c>
      <c r="Z8" s="103">
        <f>(P8+S8+V8)</f>
        <v>76848000</v>
      </c>
    </row>
    <row r="9" spans="1:26" ht="26" x14ac:dyDescent="0.3">
      <c r="A9" s="46" t="str">
        <f>'[1]Overzicht 01-01-2013'!A12</f>
        <v>R4</v>
      </c>
      <c r="B9" s="46" t="s">
        <v>18</v>
      </c>
      <c r="C9" s="46" t="s">
        <v>17</v>
      </c>
      <c r="D9" s="46"/>
      <c r="E9" s="46" t="s">
        <v>120</v>
      </c>
      <c r="F9" s="47">
        <v>44781</v>
      </c>
      <c r="G9" s="47">
        <v>44803</v>
      </c>
      <c r="H9" s="43"/>
      <c r="I9" s="48"/>
      <c r="J9" s="49"/>
      <c r="K9" s="49">
        <v>3965000</v>
      </c>
      <c r="L9" s="44"/>
      <c r="M9" s="44">
        <f t="shared" si="0"/>
        <v>3965000</v>
      </c>
      <c r="N9" s="49"/>
      <c r="O9" s="49"/>
      <c r="P9" s="91">
        <f t="shared" ref="P9:P54" si="1">ROUNDUP(O9/128.4*133.4,-3)</f>
        <v>0</v>
      </c>
      <c r="Q9" s="49">
        <f>ROUNDUP(L9*'jaarpremie per verzekeraar'!$C$23/'jaarpremie per verzekeraar'!$C$22,-3)</f>
        <v>0</v>
      </c>
      <c r="R9" s="49"/>
      <c r="S9" s="91">
        <f t="shared" ref="S9:S54" si="2">ROUNDUP(R9/128.4*133.4,-3)</f>
        <v>0</v>
      </c>
      <c r="T9" s="49"/>
      <c r="U9" s="49"/>
      <c r="V9" s="91">
        <f t="shared" ref="V9:V54" si="3">ROUNDUP(U9/124.4*129.6,-3)</f>
        <v>0</v>
      </c>
      <c r="W9" s="44">
        <f t="shared" ref="W9:W54" si="4">N9+Q9+T9</f>
        <v>0</v>
      </c>
      <c r="X9" s="44"/>
      <c r="Y9" s="44">
        <f t="shared" ref="Y9:Y15" si="5">(O9+R9+U9)</f>
        <v>0</v>
      </c>
      <c r="Z9" s="103">
        <f t="shared" ref="Z9:Z55" si="6">(P9+S9+V9)</f>
        <v>0</v>
      </c>
    </row>
    <row r="10" spans="1:26" x14ac:dyDescent="0.3">
      <c r="A10" s="46" t="str">
        <f>'[1]Overzicht 01-01-2013'!A13</f>
        <v>R5</v>
      </c>
      <c r="B10" s="46" t="s">
        <v>18</v>
      </c>
      <c r="C10" s="46" t="s">
        <v>17</v>
      </c>
      <c r="D10" s="46"/>
      <c r="E10" s="50"/>
      <c r="F10" s="47">
        <v>44781</v>
      </c>
      <c r="G10" s="47">
        <v>44803</v>
      </c>
      <c r="H10" s="43"/>
      <c r="I10" s="48"/>
      <c r="J10" s="49">
        <v>8952000</v>
      </c>
      <c r="K10" s="49">
        <v>7236000</v>
      </c>
      <c r="L10" s="44"/>
      <c r="M10" s="44">
        <f t="shared" si="0"/>
        <v>16188000</v>
      </c>
      <c r="N10" s="49">
        <v>13750000</v>
      </c>
      <c r="O10" s="49">
        <f t="shared" ref="O10:O12" si="7">ROUNDUP(N10*128.4/124,-3)</f>
        <v>14238000</v>
      </c>
      <c r="P10" s="91">
        <f t="shared" si="1"/>
        <v>14793000</v>
      </c>
      <c r="Q10" s="49">
        <f>ROUNDUP(L10*'jaarpremie per verzekeraar'!$C$23/'jaarpremie per verzekeraar'!$C$22,-3)</f>
        <v>0</v>
      </c>
      <c r="R10" s="49"/>
      <c r="S10" s="91">
        <f t="shared" si="2"/>
        <v>0</v>
      </c>
      <c r="T10" s="49">
        <v>4190000</v>
      </c>
      <c r="U10" s="49">
        <f t="shared" ref="U10:U54" si="8">ROUNDUP(T10*124.4/122,-3)</f>
        <v>4273000</v>
      </c>
      <c r="V10" s="91">
        <f t="shared" si="3"/>
        <v>4452000</v>
      </c>
      <c r="W10" s="44">
        <f t="shared" si="4"/>
        <v>17940000</v>
      </c>
      <c r="X10" s="44"/>
      <c r="Y10" s="44">
        <f t="shared" si="5"/>
        <v>18511000</v>
      </c>
      <c r="Z10" s="103">
        <f t="shared" si="6"/>
        <v>19245000</v>
      </c>
    </row>
    <row r="11" spans="1:26" x14ac:dyDescent="0.3">
      <c r="A11" s="46" t="s">
        <v>63</v>
      </c>
      <c r="B11" s="46" t="s">
        <v>18</v>
      </c>
      <c r="C11" s="46" t="s">
        <v>17</v>
      </c>
      <c r="D11" s="46"/>
      <c r="E11" s="50" t="s">
        <v>64</v>
      </c>
      <c r="F11" s="47">
        <v>44781</v>
      </c>
      <c r="G11" s="47"/>
      <c r="H11" s="43"/>
      <c r="I11" s="49">
        <v>4540000</v>
      </c>
      <c r="J11" s="49"/>
      <c r="K11" s="49"/>
      <c r="L11" s="44"/>
      <c r="M11" s="44">
        <f t="shared" si="0"/>
        <v>4540000</v>
      </c>
      <c r="N11" s="49">
        <v>6500000</v>
      </c>
      <c r="O11" s="49">
        <f t="shared" si="7"/>
        <v>6731000</v>
      </c>
      <c r="P11" s="91">
        <f t="shared" si="1"/>
        <v>6994000</v>
      </c>
      <c r="Q11" s="49">
        <f>ROUNDUP(L11*'jaarpremie per verzekeraar'!$C$23/'jaarpremie per verzekeraar'!$C$22,-3)</f>
        <v>0</v>
      </c>
      <c r="R11" s="49"/>
      <c r="S11" s="91">
        <f t="shared" si="2"/>
        <v>0</v>
      </c>
      <c r="T11" s="49"/>
      <c r="U11" s="49">
        <f t="shared" si="8"/>
        <v>0</v>
      </c>
      <c r="V11" s="91">
        <f t="shared" si="3"/>
        <v>0</v>
      </c>
      <c r="W11" s="44">
        <f t="shared" si="4"/>
        <v>6500000</v>
      </c>
      <c r="X11" s="44"/>
      <c r="Y11" s="44">
        <f t="shared" si="5"/>
        <v>6731000</v>
      </c>
      <c r="Z11" s="103">
        <f t="shared" si="6"/>
        <v>6994000</v>
      </c>
    </row>
    <row r="12" spans="1:26" x14ac:dyDescent="0.3">
      <c r="A12" s="46" t="s">
        <v>97</v>
      </c>
      <c r="B12" s="46" t="s">
        <v>18</v>
      </c>
      <c r="C12" s="46" t="s">
        <v>17</v>
      </c>
      <c r="D12" s="46" t="s">
        <v>67</v>
      </c>
      <c r="E12" s="50"/>
      <c r="F12" s="47">
        <v>44781</v>
      </c>
      <c r="G12" s="47">
        <v>44803</v>
      </c>
      <c r="H12" s="43"/>
      <c r="I12" s="51">
        <v>33492000</v>
      </c>
      <c r="J12" s="49"/>
      <c r="K12" s="49">
        <v>7336000</v>
      </c>
      <c r="L12" s="44"/>
      <c r="M12" s="44">
        <f t="shared" si="0"/>
        <v>40828000</v>
      </c>
      <c r="N12" s="49">
        <v>46500000</v>
      </c>
      <c r="O12" s="49">
        <f t="shared" si="7"/>
        <v>48150000</v>
      </c>
      <c r="P12" s="91">
        <f t="shared" si="1"/>
        <v>50025000</v>
      </c>
      <c r="Q12" s="49">
        <f>ROUNDUP(L12*'jaarpremie per verzekeraar'!$C$23/'jaarpremie per verzekeraar'!$C$22,-3)</f>
        <v>0</v>
      </c>
      <c r="R12" s="49"/>
      <c r="S12" s="91">
        <f t="shared" si="2"/>
        <v>0</v>
      </c>
      <c r="T12" s="49">
        <v>9710000</v>
      </c>
      <c r="U12" s="49">
        <f t="shared" si="8"/>
        <v>9902000</v>
      </c>
      <c r="V12" s="91">
        <f t="shared" si="3"/>
        <v>10316000</v>
      </c>
      <c r="W12" s="44">
        <f t="shared" si="4"/>
        <v>56210000</v>
      </c>
      <c r="X12" s="44"/>
      <c r="Y12" s="44">
        <f t="shared" si="5"/>
        <v>58052000</v>
      </c>
      <c r="Z12" s="103">
        <f t="shared" si="6"/>
        <v>60341000</v>
      </c>
    </row>
    <row r="13" spans="1:26" x14ac:dyDescent="0.3">
      <c r="A13" s="46" t="s">
        <v>116</v>
      </c>
      <c r="B13" s="46" t="s">
        <v>18</v>
      </c>
      <c r="C13" s="46" t="s">
        <v>17</v>
      </c>
      <c r="D13" s="46" t="s">
        <v>67</v>
      </c>
      <c r="E13" s="50"/>
      <c r="F13" s="47">
        <v>45258</v>
      </c>
      <c r="G13" s="47">
        <v>45307</v>
      </c>
      <c r="H13" s="43"/>
      <c r="J13" s="49"/>
      <c r="K13" s="49"/>
      <c r="L13" s="44"/>
      <c r="M13" s="44"/>
      <c r="N13" s="49">
        <v>11250000</v>
      </c>
      <c r="O13" s="49">
        <f>N13</f>
        <v>11250000</v>
      </c>
      <c r="P13" s="91">
        <f t="shared" si="1"/>
        <v>11689000</v>
      </c>
      <c r="Q13" s="49">
        <f>ROUNDUP(L13*'jaarpremie per verzekeraar'!$C$23/'jaarpremie per verzekeraar'!$C$22,-3)</f>
        <v>0</v>
      </c>
      <c r="R13" s="49"/>
      <c r="S13" s="91">
        <f t="shared" si="2"/>
        <v>0</v>
      </c>
      <c r="T13" s="49">
        <f>ROUNDUP(K13*'jaarpremie per verzekeraar'!$F$23/'jaarpremie per verzekeraar'!$F$22,-3)</f>
        <v>0</v>
      </c>
      <c r="U13" s="49">
        <v>1167500</v>
      </c>
      <c r="V13" s="91">
        <f t="shared" si="3"/>
        <v>1217000</v>
      </c>
      <c r="W13" s="44">
        <f t="shared" si="4"/>
        <v>11250000</v>
      </c>
      <c r="X13" s="44"/>
      <c r="Y13" s="44">
        <f t="shared" si="5"/>
        <v>12417500</v>
      </c>
      <c r="Z13" s="103">
        <f t="shared" si="6"/>
        <v>12906000</v>
      </c>
    </row>
    <row r="14" spans="1:26" x14ac:dyDescent="0.3">
      <c r="A14" s="46" t="s">
        <v>117</v>
      </c>
      <c r="B14" s="46" t="s">
        <v>18</v>
      </c>
      <c r="C14" s="46" t="s">
        <v>17</v>
      </c>
      <c r="D14" s="46" t="s">
        <v>67</v>
      </c>
      <c r="E14" s="50"/>
      <c r="F14" s="47">
        <v>45258</v>
      </c>
      <c r="G14" s="47">
        <v>45307</v>
      </c>
      <c r="H14" s="43"/>
      <c r="I14" s="87"/>
      <c r="J14" s="49"/>
      <c r="K14" s="49"/>
      <c r="L14" s="44"/>
      <c r="M14" s="44"/>
      <c r="N14" s="49">
        <v>19450000</v>
      </c>
      <c r="O14" s="49">
        <f t="shared" ref="O14:O15" si="9">N14</f>
        <v>19450000</v>
      </c>
      <c r="P14" s="91">
        <f t="shared" si="1"/>
        <v>20208000</v>
      </c>
      <c r="Q14" s="49">
        <f>ROUNDUP(L14*'jaarpremie per verzekeraar'!$C$23/'jaarpremie per verzekeraar'!$C$22,-3)</f>
        <v>0</v>
      </c>
      <c r="R14" s="49"/>
      <c r="S14" s="91">
        <f t="shared" si="2"/>
        <v>0</v>
      </c>
      <c r="T14" s="49">
        <f>ROUNDUP(K14*'jaarpremie per verzekeraar'!$F$23/'jaarpremie per verzekeraar'!$F$22,-3)</f>
        <v>0</v>
      </c>
      <c r="U14" s="49">
        <v>8600000</v>
      </c>
      <c r="V14" s="91">
        <f t="shared" si="3"/>
        <v>8960000</v>
      </c>
      <c r="W14" s="44">
        <f t="shared" si="4"/>
        <v>19450000</v>
      </c>
      <c r="X14" s="44"/>
      <c r="Y14" s="44">
        <f t="shared" si="5"/>
        <v>28050000</v>
      </c>
      <c r="Z14" s="103">
        <f t="shared" si="6"/>
        <v>29168000</v>
      </c>
    </row>
    <row r="15" spans="1:26" x14ac:dyDescent="0.3">
      <c r="A15" s="46" t="s">
        <v>118</v>
      </c>
      <c r="B15" s="46" t="s">
        <v>18</v>
      </c>
      <c r="C15" s="46" t="s">
        <v>17</v>
      </c>
      <c r="D15" s="46" t="s">
        <v>67</v>
      </c>
      <c r="E15" s="50"/>
      <c r="F15" s="47">
        <v>45258</v>
      </c>
      <c r="G15" s="47">
        <v>45307</v>
      </c>
      <c r="H15" s="43"/>
      <c r="I15" s="87"/>
      <c r="J15" s="49"/>
      <c r="K15" s="49"/>
      <c r="L15" s="44"/>
      <c r="M15" s="44"/>
      <c r="N15" s="91">
        <v>29050000</v>
      </c>
      <c r="O15" s="49">
        <f t="shared" si="9"/>
        <v>29050000</v>
      </c>
      <c r="P15" s="91">
        <f t="shared" si="1"/>
        <v>30182000</v>
      </c>
      <c r="Q15" s="49">
        <f>ROUNDUP(L15*'jaarpremie per verzekeraar'!$C$23/'jaarpremie per verzekeraar'!$C$22,-3)</f>
        <v>0</v>
      </c>
      <c r="R15" s="49"/>
      <c r="S15" s="91">
        <f t="shared" si="2"/>
        <v>0</v>
      </c>
      <c r="T15" s="49">
        <f>ROUNDUP(K15*'jaarpremie per verzekeraar'!$F$23/'jaarpremie per verzekeraar'!$F$22,-3)</f>
        <v>0</v>
      </c>
      <c r="U15" s="49">
        <v>2780000</v>
      </c>
      <c r="V15" s="91">
        <f t="shared" si="3"/>
        <v>2897000</v>
      </c>
      <c r="W15" s="44">
        <f t="shared" si="4"/>
        <v>29050000</v>
      </c>
      <c r="X15" s="44"/>
      <c r="Y15" s="44">
        <f t="shared" si="5"/>
        <v>31830000</v>
      </c>
      <c r="Z15" s="103">
        <f t="shared" si="6"/>
        <v>33079000</v>
      </c>
    </row>
    <row r="16" spans="1:26" x14ac:dyDescent="0.3">
      <c r="A16" s="52" t="s">
        <v>129</v>
      </c>
      <c r="B16" s="46" t="s">
        <v>18</v>
      </c>
      <c r="C16" s="46" t="s">
        <v>17</v>
      </c>
      <c r="D16" s="46" t="s">
        <v>67</v>
      </c>
      <c r="E16" s="99" t="s">
        <v>130</v>
      </c>
      <c r="F16" s="98"/>
      <c r="G16" s="98">
        <v>45307</v>
      </c>
      <c r="H16" s="64"/>
      <c r="I16" s="87"/>
      <c r="J16" s="93"/>
      <c r="K16" s="93"/>
      <c r="L16" s="65"/>
      <c r="M16" s="44"/>
      <c r="N16" s="91"/>
      <c r="O16" s="93"/>
      <c r="P16" s="91">
        <f t="shared" si="1"/>
        <v>0</v>
      </c>
      <c r="Q16" s="93"/>
      <c r="R16" s="49"/>
      <c r="S16" s="91">
        <f t="shared" si="2"/>
        <v>0</v>
      </c>
      <c r="T16" s="93"/>
      <c r="V16" s="91">
        <f>X16</f>
        <v>2250000</v>
      </c>
      <c r="W16" s="44"/>
      <c r="X16" s="91">
        <v>2250000</v>
      </c>
      <c r="Y16" s="44">
        <f>(O16+R16+U16+X16)</f>
        <v>2250000</v>
      </c>
      <c r="Z16" s="103">
        <f t="shared" si="6"/>
        <v>2250000</v>
      </c>
    </row>
    <row r="17" spans="1:26" x14ac:dyDescent="0.3">
      <c r="A17" s="52" t="s">
        <v>129</v>
      </c>
      <c r="B17" s="46" t="s">
        <v>18</v>
      </c>
      <c r="C17" s="46" t="s">
        <v>17</v>
      </c>
      <c r="D17" s="46" t="s">
        <v>67</v>
      </c>
      <c r="E17" s="99" t="s">
        <v>131</v>
      </c>
      <c r="F17" s="98"/>
      <c r="G17" s="98">
        <v>45307</v>
      </c>
      <c r="H17" s="64"/>
      <c r="I17" s="87"/>
      <c r="J17" s="93"/>
      <c r="K17" s="93"/>
      <c r="L17" s="65"/>
      <c r="M17" s="44"/>
      <c r="N17" s="91"/>
      <c r="O17" s="93"/>
      <c r="P17" s="91">
        <f t="shared" si="1"/>
        <v>0</v>
      </c>
      <c r="Q17" s="93"/>
      <c r="R17" s="49"/>
      <c r="S17" s="91">
        <f t="shared" si="2"/>
        <v>0</v>
      </c>
      <c r="T17" s="93"/>
      <c r="U17" s="49"/>
      <c r="V17" s="91">
        <f>X17</f>
        <v>3107475</v>
      </c>
      <c r="W17" s="44"/>
      <c r="X17" s="91">
        <v>3107475</v>
      </c>
      <c r="Y17" s="44">
        <f>(O17+R17+U17+X17)</f>
        <v>3107475</v>
      </c>
      <c r="Z17" s="103">
        <f t="shared" si="6"/>
        <v>3107475</v>
      </c>
    </row>
    <row r="18" spans="1:26" x14ac:dyDescent="0.3">
      <c r="A18" s="52" t="s">
        <v>129</v>
      </c>
      <c r="B18" s="46" t="s">
        <v>18</v>
      </c>
      <c r="C18" s="46" t="s">
        <v>17</v>
      </c>
      <c r="D18" s="46" t="s">
        <v>67</v>
      </c>
      <c r="E18" s="99" t="s">
        <v>132</v>
      </c>
      <c r="F18" s="98"/>
      <c r="G18" s="98">
        <v>45307</v>
      </c>
      <c r="H18" s="64"/>
      <c r="I18" s="87"/>
      <c r="J18" s="93"/>
      <c r="K18" s="93"/>
      <c r="L18" s="65"/>
      <c r="M18" s="44"/>
      <c r="N18" s="91"/>
      <c r="O18" s="93"/>
      <c r="P18" s="91">
        <f t="shared" si="1"/>
        <v>0</v>
      </c>
      <c r="Q18" s="93"/>
      <c r="R18" s="49"/>
      <c r="S18" s="91">
        <f t="shared" si="2"/>
        <v>0</v>
      </c>
      <c r="T18" s="93"/>
      <c r="U18" s="49">
        <v>1745025</v>
      </c>
      <c r="V18" s="91">
        <f t="shared" si="3"/>
        <v>1818000</v>
      </c>
      <c r="W18" s="44"/>
      <c r="X18" s="49"/>
      <c r="Y18" s="44">
        <f>(O18+R18+U18+X18)</f>
        <v>1745025</v>
      </c>
      <c r="Z18" s="103">
        <f t="shared" si="6"/>
        <v>1818000</v>
      </c>
    </row>
    <row r="19" spans="1:26" ht="15" customHeight="1" x14ac:dyDescent="0.3">
      <c r="A19" s="63" t="s">
        <v>114</v>
      </c>
      <c r="B19" s="63" t="s">
        <v>112</v>
      </c>
      <c r="C19" s="63" t="s">
        <v>17</v>
      </c>
      <c r="D19" s="63" t="s">
        <v>113</v>
      </c>
      <c r="E19" s="63" t="s">
        <v>115</v>
      </c>
      <c r="F19" s="64"/>
      <c r="G19" s="98">
        <v>45309</v>
      </c>
      <c r="H19" s="64"/>
      <c r="I19" s="65"/>
      <c r="J19" s="65"/>
      <c r="K19" s="65"/>
      <c r="L19" s="65"/>
      <c r="M19" s="44"/>
      <c r="N19" s="49"/>
      <c r="O19" s="93"/>
      <c r="P19" s="91">
        <f t="shared" si="1"/>
        <v>0</v>
      </c>
      <c r="Q19" s="92">
        <v>799185</v>
      </c>
      <c r="R19" s="49">
        <f t="shared" ref="R19:R27" si="10">ROUNDUP(Q19*128.4/124,-3)</f>
        <v>828000</v>
      </c>
      <c r="S19" s="91">
        <f t="shared" si="2"/>
        <v>861000</v>
      </c>
      <c r="T19" s="92">
        <v>2780000</v>
      </c>
      <c r="U19" s="49">
        <v>2950000</v>
      </c>
      <c r="V19" s="91">
        <f t="shared" si="3"/>
        <v>3074000</v>
      </c>
      <c r="W19" s="44">
        <f t="shared" si="4"/>
        <v>3579185</v>
      </c>
      <c r="X19" s="44"/>
      <c r="Y19" s="44">
        <f t="shared" ref="Y19:Y54" si="11">(O19+R19+U19)</f>
        <v>3778000</v>
      </c>
      <c r="Z19" s="103">
        <f t="shared" si="6"/>
        <v>3935000</v>
      </c>
    </row>
    <row r="20" spans="1:26" x14ac:dyDescent="0.3">
      <c r="A20" s="46" t="s">
        <v>37</v>
      </c>
      <c r="B20" s="52" t="s">
        <v>34</v>
      </c>
      <c r="C20" s="46" t="s">
        <v>17</v>
      </c>
      <c r="D20" s="52"/>
      <c r="E20" s="50" t="s">
        <v>10</v>
      </c>
      <c r="F20" s="43"/>
      <c r="G20" s="47">
        <v>45309</v>
      </c>
      <c r="H20" s="43"/>
      <c r="I20" s="48"/>
      <c r="J20" s="49"/>
      <c r="K20" s="49">
        <v>4788000</v>
      </c>
      <c r="L20" s="44"/>
      <c r="M20" s="44">
        <f t="shared" si="0"/>
        <v>4788000</v>
      </c>
      <c r="N20" s="49">
        <f>ROUNDUP(I20*'jaarpremie per verzekeraar'!$C$23/'jaarpremie per verzekeraar'!$C$22,-3)</f>
        <v>0</v>
      </c>
      <c r="O20" s="49"/>
      <c r="P20" s="91">
        <f t="shared" si="1"/>
        <v>0</v>
      </c>
      <c r="Q20" s="44"/>
      <c r="R20" s="49"/>
      <c r="S20" s="91">
        <f t="shared" si="2"/>
        <v>0</v>
      </c>
      <c r="T20" s="91">
        <v>4080000</v>
      </c>
      <c r="U20" s="49">
        <v>4370000</v>
      </c>
      <c r="V20" s="91">
        <f t="shared" si="3"/>
        <v>4553000</v>
      </c>
      <c r="W20" s="44">
        <f t="shared" si="4"/>
        <v>4080000</v>
      </c>
      <c r="X20" s="44"/>
      <c r="Y20" s="44">
        <f t="shared" si="11"/>
        <v>4370000</v>
      </c>
      <c r="Z20" s="103">
        <f t="shared" si="6"/>
        <v>4553000</v>
      </c>
    </row>
    <row r="21" spans="1:26" ht="26" x14ac:dyDescent="0.3">
      <c r="A21" s="53" t="s">
        <v>70</v>
      </c>
      <c r="B21" s="52" t="s">
        <v>106</v>
      </c>
      <c r="C21" s="46" t="s">
        <v>17</v>
      </c>
      <c r="D21" s="52" t="s">
        <v>50</v>
      </c>
      <c r="E21" s="50" t="s">
        <v>51</v>
      </c>
      <c r="F21" s="43"/>
      <c r="G21" s="43"/>
      <c r="H21" s="43"/>
      <c r="I21" s="48"/>
      <c r="J21" s="49"/>
      <c r="K21" s="49">
        <v>437000</v>
      </c>
      <c r="L21" s="44"/>
      <c r="M21" s="44">
        <f t="shared" si="0"/>
        <v>437000</v>
      </c>
      <c r="N21" s="49">
        <f>ROUNDUP(I21*'jaarpremie per verzekeraar'!$C$23/'jaarpremie per verzekeraar'!$C$22,-3)</f>
        <v>0</v>
      </c>
      <c r="O21" s="49"/>
      <c r="P21" s="91">
        <f t="shared" si="1"/>
        <v>0</v>
      </c>
      <c r="Q21" s="44"/>
      <c r="R21" s="49"/>
      <c r="S21" s="91">
        <f t="shared" si="2"/>
        <v>0</v>
      </c>
      <c r="T21" s="49">
        <f>ROUNDUP(K21*'jaarpremie per verzekeraar'!$F$23/'jaarpremie per verzekeraar'!$F$22,-3)</f>
        <v>486000</v>
      </c>
      <c r="U21" s="49">
        <f>991000</f>
        <v>991000</v>
      </c>
      <c r="V21" s="91">
        <f>ROUNDUP(U21/124.4*129.6,-3)+65000</f>
        <v>1098000</v>
      </c>
      <c r="W21" s="44">
        <f t="shared" si="4"/>
        <v>486000</v>
      </c>
      <c r="X21" s="44"/>
      <c r="Y21" s="44">
        <f t="shared" si="11"/>
        <v>991000</v>
      </c>
      <c r="Z21" s="103">
        <f t="shared" si="6"/>
        <v>1098000</v>
      </c>
    </row>
    <row r="22" spans="1:26" x14ac:dyDescent="0.3">
      <c r="A22" s="46" t="s">
        <v>38</v>
      </c>
      <c r="B22" s="46" t="s">
        <v>19</v>
      </c>
      <c r="C22" s="46" t="s">
        <v>17</v>
      </c>
      <c r="D22" s="46"/>
      <c r="E22" s="46" t="s">
        <v>11</v>
      </c>
      <c r="F22" s="43"/>
      <c r="G22" s="47">
        <v>44803</v>
      </c>
      <c r="H22" s="47">
        <v>42675</v>
      </c>
      <c r="I22" s="48"/>
      <c r="J22" s="49"/>
      <c r="K22" s="49">
        <v>3118000</v>
      </c>
      <c r="L22" s="49">
        <v>2045000</v>
      </c>
      <c r="M22" s="44">
        <f t="shared" si="0"/>
        <v>5163000</v>
      </c>
      <c r="N22" s="49">
        <f>ROUNDUP(I22*'jaarpremie per verzekeraar'!$C$23/'jaarpremie per verzekeraar'!$C$22,-3)</f>
        <v>0</v>
      </c>
      <c r="O22" s="49"/>
      <c r="P22" s="91">
        <f t="shared" si="1"/>
        <v>0</v>
      </c>
      <c r="Q22" s="91">
        <v>1410000</v>
      </c>
      <c r="R22" s="49">
        <f t="shared" si="10"/>
        <v>1461000</v>
      </c>
      <c r="S22" s="91">
        <f t="shared" si="2"/>
        <v>1518000</v>
      </c>
      <c r="T22" s="91">
        <v>3200000</v>
      </c>
      <c r="U22" s="49">
        <f t="shared" si="8"/>
        <v>3263000</v>
      </c>
      <c r="V22" s="91">
        <f>ROUNDUP(U22/124.4*129.6,-3)+2334000</f>
        <v>5734000</v>
      </c>
      <c r="W22" s="44">
        <f t="shared" si="4"/>
        <v>4610000</v>
      </c>
      <c r="X22" s="44"/>
      <c r="Y22" s="44">
        <f t="shared" si="11"/>
        <v>4724000</v>
      </c>
      <c r="Z22" s="103">
        <f t="shared" si="6"/>
        <v>7252000</v>
      </c>
    </row>
    <row r="23" spans="1:26" x14ac:dyDescent="0.3">
      <c r="A23" s="46" t="s">
        <v>69</v>
      </c>
      <c r="B23" s="46" t="s">
        <v>68</v>
      </c>
      <c r="C23" s="46" t="s">
        <v>17</v>
      </c>
      <c r="D23" s="46"/>
      <c r="E23" s="46"/>
      <c r="F23" s="47">
        <v>44781</v>
      </c>
      <c r="G23" s="47">
        <v>44803</v>
      </c>
      <c r="H23" s="43"/>
      <c r="I23" s="54">
        <v>94251000</v>
      </c>
      <c r="J23" s="49"/>
      <c r="K23" s="49">
        <v>31069000</v>
      </c>
      <c r="L23" s="44"/>
      <c r="M23" s="44">
        <f t="shared" si="0"/>
        <v>125320000</v>
      </c>
      <c r="N23" s="49">
        <v>121750000</v>
      </c>
      <c r="O23" s="49">
        <f t="shared" ref="O23:O47" si="12">ROUNDUP(N23*128.4/124,-3)</f>
        <v>126071000</v>
      </c>
      <c r="P23" s="91">
        <f t="shared" si="1"/>
        <v>130981000</v>
      </c>
      <c r="Q23" s="49"/>
      <c r="R23" s="49"/>
      <c r="S23" s="91">
        <f t="shared" si="2"/>
        <v>0</v>
      </c>
      <c r="T23" s="49">
        <v>29830000</v>
      </c>
      <c r="U23" s="49">
        <f t="shared" si="8"/>
        <v>30417000</v>
      </c>
      <c r="V23" s="91">
        <f t="shared" si="3"/>
        <v>31689000</v>
      </c>
      <c r="W23" s="44">
        <f t="shared" si="4"/>
        <v>151580000</v>
      </c>
      <c r="X23" s="44"/>
      <c r="Y23" s="44">
        <f t="shared" si="11"/>
        <v>156488000</v>
      </c>
      <c r="Z23" s="103">
        <f t="shared" si="6"/>
        <v>162670000</v>
      </c>
    </row>
    <row r="24" spans="1:26" x14ac:dyDescent="0.3">
      <c r="A24" s="46" t="s">
        <v>78</v>
      </c>
      <c r="B24" s="46" t="s">
        <v>65</v>
      </c>
      <c r="C24" s="46" t="s">
        <v>17</v>
      </c>
      <c r="D24" s="46" t="s">
        <v>66</v>
      </c>
      <c r="E24" s="46" t="s">
        <v>17</v>
      </c>
      <c r="F24" s="43"/>
      <c r="G24" s="47"/>
      <c r="H24" s="43"/>
      <c r="I24" s="48"/>
      <c r="J24" s="49"/>
      <c r="K24" s="55">
        <v>573000</v>
      </c>
      <c r="L24" s="55">
        <v>821000</v>
      </c>
      <c r="M24" s="44">
        <f t="shared" si="0"/>
        <v>1394000</v>
      </c>
      <c r="N24" s="49"/>
      <c r="O24" s="49"/>
      <c r="P24" s="91">
        <f t="shared" si="1"/>
        <v>0</v>
      </c>
      <c r="Q24" s="49">
        <v>820000</v>
      </c>
      <c r="R24" s="49">
        <f t="shared" si="10"/>
        <v>850000</v>
      </c>
      <c r="S24" s="91">
        <f t="shared" si="2"/>
        <v>884000</v>
      </c>
      <c r="T24" s="49">
        <v>950000</v>
      </c>
      <c r="U24" s="49">
        <f t="shared" si="8"/>
        <v>969000</v>
      </c>
      <c r="V24" s="91">
        <f t="shared" si="3"/>
        <v>1010000</v>
      </c>
      <c r="W24" s="44">
        <f t="shared" si="4"/>
        <v>1770000</v>
      </c>
      <c r="X24" s="44"/>
      <c r="Y24" s="44">
        <f t="shared" si="11"/>
        <v>1819000</v>
      </c>
      <c r="Z24" s="103">
        <f t="shared" si="6"/>
        <v>1894000</v>
      </c>
    </row>
    <row r="25" spans="1:26" x14ac:dyDescent="0.3">
      <c r="A25" s="46" t="s">
        <v>71</v>
      </c>
      <c r="B25" s="56" t="s">
        <v>73</v>
      </c>
      <c r="C25" s="46" t="s">
        <v>17</v>
      </c>
      <c r="D25" s="46" t="s">
        <v>66</v>
      </c>
      <c r="E25" s="46"/>
      <c r="F25" s="43"/>
      <c r="G25" s="47"/>
      <c r="H25" s="43"/>
      <c r="I25" s="48"/>
      <c r="J25" s="49"/>
      <c r="K25" s="55"/>
      <c r="L25" s="49"/>
      <c r="M25" s="44">
        <f t="shared" si="0"/>
        <v>0</v>
      </c>
      <c r="N25" s="49"/>
      <c r="O25" s="49"/>
      <c r="P25" s="91">
        <f t="shared" si="1"/>
        <v>0</v>
      </c>
      <c r="Q25" s="49">
        <v>490000</v>
      </c>
      <c r="R25" s="49">
        <f t="shared" si="10"/>
        <v>508000</v>
      </c>
      <c r="S25" s="91">
        <f t="shared" si="2"/>
        <v>528000</v>
      </c>
      <c r="T25" s="88">
        <v>1110000</v>
      </c>
      <c r="U25" s="49">
        <f t="shared" si="8"/>
        <v>1132000</v>
      </c>
      <c r="V25" s="91">
        <f t="shared" si="3"/>
        <v>1180000</v>
      </c>
      <c r="W25" s="44">
        <f t="shared" si="4"/>
        <v>1600000</v>
      </c>
      <c r="X25" s="44"/>
      <c r="Y25" s="44">
        <f t="shared" si="11"/>
        <v>1640000</v>
      </c>
      <c r="Z25" s="103">
        <f t="shared" si="6"/>
        <v>1708000</v>
      </c>
    </row>
    <row r="26" spans="1:26" ht="26" x14ac:dyDescent="0.3">
      <c r="A26" s="46" t="s">
        <v>74</v>
      </c>
      <c r="B26" s="57" t="s">
        <v>75</v>
      </c>
      <c r="C26" s="46" t="s">
        <v>17</v>
      </c>
      <c r="D26" s="46" t="s">
        <v>77</v>
      </c>
      <c r="E26" s="46" t="s">
        <v>76</v>
      </c>
      <c r="F26" s="43"/>
      <c r="G26" s="47"/>
      <c r="H26" s="43"/>
      <c r="I26" s="48"/>
      <c r="J26" s="49"/>
      <c r="K26" s="55">
        <v>720000</v>
      </c>
      <c r="L26" s="49">
        <v>844000</v>
      </c>
      <c r="M26" s="44">
        <f t="shared" si="0"/>
        <v>1564000</v>
      </c>
      <c r="N26" s="49"/>
      <c r="O26" s="49"/>
      <c r="P26" s="91">
        <f t="shared" si="1"/>
        <v>0</v>
      </c>
      <c r="Q26" s="55">
        <v>798000</v>
      </c>
      <c r="R26" s="49">
        <f t="shared" si="10"/>
        <v>827000</v>
      </c>
      <c r="S26" s="91">
        <f t="shared" si="2"/>
        <v>860000</v>
      </c>
      <c r="T26" s="55">
        <v>1402000</v>
      </c>
      <c r="U26" s="49">
        <f t="shared" si="8"/>
        <v>1430000</v>
      </c>
      <c r="V26" s="91">
        <f t="shared" si="3"/>
        <v>1490000</v>
      </c>
      <c r="W26" s="44">
        <f t="shared" si="4"/>
        <v>2200000</v>
      </c>
      <c r="X26" s="44"/>
      <c r="Y26" s="44">
        <f t="shared" si="11"/>
        <v>2257000</v>
      </c>
      <c r="Z26" s="103">
        <f t="shared" si="6"/>
        <v>2350000</v>
      </c>
    </row>
    <row r="27" spans="1:26" x14ac:dyDescent="0.3">
      <c r="A27" s="42" t="s">
        <v>58</v>
      </c>
      <c r="B27" s="42"/>
      <c r="C27" s="42" t="s">
        <v>33</v>
      </c>
      <c r="D27" s="42" t="s">
        <v>57</v>
      </c>
      <c r="E27" s="42" t="s">
        <v>59</v>
      </c>
      <c r="F27" s="43"/>
      <c r="G27" s="43"/>
      <c r="H27" s="43"/>
      <c r="I27" s="44"/>
      <c r="J27" s="44"/>
      <c r="K27" s="49">
        <v>1795000</v>
      </c>
      <c r="L27" s="49">
        <v>420000</v>
      </c>
      <c r="M27" s="44">
        <f>SUM(I27:L27)</f>
        <v>2215000</v>
      </c>
      <c r="N27" s="49"/>
      <c r="O27" s="49"/>
      <c r="P27" s="91">
        <f t="shared" si="1"/>
        <v>0</v>
      </c>
      <c r="Q27" s="49">
        <v>310000</v>
      </c>
      <c r="R27" s="49">
        <f t="shared" si="10"/>
        <v>321000</v>
      </c>
      <c r="S27" s="91">
        <f t="shared" si="2"/>
        <v>334000</v>
      </c>
      <c r="T27" s="49">
        <v>1525000</v>
      </c>
      <c r="U27" s="49">
        <f t="shared" si="8"/>
        <v>1555000</v>
      </c>
      <c r="V27" s="91">
        <f t="shared" si="3"/>
        <v>1620000</v>
      </c>
      <c r="W27" s="44">
        <f t="shared" si="4"/>
        <v>1835000</v>
      </c>
      <c r="X27" s="44"/>
      <c r="Y27" s="44">
        <f t="shared" si="11"/>
        <v>1876000</v>
      </c>
      <c r="Z27" s="103">
        <f t="shared" si="6"/>
        <v>1954000</v>
      </c>
    </row>
    <row r="28" spans="1:26" x14ac:dyDescent="0.3">
      <c r="A28" s="42"/>
      <c r="B28" s="42"/>
      <c r="C28" s="42"/>
      <c r="D28" s="42"/>
      <c r="E28" s="42"/>
      <c r="F28" s="43"/>
      <c r="G28" s="43"/>
      <c r="H28" s="43"/>
      <c r="I28" s="58"/>
      <c r="J28" s="49"/>
      <c r="K28" s="49"/>
      <c r="L28" s="44"/>
      <c r="M28" s="44"/>
      <c r="N28" s="49"/>
      <c r="O28" s="49"/>
      <c r="P28" s="91">
        <f t="shared" si="1"/>
        <v>0</v>
      </c>
      <c r="Q28" s="49"/>
      <c r="R28" s="49"/>
      <c r="S28" s="91">
        <f t="shared" si="2"/>
        <v>0</v>
      </c>
      <c r="T28" s="49"/>
      <c r="U28" s="49"/>
      <c r="V28" s="91">
        <f t="shared" si="3"/>
        <v>0</v>
      </c>
      <c r="W28" s="44">
        <f t="shared" si="4"/>
        <v>0</v>
      </c>
      <c r="X28" s="44"/>
      <c r="Y28" s="44">
        <f t="shared" si="11"/>
        <v>0</v>
      </c>
      <c r="Z28" s="103">
        <f t="shared" si="6"/>
        <v>0</v>
      </c>
    </row>
    <row r="29" spans="1:26" x14ac:dyDescent="0.3">
      <c r="A29" s="45" t="str">
        <f>'[1]Overzicht 01-01-2013'!A24</f>
        <v>Instituten Regio Tilburg</v>
      </c>
      <c r="B29" s="42"/>
      <c r="C29" s="42"/>
      <c r="D29" s="42"/>
      <c r="E29" s="42"/>
      <c r="F29" s="43"/>
      <c r="G29" s="43"/>
      <c r="H29" s="43"/>
      <c r="I29" s="58"/>
      <c r="J29" s="49"/>
      <c r="K29" s="49"/>
      <c r="L29" s="44"/>
      <c r="M29" s="44"/>
      <c r="N29" s="49"/>
      <c r="O29" s="49"/>
      <c r="P29" s="91">
        <f t="shared" si="1"/>
        <v>0</v>
      </c>
      <c r="Q29" s="49"/>
      <c r="R29" s="49"/>
      <c r="S29" s="91">
        <f t="shared" si="2"/>
        <v>0</v>
      </c>
      <c r="T29" s="49"/>
      <c r="U29" s="49"/>
      <c r="V29" s="91">
        <f t="shared" si="3"/>
        <v>0</v>
      </c>
      <c r="W29" s="44">
        <f t="shared" si="4"/>
        <v>0</v>
      </c>
      <c r="X29" s="44"/>
      <c r="Y29" s="44">
        <f t="shared" si="11"/>
        <v>0</v>
      </c>
      <c r="Z29" s="103">
        <f t="shared" si="6"/>
        <v>0</v>
      </c>
    </row>
    <row r="30" spans="1:26" x14ac:dyDescent="0.3">
      <c r="A30" s="42" t="s">
        <v>40</v>
      </c>
      <c r="B30" s="42" t="s">
        <v>39</v>
      </c>
      <c r="C30" s="42" t="s">
        <v>20</v>
      </c>
      <c r="D30" s="42"/>
      <c r="E30" s="42" t="s">
        <v>52</v>
      </c>
      <c r="F30" s="47">
        <v>44781</v>
      </c>
      <c r="G30" s="47">
        <v>44803</v>
      </c>
      <c r="H30" s="43"/>
      <c r="I30" s="54">
        <v>54339000</v>
      </c>
      <c r="J30" s="49"/>
      <c r="K30" s="49">
        <v>17586000</v>
      </c>
      <c r="L30" s="44"/>
      <c r="M30" s="44">
        <f t="shared" si="0"/>
        <v>71925000</v>
      </c>
      <c r="N30" s="49">
        <v>81250000</v>
      </c>
      <c r="O30" s="49">
        <f t="shared" si="12"/>
        <v>84134000</v>
      </c>
      <c r="P30" s="91">
        <f t="shared" si="1"/>
        <v>87411000</v>
      </c>
      <c r="Q30" s="49"/>
      <c r="R30" s="49"/>
      <c r="S30" s="91">
        <f t="shared" si="2"/>
        <v>0</v>
      </c>
      <c r="T30" s="49">
        <v>15100000</v>
      </c>
      <c r="U30" s="49">
        <f t="shared" si="8"/>
        <v>15398000</v>
      </c>
      <c r="V30" s="91">
        <f>ROUNDUP(U30/124.4*129.6,-3)+2391000</f>
        <v>18433000</v>
      </c>
      <c r="W30" s="44">
        <f t="shared" si="4"/>
        <v>96350000</v>
      </c>
      <c r="X30" s="44"/>
      <c r="Y30" s="44">
        <f t="shared" si="11"/>
        <v>99532000</v>
      </c>
      <c r="Z30" s="103">
        <f t="shared" si="6"/>
        <v>105844000</v>
      </c>
    </row>
    <row r="31" spans="1:26" x14ac:dyDescent="0.3">
      <c r="A31" s="42" t="s">
        <v>43</v>
      </c>
      <c r="B31" s="42" t="s">
        <v>22</v>
      </c>
      <c r="C31" s="42" t="s">
        <v>20</v>
      </c>
      <c r="D31" s="42"/>
      <c r="E31" s="42" t="s">
        <v>12</v>
      </c>
      <c r="F31" s="47">
        <v>44781</v>
      </c>
      <c r="G31" s="47">
        <v>44803</v>
      </c>
      <c r="H31" s="43"/>
      <c r="I31" s="54">
        <v>5927000</v>
      </c>
      <c r="J31" s="49"/>
      <c r="K31" s="49">
        <v>2428000</v>
      </c>
      <c r="L31" s="44"/>
      <c r="M31" s="44">
        <f t="shared" si="0"/>
        <v>8355000</v>
      </c>
      <c r="N31" s="49">
        <v>6250000</v>
      </c>
      <c r="O31" s="49">
        <f t="shared" si="12"/>
        <v>6472000</v>
      </c>
      <c r="P31" s="91">
        <f t="shared" si="1"/>
        <v>6725000</v>
      </c>
      <c r="Q31" s="49"/>
      <c r="R31" s="49"/>
      <c r="S31" s="91">
        <f t="shared" si="2"/>
        <v>0</v>
      </c>
      <c r="T31" s="49">
        <v>790000</v>
      </c>
      <c r="U31" s="49">
        <f t="shared" si="8"/>
        <v>806000</v>
      </c>
      <c r="V31" s="91">
        <f t="shared" si="3"/>
        <v>840000</v>
      </c>
      <c r="W31" s="44">
        <f t="shared" si="4"/>
        <v>7040000</v>
      </c>
      <c r="X31" s="44"/>
      <c r="Y31" s="44">
        <f t="shared" si="11"/>
        <v>7278000</v>
      </c>
      <c r="Z31" s="103">
        <f t="shared" si="6"/>
        <v>7565000</v>
      </c>
    </row>
    <row r="32" spans="1:26" x14ac:dyDescent="0.3">
      <c r="A32" s="42" t="s">
        <v>42</v>
      </c>
      <c r="B32" s="42" t="s">
        <v>41</v>
      </c>
      <c r="C32" s="42" t="s">
        <v>20</v>
      </c>
      <c r="D32" s="42" t="s">
        <v>61</v>
      </c>
      <c r="E32" s="42" t="s">
        <v>90</v>
      </c>
      <c r="F32" s="47">
        <v>44781</v>
      </c>
      <c r="G32" s="47">
        <v>44803</v>
      </c>
      <c r="H32" s="43"/>
      <c r="I32" s="58"/>
      <c r="J32" s="49">
        <v>9400000</v>
      </c>
      <c r="K32" s="49">
        <v>1100000</v>
      </c>
      <c r="L32" s="44"/>
      <c r="M32" s="44">
        <f t="shared" si="0"/>
        <v>10500000</v>
      </c>
      <c r="N32" s="49">
        <v>13750000</v>
      </c>
      <c r="O32" s="49">
        <f t="shared" si="12"/>
        <v>14238000</v>
      </c>
      <c r="P32" s="91">
        <f t="shared" si="1"/>
        <v>14793000</v>
      </c>
      <c r="Q32" s="49"/>
      <c r="R32" s="49"/>
      <c r="S32" s="91">
        <f t="shared" si="2"/>
        <v>0</v>
      </c>
      <c r="T32" s="49">
        <v>1255000</v>
      </c>
      <c r="U32" s="49">
        <f t="shared" si="8"/>
        <v>1280000</v>
      </c>
      <c r="V32" s="91">
        <f t="shared" si="3"/>
        <v>1334000</v>
      </c>
      <c r="W32" s="44">
        <f t="shared" si="4"/>
        <v>15005000</v>
      </c>
      <c r="X32" s="44"/>
      <c r="Y32" s="44">
        <f t="shared" si="11"/>
        <v>15518000</v>
      </c>
      <c r="Z32" s="103">
        <f t="shared" si="6"/>
        <v>16127000</v>
      </c>
    </row>
    <row r="33" spans="1:26" x14ac:dyDescent="0.3">
      <c r="A33" s="42" t="s">
        <v>46</v>
      </c>
      <c r="B33" s="42" t="s">
        <v>27</v>
      </c>
      <c r="C33" s="42" t="s">
        <v>20</v>
      </c>
      <c r="D33" s="42"/>
      <c r="E33" s="42" t="s">
        <v>121</v>
      </c>
      <c r="F33" s="47">
        <v>44781</v>
      </c>
      <c r="G33" s="47">
        <v>44803</v>
      </c>
      <c r="H33" s="43"/>
      <c r="I33" s="54">
        <v>1466000</v>
      </c>
      <c r="J33" s="49"/>
      <c r="K33" s="49">
        <v>191000</v>
      </c>
      <c r="L33" s="44"/>
      <c r="M33" s="44">
        <f t="shared" si="0"/>
        <v>1657000</v>
      </c>
      <c r="N33" s="49">
        <v>2300000</v>
      </c>
      <c r="O33" s="49">
        <f t="shared" si="12"/>
        <v>2382000</v>
      </c>
      <c r="P33" s="91">
        <f t="shared" si="1"/>
        <v>2475000</v>
      </c>
      <c r="Q33" s="49"/>
      <c r="R33" s="49"/>
      <c r="S33" s="91">
        <f t="shared" si="2"/>
        <v>0</v>
      </c>
      <c r="T33" s="49">
        <v>550000</v>
      </c>
      <c r="U33" s="49">
        <f t="shared" si="8"/>
        <v>561000</v>
      </c>
      <c r="V33" s="91">
        <f t="shared" si="3"/>
        <v>585000</v>
      </c>
      <c r="W33" s="44">
        <f t="shared" si="4"/>
        <v>2850000</v>
      </c>
      <c r="X33" s="44"/>
      <c r="Y33" s="44">
        <f t="shared" si="11"/>
        <v>2943000</v>
      </c>
      <c r="Z33" s="103">
        <f t="shared" si="6"/>
        <v>3060000</v>
      </c>
    </row>
    <row r="34" spans="1:26" x14ac:dyDescent="0.3">
      <c r="A34" s="46" t="s">
        <v>72</v>
      </c>
      <c r="B34" s="42" t="s">
        <v>60</v>
      </c>
      <c r="C34" s="42" t="s">
        <v>20</v>
      </c>
      <c r="D34" s="42"/>
      <c r="E34" s="42"/>
      <c r="F34" s="47">
        <v>44781</v>
      </c>
      <c r="G34" s="47">
        <v>44803</v>
      </c>
      <c r="H34" s="43"/>
      <c r="I34" s="59">
        <v>28912000</v>
      </c>
      <c r="J34" s="49"/>
      <c r="K34" s="49">
        <v>4547000</v>
      </c>
      <c r="L34" s="44"/>
      <c r="M34" s="44">
        <f t="shared" si="0"/>
        <v>33459000</v>
      </c>
      <c r="N34" s="49">
        <v>37000000</v>
      </c>
      <c r="O34" s="49">
        <f t="shared" si="12"/>
        <v>38313000</v>
      </c>
      <c r="P34" s="91">
        <f t="shared" si="1"/>
        <v>39805000</v>
      </c>
      <c r="Q34" s="49"/>
      <c r="R34" s="49"/>
      <c r="S34" s="91">
        <f t="shared" si="2"/>
        <v>0</v>
      </c>
      <c r="T34" s="49">
        <v>4765000</v>
      </c>
      <c r="U34" s="49">
        <f t="shared" si="8"/>
        <v>4859000</v>
      </c>
      <c r="V34" s="91">
        <f t="shared" si="3"/>
        <v>5063000</v>
      </c>
      <c r="W34" s="44">
        <f t="shared" si="4"/>
        <v>41765000</v>
      </c>
      <c r="X34" s="44"/>
      <c r="Y34" s="44">
        <f t="shared" si="11"/>
        <v>43172000</v>
      </c>
      <c r="Z34" s="103">
        <f t="shared" si="6"/>
        <v>44868000</v>
      </c>
    </row>
    <row r="35" spans="1:26" x14ac:dyDescent="0.3">
      <c r="A35" s="42" t="s">
        <v>44</v>
      </c>
      <c r="B35" s="42" t="s">
        <v>23</v>
      </c>
      <c r="C35" s="42" t="s">
        <v>20</v>
      </c>
      <c r="D35" s="42"/>
      <c r="E35" s="42" t="s">
        <v>56</v>
      </c>
      <c r="F35" s="47">
        <v>44781</v>
      </c>
      <c r="G35" s="47">
        <v>44803</v>
      </c>
      <c r="H35" s="43"/>
      <c r="I35" s="58"/>
      <c r="J35" s="49"/>
      <c r="K35" s="49">
        <v>18030000</v>
      </c>
      <c r="L35" s="44"/>
      <c r="M35" s="44">
        <f t="shared" si="0"/>
        <v>18030000</v>
      </c>
      <c r="N35" s="49"/>
      <c r="O35" s="49"/>
      <c r="P35" s="91">
        <f t="shared" si="1"/>
        <v>0</v>
      </c>
      <c r="Q35" s="49"/>
      <c r="R35" s="49"/>
      <c r="S35" s="91">
        <f t="shared" si="2"/>
        <v>0</v>
      </c>
      <c r="T35" s="49">
        <v>19125000</v>
      </c>
      <c r="U35" s="49">
        <f t="shared" si="8"/>
        <v>19502000</v>
      </c>
      <c r="V35" s="91">
        <f t="shared" si="3"/>
        <v>20318000</v>
      </c>
      <c r="W35" s="44">
        <f t="shared" si="4"/>
        <v>19125000</v>
      </c>
      <c r="X35" s="44"/>
      <c r="Y35" s="44">
        <f t="shared" si="11"/>
        <v>19502000</v>
      </c>
      <c r="Z35" s="103">
        <f t="shared" si="6"/>
        <v>20318000</v>
      </c>
    </row>
    <row r="36" spans="1:26" x14ac:dyDescent="0.3">
      <c r="A36" s="42" t="s">
        <v>44</v>
      </c>
      <c r="B36" s="42" t="s">
        <v>23</v>
      </c>
      <c r="C36" s="42" t="s">
        <v>20</v>
      </c>
      <c r="D36" s="42"/>
      <c r="E36" s="42" t="s">
        <v>119</v>
      </c>
      <c r="F36" s="47">
        <v>44781</v>
      </c>
      <c r="G36" s="43"/>
      <c r="H36" s="43"/>
      <c r="I36" s="58"/>
      <c r="J36" s="49">
        <v>54206000</v>
      </c>
      <c r="K36" s="49"/>
      <c r="L36" s="44"/>
      <c r="M36" s="44">
        <f t="shared" si="0"/>
        <v>54206000</v>
      </c>
      <c r="N36" s="49">
        <v>90000000</v>
      </c>
      <c r="O36" s="49">
        <f t="shared" si="12"/>
        <v>93194000</v>
      </c>
      <c r="P36" s="91">
        <f t="shared" si="1"/>
        <v>96824000</v>
      </c>
      <c r="Q36" s="49"/>
      <c r="R36" s="49"/>
      <c r="S36" s="91">
        <f t="shared" si="2"/>
        <v>0</v>
      </c>
      <c r="T36" s="49"/>
      <c r="U36" s="49"/>
      <c r="V36" s="91">
        <f t="shared" si="3"/>
        <v>0</v>
      </c>
      <c r="W36" s="44">
        <f t="shared" si="4"/>
        <v>90000000</v>
      </c>
      <c r="X36" s="44"/>
      <c r="Y36" s="44">
        <f t="shared" si="11"/>
        <v>93194000</v>
      </c>
      <c r="Z36" s="103">
        <f t="shared" si="6"/>
        <v>96824000</v>
      </c>
    </row>
    <row r="37" spans="1:26" x14ac:dyDescent="0.3">
      <c r="A37" s="42" t="s">
        <v>44</v>
      </c>
      <c r="B37" s="42" t="s">
        <v>24</v>
      </c>
      <c r="C37" s="42" t="s">
        <v>20</v>
      </c>
      <c r="D37" s="42"/>
      <c r="E37" s="42" t="s">
        <v>13</v>
      </c>
      <c r="F37" s="47">
        <v>44781</v>
      </c>
      <c r="G37" s="47">
        <v>44803</v>
      </c>
      <c r="H37" s="43"/>
      <c r="I37" s="54">
        <v>3885000</v>
      </c>
      <c r="J37" s="44"/>
      <c r="K37" s="49">
        <v>56000</v>
      </c>
      <c r="L37" s="44"/>
      <c r="M37" s="44">
        <f t="shared" si="0"/>
        <v>3941000</v>
      </c>
      <c r="N37" s="49">
        <v>6150000</v>
      </c>
      <c r="O37" s="49">
        <f t="shared" si="12"/>
        <v>6369000</v>
      </c>
      <c r="P37" s="91">
        <f t="shared" si="1"/>
        <v>6618000</v>
      </c>
      <c r="Q37" s="49"/>
      <c r="R37" s="49"/>
      <c r="S37" s="91">
        <f t="shared" si="2"/>
        <v>0</v>
      </c>
      <c r="T37" s="49">
        <v>165000</v>
      </c>
      <c r="U37" s="49">
        <f t="shared" si="8"/>
        <v>169000</v>
      </c>
      <c r="V37" s="91">
        <f t="shared" si="3"/>
        <v>177000</v>
      </c>
      <c r="W37" s="44">
        <f t="shared" si="4"/>
        <v>6315000</v>
      </c>
      <c r="X37" s="44"/>
      <c r="Y37" s="44">
        <f t="shared" si="11"/>
        <v>6538000</v>
      </c>
      <c r="Z37" s="103">
        <f t="shared" si="6"/>
        <v>6795000</v>
      </c>
    </row>
    <row r="38" spans="1:26" x14ac:dyDescent="0.3">
      <c r="A38" s="42" t="s">
        <v>44</v>
      </c>
      <c r="B38" s="42" t="s">
        <v>25</v>
      </c>
      <c r="C38" s="42" t="s">
        <v>20</v>
      </c>
      <c r="D38" s="42"/>
      <c r="E38" s="42" t="s">
        <v>14</v>
      </c>
      <c r="F38" s="47">
        <v>44781</v>
      </c>
      <c r="G38" s="47">
        <v>44803</v>
      </c>
      <c r="H38" s="43"/>
      <c r="I38" s="54">
        <v>2871000</v>
      </c>
      <c r="J38" s="44"/>
      <c r="K38" s="49">
        <v>400000</v>
      </c>
      <c r="L38" s="44"/>
      <c r="M38" s="44">
        <f t="shared" si="0"/>
        <v>3271000</v>
      </c>
      <c r="N38" s="49">
        <v>4550000</v>
      </c>
      <c r="O38" s="49">
        <f t="shared" si="12"/>
        <v>4712000</v>
      </c>
      <c r="P38" s="91">
        <f t="shared" si="1"/>
        <v>4896000</v>
      </c>
      <c r="Q38" s="49"/>
      <c r="R38" s="49"/>
      <c r="S38" s="91">
        <f t="shared" si="2"/>
        <v>0</v>
      </c>
      <c r="T38" s="49">
        <v>425000</v>
      </c>
      <c r="U38" s="49">
        <f t="shared" si="8"/>
        <v>434000</v>
      </c>
      <c r="V38" s="91">
        <f t="shared" si="3"/>
        <v>453000</v>
      </c>
      <c r="W38" s="44">
        <f t="shared" si="4"/>
        <v>4975000</v>
      </c>
      <c r="X38" s="44"/>
      <c r="Y38" s="44">
        <f t="shared" si="11"/>
        <v>5146000</v>
      </c>
      <c r="Z38" s="103">
        <f t="shared" si="6"/>
        <v>5349000</v>
      </c>
    </row>
    <row r="39" spans="1:26" x14ac:dyDescent="0.3">
      <c r="A39" s="42" t="s">
        <v>4</v>
      </c>
      <c r="B39" s="42" t="s">
        <v>26</v>
      </c>
      <c r="C39" s="42" t="s">
        <v>21</v>
      </c>
      <c r="D39" s="42"/>
      <c r="E39" s="42" t="s">
        <v>15</v>
      </c>
      <c r="F39" s="47">
        <v>44781</v>
      </c>
      <c r="G39" s="47">
        <v>44803</v>
      </c>
      <c r="H39" s="43"/>
      <c r="I39" s="54">
        <v>11726000</v>
      </c>
      <c r="J39" s="44"/>
      <c r="K39" s="49">
        <v>2617000</v>
      </c>
      <c r="L39" s="44"/>
      <c r="M39" s="44">
        <f t="shared" si="0"/>
        <v>14343000</v>
      </c>
      <c r="N39" s="49">
        <v>19200000</v>
      </c>
      <c r="O39" s="49">
        <f t="shared" si="12"/>
        <v>19882000</v>
      </c>
      <c r="P39" s="91">
        <f t="shared" si="1"/>
        <v>20657000</v>
      </c>
      <c r="Q39" s="49"/>
      <c r="R39" s="49"/>
      <c r="S39" s="91">
        <f t="shared" si="2"/>
        <v>0</v>
      </c>
      <c r="T39" s="49">
        <v>2910000</v>
      </c>
      <c r="U39" s="49">
        <f t="shared" si="8"/>
        <v>2968000</v>
      </c>
      <c r="V39" s="91">
        <f t="shared" si="3"/>
        <v>3093000</v>
      </c>
      <c r="W39" s="44">
        <f t="shared" si="4"/>
        <v>22110000</v>
      </c>
      <c r="X39" s="44"/>
      <c r="Y39" s="44">
        <f t="shared" si="11"/>
        <v>22850000</v>
      </c>
      <c r="Z39" s="103">
        <f t="shared" si="6"/>
        <v>23750000</v>
      </c>
    </row>
    <row r="40" spans="1:26" ht="26" x14ac:dyDescent="0.3">
      <c r="A40" s="42" t="s">
        <v>4</v>
      </c>
      <c r="B40" s="42" t="s">
        <v>26</v>
      </c>
      <c r="C40" s="42" t="s">
        <v>21</v>
      </c>
      <c r="D40" s="42"/>
      <c r="E40" s="42" t="s">
        <v>35</v>
      </c>
      <c r="F40" s="43"/>
      <c r="G40" s="43"/>
      <c r="H40" s="43"/>
      <c r="I40" s="58"/>
      <c r="J40" s="44"/>
      <c r="K40" s="49">
        <v>1079000</v>
      </c>
      <c r="L40" s="44"/>
      <c r="M40" s="44">
        <f t="shared" si="0"/>
        <v>1079000</v>
      </c>
      <c r="N40" s="49"/>
      <c r="O40" s="49"/>
      <c r="P40" s="91">
        <f t="shared" si="1"/>
        <v>0</v>
      </c>
      <c r="Q40" s="49"/>
      <c r="R40" s="49"/>
      <c r="S40" s="91">
        <f t="shared" si="2"/>
        <v>0</v>
      </c>
      <c r="T40" s="49">
        <f>ROUNDUP(K40*'jaarpremie per verzekeraar'!$F$23/'jaarpremie per verzekeraar'!$F$22,-3)</f>
        <v>1200000</v>
      </c>
      <c r="U40" s="49">
        <f t="shared" si="8"/>
        <v>1224000</v>
      </c>
      <c r="V40" s="91">
        <f t="shared" si="3"/>
        <v>1276000</v>
      </c>
      <c r="W40" s="44">
        <f t="shared" si="4"/>
        <v>1200000</v>
      </c>
      <c r="X40" s="44"/>
      <c r="Y40" s="44">
        <f t="shared" si="11"/>
        <v>1224000</v>
      </c>
      <c r="Z40" s="103">
        <f t="shared" si="6"/>
        <v>1276000</v>
      </c>
    </row>
    <row r="41" spans="1:26" x14ac:dyDescent="0.3">
      <c r="A41" s="60" t="s">
        <v>5</v>
      </c>
      <c r="B41" s="42"/>
      <c r="C41" s="42" t="s">
        <v>20</v>
      </c>
      <c r="D41" s="42"/>
      <c r="E41" s="42"/>
      <c r="F41" s="43"/>
      <c r="G41" s="43"/>
      <c r="H41" s="43"/>
      <c r="I41" s="58"/>
      <c r="J41" s="44"/>
      <c r="K41" s="49">
        <v>757000</v>
      </c>
      <c r="L41" s="44"/>
      <c r="M41" s="44">
        <f t="shared" si="0"/>
        <v>757000</v>
      </c>
      <c r="N41" s="49"/>
      <c r="O41" s="49"/>
      <c r="P41" s="91">
        <f t="shared" si="1"/>
        <v>0</v>
      </c>
      <c r="Q41" s="49"/>
      <c r="R41" s="49"/>
      <c r="S41" s="91">
        <f t="shared" si="2"/>
        <v>0</v>
      </c>
      <c r="T41" s="49">
        <f>ROUNDUP(K41*'jaarpremie per verzekeraar'!$F$23/'jaarpremie per verzekeraar'!$F$22,-3)</f>
        <v>842000</v>
      </c>
      <c r="U41" s="49">
        <f t="shared" si="8"/>
        <v>859000</v>
      </c>
      <c r="V41" s="91">
        <f t="shared" si="3"/>
        <v>895000</v>
      </c>
      <c r="W41" s="44">
        <f t="shared" si="4"/>
        <v>842000</v>
      </c>
      <c r="X41" s="44"/>
      <c r="Y41" s="44">
        <f t="shared" si="11"/>
        <v>859000</v>
      </c>
      <c r="Z41" s="103">
        <f t="shared" si="6"/>
        <v>895000</v>
      </c>
    </row>
    <row r="42" spans="1:26" x14ac:dyDescent="0.3">
      <c r="A42" s="42" t="s">
        <v>62</v>
      </c>
      <c r="B42" s="42" t="s">
        <v>60</v>
      </c>
      <c r="C42" s="42" t="s">
        <v>20</v>
      </c>
      <c r="D42" s="42" t="s">
        <v>61</v>
      </c>
      <c r="E42" s="42"/>
      <c r="F42" s="43"/>
      <c r="G42" s="43"/>
      <c r="H42" s="43"/>
      <c r="I42" s="61">
        <v>192000</v>
      </c>
      <c r="J42" s="44"/>
      <c r="K42" s="49">
        <v>19000</v>
      </c>
      <c r="L42" s="44"/>
      <c r="M42" s="44">
        <f t="shared" si="0"/>
        <v>211000</v>
      </c>
      <c r="N42" s="49">
        <f>ROUNDUP(I42*'jaarpremie per verzekeraar'!$C$23/'jaarpremie per verzekeraar'!$C$22,-3)</f>
        <v>216000</v>
      </c>
      <c r="O42" s="49">
        <f t="shared" si="12"/>
        <v>224000</v>
      </c>
      <c r="P42" s="91">
        <f t="shared" si="1"/>
        <v>233000</v>
      </c>
      <c r="Q42" s="49"/>
      <c r="R42" s="49"/>
      <c r="S42" s="91">
        <f t="shared" si="2"/>
        <v>0</v>
      </c>
      <c r="T42" s="49">
        <f>ROUNDUP(K42*'jaarpremie per verzekeraar'!$F$23/'jaarpremie per verzekeraar'!$F$22,-3)</f>
        <v>22000</v>
      </c>
      <c r="U42" s="49">
        <f t="shared" si="8"/>
        <v>23000</v>
      </c>
      <c r="V42" s="91">
        <f t="shared" si="3"/>
        <v>24000</v>
      </c>
      <c r="W42" s="44">
        <f t="shared" si="4"/>
        <v>238000</v>
      </c>
      <c r="X42" s="44"/>
      <c r="Y42" s="44">
        <f t="shared" si="11"/>
        <v>247000</v>
      </c>
      <c r="Z42" s="103">
        <f t="shared" si="6"/>
        <v>257000</v>
      </c>
    </row>
    <row r="43" spans="1:26" x14ac:dyDescent="0.3">
      <c r="A43" s="42"/>
      <c r="B43" s="42"/>
      <c r="C43" s="42"/>
      <c r="D43" s="42"/>
      <c r="E43" s="42"/>
      <c r="F43" s="43"/>
      <c r="G43" s="43"/>
      <c r="H43" s="43"/>
      <c r="I43" s="44"/>
      <c r="J43" s="44"/>
      <c r="K43" s="49"/>
      <c r="L43" s="44"/>
      <c r="M43" s="44"/>
      <c r="N43" s="49"/>
      <c r="O43" s="49"/>
      <c r="P43" s="91">
        <f t="shared" si="1"/>
        <v>0</v>
      </c>
      <c r="Q43" s="49"/>
      <c r="R43" s="49"/>
      <c r="S43" s="91">
        <f t="shared" si="2"/>
        <v>0</v>
      </c>
      <c r="T43" s="49"/>
      <c r="U43" s="49"/>
      <c r="V43" s="91">
        <f t="shared" si="3"/>
        <v>0</v>
      </c>
      <c r="W43" s="44">
        <f t="shared" si="4"/>
        <v>0</v>
      </c>
      <c r="X43" s="44"/>
      <c r="Y43" s="44">
        <f t="shared" si="11"/>
        <v>0</v>
      </c>
      <c r="Z43" s="103">
        <f t="shared" si="6"/>
        <v>0</v>
      </c>
    </row>
    <row r="44" spans="1:26" x14ac:dyDescent="0.3">
      <c r="A44" s="45" t="str">
        <f>'[1]Overzicht 01-01-2013'!A50</f>
        <v>Instituten Regio Limburg</v>
      </c>
      <c r="B44" s="42"/>
      <c r="C44" s="42"/>
      <c r="D44" s="42"/>
      <c r="E44" s="42"/>
      <c r="F44" s="43"/>
      <c r="G44" s="43"/>
      <c r="H44" s="43"/>
      <c r="I44" s="44"/>
      <c r="J44" s="44"/>
      <c r="K44" s="49"/>
      <c r="L44" s="44"/>
      <c r="M44" s="44"/>
      <c r="N44" s="49"/>
      <c r="O44" s="49"/>
      <c r="P44" s="91">
        <f t="shared" si="1"/>
        <v>0</v>
      </c>
      <c r="Q44" s="49"/>
      <c r="R44" s="49"/>
      <c r="S44" s="91">
        <f t="shared" si="2"/>
        <v>0</v>
      </c>
      <c r="T44" s="49"/>
      <c r="U44" s="49"/>
      <c r="V44" s="91">
        <f t="shared" si="3"/>
        <v>0</v>
      </c>
      <c r="W44" s="44">
        <f t="shared" si="4"/>
        <v>0</v>
      </c>
      <c r="X44" s="44"/>
      <c r="Y44" s="44">
        <f t="shared" si="11"/>
        <v>0</v>
      </c>
      <c r="Z44" s="103">
        <f t="shared" si="6"/>
        <v>0</v>
      </c>
    </row>
    <row r="45" spans="1:26" x14ac:dyDescent="0.3">
      <c r="A45" s="42" t="s">
        <v>125</v>
      </c>
      <c r="B45" s="42" t="s">
        <v>30</v>
      </c>
      <c r="C45" s="42" t="s">
        <v>28</v>
      </c>
      <c r="D45" s="42"/>
      <c r="E45" s="42" t="s">
        <v>122</v>
      </c>
      <c r="F45" s="47">
        <v>44781</v>
      </c>
      <c r="G45" s="47">
        <v>44803</v>
      </c>
      <c r="H45" s="43"/>
      <c r="I45" s="55">
        <v>43118000</v>
      </c>
      <c r="J45" s="44"/>
      <c r="K45" s="49">
        <v>19365000</v>
      </c>
      <c r="L45" s="44"/>
      <c r="M45" s="44">
        <f t="shared" si="0"/>
        <v>62483000</v>
      </c>
      <c r="N45" s="49">
        <v>47500000</v>
      </c>
      <c r="O45" s="49">
        <f t="shared" si="12"/>
        <v>49186000</v>
      </c>
      <c r="P45" s="91">
        <f t="shared" si="1"/>
        <v>51102000</v>
      </c>
      <c r="Q45" s="49"/>
      <c r="R45" s="49"/>
      <c r="S45" s="91">
        <f t="shared" si="2"/>
        <v>0</v>
      </c>
      <c r="T45" s="49">
        <v>12300000</v>
      </c>
      <c r="U45" s="49">
        <f t="shared" si="8"/>
        <v>12542000</v>
      </c>
      <c r="V45" s="91">
        <f t="shared" si="3"/>
        <v>13067000</v>
      </c>
      <c r="W45" s="44">
        <f t="shared" si="4"/>
        <v>59800000</v>
      </c>
      <c r="X45" s="44"/>
      <c r="Y45" s="44">
        <f t="shared" si="11"/>
        <v>61728000</v>
      </c>
      <c r="Z45" s="103">
        <f t="shared" si="6"/>
        <v>64169000</v>
      </c>
    </row>
    <row r="46" spans="1:26" x14ac:dyDescent="0.3">
      <c r="A46" s="42" t="s">
        <v>124</v>
      </c>
      <c r="B46" s="42" t="s">
        <v>30</v>
      </c>
      <c r="C46" s="42" t="s">
        <v>28</v>
      </c>
      <c r="D46" s="42"/>
      <c r="E46" s="42" t="s">
        <v>123</v>
      </c>
      <c r="F46" s="47">
        <v>44781</v>
      </c>
      <c r="G46" s="47">
        <v>44803</v>
      </c>
      <c r="H46" s="43"/>
      <c r="I46" s="55"/>
      <c r="J46" s="44"/>
      <c r="K46" s="49"/>
      <c r="L46" s="44"/>
      <c r="M46" s="44"/>
      <c r="N46" s="49">
        <v>15750000</v>
      </c>
      <c r="O46" s="49">
        <f t="shared" si="12"/>
        <v>16309000</v>
      </c>
      <c r="P46" s="91">
        <f t="shared" si="1"/>
        <v>16945000</v>
      </c>
      <c r="Q46" s="49"/>
      <c r="R46" s="49"/>
      <c r="S46" s="91">
        <f t="shared" si="2"/>
        <v>0</v>
      </c>
      <c r="T46" s="49">
        <v>2740000</v>
      </c>
      <c r="U46" s="49">
        <f t="shared" si="8"/>
        <v>2794000</v>
      </c>
      <c r="V46" s="91">
        <f t="shared" si="3"/>
        <v>2911000</v>
      </c>
      <c r="W46" s="44">
        <f t="shared" si="4"/>
        <v>18490000</v>
      </c>
      <c r="X46" s="44"/>
      <c r="Y46" s="44">
        <f t="shared" si="11"/>
        <v>19103000</v>
      </c>
      <c r="Z46" s="103">
        <f t="shared" si="6"/>
        <v>19856000</v>
      </c>
    </row>
    <row r="47" spans="1:26" x14ac:dyDescent="0.3">
      <c r="A47" s="42" t="s">
        <v>47</v>
      </c>
      <c r="B47" s="42" t="s">
        <v>31</v>
      </c>
      <c r="C47" s="42" t="s">
        <v>29</v>
      </c>
      <c r="D47" s="42"/>
      <c r="E47" s="42" t="s">
        <v>36</v>
      </c>
      <c r="F47" s="47">
        <v>44781</v>
      </c>
      <c r="G47" s="47">
        <v>44803</v>
      </c>
      <c r="H47" s="43"/>
      <c r="I47" s="55">
        <v>22822000</v>
      </c>
      <c r="J47" s="44"/>
      <c r="K47" s="49">
        <v>5900000</v>
      </c>
      <c r="L47" s="44"/>
      <c r="M47" s="44">
        <f t="shared" si="0"/>
        <v>28722000</v>
      </c>
      <c r="N47" s="49">
        <v>37000000</v>
      </c>
      <c r="O47" s="49">
        <f t="shared" si="12"/>
        <v>38313000</v>
      </c>
      <c r="P47" s="91">
        <f t="shared" si="1"/>
        <v>39805000</v>
      </c>
      <c r="Q47" s="49"/>
      <c r="R47" s="49"/>
      <c r="S47" s="91">
        <f t="shared" si="2"/>
        <v>0</v>
      </c>
      <c r="T47" s="49">
        <v>4900000</v>
      </c>
      <c r="U47" s="49">
        <f t="shared" si="8"/>
        <v>4997000</v>
      </c>
      <c r="V47" s="91">
        <f t="shared" si="3"/>
        <v>5206000</v>
      </c>
      <c r="W47" s="44">
        <f t="shared" si="4"/>
        <v>41900000</v>
      </c>
      <c r="X47" s="44"/>
      <c r="Y47" s="44">
        <f t="shared" si="11"/>
        <v>43310000</v>
      </c>
      <c r="Z47" s="103">
        <f t="shared" si="6"/>
        <v>45011000</v>
      </c>
    </row>
    <row r="48" spans="1:26" x14ac:dyDescent="0.3">
      <c r="A48" s="42"/>
      <c r="B48" s="42"/>
      <c r="C48" s="42"/>
      <c r="D48" s="42"/>
      <c r="E48" s="42"/>
      <c r="F48" s="43"/>
      <c r="G48" s="43"/>
      <c r="H48" s="43"/>
      <c r="I48" s="44"/>
      <c r="J48" s="44"/>
      <c r="K48" s="49"/>
      <c r="L48" s="44"/>
      <c r="M48" s="44"/>
      <c r="N48" s="49"/>
      <c r="O48" s="49"/>
      <c r="P48" s="91">
        <f t="shared" si="1"/>
        <v>0</v>
      </c>
      <c r="Q48" s="49"/>
      <c r="R48" s="49"/>
      <c r="S48" s="91">
        <f t="shared" si="2"/>
        <v>0</v>
      </c>
      <c r="T48" s="49"/>
      <c r="U48" s="49"/>
      <c r="V48" s="91">
        <f t="shared" si="3"/>
        <v>0</v>
      </c>
      <c r="W48" s="44">
        <f t="shared" si="4"/>
        <v>0</v>
      </c>
      <c r="X48" s="44"/>
      <c r="Y48" s="44">
        <f t="shared" si="11"/>
        <v>0</v>
      </c>
      <c r="Z48" s="103">
        <f t="shared" si="6"/>
        <v>0</v>
      </c>
    </row>
    <row r="49" spans="1:26" x14ac:dyDescent="0.3">
      <c r="A49" s="45" t="s">
        <v>6</v>
      </c>
      <c r="B49" s="42"/>
      <c r="C49" s="42"/>
      <c r="D49" s="42"/>
      <c r="E49" s="42"/>
      <c r="F49" s="43"/>
      <c r="G49" s="43"/>
      <c r="H49" s="43"/>
      <c r="I49" s="44"/>
      <c r="J49" s="44"/>
      <c r="K49" s="49"/>
      <c r="L49" s="44"/>
      <c r="M49" s="44"/>
      <c r="N49" s="49"/>
      <c r="O49" s="49"/>
      <c r="P49" s="91">
        <f t="shared" si="1"/>
        <v>0</v>
      </c>
      <c r="Q49" s="49"/>
      <c r="R49" s="49"/>
      <c r="S49" s="91">
        <f t="shared" si="2"/>
        <v>0</v>
      </c>
      <c r="T49" s="49"/>
      <c r="U49" s="49"/>
      <c r="V49" s="91">
        <f t="shared" si="3"/>
        <v>0</v>
      </c>
      <c r="W49" s="44">
        <f t="shared" si="4"/>
        <v>0</v>
      </c>
      <c r="X49" s="44"/>
      <c r="Y49" s="44">
        <f t="shared" si="11"/>
        <v>0</v>
      </c>
      <c r="Z49" s="103">
        <f t="shared" si="6"/>
        <v>0</v>
      </c>
    </row>
    <row r="50" spans="1:26" x14ac:dyDescent="0.3">
      <c r="A50" s="42"/>
      <c r="B50" s="42"/>
      <c r="C50" s="42"/>
      <c r="D50" s="42"/>
      <c r="E50" s="42"/>
      <c r="F50" s="43"/>
      <c r="G50" s="43"/>
      <c r="H50" s="43"/>
      <c r="I50" s="44"/>
      <c r="J50" s="44"/>
      <c r="K50" s="49"/>
      <c r="L50" s="44"/>
      <c r="M50" s="44"/>
      <c r="N50" s="49"/>
      <c r="O50" s="49"/>
      <c r="P50" s="91">
        <f t="shared" si="1"/>
        <v>0</v>
      </c>
      <c r="Q50" s="49"/>
      <c r="R50" s="49"/>
      <c r="S50" s="91">
        <f t="shared" si="2"/>
        <v>0</v>
      </c>
      <c r="T50" s="49"/>
      <c r="U50" s="49"/>
      <c r="V50" s="91">
        <f t="shared" si="3"/>
        <v>0</v>
      </c>
      <c r="W50" s="44">
        <f t="shared" si="4"/>
        <v>0</v>
      </c>
      <c r="X50" s="44"/>
      <c r="Y50" s="44">
        <f t="shared" si="11"/>
        <v>0</v>
      </c>
      <c r="Z50" s="103">
        <f t="shared" si="6"/>
        <v>0</v>
      </c>
    </row>
    <row r="51" spans="1:26" x14ac:dyDescent="0.3">
      <c r="A51" s="46" t="s">
        <v>7</v>
      </c>
      <c r="B51" s="42"/>
      <c r="C51" s="42"/>
      <c r="D51" s="42"/>
      <c r="E51" s="62"/>
      <c r="F51" s="43"/>
      <c r="G51" s="43"/>
      <c r="H51" s="43"/>
      <c r="I51" s="44" t="s">
        <v>98</v>
      </c>
      <c r="J51" s="44"/>
      <c r="K51" s="49">
        <v>1637000</v>
      </c>
      <c r="L51" s="44"/>
      <c r="M51" s="44">
        <f t="shared" si="0"/>
        <v>1637000</v>
      </c>
      <c r="N51" s="49" t="s">
        <v>98</v>
      </c>
      <c r="O51" s="49"/>
      <c r="P51" s="91">
        <f t="shared" si="1"/>
        <v>0</v>
      </c>
      <c r="Q51" s="49"/>
      <c r="R51" s="49"/>
      <c r="S51" s="91">
        <f t="shared" si="2"/>
        <v>0</v>
      </c>
      <c r="T51" s="44">
        <v>1899000</v>
      </c>
      <c r="U51" s="49">
        <f t="shared" si="8"/>
        <v>1937000</v>
      </c>
      <c r="V51" s="91">
        <f t="shared" si="3"/>
        <v>2018000</v>
      </c>
      <c r="W51" s="44">
        <f>T51</f>
        <v>1899000</v>
      </c>
      <c r="X51" s="44"/>
      <c r="Y51" s="44">
        <f t="shared" si="11"/>
        <v>1937000</v>
      </c>
      <c r="Z51" s="103">
        <f t="shared" si="6"/>
        <v>2018000</v>
      </c>
    </row>
    <row r="52" spans="1:26" x14ac:dyDescent="0.3">
      <c r="A52" s="42" t="s">
        <v>8</v>
      </c>
      <c r="B52" s="42" t="s">
        <v>32</v>
      </c>
      <c r="C52" s="42"/>
      <c r="D52" s="42"/>
      <c r="E52" s="42"/>
      <c r="F52" s="43"/>
      <c r="G52" s="43"/>
      <c r="H52" s="43"/>
      <c r="I52" s="44"/>
      <c r="J52" s="44"/>
      <c r="K52" s="49">
        <v>425000</v>
      </c>
      <c r="L52" s="44"/>
      <c r="M52" s="44">
        <f t="shared" si="0"/>
        <v>425000</v>
      </c>
      <c r="N52" s="49"/>
      <c r="O52" s="49"/>
      <c r="P52" s="91">
        <f t="shared" si="1"/>
        <v>0</v>
      </c>
      <c r="Q52" s="49"/>
      <c r="R52" s="49"/>
      <c r="S52" s="91">
        <f t="shared" si="2"/>
        <v>0</v>
      </c>
      <c r="T52" s="44">
        <v>493000</v>
      </c>
      <c r="U52" s="49">
        <f t="shared" si="8"/>
        <v>503000</v>
      </c>
      <c r="V52" s="91">
        <f t="shared" si="3"/>
        <v>525000</v>
      </c>
      <c r="W52" s="44">
        <f t="shared" si="4"/>
        <v>493000</v>
      </c>
      <c r="X52" s="44"/>
      <c r="Y52" s="44">
        <f t="shared" si="11"/>
        <v>503000</v>
      </c>
      <c r="Z52" s="103">
        <f t="shared" si="6"/>
        <v>525000</v>
      </c>
    </row>
    <row r="53" spans="1:26" x14ac:dyDescent="0.3">
      <c r="A53" s="42" t="s">
        <v>9</v>
      </c>
      <c r="B53" s="42" t="s">
        <v>32</v>
      </c>
      <c r="C53" s="42"/>
      <c r="D53" s="42"/>
      <c r="E53" s="42"/>
      <c r="F53" s="43"/>
      <c r="G53" s="43"/>
      <c r="H53" s="43"/>
      <c r="I53" s="44"/>
      <c r="J53" s="44"/>
      <c r="K53" s="49">
        <v>3366000</v>
      </c>
      <c r="L53" s="44"/>
      <c r="M53" s="44">
        <f t="shared" si="0"/>
        <v>3366000</v>
      </c>
      <c r="N53" s="49"/>
      <c r="O53" s="49"/>
      <c r="P53" s="91">
        <f t="shared" si="1"/>
        <v>0</v>
      </c>
      <c r="Q53" s="49"/>
      <c r="R53" s="49"/>
      <c r="S53" s="91">
        <f t="shared" si="2"/>
        <v>0</v>
      </c>
      <c r="T53" s="44">
        <v>3904000</v>
      </c>
      <c r="U53" s="49">
        <f t="shared" si="8"/>
        <v>3981000</v>
      </c>
      <c r="V53" s="91">
        <f t="shared" si="3"/>
        <v>4148000</v>
      </c>
      <c r="W53" s="44">
        <f t="shared" si="4"/>
        <v>3904000</v>
      </c>
      <c r="X53" s="44"/>
      <c r="Y53" s="44">
        <f t="shared" si="11"/>
        <v>3981000</v>
      </c>
      <c r="Z53" s="103">
        <f t="shared" si="6"/>
        <v>4148000</v>
      </c>
    </row>
    <row r="54" spans="1:26" ht="52.5" thickBot="1" x14ac:dyDescent="0.35">
      <c r="A54" s="42" t="s">
        <v>89</v>
      </c>
      <c r="B54" s="42" t="s">
        <v>87</v>
      </c>
      <c r="C54" s="42"/>
      <c r="D54" s="42"/>
      <c r="E54" s="42" t="s">
        <v>88</v>
      </c>
      <c r="F54" s="43"/>
      <c r="G54" s="43"/>
      <c r="H54" s="43"/>
      <c r="I54" s="44"/>
      <c r="J54" s="44"/>
      <c r="K54" s="49">
        <v>518000</v>
      </c>
      <c r="L54" s="44"/>
      <c r="M54" s="44">
        <f t="shared" si="0"/>
        <v>518000</v>
      </c>
      <c r="N54" s="49"/>
      <c r="O54" s="49"/>
      <c r="P54" s="91">
        <f t="shared" si="1"/>
        <v>0</v>
      </c>
      <c r="Q54" s="49"/>
      <c r="R54" s="49"/>
      <c r="S54" s="91">
        <f t="shared" si="2"/>
        <v>0</v>
      </c>
      <c r="T54" s="44">
        <v>601000</v>
      </c>
      <c r="U54" s="49">
        <f t="shared" si="8"/>
        <v>613000</v>
      </c>
      <c r="V54" s="91">
        <f t="shared" si="3"/>
        <v>639000</v>
      </c>
      <c r="W54" s="44">
        <f t="shared" si="4"/>
        <v>601000</v>
      </c>
      <c r="X54" s="44"/>
      <c r="Y54" s="44">
        <f t="shared" si="11"/>
        <v>613000</v>
      </c>
      <c r="Z54" s="103">
        <f t="shared" si="6"/>
        <v>639000</v>
      </c>
    </row>
    <row r="55" spans="1:26" ht="13.5" thickBot="1" x14ac:dyDescent="0.35">
      <c r="A55" s="66" t="s">
        <v>1</v>
      </c>
      <c r="B55" s="66"/>
      <c r="C55" s="66"/>
      <c r="D55" s="66"/>
      <c r="E55" s="67"/>
      <c r="F55" s="68"/>
      <c r="G55" s="68"/>
      <c r="H55" s="68"/>
      <c r="I55" s="69">
        <f t="shared" ref="I55:Y55" si="13">SUM(I8:I54)</f>
        <v>307541000</v>
      </c>
      <c r="J55" s="69">
        <f t="shared" si="13"/>
        <v>113780000</v>
      </c>
      <c r="K55" s="69">
        <f t="shared" si="13"/>
        <v>146057000</v>
      </c>
      <c r="L55" s="69">
        <f t="shared" si="13"/>
        <v>4130000</v>
      </c>
      <c r="M55" s="69">
        <f t="shared" si="13"/>
        <v>571508000</v>
      </c>
      <c r="N55" s="69">
        <f t="shared" si="13"/>
        <v>671666000</v>
      </c>
      <c r="O55" s="69">
        <f t="shared" si="13"/>
        <v>693386000</v>
      </c>
      <c r="P55" s="104">
        <f t="shared" si="13"/>
        <v>720400000</v>
      </c>
      <c r="Q55" s="69">
        <f t="shared" si="13"/>
        <v>4627185</v>
      </c>
      <c r="R55" s="69">
        <f t="shared" si="13"/>
        <v>4795000</v>
      </c>
      <c r="S55" s="104">
        <f t="shared" si="13"/>
        <v>4985000</v>
      </c>
      <c r="T55" s="69">
        <f t="shared" si="13"/>
        <v>142294000</v>
      </c>
      <c r="U55" s="69">
        <f t="shared" si="13"/>
        <v>160217525</v>
      </c>
      <c r="V55" s="104">
        <f t="shared" si="13"/>
        <v>177079475</v>
      </c>
      <c r="W55" s="69">
        <f t="shared" si="13"/>
        <v>818587185</v>
      </c>
      <c r="X55" s="69">
        <f t="shared" si="13"/>
        <v>5357475</v>
      </c>
      <c r="Y55" s="69">
        <f t="shared" si="13"/>
        <v>863756000</v>
      </c>
      <c r="Z55" s="104">
        <f t="shared" si="6"/>
        <v>902464475</v>
      </c>
    </row>
    <row r="56" spans="1:26" ht="13.5" thickTop="1" x14ac:dyDescent="0.3">
      <c r="A56" s="70"/>
      <c r="B56" s="70"/>
      <c r="C56" s="70"/>
      <c r="D56" s="70"/>
      <c r="E56" s="70"/>
      <c r="I56" s="71"/>
      <c r="J56" s="71"/>
      <c r="K56" s="72"/>
      <c r="L56" s="72"/>
      <c r="M56" s="72"/>
      <c r="N56" s="71"/>
      <c r="O56" s="71"/>
      <c r="P56" s="105"/>
      <c r="Q56" s="72"/>
      <c r="R56" s="72"/>
      <c r="S56" s="117"/>
      <c r="T56" s="72"/>
      <c r="U56" s="72"/>
      <c r="V56" s="117"/>
      <c r="W56" s="72"/>
      <c r="X56" s="72"/>
      <c r="Y56" s="72"/>
      <c r="Z56" s="117"/>
    </row>
    <row r="57" spans="1:26" x14ac:dyDescent="0.3">
      <c r="A57" s="70"/>
      <c r="B57" s="70"/>
      <c r="C57" s="70"/>
      <c r="D57" s="70"/>
      <c r="E57" s="70"/>
      <c r="I57" s="71"/>
      <c r="J57" s="71"/>
      <c r="K57" s="72"/>
      <c r="L57" s="72"/>
      <c r="M57" s="72"/>
      <c r="N57" s="71"/>
      <c r="O57" s="71"/>
      <c r="P57" s="105"/>
      <c r="Q57" s="72"/>
      <c r="R57" s="72"/>
      <c r="S57" s="117"/>
      <c r="T57" s="72"/>
      <c r="U57" s="72"/>
      <c r="V57" s="117"/>
      <c r="W57" s="72"/>
      <c r="X57" s="72"/>
      <c r="Y57" s="72"/>
      <c r="Z57" s="117"/>
    </row>
    <row r="58" spans="1:26" x14ac:dyDescent="0.3">
      <c r="A58" s="70"/>
      <c r="B58" s="70"/>
      <c r="C58" s="70"/>
      <c r="D58" s="70"/>
      <c r="E58" s="70"/>
      <c r="I58" s="71"/>
      <c r="J58" s="71"/>
      <c r="K58" s="73"/>
      <c r="L58" s="73"/>
      <c r="M58" s="73"/>
      <c r="N58" s="71"/>
      <c r="O58" s="71"/>
      <c r="P58" s="105"/>
      <c r="Q58" s="73"/>
      <c r="R58" s="73"/>
      <c r="S58" s="118"/>
      <c r="T58" s="73"/>
      <c r="U58" s="73"/>
      <c r="V58" s="118"/>
      <c r="W58" s="73"/>
      <c r="X58" s="73"/>
      <c r="Y58" s="73"/>
      <c r="Z58" s="118"/>
    </row>
    <row r="59" spans="1:26" x14ac:dyDescent="0.3">
      <c r="A59" s="74"/>
      <c r="B59" s="74"/>
      <c r="C59" s="74"/>
      <c r="D59" s="74"/>
      <c r="E59" s="74"/>
      <c r="I59" s="75"/>
      <c r="J59" s="75"/>
      <c r="K59" s="73"/>
      <c r="L59" s="73"/>
      <c r="M59" s="73"/>
      <c r="N59" s="75"/>
      <c r="O59" s="75"/>
      <c r="P59" s="106"/>
      <c r="Q59" s="73"/>
      <c r="R59" s="73"/>
      <c r="S59" s="118"/>
      <c r="T59" s="73"/>
      <c r="U59" s="73"/>
      <c r="V59" s="118"/>
      <c r="W59" s="73"/>
      <c r="X59" s="73"/>
      <c r="Y59" s="73"/>
      <c r="Z59" s="118"/>
    </row>
    <row r="60" spans="1:26" x14ac:dyDescent="0.3">
      <c r="A60" s="74"/>
      <c r="B60" s="74"/>
      <c r="C60" s="74"/>
      <c r="D60" s="74"/>
      <c r="E60" s="74"/>
      <c r="I60" s="75"/>
      <c r="J60" s="75"/>
      <c r="K60" s="73"/>
      <c r="L60" s="73"/>
      <c r="M60" s="73"/>
      <c r="N60" s="75"/>
      <c r="O60" s="75"/>
      <c r="P60" s="106"/>
      <c r="Q60" s="73"/>
      <c r="R60" s="73"/>
      <c r="S60" s="118"/>
      <c r="T60" s="73"/>
      <c r="U60" s="73"/>
      <c r="V60" s="118"/>
      <c r="W60" s="73"/>
      <c r="X60" s="73"/>
      <c r="Y60" s="73"/>
      <c r="Z60" s="118"/>
    </row>
    <row r="61" spans="1:26" x14ac:dyDescent="0.3">
      <c r="A61" s="74"/>
      <c r="B61" s="74"/>
      <c r="C61" s="74"/>
      <c r="D61" s="74"/>
      <c r="E61" s="74"/>
      <c r="I61" s="75"/>
      <c r="J61" s="75"/>
      <c r="K61" s="73"/>
      <c r="L61" s="73"/>
      <c r="M61" s="73"/>
      <c r="N61" s="75"/>
      <c r="O61" s="75"/>
      <c r="P61" s="106"/>
      <c r="Q61" s="73"/>
      <c r="R61" s="73"/>
      <c r="S61" s="118"/>
      <c r="T61" s="73"/>
      <c r="U61" s="73"/>
      <c r="V61" s="118"/>
      <c r="W61" s="73"/>
      <c r="X61" s="73"/>
      <c r="Y61" s="73"/>
      <c r="Z61" s="118"/>
    </row>
    <row r="62" spans="1:26" x14ac:dyDescent="0.3">
      <c r="A62" s="74"/>
      <c r="B62" s="74"/>
      <c r="C62" s="74"/>
      <c r="D62" s="74"/>
      <c r="E62" s="74"/>
      <c r="I62" s="75"/>
      <c r="J62" s="75"/>
      <c r="K62" s="73"/>
      <c r="L62" s="73"/>
      <c r="M62" s="73"/>
      <c r="N62" s="75"/>
      <c r="O62" s="75"/>
      <c r="P62" s="106"/>
      <c r="Q62" s="73"/>
      <c r="R62" s="73"/>
      <c r="S62" s="118"/>
      <c r="T62" s="73"/>
      <c r="U62" s="73"/>
      <c r="V62" s="118"/>
      <c r="W62" s="73"/>
      <c r="X62" s="73"/>
      <c r="Y62" s="73"/>
      <c r="Z62" s="118"/>
    </row>
    <row r="63" spans="1:26" x14ac:dyDescent="0.3">
      <c r="A63" s="74"/>
      <c r="B63" s="74"/>
      <c r="C63" s="74"/>
      <c r="D63" s="74"/>
      <c r="E63" s="74"/>
      <c r="I63" s="75"/>
      <c r="J63" s="75"/>
      <c r="K63" s="73"/>
      <c r="L63" s="73"/>
      <c r="M63" s="73"/>
      <c r="N63" s="75"/>
      <c r="O63" s="75"/>
      <c r="P63" s="106"/>
      <c r="Q63" s="73"/>
      <c r="R63" s="73"/>
      <c r="S63" s="118"/>
      <c r="T63" s="73"/>
      <c r="U63" s="73"/>
      <c r="V63" s="118"/>
      <c r="W63" s="73"/>
      <c r="X63" s="73"/>
      <c r="Y63" s="73"/>
      <c r="Z63" s="118"/>
    </row>
    <row r="64" spans="1:26" x14ac:dyDescent="0.3">
      <c r="A64" s="74"/>
      <c r="B64" s="74"/>
      <c r="C64" s="74"/>
      <c r="D64" s="74"/>
      <c r="E64" s="74"/>
      <c r="I64" s="75"/>
      <c r="J64" s="75"/>
      <c r="K64" s="73"/>
      <c r="L64" s="73"/>
      <c r="M64" s="73"/>
      <c r="N64" s="75"/>
      <c r="O64" s="75"/>
      <c r="P64" s="106"/>
      <c r="Q64" s="73"/>
      <c r="R64" s="73"/>
      <c r="S64" s="118"/>
      <c r="T64" s="73"/>
      <c r="U64" s="73"/>
      <c r="V64" s="118"/>
      <c r="W64" s="73"/>
      <c r="X64" s="73"/>
      <c r="Y64" s="73"/>
      <c r="Z64" s="118"/>
    </row>
    <row r="65" spans="1:26" x14ac:dyDescent="0.3">
      <c r="A65" s="74"/>
      <c r="B65" s="74"/>
      <c r="C65" s="74"/>
      <c r="D65" s="74"/>
      <c r="E65" s="74"/>
      <c r="I65" s="75"/>
      <c r="J65" s="75"/>
      <c r="K65" s="73"/>
      <c r="L65" s="73"/>
      <c r="M65" s="73"/>
      <c r="N65" s="75"/>
      <c r="O65" s="75"/>
      <c r="P65" s="106"/>
      <c r="Q65" s="73"/>
      <c r="R65" s="73"/>
      <c r="S65" s="118"/>
      <c r="T65" s="73"/>
      <c r="U65" s="73"/>
      <c r="V65" s="118"/>
      <c r="W65" s="73"/>
      <c r="X65" s="73"/>
      <c r="Y65" s="73"/>
      <c r="Z65" s="118"/>
    </row>
    <row r="66" spans="1:26" x14ac:dyDescent="0.3">
      <c r="A66" s="74"/>
      <c r="B66" s="74"/>
      <c r="C66" s="74"/>
      <c r="D66" s="74"/>
      <c r="E66" s="74"/>
      <c r="I66" s="75"/>
      <c r="J66" s="75"/>
      <c r="K66" s="75"/>
      <c r="L66" s="75"/>
      <c r="M66" s="75"/>
      <c r="N66" s="75"/>
      <c r="O66" s="75"/>
      <c r="P66" s="106"/>
      <c r="Q66" s="75"/>
      <c r="R66" s="75"/>
      <c r="S66" s="106"/>
      <c r="T66" s="75"/>
      <c r="U66" s="75"/>
      <c r="V66" s="106"/>
      <c r="W66" s="75"/>
      <c r="X66" s="75"/>
      <c r="Y66" s="75"/>
      <c r="Z66" s="106"/>
    </row>
    <row r="67" spans="1:26" x14ac:dyDescent="0.3">
      <c r="A67" s="76"/>
      <c r="B67" s="76"/>
      <c r="C67" s="76"/>
      <c r="D67" s="76"/>
      <c r="E67" s="76"/>
      <c r="I67" s="75"/>
      <c r="J67" s="75"/>
      <c r="K67" s="75"/>
      <c r="L67" s="75"/>
      <c r="M67" s="75"/>
      <c r="N67" s="75"/>
      <c r="O67" s="75"/>
      <c r="P67" s="106"/>
      <c r="Q67" s="75"/>
      <c r="R67" s="75"/>
      <c r="S67" s="106"/>
      <c r="T67" s="75"/>
      <c r="U67" s="75"/>
      <c r="V67" s="106"/>
      <c r="W67" s="75"/>
      <c r="X67" s="75"/>
      <c r="Y67" s="75"/>
      <c r="Z67" s="106"/>
    </row>
    <row r="68" spans="1:26" x14ac:dyDescent="0.3">
      <c r="A68" s="76"/>
      <c r="B68" s="76"/>
      <c r="C68" s="76"/>
      <c r="D68" s="76"/>
      <c r="E68" s="76"/>
      <c r="I68" s="77"/>
      <c r="J68" s="77"/>
      <c r="K68" s="77"/>
      <c r="L68" s="77"/>
      <c r="M68" s="77"/>
      <c r="N68" s="77"/>
      <c r="O68" s="77"/>
      <c r="P68" s="107"/>
      <c r="Q68" s="77"/>
      <c r="R68" s="77"/>
      <c r="S68" s="107"/>
      <c r="T68" s="77"/>
      <c r="U68" s="77"/>
      <c r="V68" s="107"/>
      <c r="W68" s="77"/>
      <c r="X68" s="77"/>
      <c r="Y68" s="77"/>
      <c r="Z68" s="107"/>
    </row>
    <row r="69" spans="1:26" x14ac:dyDescent="0.3">
      <c r="A69" s="76"/>
      <c r="B69" s="76"/>
      <c r="C69" s="76"/>
      <c r="D69" s="76"/>
      <c r="E69" s="76"/>
      <c r="I69" s="78"/>
      <c r="J69" s="78"/>
      <c r="K69" s="77"/>
      <c r="L69" s="77"/>
      <c r="M69" s="77"/>
      <c r="N69" s="78"/>
      <c r="O69" s="78"/>
      <c r="P69" s="108"/>
      <c r="Q69" s="77"/>
      <c r="R69" s="77"/>
      <c r="S69" s="107"/>
      <c r="T69" s="77"/>
      <c r="U69" s="77"/>
      <c r="V69" s="107"/>
      <c r="W69" s="77"/>
      <c r="X69" s="77"/>
      <c r="Y69" s="77"/>
      <c r="Z69" s="107"/>
    </row>
    <row r="70" spans="1:26" x14ac:dyDescent="0.3">
      <c r="A70" s="76"/>
      <c r="B70" s="76"/>
      <c r="C70" s="76"/>
      <c r="D70" s="76"/>
      <c r="E70" s="76"/>
      <c r="I70" s="78"/>
      <c r="J70" s="78"/>
      <c r="K70" s="78"/>
      <c r="L70" s="78"/>
      <c r="M70" s="78"/>
      <c r="N70" s="78"/>
      <c r="O70" s="78"/>
      <c r="P70" s="108"/>
      <c r="Q70" s="78"/>
      <c r="R70" s="78"/>
      <c r="S70" s="108"/>
      <c r="T70" s="78"/>
      <c r="U70" s="78"/>
      <c r="V70" s="108"/>
      <c r="W70" s="78"/>
      <c r="X70" s="78"/>
      <c r="Y70" s="78"/>
      <c r="Z70" s="108"/>
    </row>
    <row r="71" spans="1:26" x14ac:dyDescent="0.3">
      <c r="A71" s="76"/>
      <c r="B71" s="76"/>
      <c r="C71" s="76"/>
      <c r="D71" s="76"/>
      <c r="E71" s="76"/>
      <c r="I71" s="78"/>
      <c r="J71" s="78"/>
      <c r="K71" s="78"/>
      <c r="L71" s="78"/>
      <c r="M71" s="78"/>
      <c r="N71" s="78"/>
      <c r="O71" s="78"/>
      <c r="P71" s="108"/>
      <c r="Q71" s="78"/>
      <c r="R71" s="78"/>
      <c r="S71" s="108"/>
      <c r="T71" s="78"/>
      <c r="U71" s="78"/>
      <c r="V71" s="108"/>
      <c r="W71" s="78"/>
      <c r="X71" s="78"/>
      <c r="Y71" s="78"/>
      <c r="Z71" s="108"/>
    </row>
    <row r="72" spans="1:26" x14ac:dyDescent="0.3">
      <c r="A72" s="74"/>
      <c r="B72" s="74"/>
      <c r="C72" s="74"/>
      <c r="D72" s="74"/>
      <c r="E72" s="76"/>
      <c r="I72" s="78"/>
      <c r="J72" s="78"/>
      <c r="K72" s="78"/>
      <c r="L72" s="78"/>
      <c r="M72" s="78"/>
      <c r="N72" s="78"/>
      <c r="O72" s="78"/>
      <c r="P72" s="108"/>
      <c r="Q72" s="78"/>
      <c r="R72" s="78"/>
      <c r="S72" s="108"/>
      <c r="T72" s="78"/>
      <c r="U72" s="78"/>
      <c r="V72" s="108"/>
      <c r="W72" s="78"/>
      <c r="X72" s="78"/>
      <c r="Y72" s="78"/>
      <c r="Z72" s="108"/>
    </row>
    <row r="73" spans="1:26" x14ac:dyDescent="0.3">
      <c r="A73" s="74"/>
      <c r="B73" s="74"/>
      <c r="C73" s="74"/>
      <c r="D73" s="74"/>
      <c r="E73" s="76"/>
      <c r="I73" s="78"/>
      <c r="J73" s="78"/>
      <c r="K73" s="78"/>
      <c r="L73" s="78"/>
      <c r="M73" s="78"/>
      <c r="N73" s="78"/>
      <c r="O73" s="78"/>
      <c r="P73" s="108"/>
      <c r="Q73" s="78"/>
      <c r="R73" s="78"/>
      <c r="S73" s="108"/>
      <c r="T73" s="78"/>
      <c r="U73" s="78"/>
      <c r="V73" s="108"/>
      <c r="W73" s="78"/>
      <c r="X73" s="78"/>
      <c r="Y73" s="78"/>
      <c r="Z73" s="108"/>
    </row>
    <row r="74" spans="1:26" x14ac:dyDescent="0.3">
      <c r="A74" s="74"/>
      <c r="B74" s="74"/>
      <c r="C74" s="74"/>
      <c r="D74" s="74"/>
      <c r="E74" s="76"/>
      <c r="I74" s="78"/>
      <c r="J74" s="78"/>
      <c r="K74" s="78"/>
      <c r="L74" s="78"/>
      <c r="M74" s="78"/>
      <c r="N74" s="78"/>
      <c r="O74" s="78"/>
      <c r="P74" s="108"/>
      <c r="Q74" s="78"/>
      <c r="R74" s="78"/>
      <c r="S74" s="108"/>
      <c r="T74" s="78"/>
      <c r="U74" s="78"/>
      <c r="V74" s="108"/>
      <c r="W74" s="78"/>
      <c r="X74" s="78"/>
      <c r="Y74" s="78"/>
      <c r="Z74" s="108"/>
    </row>
    <row r="75" spans="1:26" x14ac:dyDescent="0.3">
      <c r="A75" s="76"/>
      <c r="B75" s="76"/>
      <c r="C75" s="76"/>
      <c r="D75" s="76"/>
      <c r="E75" s="76"/>
      <c r="I75" s="78"/>
      <c r="J75" s="78"/>
      <c r="K75" s="78"/>
      <c r="L75" s="78"/>
      <c r="M75" s="78"/>
      <c r="N75" s="78"/>
      <c r="O75" s="78"/>
      <c r="P75" s="108"/>
      <c r="Q75" s="78"/>
      <c r="R75" s="78"/>
      <c r="S75" s="108"/>
      <c r="T75" s="78"/>
      <c r="U75" s="78"/>
      <c r="V75" s="108"/>
      <c r="W75" s="78"/>
      <c r="X75" s="78"/>
      <c r="Y75" s="78"/>
      <c r="Z75" s="108"/>
    </row>
    <row r="76" spans="1:26" x14ac:dyDescent="0.3">
      <c r="A76" s="76"/>
      <c r="B76" s="76"/>
      <c r="C76" s="76"/>
      <c r="D76" s="76"/>
      <c r="E76" s="76"/>
      <c r="I76" s="78"/>
      <c r="J76" s="78"/>
      <c r="K76" s="78"/>
      <c r="L76" s="78"/>
      <c r="M76" s="78"/>
      <c r="N76" s="78"/>
      <c r="O76" s="78"/>
      <c r="P76" s="108"/>
      <c r="Q76" s="78"/>
      <c r="R76" s="78"/>
      <c r="S76" s="108"/>
      <c r="T76" s="78"/>
      <c r="U76" s="78"/>
      <c r="V76" s="108"/>
      <c r="W76" s="78"/>
      <c r="X76" s="78"/>
      <c r="Y76" s="78"/>
      <c r="Z76" s="108"/>
    </row>
    <row r="77" spans="1:26" x14ac:dyDescent="0.3">
      <c r="A77" s="76"/>
      <c r="B77" s="76"/>
      <c r="C77" s="76"/>
      <c r="D77" s="76"/>
      <c r="I77" s="78"/>
      <c r="J77" s="78"/>
      <c r="K77" s="78"/>
      <c r="L77" s="78"/>
      <c r="M77" s="78"/>
      <c r="N77" s="78"/>
      <c r="O77" s="78"/>
      <c r="P77" s="108"/>
      <c r="Q77" s="78"/>
      <c r="R77" s="78"/>
      <c r="S77" s="108"/>
      <c r="T77" s="78"/>
      <c r="U77" s="78"/>
      <c r="V77" s="108"/>
      <c r="W77" s="78"/>
      <c r="X77" s="78"/>
      <c r="Y77" s="78"/>
      <c r="Z77" s="108"/>
    </row>
    <row r="78" spans="1:26" x14ac:dyDescent="0.3">
      <c r="A78" s="81"/>
      <c r="B78" s="81"/>
      <c r="C78" s="81"/>
      <c r="D78" s="81"/>
      <c r="E78" s="81"/>
      <c r="I78" s="82"/>
      <c r="J78" s="82"/>
      <c r="K78" s="82"/>
      <c r="L78" s="82"/>
      <c r="M78" s="82"/>
      <c r="N78" s="82"/>
      <c r="O78" s="82"/>
      <c r="P78" s="109"/>
      <c r="Q78" s="82"/>
      <c r="R78" s="82"/>
      <c r="S78" s="109"/>
      <c r="T78" s="82"/>
      <c r="U78" s="82"/>
      <c r="V78" s="109"/>
      <c r="W78" s="82"/>
      <c r="X78" s="82"/>
      <c r="Y78" s="82"/>
      <c r="Z78" s="109"/>
    </row>
    <row r="79" spans="1:26" x14ac:dyDescent="0.3">
      <c r="A79" s="81"/>
      <c r="B79" s="81"/>
      <c r="C79" s="81"/>
      <c r="D79" s="81"/>
      <c r="E79" s="74"/>
      <c r="I79" s="83"/>
      <c r="J79" s="83"/>
      <c r="K79" s="83"/>
      <c r="L79" s="83"/>
      <c r="M79" s="83"/>
      <c r="N79" s="83"/>
      <c r="O79" s="83"/>
      <c r="P79" s="110"/>
      <c r="Q79" s="83"/>
      <c r="R79" s="83"/>
      <c r="S79" s="110"/>
      <c r="T79" s="83"/>
      <c r="U79" s="83"/>
      <c r="V79" s="110"/>
      <c r="W79" s="83"/>
      <c r="X79" s="83"/>
      <c r="Y79" s="83"/>
      <c r="Z79" s="110"/>
    </row>
    <row r="80" spans="1:26" x14ac:dyDescent="0.3">
      <c r="A80" s="81"/>
      <c r="B80" s="81"/>
      <c r="C80" s="81"/>
      <c r="D80" s="81"/>
      <c r="E80" s="74"/>
      <c r="I80" s="83"/>
      <c r="J80" s="83"/>
      <c r="K80" s="83"/>
      <c r="L80" s="83"/>
      <c r="M80" s="83"/>
      <c r="N80" s="83"/>
      <c r="O80" s="83"/>
      <c r="P80" s="110"/>
      <c r="Q80" s="83"/>
      <c r="R80" s="83"/>
      <c r="S80" s="110"/>
      <c r="T80" s="83"/>
      <c r="U80" s="83"/>
      <c r="V80" s="110"/>
      <c r="W80" s="83"/>
      <c r="X80" s="83"/>
      <c r="Y80" s="83"/>
      <c r="Z80" s="110"/>
    </row>
    <row r="81" spans="1:26" x14ac:dyDescent="0.3">
      <c r="A81" s="81"/>
      <c r="B81" s="81"/>
      <c r="C81" s="81"/>
      <c r="D81" s="81"/>
      <c r="E81" s="81"/>
      <c r="I81" s="83"/>
      <c r="J81" s="83"/>
      <c r="K81" s="83"/>
      <c r="L81" s="83"/>
      <c r="M81" s="83"/>
      <c r="N81" s="83"/>
      <c r="O81" s="83"/>
      <c r="P81" s="110"/>
      <c r="Q81" s="83"/>
      <c r="R81" s="83"/>
      <c r="S81" s="110"/>
      <c r="T81" s="83"/>
      <c r="U81" s="83"/>
      <c r="V81" s="110"/>
      <c r="W81" s="83"/>
      <c r="X81" s="83"/>
      <c r="Y81" s="83"/>
      <c r="Z81" s="110"/>
    </row>
    <row r="82" spans="1:26" x14ac:dyDescent="0.3">
      <c r="A82" s="81"/>
      <c r="B82" s="81"/>
      <c r="C82" s="81"/>
      <c r="D82" s="81"/>
      <c r="E82" s="74"/>
      <c r="I82" s="83"/>
      <c r="J82" s="83"/>
      <c r="K82" s="83"/>
      <c r="L82" s="83"/>
      <c r="M82" s="83"/>
      <c r="N82" s="83"/>
      <c r="O82" s="83"/>
      <c r="P82" s="110"/>
      <c r="Q82" s="83"/>
      <c r="R82" s="83"/>
      <c r="S82" s="110"/>
      <c r="T82" s="83"/>
      <c r="U82" s="83"/>
      <c r="V82" s="110"/>
      <c r="W82" s="83"/>
      <c r="X82" s="83"/>
      <c r="Y82" s="83"/>
      <c r="Z82" s="110"/>
    </row>
    <row r="83" spans="1:26" x14ac:dyDescent="0.3">
      <c r="A83" s="81"/>
      <c r="B83" s="81"/>
      <c r="C83" s="81"/>
      <c r="D83" s="81"/>
      <c r="E83" s="81"/>
      <c r="I83" s="83"/>
      <c r="J83" s="83"/>
      <c r="K83" s="83"/>
      <c r="L83" s="83"/>
      <c r="M83" s="83"/>
      <c r="N83" s="83"/>
      <c r="O83" s="83"/>
      <c r="P83" s="110"/>
      <c r="Q83" s="83"/>
      <c r="R83" s="83"/>
      <c r="S83" s="110"/>
      <c r="T83" s="83"/>
      <c r="U83" s="83"/>
      <c r="V83" s="110"/>
      <c r="W83" s="83"/>
      <c r="X83" s="83"/>
      <c r="Y83" s="83"/>
      <c r="Z83" s="110"/>
    </row>
    <row r="84" spans="1:26" x14ac:dyDescent="0.3">
      <c r="E84" s="81"/>
      <c r="I84" s="80"/>
      <c r="J84" s="80"/>
      <c r="K84" s="84"/>
      <c r="L84" s="84"/>
      <c r="M84" s="84"/>
      <c r="N84" s="80"/>
      <c r="O84" s="80"/>
      <c r="P84" s="111"/>
      <c r="Q84" s="84"/>
      <c r="R84" s="84"/>
      <c r="S84" s="113"/>
      <c r="T84" s="84"/>
      <c r="U84" s="84"/>
      <c r="V84" s="113"/>
      <c r="W84" s="84"/>
      <c r="X84" s="84"/>
      <c r="Y84" s="84"/>
      <c r="Z84" s="113"/>
    </row>
    <row r="85" spans="1:26" x14ac:dyDescent="0.3">
      <c r="E85" s="81"/>
      <c r="I85" s="80"/>
      <c r="J85" s="80"/>
      <c r="K85" s="84"/>
      <c r="L85" s="84"/>
      <c r="M85" s="84"/>
      <c r="N85" s="80"/>
      <c r="O85" s="80"/>
      <c r="P85" s="111"/>
      <c r="Q85" s="84"/>
      <c r="R85" s="84"/>
      <c r="S85" s="113"/>
      <c r="T85" s="84"/>
      <c r="U85" s="84"/>
      <c r="V85" s="113"/>
      <c r="W85" s="84"/>
      <c r="X85" s="84"/>
      <c r="Y85" s="84"/>
      <c r="Z85" s="113"/>
    </row>
    <row r="86" spans="1:26" x14ac:dyDescent="0.3">
      <c r="I86" s="79"/>
      <c r="J86" s="79"/>
      <c r="K86" s="84"/>
      <c r="L86" s="84"/>
      <c r="M86" s="84"/>
      <c r="N86" s="79"/>
      <c r="O86" s="79"/>
      <c r="P86" s="112"/>
      <c r="Q86" s="84"/>
      <c r="R86" s="84"/>
      <c r="S86" s="113"/>
      <c r="T86" s="84"/>
      <c r="U86" s="84"/>
      <c r="V86" s="113"/>
      <c r="W86" s="84"/>
      <c r="X86" s="84"/>
      <c r="Y86" s="84"/>
      <c r="Z86" s="113"/>
    </row>
    <row r="87" spans="1:26" x14ac:dyDescent="0.3">
      <c r="E87" s="81"/>
      <c r="I87" s="79"/>
      <c r="J87" s="79"/>
      <c r="K87" s="85"/>
      <c r="L87" s="85"/>
      <c r="M87" s="85"/>
      <c r="N87" s="79"/>
      <c r="O87" s="79"/>
      <c r="P87" s="112"/>
      <c r="Q87" s="85"/>
      <c r="R87" s="85"/>
      <c r="S87" s="114"/>
      <c r="T87" s="85"/>
      <c r="U87" s="85"/>
      <c r="V87" s="114"/>
      <c r="W87" s="85"/>
      <c r="X87" s="85"/>
      <c r="Y87" s="85"/>
      <c r="Z87" s="114"/>
    </row>
    <row r="88" spans="1:26" x14ac:dyDescent="0.3">
      <c r="I88" s="79"/>
      <c r="J88" s="79"/>
      <c r="K88" s="84"/>
      <c r="L88" s="84"/>
      <c r="M88" s="84"/>
      <c r="N88" s="79"/>
      <c r="O88" s="79"/>
      <c r="P88" s="112"/>
      <c r="Q88" s="84"/>
      <c r="R88" s="84"/>
      <c r="S88" s="113"/>
      <c r="T88" s="84"/>
      <c r="U88" s="84"/>
      <c r="V88" s="113"/>
      <c r="W88" s="84"/>
      <c r="X88" s="84"/>
      <c r="Y88" s="84"/>
      <c r="Z88" s="113"/>
    </row>
    <row r="89" spans="1:26" x14ac:dyDescent="0.3">
      <c r="I89" s="84"/>
      <c r="J89" s="84"/>
      <c r="K89" s="84"/>
      <c r="L89" s="84"/>
      <c r="M89" s="84"/>
      <c r="N89" s="84"/>
      <c r="O89" s="84"/>
      <c r="P89" s="113"/>
      <c r="Q89" s="84"/>
      <c r="R89" s="84"/>
      <c r="S89" s="113"/>
      <c r="T89" s="84"/>
      <c r="U89" s="84"/>
      <c r="V89" s="113"/>
      <c r="W89" s="84"/>
      <c r="X89" s="84"/>
      <c r="Y89" s="84"/>
      <c r="Z89" s="113"/>
    </row>
    <row r="90" spans="1:26" x14ac:dyDescent="0.3">
      <c r="I90" s="85"/>
      <c r="J90" s="85"/>
      <c r="K90" s="84"/>
      <c r="L90" s="84"/>
      <c r="M90" s="84"/>
      <c r="N90" s="85"/>
      <c r="O90" s="85"/>
      <c r="P90" s="114"/>
      <c r="Q90" s="84"/>
      <c r="R90" s="84"/>
      <c r="S90" s="113"/>
      <c r="T90" s="84"/>
      <c r="U90" s="84"/>
      <c r="V90" s="113"/>
      <c r="W90" s="84"/>
      <c r="X90" s="84"/>
      <c r="Y90" s="84"/>
      <c r="Z90" s="113"/>
    </row>
    <row r="91" spans="1:26" x14ac:dyDescent="0.3">
      <c r="I91" s="80"/>
      <c r="J91" s="80"/>
      <c r="K91" s="84"/>
      <c r="L91" s="84"/>
      <c r="M91" s="84"/>
      <c r="N91" s="80"/>
      <c r="O91" s="80"/>
      <c r="P91" s="111"/>
      <c r="Q91" s="84"/>
      <c r="R91" s="84"/>
      <c r="S91" s="113"/>
      <c r="T91" s="84"/>
      <c r="U91" s="84"/>
      <c r="V91" s="113"/>
      <c r="W91" s="84"/>
      <c r="X91" s="84"/>
      <c r="Y91" s="84"/>
      <c r="Z91" s="113"/>
    </row>
    <row r="92" spans="1:26" x14ac:dyDescent="0.3">
      <c r="I92" s="79"/>
      <c r="J92" s="79"/>
      <c r="K92" s="86"/>
      <c r="L92" s="86"/>
      <c r="M92" s="86"/>
      <c r="N92" s="79"/>
      <c r="O92" s="79"/>
      <c r="P92" s="112"/>
      <c r="Q92" s="86"/>
      <c r="R92" s="86"/>
      <c r="S92" s="119"/>
      <c r="T92" s="86"/>
      <c r="U92" s="86"/>
      <c r="V92" s="119"/>
      <c r="W92" s="86"/>
      <c r="X92" s="86"/>
      <c r="Y92" s="86"/>
      <c r="Z92" s="119"/>
    </row>
  </sheetData>
  <sortState xmlns:xlrd2="http://schemas.microsoft.com/office/spreadsheetml/2017/richdata2" ref="A4:H209">
    <sortCondition ref="A4"/>
  </sortState>
  <phoneticPr fontId="15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&amp;L&amp;F
Uniek nr. e-ABS XXXXXXXXXXXXXXXXXXX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26"/>
  <sheetViews>
    <sheetView zoomScale="220" zoomScaleNormal="220" workbookViewId="0">
      <selection activeCell="F10" sqref="F10"/>
    </sheetView>
  </sheetViews>
  <sheetFormatPr defaultRowHeight="14.5" x14ac:dyDescent="0.35"/>
  <cols>
    <col min="2" max="2" width="19.54296875" customWidth="1"/>
    <col min="3" max="3" width="11.26953125" customWidth="1"/>
    <col min="4" max="4" width="14.453125" bestFit="1" customWidth="1"/>
    <col min="5" max="5" width="21" bestFit="1" customWidth="1"/>
    <col min="6" max="6" width="16.1796875" customWidth="1"/>
  </cols>
  <sheetData>
    <row r="4" spans="2:6" x14ac:dyDescent="0.35">
      <c r="B4" s="2" t="s">
        <v>79</v>
      </c>
    </row>
    <row r="5" spans="2:6" ht="15" thickBot="1" x14ac:dyDescent="0.4"/>
    <row r="6" spans="2:6" ht="15" thickBot="1" x14ac:dyDescent="0.4">
      <c r="B6" s="12" t="s">
        <v>80</v>
      </c>
      <c r="C6" s="13" t="s">
        <v>83</v>
      </c>
      <c r="D6" s="14" t="s">
        <v>85</v>
      </c>
      <c r="E6" s="94" t="s">
        <v>128</v>
      </c>
      <c r="F6" s="15" t="s">
        <v>86</v>
      </c>
    </row>
    <row r="7" spans="2:6" x14ac:dyDescent="0.35">
      <c r="B7" s="3"/>
      <c r="C7" s="4"/>
      <c r="D7" s="1"/>
      <c r="E7" s="95"/>
      <c r="F7" s="5"/>
    </row>
    <row r="8" spans="2:6" x14ac:dyDescent="0.35">
      <c r="B8" s="3" t="s">
        <v>81</v>
      </c>
      <c r="C8" s="6">
        <v>0.3</v>
      </c>
      <c r="D8" s="27">
        <v>0.65</v>
      </c>
      <c r="E8" s="97">
        <f>C8*D8</f>
        <v>0.19500000000000001</v>
      </c>
      <c r="F8" s="7">
        <f>SUM(D8*specificatie!$Y$55*C8)/1000</f>
        <v>168432.42</v>
      </c>
    </row>
    <row r="9" spans="2:6" x14ac:dyDescent="0.35">
      <c r="B9" s="3" t="s">
        <v>107</v>
      </c>
      <c r="C9" s="6">
        <v>0.25</v>
      </c>
      <c r="D9" s="1">
        <v>0.69</v>
      </c>
      <c r="E9" s="97">
        <f t="shared" ref="E9:E12" si="0">C9*D9</f>
        <v>0.17249999999999999</v>
      </c>
      <c r="F9" s="7">
        <f>SUM(D9*specificatie!$Y$55*C9)/1000</f>
        <v>148997.91</v>
      </c>
    </row>
    <row r="10" spans="2:6" x14ac:dyDescent="0.35">
      <c r="B10" s="3" t="s">
        <v>82</v>
      </c>
      <c r="C10" s="6">
        <v>0.2</v>
      </c>
      <c r="D10" s="1">
        <v>0.745</v>
      </c>
      <c r="E10" s="97">
        <f t="shared" si="0"/>
        <v>0.14899999999999999</v>
      </c>
      <c r="F10" s="7">
        <f>SUM(D10*specificatie!$Y$55*C10)/1000</f>
        <v>128699.644</v>
      </c>
    </row>
    <row r="11" spans="2:6" x14ac:dyDescent="0.35">
      <c r="B11" s="3" t="s">
        <v>104</v>
      </c>
      <c r="C11" s="6">
        <v>0.15</v>
      </c>
      <c r="D11" s="1">
        <v>0.59499999999999997</v>
      </c>
      <c r="E11" s="97">
        <f t="shared" si="0"/>
        <v>8.9249999999999996E-2</v>
      </c>
      <c r="F11" s="7">
        <f>SUM(D11*specificatie!$Y$55*C11)/1000</f>
        <v>77090.222999999998</v>
      </c>
    </row>
    <row r="12" spans="2:6" ht="15" thickBot="1" x14ac:dyDescent="0.4">
      <c r="B12" s="3" t="s">
        <v>105</v>
      </c>
      <c r="C12" s="6">
        <v>0.1</v>
      </c>
      <c r="D12" s="1">
        <v>0.63500000000000001</v>
      </c>
      <c r="E12" s="97">
        <f t="shared" si="0"/>
        <v>6.3500000000000001E-2</v>
      </c>
      <c r="F12" s="7">
        <f>SUM(D12*specificatie!$Y$55*C12)/1000</f>
        <v>54848.506000000001</v>
      </c>
    </row>
    <row r="13" spans="2:6" ht="15" thickBot="1" x14ac:dyDescent="0.4">
      <c r="B13" s="8" t="s">
        <v>84</v>
      </c>
      <c r="C13" s="9">
        <f>SUM(C8:C12)</f>
        <v>1</v>
      </c>
      <c r="D13" s="10">
        <f>SUM(F13/specificatie!W55)*1000</f>
        <v>0.70617853979719958</v>
      </c>
      <c r="E13" s="96">
        <f>SUM(E8:E12)</f>
        <v>0.66925000000000001</v>
      </c>
      <c r="F13" s="11">
        <f>SUM(F8:F12)</f>
        <v>578068.7030000001</v>
      </c>
    </row>
    <row r="14" spans="2:6" ht="15" thickTop="1" x14ac:dyDescent="0.35">
      <c r="F14" s="28"/>
    </row>
    <row r="15" spans="2:6" hidden="1" x14ac:dyDescent="0.35"/>
    <row r="16" spans="2:6" hidden="1" x14ac:dyDescent="0.35"/>
    <row r="17" spans="2:6" hidden="1" x14ac:dyDescent="0.35"/>
    <row r="18" spans="2:6" ht="15" hidden="1" thickBot="1" x14ac:dyDescent="0.4"/>
    <row r="19" spans="2:6" ht="15" hidden="1" thickBot="1" x14ac:dyDescent="0.4">
      <c r="B19" s="16" t="s">
        <v>91</v>
      </c>
      <c r="C19" s="16" t="s">
        <v>92</v>
      </c>
      <c r="D19" s="17"/>
      <c r="E19" s="16" t="s">
        <v>93</v>
      </c>
      <c r="F19" s="18"/>
    </row>
    <row r="20" spans="2:6" ht="29.5" hidden="1" thickBot="1" x14ac:dyDescent="0.4">
      <c r="B20" s="19" t="s">
        <v>94</v>
      </c>
      <c r="C20" s="19" t="s">
        <v>95</v>
      </c>
      <c r="D20" s="20" t="s">
        <v>126</v>
      </c>
      <c r="E20" s="19" t="s">
        <v>95</v>
      </c>
      <c r="F20" s="20" t="s">
        <v>96</v>
      </c>
    </row>
    <row r="21" spans="2:6" hidden="1" x14ac:dyDescent="0.35">
      <c r="B21" s="21"/>
      <c r="C21" s="21"/>
      <c r="D21" s="22"/>
      <c r="E21" s="21"/>
      <c r="F21" s="22"/>
    </row>
    <row r="22" spans="2:6" hidden="1" x14ac:dyDescent="0.35">
      <c r="B22" s="23">
        <v>44562</v>
      </c>
      <c r="C22" s="24">
        <v>110.4</v>
      </c>
      <c r="D22" s="25">
        <v>1.1064278187565859</v>
      </c>
      <c r="E22" s="24">
        <v>105.2</v>
      </c>
      <c r="F22" s="25">
        <v>1.0431211498973305</v>
      </c>
    </row>
    <row r="23" spans="2:6" hidden="1" x14ac:dyDescent="0.35">
      <c r="B23" s="23">
        <v>44927</v>
      </c>
      <c r="C23" s="24">
        <v>124</v>
      </c>
      <c r="D23" s="25">
        <f>SUM(C23/C22)</f>
        <v>1.1231884057971013</v>
      </c>
      <c r="E23" s="24">
        <v>122</v>
      </c>
      <c r="F23" s="25">
        <f>SUM(E23/E22)</f>
        <v>1.1596958174904943</v>
      </c>
    </row>
    <row r="24" spans="2:6" ht="15" hidden="1" thickBot="1" x14ac:dyDescent="0.4">
      <c r="B24" s="89">
        <v>45292</v>
      </c>
      <c r="C24" s="26">
        <v>128.4</v>
      </c>
      <c r="D24" s="90">
        <f>SUM(C24/C23)</f>
        <v>1.0354838709677421</v>
      </c>
      <c r="E24" s="26">
        <v>124.4</v>
      </c>
      <c r="F24" s="25">
        <f>SUM(E24/E23)</f>
        <v>1.019672131147541</v>
      </c>
    </row>
    <row r="25" spans="2:6" hidden="1" x14ac:dyDescent="0.35"/>
    <row r="26" spans="2:6" hidden="1" x14ac:dyDescent="0.35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
Uniek nr. e-ABS XXXXXXXXXXXXXXXXXXX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4a9adc14-c1d8-4908-a78f-026f09e3e34b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Props1.xml><?xml version="1.0" encoding="utf-8"?>
<ds:datastoreItem xmlns:ds="http://schemas.openxmlformats.org/officeDocument/2006/customXml" ds:itemID="{A244B69D-27D9-413E-8E48-2B65C9DC7DED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specificatie</vt:lpstr>
      <vt:lpstr>jaarpremie per verzekeraar</vt:lpstr>
      <vt:lpstr>'jaarpremie per verzekeraar'!Afdrukbereik</vt:lpstr>
      <vt:lpstr>specificatie!Afdrukbereik</vt:lpstr>
    </vt:vector>
  </TitlesOfParts>
  <Company>Gemeente Middelburg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huulie</dc:creator>
  <cp:lastModifiedBy>Nina Hollander</cp:lastModifiedBy>
  <cp:lastPrinted>2023-08-04T08:24:08Z</cp:lastPrinted>
  <dcterms:created xsi:type="dcterms:W3CDTF">2013-04-24T11:19:18Z</dcterms:created>
  <dcterms:modified xsi:type="dcterms:W3CDTF">2025-08-14T13:16:47Z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4a9adc14-c1d8-4908-a78f-026f09e3e34b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2024-01-08T12:52:38Z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73fc6ca0-dbf1-4eed-99e7-9014d4aaa373</vt:lpwstr>
  </property>
  <property fmtid="{D5CDD505-2E9C-101B-9397-08002B2CF9AE}" pid="10" name="MSIP_Label_9043f10a-881e-4653-a55e-02ca2cc829dc_ContentBits">
    <vt:lpwstr>0</vt:lpwstr>
  </property>
</Properties>
</file>